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2-XXXX Rider EEIC\"/>
    </mc:Choice>
  </mc:AlternateContent>
  <bookViews>
    <workbookView xWindow="3612" yWindow="936" windowWidth="23232" windowHeight="10776" tabRatio="879" activeTab="4"/>
  </bookViews>
  <sheets>
    <sheet name="MEEIA 3 calcs" sheetId="27" r:id="rId1"/>
    <sheet name="MEEIA 3 adjs Nov 20" sheetId="33" r:id="rId2"/>
    <sheet name="MEEIA 3 adjs Nov 19" sheetId="30" r:id="rId3"/>
    <sheet name="M3 Allocations - TD" sheetId="28" r:id="rId4"/>
    <sheet name="M3 TD amort" sheetId="29" r:id="rId5"/>
  </sheets>
  <definedNames>
    <definedName name="_xlnm.Print_Area" localSheetId="2">'MEEIA 3 adjs Nov 19'!$A$1:$B$2</definedName>
    <definedName name="_xlnm.Print_Area" localSheetId="1">'MEEIA 3 adjs Nov 20'!$A$1:$O$75</definedName>
    <definedName name="_xlnm.Print_Area" localSheetId="0">'MEEIA 3 calcs'!$A$1:$O$75</definedName>
  </definedNames>
  <calcPr calcId="162913"/>
</workbook>
</file>

<file path=xl/calcChain.xml><?xml version="1.0" encoding="utf-8"?>
<calcChain xmlns="http://schemas.openxmlformats.org/spreadsheetml/2006/main">
  <c r="O93" i="33" l="1"/>
  <c r="P93" i="33" s="1"/>
  <c r="Q93" i="33" s="1"/>
  <c r="R93" i="33" s="1"/>
  <c r="S93" i="33" s="1"/>
  <c r="T93" i="33" s="1"/>
  <c r="U93" i="33" s="1"/>
  <c r="V93" i="33" s="1"/>
  <c r="X88" i="33"/>
  <c r="Y87" i="33"/>
  <c r="Y88" i="33" s="1"/>
  <c r="X87" i="33"/>
  <c r="W87" i="33"/>
  <c r="W88" i="33" s="1"/>
  <c r="V87" i="33"/>
  <c r="V88" i="33" s="1"/>
  <c r="U87" i="33"/>
  <c r="U88" i="33" s="1"/>
  <c r="T87" i="33"/>
  <c r="T88" i="33" s="1"/>
  <c r="S87" i="33"/>
  <c r="S88" i="33" s="1"/>
  <c r="R87" i="33"/>
  <c r="R88" i="33" s="1"/>
  <c r="Q87" i="33"/>
  <c r="Q88" i="33" s="1"/>
  <c r="P87" i="33"/>
  <c r="P88" i="33" s="1"/>
  <c r="O87" i="33"/>
  <c r="O88" i="33" s="1"/>
  <c r="N87" i="33"/>
  <c r="N89" i="33" s="1"/>
  <c r="W84" i="33"/>
  <c r="X81" i="33"/>
  <c r="X82" i="33" s="1"/>
  <c r="Y79" i="33"/>
  <c r="Y81" i="33" s="1"/>
  <c r="X79" i="33"/>
  <c r="X80" i="33" s="1"/>
  <c r="Y69" i="33"/>
  <c r="Y70" i="33" s="1"/>
  <c r="Q69" i="33"/>
  <c r="Q70" i="33" s="1"/>
  <c r="Q71" i="33" s="1"/>
  <c r="L69" i="33"/>
  <c r="L70" i="33" s="1"/>
  <c r="I69" i="33"/>
  <c r="I70" i="33" s="1"/>
  <c r="Y68" i="33"/>
  <c r="X68" i="33"/>
  <c r="X69" i="33" s="1"/>
  <c r="X70" i="33" s="1"/>
  <c r="X71" i="33" s="1"/>
  <c r="W68" i="33"/>
  <c r="W69" i="33" s="1"/>
  <c r="W70" i="33" s="1"/>
  <c r="W71" i="33" s="1"/>
  <c r="V68" i="33"/>
  <c r="V69" i="33" s="1"/>
  <c r="V70" i="33" s="1"/>
  <c r="V71" i="33" s="1"/>
  <c r="U68" i="33"/>
  <c r="U69" i="33" s="1"/>
  <c r="U70" i="33" s="1"/>
  <c r="U71" i="33" s="1"/>
  <c r="T68" i="33"/>
  <c r="T69" i="33" s="1"/>
  <c r="T70" i="33" s="1"/>
  <c r="T71" i="33" s="1"/>
  <c r="S68" i="33"/>
  <c r="S69" i="33" s="1"/>
  <c r="S70" i="33" s="1"/>
  <c r="S71" i="33" s="1"/>
  <c r="R68" i="33"/>
  <c r="R69" i="33" s="1"/>
  <c r="R70" i="33" s="1"/>
  <c r="Q68" i="33"/>
  <c r="P68" i="33"/>
  <c r="P69" i="33" s="1"/>
  <c r="P70" i="33" s="1"/>
  <c r="P71" i="33" s="1"/>
  <c r="O68" i="33"/>
  <c r="O69" i="33" s="1"/>
  <c r="O70" i="33" s="1"/>
  <c r="O71" i="33" s="1"/>
  <c r="N68" i="33"/>
  <c r="N69" i="33" s="1"/>
  <c r="N70" i="33" s="1"/>
  <c r="N71" i="33" s="1"/>
  <c r="M68" i="33"/>
  <c r="M71" i="33" s="1"/>
  <c r="L68" i="33"/>
  <c r="K68" i="33"/>
  <c r="K69" i="33" s="1"/>
  <c r="K70" i="33" s="1"/>
  <c r="J68" i="33"/>
  <c r="I68" i="33"/>
  <c r="H68" i="33"/>
  <c r="H71" i="33" s="1"/>
  <c r="G68" i="33"/>
  <c r="G71" i="33" s="1"/>
  <c r="F68" i="33"/>
  <c r="F69" i="33" s="1"/>
  <c r="F70" i="33" s="1"/>
  <c r="Y67" i="33"/>
  <c r="X67" i="33"/>
  <c r="W67" i="33"/>
  <c r="V67" i="33"/>
  <c r="U67" i="33"/>
  <c r="T67" i="33"/>
  <c r="S67" i="33"/>
  <c r="S16" i="33" s="1"/>
  <c r="R67" i="33"/>
  <c r="Q67" i="33"/>
  <c r="P67" i="33"/>
  <c r="O67" i="33"/>
  <c r="N67" i="33"/>
  <c r="M67" i="33"/>
  <c r="L67" i="33"/>
  <c r="L71" i="33" s="1"/>
  <c r="K67" i="33"/>
  <c r="K71" i="33" s="1"/>
  <c r="J67" i="33"/>
  <c r="I67" i="33"/>
  <c r="I71" i="33" s="1"/>
  <c r="H67" i="33"/>
  <c r="G67" i="33"/>
  <c r="F67" i="33"/>
  <c r="F71" i="33" s="1"/>
  <c r="U59" i="33"/>
  <c r="U60" i="33" s="1"/>
  <c r="R59" i="33"/>
  <c r="R60" i="33" s="1"/>
  <c r="R61" i="33" s="1"/>
  <c r="L59" i="33"/>
  <c r="L60" i="33" s="1"/>
  <c r="Y58" i="33"/>
  <c r="Y59" i="33" s="1"/>
  <c r="X58" i="33"/>
  <c r="X59" i="33" s="1"/>
  <c r="X60" i="33" s="1"/>
  <c r="X61" i="33" s="1"/>
  <c r="W58" i="33"/>
  <c r="W59" i="33" s="1"/>
  <c r="W60" i="33" s="1"/>
  <c r="W61" i="33" s="1"/>
  <c r="V58" i="33"/>
  <c r="V59" i="33" s="1"/>
  <c r="V60" i="33" s="1"/>
  <c r="V61" i="33" s="1"/>
  <c r="U58" i="33"/>
  <c r="T58" i="33"/>
  <c r="T59" i="33" s="1"/>
  <c r="T60" i="33" s="1"/>
  <c r="S58" i="33"/>
  <c r="S59" i="33" s="1"/>
  <c r="S60" i="33" s="1"/>
  <c r="R58" i="33"/>
  <c r="Q58" i="33"/>
  <c r="Q59" i="33" s="1"/>
  <c r="P58" i="33"/>
  <c r="P59" i="33" s="1"/>
  <c r="P60" i="33" s="1"/>
  <c r="P61" i="33" s="1"/>
  <c r="O58" i="33"/>
  <c r="O59" i="33" s="1"/>
  <c r="O60" i="33" s="1"/>
  <c r="O61" i="33" s="1"/>
  <c r="N58" i="33"/>
  <c r="N59" i="33" s="1"/>
  <c r="N60" i="33" s="1"/>
  <c r="N61" i="33" s="1"/>
  <c r="M58" i="33"/>
  <c r="M59" i="33" s="1"/>
  <c r="M60" i="33" s="1"/>
  <c r="L58" i="33"/>
  <c r="K58" i="33"/>
  <c r="J58" i="33"/>
  <c r="J59" i="33" s="1"/>
  <c r="J60" i="33" s="1"/>
  <c r="I58" i="33"/>
  <c r="H58" i="33"/>
  <c r="G58" i="33"/>
  <c r="G61" i="33" s="1"/>
  <c r="F58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L61" i="33" s="1"/>
  <c r="K57" i="33"/>
  <c r="J57" i="33"/>
  <c r="J61" i="33" s="1"/>
  <c r="I57" i="33"/>
  <c r="H57" i="33"/>
  <c r="G57" i="33"/>
  <c r="F57" i="33"/>
  <c r="Y48" i="33"/>
  <c r="Y49" i="33" s="1"/>
  <c r="Y50" i="33" s="1"/>
  <c r="X48" i="33"/>
  <c r="X49" i="33" s="1"/>
  <c r="W48" i="33"/>
  <c r="W49" i="33" s="1"/>
  <c r="W50" i="33" s="1"/>
  <c r="W51" i="33" s="1"/>
  <c r="V48" i="33"/>
  <c r="V49" i="33" s="1"/>
  <c r="V50" i="33" s="1"/>
  <c r="U48" i="33"/>
  <c r="U49" i="33" s="1"/>
  <c r="U50" i="33" s="1"/>
  <c r="U51" i="33" s="1"/>
  <c r="T48" i="33"/>
  <c r="T49" i="33" s="1"/>
  <c r="T50" i="33" s="1"/>
  <c r="S48" i="33"/>
  <c r="S49" i="33" s="1"/>
  <c r="S50" i="33" s="1"/>
  <c r="R48" i="33"/>
  <c r="R49" i="33" s="1"/>
  <c r="R50" i="33" s="1"/>
  <c r="Q48" i="33"/>
  <c r="Q49" i="33" s="1"/>
  <c r="Q50" i="33" s="1"/>
  <c r="P48" i="33"/>
  <c r="P49" i="33" s="1"/>
  <c r="O48" i="33"/>
  <c r="O49" i="33" s="1"/>
  <c r="O50" i="33" s="1"/>
  <c r="O51" i="33" s="1"/>
  <c r="N48" i="33"/>
  <c r="N49" i="33" s="1"/>
  <c r="N50" i="33" s="1"/>
  <c r="N51" i="33" s="1"/>
  <c r="M48" i="33"/>
  <c r="M49" i="33" s="1"/>
  <c r="M50" i="33" s="1"/>
  <c r="L48" i="33"/>
  <c r="K48" i="33"/>
  <c r="J48" i="33"/>
  <c r="I48" i="33"/>
  <c r="H48" i="33"/>
  <c r="H51" i="33" s="1"/>
  <c r="G48" i="33"/>
  <c r="G51" i="33" s="1"/>
  <c r="F48" i="33"/>
  <c r="F51" i="33" s="1"/>
  <c r="Y47" i="33"/>
  <c r="X47" i="33"/>
  <c r="W47" i="33"/>
  <c r="V47" i="33"/>
  <c r="U47" i="33"/>
  <c r="T47" i="33"/>
  <c r="S47" i="33"/>
  <c r="R47" i="33"/>
  <c r="Q47" i="33"/>
  <c r="P47" i="33"/>
  <c r="O47" i="33"/>
  <c r="N47" i="33"/>
  <c r="M47" i="33"/>
  <c r="M51" i="33" s="1"/>
  <c r="L47" i="33"/>
  <c r="K47" i="33"/>
  <c r="J47" i="33"/>
  <c r="I47" i="33"/>
  <c r="H47" i="33"/>
  <c r="G47" i="33"/>
  <c r="F47" i="33"/>
  <c r="R40" i="33"/>
  <c r="R41" i="33" s="1"/>
  <c r="N39" i="33"/>
  <c r="N40" i="33" s="1"/>
  <c r="N41" i="33" s="1"/>
  <c r="Y38" i="33"/>
  <c r="Y39" i="33" s="1"/>
  <c r="Y40" i="33" s="1"/>
  <c r="X38" i="33"/>
  <c r="X39" i="33" s="1"/>
  <c r="X40" i="33" s="1"/>
  <c r="W38" i="33"/>
  <c r="W39" i="33" s="1"/>
  <c r="W40" i="33" s="1"/>
  <c r="V38" i="33"/>
  <c r="V39" i="33" s="1"/>
  <c r="U38" i="33"/>
  <c r="U39" i="33" s="1"/>
  <c r="U40" i="33" s="1"/>
  <c r="U41" i="33" s="1"/>
  <c r="T38" i="33"/>
  <c r="T39" i="33" s="1"/>
  <c r="T40" i="33" s="1"/>
  <c r="S38" i="33"/>
  <c r="S39" i="33" s="1"/>
  <c r="S40" i="33" s="1"/>
  <c r="R38" i="33"/>
  <c r="R39" i="33" s="1"/>
  <c r="Q38" i="33"/>
  <c r="Q39" i="33" s="1"/>
  <c r="Q40" i="33" s="1"/>
  <c r="P38" i="33"/>
  <c r="P39" i="33" s="1"/>
  <c r="P40" i="33" s="1"/>
  <c r="O38" i="33"/>
  <c r="O39" i="33" s="1"/>
  <c r="O40" i="33" s="1"/>
  <c r="N38" i="33"/>
  <c r="M38" i="33"/>
  <c r="M41" i="33" s="1"/>
  <c r="L38" i="33"/>
  <c r="K38" i="33"/>
  <c r="J38" i="33"/>
  <c r="I38" i="33"/>
  <c r="H38" i="33"/>
  <c r="H39" i="33" s="1"/>
  <c r="H40" i="33" s="1"/>
  <c r="G38" i="33"/>
  <c r="F38" i="33"/>
  <c r="F39" i="33" s="1"/>
  <c r="F40" i="33" s="1"/>
  <c r="Y37" i="33"/>
  <c r="Y16" i="33" s="1"/>
  <c r="X37" i="33"/>
  <c r="W37" i="33"/>
  <c r="V37" i="33"/>
  <c r="U37" i="33"/>
  <c r="T37" i="33"/>
  <c r="S37" i="33"/>
  <c r="R37" i="33"/>
  <c r="Q37" i="33"/>
  <c r="Q16" i="33" s="1"/>
  <c r="P37" i="33"/>
  <c r="O37" i="33"/>
  <c r="N37" i="33"/>
  <c r="M37" i="33"/>
  <c r="L37" i="33"/>
  <c r="K37" i="33"/>
  <c r="J37" i="33"/>
  <c r="I37" i="33"/>
  <c r="I16" i="33" s="1"/>
  <c r="H37" i="33"/>
  <c r="G37" i="33"/>
  <c r="F37" i="33"/>
  <c r="J30" i="33"/>
  <c r="W29" i="33"/>
  <c r="W30" i="33" s="1"/>
  <c r="W31" i="33" s="1"/>
  <c r="J29" i="33"/>
  <c r="G29" i="33"/>
  <c r="G30" i="33" s="1"/>
  <c r="Y28" i="33"/>
  <c r="Y29" i="33" s="1"/>
  <c r="Y30" i="33" s="1"/>
  <c r="X28" i="33"/>
  <c r="X29" i="33" s="1"/>
  <c r="X30" i="33" s="1"/>
  <c r="X31" i="33" s="1"/>
  <c r="W28" i="33"/>
  <c r="V28" i="33"/>
  <c r="V29" i="33" s="1"/>
  <c r="V30" i="33" s="1"/>
  <c r="U28" i="33"/>
  <c r="U29" i="33" s="1"/>
  <c r="U30" i="33" s="1"/>
  <c r="U19" i="33" s="1"/>
  <c r="T28" i="33"/>
  <c r="S28" i="33"/>
  <c r="S29" i="33" s="1"/>
  <c r="S30" i="33" s="1"/>
  <c r="S31" i="33" s="1"/>
  <c r="R28" i="33"/>
  <c r="R17" i="33" s="1"/>
  <c r="Q28" i="33"/>
  <c r="Q29" i="33" s="1"/>
  <c r="Q30" i="33" s="1"/>
  <c r="Q31" i="33" s="1"/>
  <c r="P28" i="33"/>
  <c r="P29" i="33" s="1"/>
  <c r="P30" i="33" s="1"/>
  <c r="P31" i="33" s="1"/>
  <c r="O28" i="33"/>
  <c r="O29" i="33" s="1"/>
  <c r="O30" i="33" s="1"/>
  <c r="O31" i="33" s="1"/>
  <c r="N28" i="33"/>
  <c r="N29" i="33" s="1"/>
  <c r="N18" i="33" s="1"/>
  <c r="M28" i="33"/>
  <c r="M29" i="33" s="1"/>
  <c r="M30" i="33" s="1"/>
  <c r="L28" i="33"/>
  <c r="K28" i="33"/>
  <c r="J28" i="33"/>
  <c r="J17" i="33" s="1"/>
  <c r="I28" i="33"/>
  <c r="H28" i="33"/>
  <c r="H29" i="33" s="1"/>
  <c r="H30" i="33" s="1"/>
  <c r="G28" i="33"/>
  <c r="F28" i="33"/>
  <c r="Y27" i="33"/>
  <c r="X27" i="33"/>
  <c r="X16" i="33" s="1"/>
  <c r="W27" i="33"/>
  <c r="W16" i="33" s="1"/>
  <c r="V27" i="33"/>
  <c r="V16" i="33" s="1"/>
  <c r="U27" i="33"/>
  <c r="T27" i="33"/>
  <c r="S27" i="33"/>
  <c r="R27" i="33"/>
  <c r="Q27" i="33"/>
  <c r="P27" i="33"/>
  <c r="P16" i="33" s="1"/>
  <c r="O27" i="33"/>
  <c r="O16" i="33" s="1"/>
  <c r="N27" i="33"/>
  <c r="N16" i="33" s="1"/>
  <c r="M27" i="33"/>
  <c r="M31" i="33" s="1"/>
  <c r="L27" i="33"/>
  <c r="K27" i="33"/>
  <c r="J27" i="33"/>
  <c r="J16" i="33" s="1"/>
  <c r="I27" i="33"/>
  <c r="H27" i="33"/>
  <c r="H16" i="33" s="1"/>
  <c r="G27" i="33"/>
  <c r="G31" i="33" s="1"/>
  <c r="F27" i="33"/>
  <c r="F16" i="33" s="1"/>
  <c r="Y17" i="33"/>
  <c r="Q17" i="33"/>
  <c r="M17" i="33"/>
  <c r="U16" i="33"/>
  <c r="T16" i="33"/>
  <c r="R16" i="33"/>
  <c r="K16" i="33"/>
  <c r="G16" i="33"/>
  <c r="Y8" i="33"/>
  <c r="X8" i="33"/>
  <c r="W8" i="33"/>
  <c r="V8" i="33"/>
  <c r="U8" i="33"/>
  <c r="T8" i="33"/>
  <c r="S8" i="33"/>
  <c r="R8" i="33"/>
  <c r="Q8" i="33"/>
  <c r="P8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C10" i="33" s="1"/>
  <c r="W20" i="33" l="1"/>
  <c r="N17" i="33"/>
  <c r="U18" i="33"/>
  <c r="F41" i="33"/>
  <c r="O17" i="33"/>
  <c r="W18" i="33"/>
  <c r="F31" i="33"/>
  <c r="V31" i="33"/>
  <c r="H31" i="33"/>
  <c r="G41" i="33"/>
  <c r="G20" i="33" s="1"/>
  <c r="O41" i="33"/>
  <c r="W41" i="33"/>
  <c r="I51" i="33"/>
  <c r="Q51" i="33"/>
  <c r="Y51" i="33"/>
  <c r="M61" i="33"/>
  <c r="P17" i="33"/>
  <c r="O19" i="33"/>
  <c r="L16" i="33"/>
  <c r="P41" i="33"/>
  <c r="X41" i="33"/>
  <c r="J51" i="33"/>
  <c r="R51" i="33"/>
  <c r="G49" i="33"/>
  <c r="G50" i="33" s="1"/>
  <c r="W19" i="33"/>
  <c r="I41" i="33"/>
  <c r="Q41" i="33"/>
  <c r="Y41" i="33"/>
  <c r="S51" i="33"/>
  <c r="S61" i="33"/>
  <c r="Y71" i="33"/>
  <c r="U17" i="33"/>
  <c r="Y31" i="33"/>
  <c r="L51" i="33"/>
  <c r="K41" i="33"/>
  <c r="S41" i="33"/>
  <c r="W17" i="33"/>
  <c r="G17" i="33"/>
  <c r="X17" i="33"/>
  <c r="V51" i="33"/>
  <c r="W93" i="33"/>
  <c r="X93" i="33" s="1"/>
  <c r="Y93" i="33" s="1"/>
  <c r="S20" i="33"/>
  <c r="Y80" i="33"/>
  <c r="M20" i="33"/>
  <c r="C12" i="33"/>
  <c r="C13" i="33" s="1"/>
  <c r="C11" i="33"/>
  <c r="F32" i="33"/>
  <c r="F33" i="33" s="1"/>
  <c r="F34" i="33" s="1"/>
  <c r="G32" i="33" s="1"/>
  <c r="G33" i="33" s="1"/>
  <c r="G34" i="33" s="1"/>
  <c r="I31" i="33"/>
  <c r="I29" i="33"/>
  <c r="I30" i="33" s="1"/>
  <c r="T51" i="33"/>
  <c r="I61" i="33"/>
  <c r="I59" i="33"/>
  <c r="Q60" i="33"/>
  <c r="Q18" i="33"/>
  <c r="Y60" i="33"/>
  <c r="Y18" i="33"/>
  <c r="H17" i="33"/>
  <c r="S17" i="33"/>
  <c r="S19" i="33"/>
  <c r="F29" i="33"/>
  <c r="F30" i="33" s="1"/>
  <c r="R29" i="33"/>
  <c r="R30" i="33" s="1"/>
  <c r="R31" i="33" s="1"/>
  <c r="U31" i="33"/>
  <c r="F42" i="33"/>
  <c r="F43" i="33" s="1"/>
  <c r="F44" i="33" s="1"/>
  <c r="F72" i="33"/>
  <c r="F73" i="33" s="1"/>
  <c r="R71" i="33"/>
  <c r="M16" i="33"/>
  <c r="O18" i="33"/>
  <c r="K31" i="33"/>
  <c r="K29" i="33"/>
  <c r="K30" i="33" s="1"/>
  <c r="K17" i="33"/>
  <c r="V17" i="33"/>
  <c r="R18" i="33"/>
  <c r="L31" i="33"/>
  <c r="L29" i="33"/>
  <c r="L30" i="33" s="1"/>
  <c r="L17" i="33"/>
  <c r="T29" i="33"/>
  <c r="T17" i="33"/>
  <c r="J31" i="33"/>
  <c r="D10" i="33"/>
  <c r="I17" i="33"/>
  <c r="N30" i="33"/>
  <c r="V40" i="33"/>
  <c r="V18" i="33"/>
  <c r="H41" i="33"/>
  <c r="S18" i="33"/>
  <c r="P50" i="33"/>
  <c r="P18" i="33"/>
  <c r="X50" i="33"/>
  <c r="X18" i="33"/>
  <c r="T41" i="33"/>
  <c r="F17" i="33"/>
  <c r="O20" i="33"/>
  <c r="J41" i="33"/>
  <c r="J39" i="33"/>
  <c r="J40" i="33" s="1"/>
  <c r="K51" i="33"/>
  <c r="K49" i="33"/>
  <c r="K50" i="33" s="1"/>
  <c r="L41" i="33"/>
  <c r="L39" i="33"/>
  <c r="L40" i="33" s="1"/>
  <c r="U61" i="33"/>
  <c r="F52" i="33"/>
  <c r="F53" i="33" s="1"/>
  <c r="F54" i="33" s="1"/>
  <c r="G52" i="33" s="1"/>
  <c r="G53" i="33" s="1"/>
  <c r="G54" i="33" s="1"/>
  <c r="H52" i="33" s="1"/>
  <c r="H53" i="33" s="1"/>
  <c r="H54" i="33" s="1"/>
  <c r="I39" i="33"/>
  <c r="I40" i="33" s="1"/>
  <c r="H49" i="33"/>
  <c r="H50" i="33" s="1"/>
  <c r="G59" i="33"/>
  <c r="G60" i="33" s="1"/>
  <c r="I49" i="33"/>
  <c r="I50" i="33" s="1"/>
  <c r="K61" i="33"/>
  <c r="K59" i="33"/>
  <c r="K39" i="33"/>
  <c r="K40" i="33" s="1"/>
  <c r="J49" i="33"/>
  <c r="J50" i="33" s="1"/>
  <c r="Y82" i="33"/>
  <c r="M39" i="33"/>
  <c r="M40" i="33" s="1"/>
  <c r="L49" i="33"/>
  <c r="F61" i="33"/>
  <c r="F59" i="33"/>
  <c r="N91" i="33"/>
  <c r="N90" i="33"/>
  <c r="J71" i="33"/>
  <c r="J69" i="33"/>
  <c r="G39" i="33"/>
  <c r="G40" i="33" s="1"/>
  <c r="F49" i="33"/>
  <c r="F50" i="33" s="1"/>
  <c r="H61" i="33"/>
  <c r="H59" i="33"/>
  <c r="H60" i="33" s="1"/>
  <c r="T61" i="33"/>
  <c r="M69" i="33"/>
  <c r="G69" i="33"/>
  <c r="H69" i="33"/>
  <c r="G42" i="33" l="1"/>
  <c r="G43" i="33" s="1"/>
  <c r="G44" i="33" s="1"/>
  <c r="H32" i="33"/>
  <c r="H33" i="33" s="1"/>
  <c r="H34" i="33" s="1"/>
  <c r="I52" i="33"/>
  <c r="I53" i="33" s="1"/>
  <c r="I54" i="33" s="1"/>
  <c r="J52" i="33" s="1"/>
  <c r="J53" i="33" s="1"/>
  <c r="J54" i="33" s="1"/>
  <c r="K52" i="33" s="1"/>
  <c r="K53" i="33" s="1"/>
  <c r="K54" i="33" s="1"/>
  <c r="L52" i="33" s="1"/>
  <c r="L53" i="33" s="1"/>
  <c r="L54" i="33" s="1"/>
  <c r="M52" i="33" s="1"/>
  <c r="M53" i="33" s="1"/>
  <c r="M54" i="33" s="1"/>
  <c r="R19" i="33"/>
  <c r="F74" i="33"/>
  <c r="H20" i="33"/>
  <c r="J20" i="33"/>
  <c r="R20" i="33"/>
  <c r="Y61" i="33"/>
  <c r="Y19" i="33"/>
  <c r="H70" i="33"/>
  <c r="H19" i="33" s="1"/>
  <c r="H18" i="33"/>
  <c r="F60" i="33"/>
  <c r="F19" i="33" s="1"/>
  <c r="F18" i="33"/>
  <c r="K60" i="33"/>
  <c r="K19" i="33" s="1"/>
  <c r="K18" i="33"/>
  <c r="N31" i="33"/>
  <c r="N19" i="33"/>
  <c r="Q61" i="33"/>
  <c r="Q19" i="33"/>
  <c r="V41" i="33"/>
  <c r="V19" i="33"/>
  <c r="G70" i="33"/>
  <c r="G19" i="33" s="1"/>
  <c r="G18" i="33"/>
  <c r="F62" i="33"/>
  <c r="F63" i="33" s="1"/>
  <c r="F64" i="33" s="1"/>
  <c r="G62" i="33" s="1"/>
  <c r="G63" i="33" s="1"/>
  <c r="G64" i="33" s="1"/>
  <c r="H62" i="33" s="1"/>
  <c r="H63" i="33" s="1"/>
  <c r="H64" i="33" s="1"/>
  <c r="I62" i="33" s="1"/>
  <c r="I63" i="33" s="1"/>
  <c r="I64" i="33" s="1"/>
  <c r="J62" i="33" s="1"/>
  <c r="J63" i="33" s="1"/>
  <c r="J64" i="33" s="1"/>
  <c r="K62" i="33" s="1"/>
  <c r="K63" i="33" s="1"/>
  <c r="K64" i="33" s="1"/>
  <c r="L62" i="33" s="1"/>
  <c r="L63" i="33" s="1"/>
  <c r="L64" i="33" s="1"/>
  <c r="M62" i="33" s="1"/>
  <c r="M63" i="33" s="1"/>
  <c r="M64" i="33" s="1"/>
  <c r="K20" i="33"/>
  <c r="I60" i="33"/>
  <c r="I19" i="33" s="1"/>
  <c r="I18" i="33"/>
  <c r="I32" i="33"/>
  <c r="I33" i="33" s="1"/>
  <c r="I34" i="33" s="1"/>
  <c r="J32" i="33" s="1"/>
  <c r="J33" i="33" s="1"/>
  <c r="J34" i="33" s="1"/>
  <c r="K32" i="33" s="1"/>
  <c r="K33" i="33" s="1"/>
  <c r="K34" i="33" s="1"/>
  <c r="L32" i="33" s="1"/>
  <c r="L33" i="33" s="1"/>
  <c r="L34" i="33" s="1"/>
  <c r="M32" i="33" s="1"/>
  <c r="M33" i="33" s="1"/>
  <c r="M34" i="33" s="1"/>
  <c r="I20" i="33"/>
  <c r="U20" i="33"/>
  <c r="L20" i="33"/>
  <c r="X51" i="33"/>
  <c r="X19" i="33"/>
  <c r="D12" i="33"/>
  <c r="D13" i="33" s="1"/>
  <c r="E10" i="33" s="1"/>
  <c r="E12" i="33" s="1"/>
  <c r="E13" i="33" s="1"/>
  <c r="F10" i="33" s="1"/>
  <c r="F12" i="33" s="1"/>
  <c r="F13" i="33" s="1"/>
  <c r="G10" i="33" s="1"/>
  <c r="G12" i="33" s="1"/>
  <c r="G13" i="33" s="1"/>
  <c r="H10" i="33" s="1"/>
  <c r="H12" i="33" s="1"/>
  <c r="H13" i="33" s="1"/>
  <c r="I10" i="33" s="1"/>
  <c r="I12" i="33" s="1"/>
  <c r="I13" i="33" s="1"/>
  <c r="J10" i="33" s="1"/>
  <c r="J12" i="33" s="1"/>
  <c r="J13" i="33" s="1"/>
  <c r="K10" i="33" s="1"/>
  <c r="K12" i="33" s="1"/>
  <c r="K13" i="33" s="1"/>
  <c r="L10" i="33" s="1"/>
  <c r="L12" i="33" s="1"/>
  <c r="L13" i="33" s="1"/>
  <c r="M10" i="33" s="1"/>
  <c r="M12" i="33" s="1"/>
  <c r="M13" i="33" s="1"/>
  <c r="N10" i="33" s="1"/>
  <c r="N12" i="33" s="1"/>
  <c r="N13" i="33" s="1"/>
  <c r="O10" i="33" s="1"/>
  <c r="O12" i="33" s="1"/>
  <c r="O13" i="33" s="1"/>
  <c r="P10" i="33" s="1"/>
  <c r="P12" i="33" s="1"/>
  <c r="P13" i="33" s="1"/>
  <c r="Q10" i="33" s="1"/>
  <c r="Q12" i="33" s="1"/>
  <c r="Q13" i="33" s="1"/>
  <c r="R10" i="33" s="1"/>
  <c r="R12" i="33" s="1"/>
  <c r="R13" i="33" s="1"/>
  <c r="S10" i="33" s="1"/>
  <c r="S12" i="33" s="1"/>
  <c r="S13" i="33" s="1"/>
  <c r="T10" i="33" s="1"/>
  <c r="T12" i="33" s="1"/>
  <c r="T13" i="33" s="1"/>
  <c r="U10" i="33" s="1"/>
  <c r="U12" i="33" s="1"/>
  <c r="U13" i="33" s="1"/>
  <c r="V10" i="33" s="1"/>
  <c r="V12" i="33" s="1"/>
  <c r="V13" i="33" s="1"/>
  <c r="W10" i="33" s="1"/>
  <c r="W12" i="33" s="1"/>
  <c r="W13" i="33" s="1"/>
  <c r="X10" i="33" s="1"/>
  <c r="X12" i="33" s="1"/>
  <c r="X13" i="33" s="1"/>
  <c r="Y10" i="33" s="1"/>
  <c r="Y12" i="33" s="1"/>
  <c r="Y13" i="33" s="1"/>
  <c r="D11" i="33"/>
  <c r="M70" i="33"/>
  <c r="M19" i="33" s="1"/>
  <c r="M18" i="33"/>
  <c r="L50" i="33"/>
  <c r="L19" i="33" s="1"/>
  <c r="L18" i="33"/>
  <c r="J70" i="33"/>
  <c r="J19" i="33" s="1"/>
  <c r="J18" i="33"/>
  <c r="P51" i="33"/>
  <c r="P19" i="33"/>
  <c r="H42" i="33"/>
  <c r="H43" i="33" s="1"/>
  <c r="H44" i="33" s="1"/>
  <c r="I42" i="33" s="1"/>
  <c r="I43" i="33" s="1"/>
  <c r="I44" i="33" s="1"/>
  <c r="J42" i="33" s="1"/>
  <c r="J43" i="33" s="1"/>
  <c r="J44" i="33" s="1"/>
  <c r="K42" i="33" s="1"/>
  <c r="K43" i="33" s="1"/>
  <c r="K44" i="33" s="1"/>
  <c r="L42" i="33" s="1"/>
  <c r="L43" i="33" s="1"/>
  <c r="L44" i="33" s="1"/>
  <c r="M42" i="33" s="1"/>
  <c r="M43" i="33" s="1"/>
  <c r="M44" i="33" s="1"/>
  <c r="T30" i="33"/>
  <c r="T18" i="33"/>
  <c r="F20" i="33"/>
  <c r="F21" i="33" l="1"/>
  <c r="F22" i="33" s="1"/>
  <c r="Q20" i="33"/>
  <c r="P20" i="33"/>
  <c r="E11" i="33"/>
  <c r="F11" i="33" s="1"/>
  <c r="G11" i="33" s="1"/>
  <c r="H11" i="33" s="1"/>
  <c r="I11" i="33" s="1"/>
  <c r="J11" i="33" s="1"/>
  <c r="K11" i="33" s="1"/>
  <c r="L11" i="33" s="1"/>
  <c r="M11" i="33" s="1"/>
  <c r="N11" i="33" s="1"/>
  <c r="O11" i="33" s="1"/>
  <c r="P11" i="33" s="1"/>
  <c r="Q11" i="33" s="1"/>
  <c r="R11" i="33" s="1"/>
  <c r="S11" i="33" s="1"/>
  <c r="T11" i="33" s="1"/>
  <c r="U11" i="33" s="1"/>
  <c r="V11" i="33" s="1"/>
  <c r="W11" i="33" s="1"/>
  <c r="X11" i="33" s="1"/>
  <c r="Y11" i="33" s="1"/>
  <c r="N20" i="33"/>
  <c r="Y20" i="33"/>
  <c r="V20" i="33"/>
  <c r="F23" i="33"/>
  <c r="T31" i="33"/>
  <c r="T19" i="33"/>
  <c r="X20" i="33"/>
  <c r="F24" i="33"/>
  <c r="G72" i="33"/>
  <c r="T20" i="33" l="1"/>
  <c r="G21" i="33"/>
  <c r="G22" i="33" s="1"/>
  <c r="G73" i="33"/>
  <c r="G74" i="33" l="1"/>
  <c r="G23" i="33"/>
  <c r="G24" i="33" l="1"/>
  <c r="H72" i="33"/>
  <c r="H21" i="33" l="1"/>
  <c r="H22" i="33" s="1"/>
  <c r="H73" i="33"/>
  <c r="H74" i="33" l="1"/>
  <c r="H23" i="33"/>
  <c r="H24" i="33" l="1"/>
  <c r="I72" i="33"/>
  <c r="I21" i="33" l="1"/>
  <c r="I22" i="33" s="1"/>
  <c r="I73" i="33"/>
  <c r="I74" i="33" l="1"/>
  <c r="I23" i="33"/>
  <c r="I24" i="33" l="1"/>
  <c r="J72" i="33"/>
  <c r="J21" i="33" l="1"/>
  <c r="J22" i="33" s="1"/>
  <c r="J73" i="33"/>
  <c r="J74" i="33" l="1"/>
  <c r="J23" i="33"/>
  <c r="J24" i="33" l="1"/>
  <c r="K72" i="33"/>
  <c r="K21" i="33" l="1"/>
  <c r="K22" i="33" s="1"/>
  <c r="K73" i="33"/>
  <c r="K74" i="33" l="1"/>
  <c r="K23" i="33"/>
  <c r="K24" i="33" l="1"/>
  <c r="L72" i="33"/>
  <c r="L21" i="33" l="1"/>
  <c r="L22" i="33" s="1"/>
  <c r="L73" i="33"/>
  <c r="L74" i="33" l="1"/>
  <c r="L23" i="33"/>
  <c r="L24" i="33" l="1"/>
  <c r="M72" i="33"/>
  <c r="M21" i="33" l="1"/>
  <c r="M22" i="33" s="1"/>
  <c r="M73" i="33"/>
  <c r="M74" i="33" l="1"/>
  <c r="M23" i="33"/>
  <c r="M24" i="33" l="1"/>
  <c r="X10" i="28" l="1"/>
  <c r="X9" i="28"/>
  <c r="X7" i="28"/>
  <c r="Y7" i="28" s="1"/>
  <c r="X6" i="28"/>
  <c r="X5" i="28"/>
  <c r="X8" i="28"/>
  <c r="Y8" i="28" s="1"/>
  <c r="Z8" i="28" s="1"/>
  <c r="AA8" i="28" s="1"/>
  <c r="AB8" i="28" s="1"/>
  <c r="Y10" i="28" l="1"/>
  <c r="Z10" i="28" s="1"/>
  <c r="Y6" i="28"/>
  <c r="Z6" i="28" s="1"/>
  <c r="AA6" i="28" s="1"/>
  <c r="AB6" i="28" s="1"/>
  <c r="AC6" i="28" s="1"/>
  <c r="AD6" i="28" s="1"/>
  <c r="AE6" i="28" s="1"/>
  <c r="AF6" i="28" s="1"/>
  <c r="AG6" i="28" s="1"/>
  <c r="AH6" i="28" s="1"/>
  <c r="AI6" i="28" s="1"/>
  <c r="AJ6" i="28" s="1"/>
  <c r="AK6" i="28" s="1"/>
  <c r="AL6" i="28" s="1"/>
  <c r="AC8" i="28"/>
  <c r="AD8" i="28" s="1"/>
  <c r="AE8" i="28" s="1"/>
  <c r="AF8" i="28" s="1"/>
  <c r="AG8" i="28" s="1"/>
  <c r="AH8" i="28" s="1"/>
  <c r="AI8" i="28" s="1"/>
  <c r="AJ8" i="28" s="1"/>
  <c r="AK8" i="28" s="1"/>
  <c r="AL8" i="28" s="1"/>
  <c r="Z7" i="28"/>
  <c r="AA7" i="28" s="1"/>
  <c r="AB7" i="28" s="1"/>
  <c r="AC7" i="28" s="1"/>
  <c r="AD7" i="28" s="1"/>
  <c r="AE7" i="28" s="1"/>
  <c r="AF7" i="28" s="1"/>
  <c r="AG7" i="28" s="1"/>
  <c r="AH7" i="28" s="1"/>
  <c r="AI7" i="28" s="1"/>
  <c r="AJ7" i="28" s="1"/>
  <c r="AK7" i="28" s="1"/>
  <c r="AL7" i="28" s="1"/>
  <c r="Y5" i="28"/>
  <c r="Z5" i="28" s="1"/>
  <c r="AA5" i="28" s="1"/>
  <c r="AB5" i="28" s="1"/>
  <c r="AC5" i="28" s="1"/>
  <c r="AD5" i="28" s="1"/>
  <c r="AE5" i="28" s="1"/>
  <c r="AF5" i="28" s="1"/>
  <c r="AG5" i="28" s="1"/>
  <c r="AH5" i="28" s="1"/>
  <c r="AI5" i="28" s="1"/>
  <c r="AJ5" i="28" s="1"/>
  <c r="AK5" i="28" s="1"/>
  <c r="AL5" i="28" s="1"/>
  <c r="Y9" i="28"/>
  <c r="Z9" i="28" s="1"/>
  <c r="AA9" i="28" s="1"/>
  <c r="AB9" i="28" s="1"/>
  <c r="AC9" i="28" s="1"/>
  <c r="AD9" i="28" s="1"/>
  <c r="AE9" i="28" s="1"/>
  <c r="AF9" i="28" s="1"/>
  <c r="AG9" i="28" s="1"/>
  <c r="AH9" i="28" s="1"/>
  <c r="AI9" i="28" s="1"/>
  <c r="AJ9" i="28" s="1"/>
  <c r="AK9" i="28" s="1"/>
  <c r="AL9" i="28" s="1"/>
  <c r="AA10" i="28"/>
  <c r="AB10" i="28" s="1"/>
  <c r="AC10" i="28" s="1"/>
  <c r="AD10" i="28" s="1"/>
  <c r="AE10" i="28" s="1"/>
  <c r="AF10" i="28" s="1"/>
  <c r="AG10" i="28" s="1"/>
  <c r="AH10" i="28" s="1"/>
  <c r="AI10" i="28" s="1"/>
  <c r="AJ10" i="28" s="1"/>
  <c r="AK10" i="28" s="1"/>
  <c r="AL10" i="28" s="1"/>
  <c r="Y10" i="27" l="1"/>
  <c r="AB9" i="27"/>
  <c r="AA9" i="27"/>
  <c r="Z9" i="27"/>
  <c r="AF8" i="29" l="1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K31" i="29"/>
  <c r="J31" i="29"/>
  <c r="I31" i="29"/>
  <c r="H31" i="29"/>
  <c r="G31" i="29"/>
  <c r="F31" i="29"/>
  <c r="E31" i="29"/>
  <c r="D31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K24" i="29"/>
  <c r="J24" i="29"/>
  <c r="I24" i="29"/>
  <c r="H24" i="29"/>
  <c r="G24" i="29"/>
  <c r="F24" i="29"/>
  <c r="E24" i="29"/>
  <c r="D24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K17" i="29"/>
  <c r="J17" i="29"/>
  <c r="I17" i="29"/>
  <c r="H17" i="29"/>
  <c r="G17" i="29"/>
  <c r="F17" i="29"/>
  <c r="E17" i="29"/>
  <c r="D17" i="29"/>
  <c r="K4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K10" i="29"/>
  <c r="J10" i="29"/>
  <c r="I10" i="29"/>
  <c r="H10" i="29"/>
  <c r="G10" i="29"/>
  <c r="F10" i="29"/>
  <c r="E10" i="29"/>
  <c r="D10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K3" i="29"/>
  <c r="J3" i="29"/>
  <c r="I3" i="29"/>
  <c r="H3" i="29"/>
  <c r="G3" i="29"/>
  <c r="F3" i="29"/>
  <c r="E3" i="29"/>
  <c r="D3" i="29"/>
  <c r="C31" i="29"/>
  <c r="C34" i="29"/>
  <c r="C35" i="29" s="1"/>
  <c r="C36" i="29" s="1"/>
  <c r="Q69" i="27" s="1"/>
  <c r="C24" i="29"/>
  <c r="C27" i="29" s="1"/>
  <c r="C17" i="29"/>
  <c r="C10" i="29"/>
  <c r="C13" i="29" s="1"/>
  <c r="C14" i="29" s="1"/>
  <c r="C15" i="29" s="1"/>
  <c r="Q39" i="27" s="1"/>
  <c r="C3" i="29"/>
  <c r="AQ69" i="27"/>
  <c r="AP69" i="27"/>
  <c r="AO69" i="27"/>
  <c r="AQ59" i="27"/>
  <c r="AP59" i="27"/>
  <c r="AO59" i="27"/>
  <c r="AQ49" i="27"/>
  <c r="AP49" i="27"/>
  <c r="AO49" i="27"/>
  <c r="AQ39" i="27"/>
  <c r="AP39" i="27"/>
  <c r="AO39" i="27"/>
  <c r="AQ29" i="27"/>
  <c r="AP29" i="27"/>
  <c r="AO29" i="27"/>
  <c r="X61" i="28"/>
  <c r="W10" i="28"/>
  <c r="V10" i="28"/>
  <c r="U10" i="28"/>
  <c r="T10" i="28"/>
  <c r="S10" i="28"/>
  <c r="R10" i="28"/>
  <c r="Q10" i="28"/>
  <c r="P10" i="28"/>
  <c r="O10" i="28"/>
  <c r="N10" i="28"/>
  <c r="W9" i="28"/>
  <c r="V9" i="28"/>
  <c r="U9" i="28"/>
  <c r="T9" i="28"/>
  <c r="S9" i="28"/>
  <c r="R9" i="28"/>
  <c r="Q9" i="28"/>
  <c r="P9" i="28"/>
  <c r="O9" i="28"/>
  <c r="N9" i="28"/>
  <c r="W8" i="28"/>
  <c r="V8" i="28"/>
  <c r="U8" i="28"/>
  <c r="T8" i="28"/>
  <c r="S8" i="28"/>
  <c r="R8" i="28"/>
  <c r="Q8" i="28"/>
  <c r="P8" i="28"/>
  <c r="O8" i="28"/>
  <c r="N8" i="28"/>
  <c r="W7" i="28"/>
  <c r="V7" i="28"/>
  <c r="U7" i="28"/>
  <c r="T7" i="28"/>
  <c r="S7" i="28"/>
  <c r="R7" i="28"/>
  <c r="Q7" i="28"/>
  <c r="P7" i="28"/>
  <c r="O7" i="28"/>
  <c r="N7" i="28"/>
  <c r="W6" i="28"/>
  <c r="V6" i="28"/>
  <c r="U6" i="28"/>
  <c r="T6" i="28"/>
  <c r="S6" i="28"/>
  <c r="R6" i="28"/>
  <c r="Q6" i="28"/>
  <c r="P6" i="28"/>
  <c r="O6" i="28"/>
  <c r="N6" i="28"/>
  <c r="W5" i="28"/>
  <c r="V5" i="28"/>
  <c r="U5" i="28"/>
  <c r="T5" i="28"/>
  <c r="S5" i="28"/>
  <c r="R5" i="28"/>
  <c r="Q5" i="28"/>
  <c r="P5" i="28"/>
  <c r="O5" i="28"/>
  <c r="N5" i="28"/>
  <c r="P93" i="27"/>
  <c r="Q93" i="27" s="1"/>
  <c r="R93" i="27" s="1"/>
  <c r="S93" i="27" s="1"/>
  <c r="T93" i="27" s="1"/>
  <c r="U93" i="27" s="1"/>
  <c r="V93" i="27" s="1"/>
  <c r="W93" i="27" s="1"/>
  <c r="X93" i="27" s="1"/>
  <c r="Y93" i="27" s="1"/>
  <c r="O93" i="27"/>
  <c r="Y88" i="27"/>
  <c r="X88" i="27"/>
  <c r="U88" i="27"/>
  <c r="T88" i="27"/>
  <c r="S88" i="27"/>
  <c r="Q88" i="27"/>
  <c r="Y87" i="27"/>
  <c r="X87" i="27"/>
  <c r="W87" i="27"/>
  <c r="W88" i="27" s="1"/>
  <c r="V87" i="27"/>
  <c r="V88" i="27" s="1"/>
  <c r="U87" i="27"/>
  <c r="T87" i="27"/>
  <c r="S87" i="27"/>
  <c r="R87" i="27"/>
  <c r="R88" i="27" s="1"/>
  <c r="Q87" i="27"/>
  <c r="P87" i="27"/>
  <c r="P88" i="27" s="1"/>
  <c r="O87" i="27"/>
  <c r="O88" i="27" s="1"/>
  <c r="N87" i="27"/>
  <c r="N89" i="27" s="1"/>
  <c r="W84" i="27"/>
  <c r="N8" i="27"/>
  <c r="N10" i="27" s="1"/>
  <c r="N11" i="27" s="1"/>
  <c r="O8" i="27"/>
  <c r="P8" i="27"/>
  <c r="Q8" i="27"/>
  <c r="R8" i="27"/>
  <c r="S8" i="27"/>
  <c r="T8" i="27"/>
  <c r="U8" i="27"/>
  <c r="V8" i="27"/>
  <c r="W8" i="27"/>
  <c r="X8" i="27"/>
  <c r="Y8" i="27"/>
  <c r="X79" i="27"/>
  <c r="X80" i="27" s="1"/>
  <c r="Y79" i="27"/>
  <c r="Y81" i="27" s="1"/>
  <c r="J84" i="30"/>
  <c r="J91" i="30" s="1"/>
  <c r="J47" i="30" s="1"/>
  <c r="I84" i="30"/>
  <c r="I91" i="30" s="1"/>
  <c r="I47" i="30" s="1"/>
  <c r="I51" i="30" s="1"/>
  <c r="H84" i="30"/>
  <c r="H91" i="30" s="1"/>
  <c r="H47" i="30" s="1"/>
  <c r="G84" i="30"/>
  <c r="G91" i="30" s="1"/>
  <c r="G47" i="30" s="1"/>
  <c r="F84" i="30"/>
  <c r="F91" i="30" s="1"/>
  <c r="F47" i="30" s="1"/>
  <c r="E84" i="30"/>
  <c r="E91" i="30" s="1"/>
  <c r="E47" i="30" s="1"/>
  <c r="D84" i="30"/>
  <c r="D91" i="30" s="1"/>
  <c r="D47" i="30" s="1"/>
  <c r="D51" i="30" s="1"/>
  <c r="C84" i="30"/>
  <c r="C88" i="30" s="1"/>
  <c r="C17" i="30" s="1"/>
  <c r="J76" i="30"/>
  <c r="I76" i="30"/>
  <c r="H76" i="30"/>
  <c r="G76" i="30"/>
  <c r="F76" i="30"/>
  <c r="E76" i="30"/>
  <c r="D76" i="30"/>
  <c r="C76" i="30"/>
  <c r="J67" i="30"/>
  <c r="I67" i="30"/>
  <c r="H67" i="30"/>
  <c r="G67" i="30"/>
  <c r="F67" i="30"/>
  <c r="E67" i="30"/>
  <c r="D67" i="30"/>
  <c r="C67" i="30"/>
  <c r="H51" i="30"/>
  <c r="F51" i="30"/>
  <c r="E51" i="30"/>
  <c r="G39" i="30"/>
  <c r="G40" i="30" s="1"/>
  <c r="E9" i="30"/>
  <c r="E10" i="30" s="1"/>
  <c r="D32" i="29"/>
  <c r="C20" i="29"/>
  <c r="C21" i="29" s="1"/>
  <c r="D18" i="29"/>
  <c r="C6" i="29"/>
  <c r="C7" i="29" s="1"/>
  <c r="C8" i="29" s="1"/>
  <c r="Q29" i="27" s="1"/>
  <c r="D4" i="29"/>
  <c r="C28" i="29" l="1"/>
  <c r="C29" i="29" s="1"/>
  <c r="Q59" i="27" s="1"/>
  <c r="C22" i="29"/>
  <c r="Q49" i="27" s="1"/>
  <c r="N91" i="27"/>
  <c r="N90" i="27"/>
  <c r="X81" i="27"/>
  <c r="X82" i="27" s="1"/>
  <c r="Y82" i="27" s="1"/>
  <c r="Y80" i="27"/>
  <c r="O10" i="27"/>
  <c r="O12" i="27" s="1"/>
  <c r="O13" i="27" s="1"/>
  <c r="N12" i="27"/>
  <c r="N13" i="27" s="1"/>
  <c r="G51" i="30"/>
  <c r="C21" i="30"/>
  <c r="C41" i="30"/>
  <c r="J51" i="30"/>
  <c r="C19" i="30"/>
  <c r="C20" i="30" s="1"/>
  <c r="I29" i="30"/>
  <c r="I30" i="30" s="1"/>
  <c r="F9" i="30"/>
  <c r="F10" i="30" s="1"/>
  <c r="D19" i="30"/>
  <c r="D20" i="30" s="1"/>
  <c r="J29" i="30"/>
  <c r="J30" i="30" s="1"/>
  <c r="H39" i="30"/>
  <c r="H40" i="30" s="1"/>
  <c r="F49" i="30"/>
  <c r="F50" i="30" s="1"/>
  <c r="D87" i="30"/>
  <c r="D88" i="30"/>
  <c r="D17" i="30" s="1"/>
  <c r="D21" i="30" s="1"/>
  <c r="D89" i="30"/>
  <c r="D27" i="30" s="1"/>
  <c r="D31" i="30" s="1"/>
  <c r="D90" i="30"/>
  <c r="D37" i="30" s="1"/>
  <c r="D41" i="30" s="1"/>
  <c r="C91" i="30"/>
  <c r="C47" i="30" s="1"/>
  <c r="C51" i="30" s="1"/>
  <c r="G9" i="30"/>
  <c r="G10" i="30" s="1"/>
  <c r="E19" i="30"/>
  <c r="E20" i="30" s="1"/>
  <c r="C29" i="30"/>
  <c r="C30" i="30" s="1"/>
  <c r="I39" i="30"/>
  <c r="I40" i="30" s="1"/>
  <c r="G49" i="30"/>
  <c r="G50" i="30" s="1"/>
  <c r="E87" i="30"/>
  <c r="E88" i="30"/>
  <c r="E17" i="30" s="1"/>
  <c r="E21" i="30" s="1"/>
  <c r="E89" i="30"/>
  <c r="E27" i="30" s="1"/>
  <c r="E31" i="30" s="1"/>
  <c r="E90" i="30"/>
  <c r="E37" i="30" s="1"/>
  <c r="E41" i="30" s="1"/>
  <c r="G41" i="30"/>
  <c r="E49" i="30"/>
  <c r="E50" i="30" s="1"/>
  <c r="C90" i="30"/>
  <c r="C37" i="30" s="1"/>
  <c r="H9" i="30"/>
  <c r="H10" i="30" s="1"/>
  <c r="F19" i="30"/>
  <c r="F20" i="30" s="1"/>
  <c r="D29" i="30"/>
  <c r="D30" i="30" s="1"/>
  <c r="J39" i="30"/>
  <c r="J40" i="30" s="1"/>
  <c r="H49" i="30"/>
  <c r="H50" i="30" s="1"/>
  <c r="F87" i="30"/>
  <c r="F88" i="30"/>
  <c r="F17" i="30" s="1"/>
  <c r="F21" i="30" s="1"/>
  <c r="F89" i="30"/>
  <c r="F27" i="30" s="1"/>
  <c r="F31" i="30" s="1"/>
  <c r="F90" i="30"/>
  <c r="F37" i="30" s="1"/>
  <c r="F41" i="30" s="1"/>
  <c r="C89" i="30"/>
  <c r="C27" i="30" s="1"/>
  <c r="C31" i="30" s="1"/>
  <c r="I9" i="30"/>
  <c r="I10" i="30" s="1"/>
  <c r="G19" i="30"/>
  <c r="G20" i="30" s="1"/>
  <c r="E29" i="30"/>
  <c r="E30" i="30" s="1"/>
  <c r="C39" i="30"/>
  <c r="C40" i="30" s="1"/>
  <c r="I49" i="30"/>
  <c r="I50" i="30" s="1"/>
  <c r="G87" i="30"/>
  <c r="G88" i="30"/>
  <c r="G17" i="30" s="1"/>
  <c r="G21" i="30" s="1"/>
  <c r="G89" i="30"/>
  <c r="G27" i="30" s="1"/>
  <c r="G31" i="30" s="1"/>
  <c r="G90" i="30"/>
  <c r="G37" i="30" s="1"/>
  <c r="J9" i="30"/>
  <c r="J10" i="30" s="1"/>
  <c r="H19" i="30"/>
  <c r="H20" i="30" s="1"/>
  <c r="F29" i="30"/>
  <c r="F30" i="30" s="1"/>
  <c r="D39" i="30"/>
  <c r="D40" i="30" s="1"/>
  <c r="J49" i="30"/>
  <c r="J50" i="30" s="1"/>
  <c r="H87" i="30"/>
  <c r="H88" i="30"/>
  <c r="H17" i="30" s="1"/>
  <c r="H21" i="30" s="1"/>
  <c r="H89" i="30"/>
  <c r="H27" i="30" s="1"/>
  <c r="H31" i="30" s="1"/>
  <c r="H90" i="30"/>
  <c r="H37" i="30" s="1"/>
  <c r="H41" i="30" s="1"/>
  <c r="C87" i="30"/>
  <c r="C9" i="30"/>
  <c r="C10" i="30" s="1"/>
  <c r="I19" i="30"/>
  <c r="I20" i="30" s="1"/>
  <c r="G29" i="30"/>
  <c r="G30" i="30" s="1"/>
  <c r="E39" i="30"/>
  <c r="E40" i="30" s="1"/>
  <c r="C49" i="30"/>
  <c r="C50" i="30" s="1"/>
  <c r="I87" i="30"/>
  <c r="I88" i="30"/>
  <c r="I17" i="30" s="1"/>
  <c r="I21" i="30" s="1"/>
  <c r="I89" i="30"/>
  <c r="I27" i="30" s="1"/>
  <c r="I31" i="30" s="1"/>
  <c r="I90" i="30"/>
  <c r="I37" i="30" s="1"/>
  <c r="I41" i="30" s="1"/>
  <c r="D9" i="30"/>
  <c r="D10" i="30" s="1"/>
  <c r="J19" i="30"/>
  <c r="J20" i="30" s="1"/>
  <c r="H29" i="30"/>
  <c r="H30" i="30" s="1"/>
  <c r="F39" i="30"/>
  <c r="F40" i="30" s="1"/>
  <c r="D49" i="30"/>
  <c r="D50" i="30" s="1"/>
  <c r="J87" i="30"/>
  <c r="J88" i="30"/>
  <c r="J17" i="30" s="1"/>
  <c r="J21" i="30" s="1"/>
  <c r="J89" i="30"/>
  <c r="J27" i="30" s="1"/>
  <c r="J31" i="30" s="1"/>
  <c r="J90" i="30"/>
  <c r="J37" i="30" s="1"/>
  <c r="J41" i="30" s="1"/>
  <c r="D5" i="29"/>
  <c r="D33" i="29"/>
  <c r="E32" i="29"/>
  <c r="D19" i="29"/>
  <c r="D20" i="29" s="1"/>
  <c r="E18" i="29"/>
  <c r="F18" i="29" s="1"/>
  <c r="E4" i="29"/>
  <c r="F32" i="29"/>
  <c r="G32" i="29" s="1"/>
  <c r="F4" i="29"/>
  <c r="G4" i="29" s="1"/>
  <c r="H4" i="29" s="1"/>
  <c r="I4" i="29" s="1"/>
  <c r="D11" i="29"/>
  <c r="D12" i="29" s="1"/>
  <c r="D25" i="29"/>
  <c r="D26" i="29" s="1"/>
  <c r="D13" i="29"/>
  <c r="D14" i="29" s="1"/>
  <c r="D15" i="29" s="1"/>
  <c r="R39" i="27" s="1"/>
  <c r="O11" i="27" l="1"/>
  <c r="P10" i="27"/>
  <c r="P12" i="27" s="1"/>
  <c r="P13" i="27" s="1"/>
  <c r="Q10" i="27" s="1"/>
  <c r="Q12" i="27" s="1"/>
  <c r="Q13" i="27" s="1"/>
  <c r="R10" i="27" s="1"/>
  <c r="R12" i="27" s="1"/>
  <c r="R13" i="27" s="1"/>
  <c r="S10" i="27" s="1"/>
  <c r="S12" i="27" s="1"/>
  <c r="S13" i="27" s="1"/>
  <c r="T10" i="27" s="1"/>
  <c r="T12" i="27" s="1"/>
  <c r="T13" i="27" s="1"/>
  <c r="U10" i="27" s="1"/>
  <c r="U12" i="27" s="1"/>
  <c r="U13" i="27" s="1"/>
  <c r="V10" i="27" s="1"/>
  <c r="V12" i="27" s="1"/>
  <c r="V13" i="27" s="1"/>
  <c r="W10" i="27" s="1"/>
  <c r="W12" i="27" s="1"/>
  <c r="W13" i="27" s="1"/>
  <c r="X10" i="27" s="1"/>
  <c r="X12" i="27" s="1"/>
  <c r="X13" i="27" s="1"/>
  <c r="Y12" i="27" s="1"/>
  <c r="Y13" i="27" s="1"/>
  <c r="F92" i="30"/>
  <c r="F7" i="30"/>
  <c r="F11" i="30" s="1"/>
  <c r="C53" i="30"/>
  <c r="C54" i="30" s="1"/>
  <c r="D53" i="30" s="1"/>
  <c r="D54" i="30" s="1"/>
  <c r="E53" i="30" s="1"/>
  <c r="E54" i="30" s="1"/>
  <c r="F53" i="30" s="1"/>
  <c r="F54" i="30" s="1"/>
  <c r="G53" i="30" s="1"/>
  <c r="G54" i="30" s="1"/>
  <c r="H53" i="30" s="1"/>
  <c r="H54" i="30" s="1"/>
  <c r="I53" i="30" s="1"/>
  <c r="I54" i="30" s="1"/>
  <c r="J53" i="30" s="1"/>
  <c r="J54" i="30" s="1"/>
  <c r="C23" i="30"/>
  <c r="C24" i="30" s="1"/>
  <c r="D23" i="30" s="1"/>
  <c r="D24" i="30" s="1"/>
  <c r="E23" i="30" s="1"/>
  <c r="E24" i="30" s="1"/>
  <c r="F23" i="30" s="1"/>
  <c r="F24" i="30" s="1"/>
  <c r="G23" i="30" s="1"/>
  <c r="G24" i="30" s="1"/>
  <c r="H23" i="30" s="1"/>
  <c r="H24" i="30" s="1"/>
  <c r="I23" i="30" s="1"/>
  <c r="I24" i="30" s="1"/>
  <c r="J23" i="30" s="1"/>
  <c r="J24" i="30" s="1"/>
  <c r="J92" i="30"/>
  <c r="J7" i="30"/>
  <c r="J11" i="30" s="1"/>
  <c r="I92" i="30"/>
  <c r="I7" i="30"/>
  <c r="I11" i="30" s="1"/>
  <c r="E92" i="30"/>
  <c r="E7" i="30"/>
  <c r="E11" i="30" s="1"/>
  <c r="H92" i="30"/>
  <c r="H7" i="30"/>
  <c r="H11" i="30" s="1"/>
  <c r="C7" i="30"/>
  <c r="C11" i="30" s="1"/>
  <c r="C92" i="30"/>
  <c r="G92" i="30"/>
  <c r="G7" i="30"/>
  <c r="G11" i="30" s="1"/>
  <c r="D7" i="30"/>
  <c r="D11" i="30" s="1"/>
  <c r="D92" i="30"/>
  <c r="H32" i="29"/>
  <c r="G18" i="29"/>
  <c r="J4" i="29"/>
  <c r="E11" i="29"/>
  <c r="D34" i="29"/>
  <c r="D35" i="29" s="1"/>
  <c r="D36" i="29" s="1"/>
  <c r="R69" i="27" s="1"/>
  <c r="D6" i="29"/>
  <c r="D7" i="29" s="1"/>
  <c r="D8" i="29" s="1"/>
  <c r="R29" i="27" s="1"/>
  <c r="D27" i="29"/>
  <c r="D28" i="29" s="1"/>
  <c r="D29" i="29" s="1"/>
  <c r="R59" i="27" s="1"/>
  <c r="F33" i="29"/>
  <c r="E19" i="29"/>
  <c r="F19" i="29" s="1"/>
  <c r="E20" i="29"/>
  <c r="D21" i="29"/>
  <c r="D22" i="29" s="1"/>
  <c r="R49" i="27" s="1"/>
  <c r="E33" i="29"/>
  <c r="E34" i="29"/>
  <c r="E25" i="29"/>
  <c r="E5" i="29"/>
  <c r="F5" i="29" s="1"/>
  <c r="G5" i="29" s="1"/>
  <c r="E6" i="29"/>
  <c r="P11" i="27" l="1"/>
  <c r="Q11" i="27" s="1"/>
  <c r="R11" i="27" s="1"/>
  <c r="S11" i="27" s="1"/>
  <c r="T11" i="27" s="1"/>
  <c r="U11" i="27" s="1"/>
  <c r="V11" i="27" s="1"/>
  <c r="W11" i="27" s="1"/>
  <c r="X11" i="27" s="1"/>
  <c r="Y11" i="27" s="1"/>
  <c r="C33" i="30"/>
  <c r="C34" i="30" s="1"/>
  <c r="D33" i="30" s="1"/>
  <c r="D34" i="30" s="1"/>
  <c r="E33" i="30" s="1"/>
  <c r="E34" i="30" s="1"/>
  <c r="F33" i="30" s="1"/>
  <c r="F34" i="30" s="1"/>
  <c r="G33" i="30" s="1"/>
  <c r="G34" i="30" s="1"/>
  <c r="H33" i="30" s="1"/>
  <c r="H34" i="30" s="1"/>
  <c r="I33" i="30" s="1"/>
  <c r="I34" i="30" s="1"/>
  <c r="J33" i="30" s="1"/>
  <c r="J34" i="30" s="1"/>
  <c r="C43" i="30"/>
  <c r="C44" i="30" s="1"/>
  <c r="D43" i="30" s="1"/>
  <c r="D44" i="30" s="1"/>
  <c r="E43" i="30" s="1"/>
  <c r="E44" i="30" s="1"/>
  <c r="F43" i="30" s="1"/>
  <c r="F44" i="30" s="1"/>
  <c r="G43" i="30" s="1"/>
  <c r="G44" i="30" s="1"/>
  <c r="H43" i="30" s="1"/>
  <c r="H44" i="30" s="1"/>
  <c r="I43" i="30" s="1"/>
  <c r="I44" i="30" s="1"/>
  <c r="J43" i="30" s="1"/>
  <c r="J44" i="30" s="1"/>
  <c r="C13" i="30"/>
  <c r="C14" i="30" s="1"/>
  <c r="D13" i="30" s="1"/>
  <c r="D14" i="30" s="1"/>
  <c r="E13" i="30" s="1"/>
  <c r="E14" i="30" s="1"/>
  <c r="F13" i="30" s="1"/>
  <c r="F14" i="30" s="1"/>
  <c r="G13" i="30" s="1"/>
  <c r="G14" i="30" s="1"/>
  <c r="H13" i="30" s="1"/>
  <c r="H14" i="30" s="1"/>
  <c r="I13" i="30" s="1"/>
  <c r="I14" i="30" s="1"/>
  <c r="J13" i="30" s="1"/>
  <c r="J14" i="30" s="1"/>
  <c r="H5" i="29"/>
  <c r="G6" i="29"/>
  <c r="G7" i="29" s="1"/>
  <c r="G8" i="29" s="1"/>
  <c r="U29" i="27" s="1"/>
  <c r="F35" i="29"/>
  <c r="F36" i="29" s="1"/>
  <c r="T69" i="27" s="1"/>
  <c r="F34" i="29"/>
  <c r="G33" i="29"/>
  <c r="F21" i="29"/>
  <c r="F22" i="29" s="1"/>
  <c r="T49" i="27" s="1"/>
  <c r="E26" i="29"/>
  <c r="E27" i="29" s="1"/>
  <c r="F25" i="29"/>
  <c r="F20" i="29"/>
  <c r="F6" i="29"/>
  <c r="F7" i="29" s="1"/>
  <c r="F8" i="29" s="1"/>
  <c r="T29" i="27" s="1"/>
  <c r="E12" i="29"/>
  <c r="E13" i="29" s="1"/>
  <c r="F11" i="29"/>
  <c r="H33" i="29"/>
  <c r="I32" i="29"/>
  <c r="E35" i="29"/>
  <c r="E36" i="29" s="1"/>
  <c r="S69" i="27" s="1"/>
  <c r="E7" i="29"/>
  <c r="E8" i="29" s="1"/>
  <c r="S29" i="27" s="1"/>
  <c r="E21" i="29"/>
  <c r="E22" i="29" s="1"/>
  <c r="S49" i="27" s="1"/>
  <c r="G19" i="29"/>
  <c r="H18" i="29"/>
  <c r="G21" i="29" l="1"/>
  <c r="G22" i="29" s="1"/>
  <c r="U49" i="27" s="1"/>
  <c r="H19" i="29"/>
  <c r="H20" i="29"/>
  <c r="I18" i="29"/>
  <c r="G20" i="29"/>
  <c r="F26" i="29"/>
  <c r="G25" i="29"/>
  <c r="F27" i="29"/>
  <c r="H34" i="29"/>
  <c r="H35" i="29" s="1"/>
  <c r="H36" i="29" s="1"/>
  <c r="V69" i="27" s="1"/>
  <c r="G34" i="29"/>
  <c r="G35" i="29" s="1"/>
  <c r="G36" i="29" s="1"/>
  <c r="U69" i="27" s="1"/>
  <c r="F12" i="29"/>
  <c r="G11" i="29"/>
  <c r="F13" i="29"/>
  <c r="E14" i="29"/>
  <c r="E15" i="29" s="1"/>
  <c r="S39" i="27" s="1"/>
  <c r="I5" i="29"/>
  <c r="H6" i="29"/>
  <c r="H7" i="29" s="1"/>
  <c r="H8" i="29" s="1"/>
  <c r="V29" i="27" s="1"/>
  <c r="E28" i="29"/>
  <c r="E29" i="29" s="1"/>
  <c r="S59" i="27" s="1"/>
  <c r="I33" i="29"/>
  <c r="I34" i="29" s="1"/>
  <c r="J32" i="29"/>
  <c r="J33" i="29" l="1"/>
  <c r="K32" i="29"/>
  <c r="J34" i="29"/>
  <c r="G12" i="29"/>
  <c r="G13" i="29" s="1"/>
  <c r="H11" i="29"/>
  <c r="I6" i="29"/>
  <c r="I7" i="29" s="1"/>
  <c r="I8" i="29" s="1"/>
  <c r="W29" i="27" s="1"/>
  <c r="J5" i="29"/>
  <c r="F28" i="29"/>
  <c r="F29" i="29" s="1"/>
  <c r="T59" i="27" s="1"/>
  <c r="F14" i="29"/>
  <c r="F15" i="29" s="1"/>
  <c r="T39" i="27" s="1"/>
  <c r="H21" i="29"/>
  <c r="H22" i="29" s="1"/>
  <c r="V49" i="27" s="1"/>
  <c r="G26" i="29"/>
  <c r="G27" i="29" s="1"/>
  <c r="H25" i="29"/>
  <c r="I35" i="29"/>
  <c r="I36" i="29" s="1"/>
  <c r="W69" i="27" s="1"/>
  <c r="I19" i="29"/>
  <c r="I20" i="29" s="1"/>
  <c r="J18" i="29"/>
  <c r="J6" i="29" l="1"/>
  <c r="J7" i="29" s="1"/>
  <c r="J8" i="29" s="1"/>
  <c r="X29" i="27" s="1"/>
  <c r="K5" i="29"/>
  <c r="H26" i="29"/>
  <c r="H27" i="29" s="1"/>
  <c r="I25" i="29"/>
  <c r="J19" i="29"/>
  <c r="K18" i="29"/>
  <c r="J20" i="29"/>
  <c r="I21" i="29"/>
  <c r="I22" i="29" s="1"/>
  <c r="W49" i="27" s="1"/>
  <c r="K33" i="29"/>
  <c r="K34" i="29"/>
  <c r="J35" i="29"/>
  <c r="J36" i="29" s="1"/>
  <c r="X69" i="27" s="1"/>
  <c r="G28" i="29"/>
  <c r="G29" i="29" s="1"/>
  <c r="U59" i="27" s="1"/>
  <c r="H12" i="29"/>
  <c r="H13" i="29" s="1"/>
  <c r="I11" i="29"/>
  <c r="G14" i="29"/>
  <c r="G15" i="29" s="1"/>
  <c r="U39" i="27" s="1"/>
  <c r="K19" i="29" l="1"/>
  <c r="K20" i="29" s="1"/>
  <c r="J21" i="29"/>
  <c r="J22" i="29" s="1"/>
  <c r="X49" i="27" s="1"/>
  <c r="H14" i="29"/>
  <c r="H15" i="29" s="1"/>
  <c r="V39" i="27" s="1"/>
  <c r="I26" i="29"/>
  <c r="I27" i="29" s="1"/>
  <c r="J25" i="29"/>
  <c r="H28" i="29"/>
  <c r="H29" i="29" s="1"/>
  <c r="V59" i="27" s="1"/>
  <c r="K35" i="29"/>
  <c r="K36" i="29" s="1"/>
  <c r="Y69" i="27" s="1"/>
  <c r="K6" i="29"/>
  <c r="K7" i="29" s="1"/>
  <c r="K8" i="29" s="1"/>
  <c r="Y29" i="27" s="1"/>
  <c r="I12" i="29"/>
  <c r="I13" i="29"/>
  <c r="J11" i="29"/>
  <c r="J26" i="29" l="1"/>
  <c r="J27" i="29" s="1"/>
  <c r="K25" i="29"/>
  <c r="J12" i="29"/>
  <c r="K11" i="29"/>
  <c r="J13" i="29"/>
  <c r="I28" i="29"/>
  <c r="I29" i="29" s="1"/>
  <c r="W59" i="27" s="1"/>
  <c r="I14" i="29"/>
  <c r="I15" i="29" s="1"/>
  <c r="W39" i="27" s="1"/>
  <c r="K21" i="29"/>
  <c r="K22" i="29" s="1"/>
  <c r="Y49" i="27" s="1"/>
  <c r="J14" i="29" l="1"/>
  <c r="J15" i="29" s="1"/>
  <c r="X39" i="27" s="1"/>
  <c r="K12" i="29"/>
  <c r="K26" i="29"/>
  <c r="K27" i="29" s="1"/>
  <c r="J28" i="29"/>
  <c r="J29" i="29" s="1"/>
  <c r="X59" i="27" s="1"/>
  <c r="K28" i="29" l="1"/>
  <c r="K29" i="29" s="1"/>
  <c r="Y59" i="27" s="1"/>
  <c r="K13" i="29"/>
  <c r="K14" i="29" s="1"/>
  <c r="K15" i="29" s="1"/>
  <c r="Y39" i="27" s="1"/>
  <c r="K11" i="28" l="1"/>
  <c r="E10" i="27" l="1"/>
  <c r="D10" i="27"/>
  <c r="C10" i="27"/>
  <c r="O69" i="28" l="1"/>
  <c r="Q28" i="27" s="1"/>
  <c r="Q30" i="27" s="1"/>
  <c r="P69" i="28"/>
  <c r="R28" i="27" s="1"/>
  <c r="R30" i="27" s="1"/>
  <c r="Q69" i="28"/>
  <c r="S28" i="27" s="1"/>
  <c r="S30" i="27" s="1"/>
  <c r="R69" i="28"/>
  <c r="T28" i="27" s="1"/>
  <c r="T30" i="27" s="1"/>
  <c r="S69" i="28"/>
  <c r="U28" i="27" s="1"/>
  <c r="U30" i="27" s="1"/>
  <c r="T69" i="28"/>
  <c r="V28" i="27" s="1"/>
  <c r="V30" i="27" s="1"/>
  <c r="U69" i="28"/>
  <c r="W28" i="27" s="1"/>
  <c r="W30" i="27" s="1"/>
  <c r="V69" i="28"/>
  <c r="X28" i="27" s="1"/>
  <c r="X30" i="27" s="1"/>
  <c r="W69" i="28"/>
  <c r="Y28" i="27" s="1"/>
  <c r="Y30" i="27" s="1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AW69" i="28"/>
  <c r="O70" i="28"/>
  <c r="Q38" i="27" s="1"/>
  <c r="Q40" i="27" s="1"/>
  <c r="P70" i="28"/>
  <c r="R38" i="27" s="1"/>
  <c r="R40" i="27" s="1"/>
  <c r="Q70" i="28"/>
  <c r="S38" i="27" s="1"/>
  <c r="S40" i="27" s="1"/>
  <c r="R70" i="28"/>
  <c r="T38" i="27" s="1"/>
  <c r="T40" i="27" s="1"/>
  <c r="S70" i="28"/>
  <c r="U38" i="27" s="1"/>
  <c r="U40" i="27" s="1"/>
  <c r="T70" i="28"/>
  <c r="V38" i="27" s="1"/>
  <c r="V40" i="27" s="1"/>
  <c r="U70" i="28"/>
  <c r="W38" i="27" s="1"/>
  <c r="W40" i="27" s="1"/>
  <c r="V70" i="28"/>
  <c r="X38" i="27" s="1"/>
  <c r="X40" i="27" s="1"/>
  <c r="W70" i="28"/>
  <c r="Y38" i="27" s="1"/>
  <c r="Y40" i="27" s="1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W70" i="28"/>
  <c r="O71" i="28"/>
  <c r="Q48" i="27" s="1"/>
  <c r="Q50" i="27" s="1"/>
  <c r="P71" i="28"/>
  <c r="R48" i="27" s="1"/>
  <c r="R50" i="27" s="1"/>
  <c r="Q71" i="28"/>
  <c r="S48" i="27" s="1"/>
  <c r="S50" i="27" s="1"/>
  <c r="R71" i="28"/>
  <c r="T48" i="27" s="1"/>
  <c r="T50" i="27" s="1"/>
  <c r="S71" i="28"/>
  <c r="U48" i="27" s="1"/>
  <c r="U50" i="27" s="1"/>
  <c r="T71" i="28"/>
  <c r="V48" i="27" s="1"/>
  <c r="V50" i="27" s="1"/>
  <c r="U71" i="28"/>
  <c r="W48" i="27" s="1"/>
  <c r="W50" i="27" s="1"/>
  <c r="V71" i="28"/>
  <c r="X48" i="27" s="1"/>
  <c r="X50" i="27" s="1"/>
  <c r="W71" i="28"/>
  <c r="Y48" i="27" s="1"/>
  <c r="Y50" i="27" s="1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AW71" i="28"/>
  <c r="O72" i="28"/>
  <c r="Q58" i="27" s="1"/>
  <c r="Q60" i="27" s="1"/>
  <c r="P72" i="28"/>
  <c r="R58" i="27" s="1"/>
  <c r="R60" i="27" s="1"/>
  <c r="Q72" i="28"/>
  <c r="S58" i="27" s="1"/>
  <c r="S60" i="27" s="1"/>
  <c r="R72" i="28"/>
  <c r="T58" i="27" s="1"/>
  <c r="T60" i="27" s="1"/>
  <c r="S72" i="28"/>
  <c r="U58" i="27" s="1"/>
  <c r="U60" i="27" s="1"/>
  <c r="T72" i="28"/>
  <c r="V58" i="27" s="1"/>
  <c r="V60" i="27" s="1"/>
  <c r="U72" i="28"/>
  <c r="W58" i="27" s="1"/>
  <c r="W60" i="27" s="1"/>
  <c r="V72" i="28"/>
  <c r="X58" i="27" s="1"/>
  <c r="X60" i="27" s="1"/>
  <c r="W72" i="28"/>
  <c r="Y58" i="27" s="1"/>
  <c r="Y60" i="27" s="1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AV72" i="28"/>
  <c r="AW72" i="28"/>
  <c r="O73" i="28"/>
  <c r="Q68" i="27" s="1"/>
  <c r="P73" i="28"/>
  <c r="R68" i="27" s="1"/>
  <c r="Q73" i="28"/>
  <c r="S68" i="27" s="1"/>
  <c r="R73" i="28"/>
  <c r="T68" i="27" s="1"/>
  <c r="S73" i="28"/>
  <c r="U68" i="27" s="1"/>
  <c r="T73" i="28"/>
  <c r="V68" i="27" s="1"/>
  <c r="U73" i="28"/>
  <c r="W68" i="27" s="1"/>
  <c r="V73" i="28"/>
  <c r="X68" i="27" s="1"/>
  <c r="W73" i="28"/>
  <c r="Y68" i="27" s="1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AV73" i="28"/>
  <c r="AW73" i="28"/>
  <c r="R17" i="27" l="1"/>
  <c r="Y17" i="27"/>
  <c r="Q17" i="27"/>
  <c r="T17" i="27"/>
  <c r="S17" i="27"/>
  <c r="W17" i="27"/>
  <c r="X17" i="27"/>
  <c r="V17" i="27"/>
  <c r="U17" i="27"/>
  <c r="AC68" i="27"/>
  <c r="AC69" i="27" s="1"/>
  <c r="AD68" i="27"/>
  <c r="AD69" i="27" s="1"/>
  <c r="AE68" i="27"/>
  <c r="AE69" i="27" s="1"/>
  <c r="AF68" i="27"/>
  <c r="AF69" i="27" s="1"/>
  <c r="AG68" i="27"/>
  <c r="AG69" i="27" s="1"/>
  <c r="AH68" i="27"/>
  <c r="AH69" i="27" s="1"/>
  <c r="AI68" i="27"/>
  <c r="AI69" i="27" s="1"/>
  <c r="AJ68" i="27"/>
  <c r="AJ69" i="27" s="1"/>
  <c r="AK68" i="27"/>
  <c r="AK69" i="27" s="1"/>
  <c r="AL68" i="27"/>
  <c r="AL69" i="27" s="1"/>
  <c r="AM68" i="27"/>
  <c r="AM69" i="27" s="1"/>
  <c r="AN68" i="27"/>
  <c r="AN69" i="27" s="1"/>
  <c r="AO68" i="27"/>
  <c r="AP68" i="27"/>
  <c r="AQ68" i="27"/>
  <c r="AR68" i="27"/>
  <c r="AS68" i="27"/>
  <c r="AT68" i="27"/>
  <c r="AU68" i="27"/>
  <c r="AV68" i="27"/>
  <c r="AW68" i="27"/>
  <c r="AC58" i="27"/>
  <c r="AC59" i="27" s="1"/>
  <c r="AD58" i="27"/>
  <c r="AD59" i="27" s="1"/>
  <c r="AE58" i="27"/>
  <c r="AE59" i="27" s="1"/>
  <c r="AF58" i="27"/>
  <c r="AF59" i="27" s="1"/>
  <c r="AG58" i="27"/>
  <c r="AG59" i="27" s="1"/>
  <c r="AH58" i="27"/>
  <c r="AH59" i="27" s="1"/>
  <c r="AI58" i="27"/>
  <c r="AI59" i="27" s="1"/>
  <c r="AJ58" i="27"/>
  <c r="AJ59" i="27" s="1"/>
  <c r="AK58" i="27"/>
  <c r="AK59" i="27" s="1"/>
  <c r="AL58" i="27"/>
  <c r="AL59" i="27" s="1"/>
  <c r="AM58" i="27"/>
  <c r="AM59" i="27" s="1"/>
  <c r="AN58" i="27"/>
  <c r="AN59" i="27" s="1"/>
  <c r="AO58" i="27"/>
  <c r="AP58" i="27"/>
  <c r="AQ58" i="27"/>
  <c r="AR58" i="27"/>
  <c r="AS58" i="27"/>
  <c r="AT58" i="27"/>
  <c r="AU58" i="27"/>
  <c r="AV58" i="27"/>
  <c r="AW58" i="27"/>
  <c r="AC48" i="27"/>
  <c r="AC49" i="27" s="1"/>
  <c r="AD48" i="27"/>
  <c r="AD49" i="27" s="1"/>
  <c r="AE48" i="27"/>
  <c r="AE49" i="27" s="1"/>
  <c r="AF48" i="27"/>
  <c r="AF49" i="27" s="1"/>
  <c r="AG48" i="27"/>
  <c r="AG49" i="27" s="1"/>
  <c r="AH48" i="27"/>
  <c r="AH49" i="27" s="1"/>
  <c r="AI48" i="27"/>
  <c r="AI49" i="27" s="1"/>
  <c r="AJ48" i="27"/>
  <c r="AJ49" i="27" s="1"/>
  <c r="AK48" i="27"/>
  <c r="AK49" i="27" s="1"/>
  <c r="AL48" i="27"/>
  <c r="AL49" i="27" s="1"/>
  <c r="AM48" i="27"/>
  <c r="AM49" i="27" s="1"/>
  <c r="AN48" i="27"/>
  <c r="AN49" i="27" s="1"/>
  <c r="AO48" i="27"/>
  <c r="AP48" i="27"/>
  <c r="AQ48" i="27"/>
  <c r="AR48" i="27"/>
  <c r="AS48" i="27"/>
  <c r="AT48" i="27"/>
  <c r="AU48" i="27"/>
  <c r="AV48" i="27"/>
  <c r="AW48" i="27"/>
  <c r="AC38" i="27"/>
  <c r="AC39" i="27" s="1"/>
  <c r="AD38" i="27"/>
  <c r="AD39" i="27" s="1"/>
  <c r="AE38" i="27"/>
  <c r="AE39" i="27" s="1"/>
  <c r="AF38" i="27"/>
  <c r="AF39" i="27" s="1"/>
  <c r="AG38" i="27"/>
  <c r="AG39" i="27" s="1"/>
  <c r="AH38" i="27"/>
  <c r="AH39" i="27" s="1"/>
  <c r="AI38" i="27"/>
  <c r="AI39" i="27" s="1"/>
  <c r="AJ38" i="27"/>
  <c r="AJ39" i="27" s="1"/>
  <c r="AK38" i="27"/>
  <c r="AK39" i="27" s="1"/>
  <c r="AL38" i="27"/>
  <c r="AL39" i="27" s="1"/>
  <c r="AM38" i="27"/>
  <c r="AM39" i="27" s="1"/>
  <c r="AN38" i="27"/>
  <c r="AN39" i="27" s="1"/>
  <c r="AO38" i="27"/>
  <c r="AP38" i="27"/>
  <c r="AQ38" i="27"/>
  <c r="AR38" i="27"/>
  <c r="AS38" i="27"/>
  <c r="AT38" i="27"/>
  <c r="AU38" i="27"/>
  <c r="AV38" i="27"/>
  <c r="AW38" i="27"/>
  <c r="X18" i="27" l="1"/>
  <c r="X70" i="27"/>
  <c r="X19" i="27" s="1"/>
  <c r="Q18" i="27"/>
  <c r="Q70" i="27"/>
  <c r="Q19" i="27" s="1"/>
  <c r="W70" i="27"/>
  <c r="W19" i="27" s="1"/>
  <c r="W18" i="27"/>
  <c r="Y70" i="27"/>
  <c r="Y19" i="27" s="1"/>
  <c r="Y18" i="27"/>
  <c r="V18" i="27"/>
  <c r="V70" i="27"/>
  <c r="V19" i="27" s="1"/>
  <c r="U18" i="27"/>
  <c r="U70" i="27"/>
  <c r="U19" i="27" s="1"/>
  <c r="S18" i="27"/>
  <c r="S70" i="27"/>
  <c r="S19" i="27" s="1"/>
  <c r="R18" i="27"/>
  <c r="R70" i="27"/>
  <c r="R19" i="27" s="1"/>
  <c r="T18" i="27"/>
  <c r="T70" i="27"/>
  <c r="T19" i="27" s="1"/>
  <c r="AC28" i="27"/>
  <c r="AC29" i="27" s="1"/>
  <c r="AD28" i="27"/>
  <c r="AD29" i="27" s="1"/>
  <c r="AE28" i="27"/>
  <c r="AE29" i="27" s="1"/>
  <c r="AF28" i="27"/>
  <c r="AF29" i="27" s="1"/>
  <c r="AG28" i="27"/>
  <c r="AG29" i="27" s="1"/>
  <c r="AH28" i="27"/>
  <c r="AH29" i="27" s="1"/>
  <c r="AI28" i="27"/>
  <c r="AI29" i="27" s="1"/>
  <c r="AJ28" i="27"/>
  <c r="AJ29" i="27" s="1"/>
  <c r="AK28" i="27"/>
  <c r="AK29" i="27" s="1"/>
  <c r="AL28" i="27"/>
  <c r="AL29" i="27" s="1"/>
  <c r="AM28" i="27"/>
  <c r="AM29" i="27" s="1"/>
  <c r="AN28" i="27"/>
  <c r="AN29" i="27" s="1"/>
  <c r="AO28" i="27"/>
  <c r="AP28" i="27"/>
  <c r="AQ28" i="27"/>
  <c r="AR28" i="27"/>
  <c r="AS28" i="27"/>
  <c r="AT28" i="27"/>
  <c r="AU28" i="27"/>
  <c r="AV28" i="27"/>
  <c r="AW28" i="27"/>
  <c r="AO67" i="27"/>
  <c r="AP67" i="27"/>
  <c r="AQ67" i="27"/>
  <c r="AR67" i="27"/>
  <c r="AS67" i="27"/>
  <c r="AT67" i="27"/>
  <c r="AU67" i="27"/>
  <c r="AV67" i="27"/>
  <c r="AW67" i="27"/>
  <c r="AO57" i="27"/>
  <c r="AP57" i="27"/>
  <c r="AQ57" i="27"/>
  <c r="AR57" i="27"/>
  <c r="AS57" i="27"/>
  <c r="AT57" i="27"/>
  <c r="AU57" i="27"/>
  <c r="AV57" i="27"/>
  <c r="AW57" i="27"/>
  <c r="AO47" i="27"/>
  <c r="AP47" i="27"/>
  <c r="AQ47" i="27"/>
  <c r="AR47" i="27"/>
  <c r="AS47" i="27"/>
  <c r="AT47" i="27"/>
  <c r="AU47" i="27"/>
  <c r="AV47" i="27"/>
  <c r="AW47" i="27"/>
  <c r="AO37" i="27"/>
  <c r="AP37" i="27"/>
  <c r="AQ37" i="27"/>
  <c r="AR37" i="27"/>
  <c r="AS37" i="27"/>
  <c r="AT37" i="27"/>
  <c r="AU37" i="27"/>
  <c r="AV37" i="27"/>
  <c r="AW37" i="27"/>
  <c r="AO27" i="27"/>
  <c r="AP27" i="27"/>
  <c r="AQ27" i="27"/>
  <c r="AR27" i="27"/>
  <c r="AS27" i="27"/>
  <c r="AT27" i="27"/>
  <c r="AU27" i="27"/>
  <c r="AV27" i="27"/>
  <c r="AW27" i="27"/>
  <c r="E14" i="28"/>
  <c r="AR74" i="28"/>
  <c r="AQ74" i="28"/>
  <c r="AU74" i="28"/>
  <c r="AP74" i="28"/>
  <c r="AT74" i="28"/>
  <c r="AO74" i="28"/>
  <c r="AS74" i="28"/>
  <c r="AW74" i="28"/>
  <c r="AV74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W61" i="28"/>
  <c r="AW66" i="28" s="1"/>
  <c r="AV61" i="28"/>
  <c r="AU61" i="28"/>
  <c r="AT61" i="28"/>
  <c r="AS61" i="28"/>
  <c r="AS66" i="28" s="1"/>
  <c r="AR61" i="28"/>
  <c r="AQ61" i="28"/>
  <c r="AP61" i="28"/>
  <c r="AO61" i="28"/>
  <c r="AO66" i="28" s="1"/>
  <c r="AN61" i="28"/>
  <c r="AM61" i="28"/>
  <c r="AL61" i="28"/>
  <c r="AK61" i="28"/>
  <c r="AJ61" i="28"/>
  <c r="AI61" i="28"/>
  <c r="AH61" i="28"/>
  <c r="AG61" i="28"/>
  <c r="AF61" i="28"/>
  <c r="AE61" i="28"/>
  <c r="AD61" i="28"/>
  <c r="AC61" i="28"/>
  <c r="AB61" i="28"/>
  <c r="AA61" i="28"/>
  <c r="Z61" i="28"/>
  <c r="Y61" i="28"/>
  <c r="W61" i="28"/>
  <c r="V61" i="28"/>
  <c r="V66" i="28" s="1"/>
  <c r="U61" i="28"/>
  <c r="U66" i="28" s="1"/>
  <c r="T61" i="28"/>
  <c r="S61" i="28"/>
  <c r="R61" i="28"/>
  <c r="Q61" i="28"/>
  <c r="P61" i="28"/>
  <c r="O61" i="28"/>
  <c r="N61" i="28"/>
  <c r="M61" i="28"/>
  <c r="L61" i="28"/>
  <c r="K61" i="28"/>
  <c r="J61" i="28"/>
  <c r="I61" i="28"/>
  <c r="H61" i="28"/>
  <c r="G61" i="28"/>
  <c r="F61" i="28"/>
  <c r="E61" i="28"/>
  <c r="D61" i="28"/>
  <c r="AW56" i="28"/>
  <c r="AV56" i="28"/>
  <c r="AU56" i="28"/>
  <c r="AT56" i="28"/>
  <c r="AS56" i="28"/>
  <c r="AR56" i="28"/>
  <c r="AQ56" i="28"/>
  <c r="AP56" i="28"/>
  <c r="AO56" i="28"/>
  <c r="AN56" i="28"/>
  <c r="AM56" i="28"/>
  <c r="AL56" i="28"/>
  <c r="AK56" i="28"/>
  <c r="AJ56" i="28"/>
  <c r="AI56" i="28"/>
  <c r="AH56" i="28"/>
  <c r="AG56" i="28"/>
  <c r="AF56" i="28"/>
  <c r="AE56" i="28"/>
  <c r="AD56" i="28"/>
  <c r="AC56" i="28"/>
  <c r="AB56" i="28"/>
  <c r="AA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L33" i="28" s="1"/>
  <c r="AN47" i="27" s="1"/>
  <c r="AK28" i="28"/>
  <c r="AJ28" i="28"/>
  <c r="AJ35" i="28" s="1"/>
  <c r="AL67" i="27" s="1"/>
  <c r="AI28" i="28"/>
  <c r="AI35" i="28" s="1"/>
  <c r="AK67" i="27" s="1"/>
  <c r="AH28" i="28"/>
  <c r="AH35" i="28" s="1"/>
  <c r="AJ67" i="27" s="1"/>
  <c r="AG28" i="28"/>
  <c r="AF28" i="28"/>
  <c r="AF34" i="28" s="1"/>
  <c r="AH57" i="27" s="1"/>
  <c r="AE28" i="28"/>
  <c r="AE35" i="28" s="1"/>
  <c r="AG67" i="27" s="1"/>
  <c r="AD28" i="28"/>
  <c r="AD33" i="28" s="1"/>
  <c r="AF47" i="27" s="1"/>
  <c r="AC28" i="28"/>
  <c r="AB28" i="28"/>
  <c r="AA28" i="28"/>
  <c r="AA33" i="28" s="1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AW35" i="28"/>
  <c r="AV35" i="28"/>
  <c r="AU35" i="28"/>
  <c r="AT35" i="28"/>
  <c r="AS35" i="28"/>
  <c r="AR35" i="28"/>
  <c r="AQ35" i="28"/>
  <c r="AP35" i="28"/>
  <c r="AO35" i="28"/>
  <c r="AN35" i="28"/>
  <c r="AM35" i="28"/>
  <c r="AB35" i="28"/>
  <c r="AD67" i="27" s="1"/>
  <c r="W18" i="28"/>
  <c r="V18" i="28"/>
  <c r="U18" i="28"/>
  <c r="T18" i="28"/>
  <c r="S18" i="28"/>
  <c r="S35" i="28" s="1"/>
  <c r="U67" i="27" s="1"/>
  <c r="R18" i="28"/>
  <c r="R35" i="28" s="1"/>
  <c r="T67" i="27" s="1"/>
  <c r="Q18" i="28"/>
  <c r="P18" i="28"/>
  <c r="O18" i="28"/>
  <c r="O35" i="28" s="1"/>
  <c r="Q67" i="27" s="1"/>
  <c r="N18" i="28"/>
  <c r="M18" i="28"/>
  <c r="L18" i="28"/>
  <c r="K18" i="28"/>
  <c r="J18" i="28"/>
  <c r="I18" i="28"/>
  <c r="H18" i="28"/>
  <c r="G18" i="28"/>
  <c r="F18" i="28"/>
  <c r="E18" i="28"/>
  <c r="D18" i="28"/>
  <c r="AW34" i="28"/>
  <c r="AV34" i="28"/>
  <c r="AU34" i="28"/>
  <c r="AT34" i="28"/>
  <c r="AS34" i="28"/>
  <c r="AR34" i="28"/>
  <c r="AQ34" i="28"/>
  <c r="AP34" i="28"/>
  <c r="AO34" i="28"/>
  <c r="AN34" i="28"/>
  <c r="AM34" i="28"/>
  <c r="AJ34" i="28"/>
  <c r="AL57" i="27" s="1"/>
  <c r="AI34" i="28"/>
  <c r="AK57" i="27" s="1"/>
  <c r="AB34" i="28"/>
  <c r="AD57" i="27" s="1"/>
  <c r="W17" i="28"/>
  <c r="V17" i="28"/>
  <c r="U17" i="28"/>
  <c r="T17" i="28"/>
  <c r="S17" i="28"/>
  <c r="S34" i="28" s="1"/>
  <c r="U57" i="27" s="1"/>
  <c r="U61" i="27" s="1"/>
  <c r="R17" i="28"/>
  <c r="R34" i="28" s="1"/>
  <c r="T57" i="27" s="1"/>
  <c r="T61" i="27" s="1"/>
  <c r="Q17" i="28"/>
  <c r="P17" i="28"/>
  <c r="P34" i="28" s="1"/>
  <c r="R57" i="27" s="1"/>
  <c r="R61" i="27" s="1"/>
  <c r="O17" i="28"/>
  <c r="N17" i="28"/>
  <c r="N34" i="28" s="1"/>
  <c r="P57" i="27" s="1"/>
  <c r="M17" i="28"/>
  <c r="L17" i="28"/>
  <c r="K17" i="28"/>
  <c r="K34" i="28" s="1"/>
  <c r="M57" i="27" s="1"/>
  <c r="J17" i="28"/>
  <c r="J34" i="28" s="1"/>
  <c r="L57" i="27" s="1"/>
  <c r="I17" i="28"/>
  <c r="H17" i="28"/>
  <c r="H34" i="28" s="1"/>
  <c r="J57" i="27" s="1"/>
  <c r="G17" i="28"/>
  <c r="G34" i="28" s="1"/>
  <c r="I57" i="27" s="1"/>
  <c r="F17" i="28"/>
  <c r="F34" i="28" s="1"/>
  <c r="H57" i="27" s="1"/>
  <c r="E17" i="28"/>
  <c r="D17" i="28"/>
  <c r="AW33" i="28"/>
  <c r="AV33" i="28"/>
  <c r="AU33" i="28"/>
  <c r="AT33" i="28"/>
  <c r="AS33" i="28"/>
  <c r="AR33" i="28"/>
  <c r="AQ33" i="28"/>
  <c r="AP33" i="28"/>
  <c r="AO33" i="28"/>
  <c r="AN33" i="28"/>
  <c r="AM33" i="28"/>
  <c r="AJ33" i="28"/>
  <c r="AL47" i="27" s="1"/>
  <c r="AI33" i="28"/>
  <c r="AK47" i="27" s="1"/>
  <c r="AB33" i="28"/>
  <c r="AD47" i="27" s="1"/>
  <c r="W16" i="28"/>
  <c r="W33" i="28" s="1"/>
  <c r="Y47" i="27" s="1"/>
  <c r="Y51" i="27" s="1"/>
  <c r="V16" i="28"/>
  <c r="V33" i="28" s="1"/>
  <c r="X47" i="27" s="1"/>
  <c r="X51" i="27" s="1"/>
  <c r="U16" i="28"/>
  <c r="T16" i="28"/>
  <c r="S16" i="28"/>
  <c r="S33" i="28" s="1"/>
  <c r="U47" i="27" s="1"/>
  <c r="U51" i="27" s="1"/>
  <c r="R16" i="28"/>
  <c r="Q16" i="28"/>
  <c r="P16" i="28"/>
  <c r="O16" i="28"/>
  <c r="O33" i="28" s="1"/>
  <c r="Q47" i="27" s="1"/>
  <c r="Q51" i="27" s="1"/>
  <c r="N16" i="28"/>
  <c r="N33" i="28" s="1"/>
  <c r="P47" i="27" s="1"/>
  <c r="M16" i="28"/>
  <c r="L16" i="28"/>
  <c r="K16" i="28"/>
  <c r="J16" i="28"/>
  <c r="I16" i="28"/>
  <c r="H16" i="28"/>
  <c r="G16" i="28"/>
  <c r="G33" i="28" s="1"/>
  <c r="I47" i="27" s="1"/>
  <c r="F16" i="28"/>
  <c r="E16" i="28"/>
  <c r="D16" i="28"/>
  <c r="AW32" i="28"/>
  <c r="AV32" i="28"/>
  <c r="AU32" i="28"/>
  <c r="AT32" i="28"/>
  <c r="AS32" i="28"/>
  <c r="AR32" i="28"/>
  <c r="AQ32" i="28"/>
  <c r="AP32" i="28"/>
  <c r="AO32" i="28"/>
  <c r="AN32" i="28"/>
  <c r="AM32" i="28"/>
  <c r="AJ32" i="28"/>
  <c r="AL37" i="27" s="1"/>
  <c r="AI32" i="28"/>
  <c r="AK37" i="27" s="1"/>
  <c r="AF32" i="28"/>
  <c r="AH37" i="27" s="1"/>
  <c r="AB32" i="28"/>
  <c r="AD37" i="27" s="1"/>
  <c r="W15" i="28"/>
  <c r="V15" i="28"/>
  <c r="U15" i="28"/>
  <c r="T15" i="28"/>
  <c r="S15" i="28"/>
  <c r="S32" i="28" s="1"/>
  <c r="U37" i="27" s="1"/>
  <c r="U41" i="27" s="1"/>
  <c r="R15" i="28"/>
  <c r="R32" i="28" s="1"/>
  <c r="T37" i="27" s="1"/>
  <c r="T41" i="27" s="1"/>
  <c r="Q15" i="28"/>
  <c r="P15" i="28"/>
  <c r="O15" i="28"/>
  <c r="O32" i="28" s="1"/>
  <c r="Q37" i="27" s="1"/>
  <c r="Q41" i="27" s="1"/>
  <c r="N15" i="28"/>
  <c r="N32" i="28" s="1"/>
  <c r="P37" i="27" s="1"/>
  <c r="M15" i="28"/>
  <c r="L15" i="28"/>
  <c r="L32" i="28" s="1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D32" i="28" s="1"/>
  <c r="F37" i="27" s="1"/>
  <c r="AU31" i="28"/>
  <c r="AU36" i="28" s="1"/>
  <c r="AT31" i="28"/>
  <c r="AQ31" i="28"/>
  <c r="AQ36" i="28" s="1"/>
  <c r="AP31" i="28"/>
  <c r="AN31" i="28"/>
  <c r="AM31" i="28"/>
  <c r="AJ31" i="28"/>
  <c r="AL27" i="27" s="1"/>
  <c r="AI20" i="28"/>
  <c r="AH31" i="28"/>
  <c r="AJ27" i="27" s="1"/>
  <c r="AF31" i="28"/>
  <c r="AH27" i="27" s="1"/>
  <c r="AE20" i="28"/>
  <c r="AD20" i="28"/>
  <c r="AB31" i="28"/>
  <c r="AD27" i="27" s="1"/>
  <c r="AA20" i="28"/>
  <c r="Z20" i="28"/>
  <c r="W14" i="28"/>
  <c r="W31" i="28" s="1"/>
  <c r="Y27" i="27" s="1"/>
  <c r="Y31" i="27" s="1"/>
  <c r="V14" i="28"/>
  <c r="V31" i="28" s="1"/>
  <c r="X27" i="27" s="1"/>
  <c r="X31" i="27" s="1"/>
  <c r="U14" i="28"/>
  <c r="T14" i="28"/>
  <c r="S14" i="28"/>
  <c r="S20" i="28" s="1"/>
  <c r="R14" i="28"/>
  <c r="R31" i="28" s="1"/>
  <c r="T27" i="27" s="1"/>
  <c r="T31" i="27" s="1"/>
  <c r="Q14" i="28"/>
  <c r="P14" i="28"/>
  <c r="O14" i="28"/>
  <c r="O20" i="28" s="1"/>
  <c r="N14" i="28"/>
  <c r="M14" i="28"/>
  <c r="L14" i="28"/>
  <c r="K14" i="28"/>
  <c r="J14" i="28"/>
  <c r="J31" i="28" s="1"/>
  <c r="I14" i="28"/>
  <c r="H14" i="28"/>
  <c r="H31" i="28" s="1"/>
  <c r="J27" i="27" s="1"/>
  <c r="G14" i="28"/>
  <c r="G31" i="28" s="1"/>
  <c r="I27" i="27" s="1"/>
  <c r="F14" i="28"/>
  <c r="D14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AL31" i="28" l="1"/>
  <c r="AN27" i="27" s="1"/>
  <c r="AA35" i="28"/>
  <c r="AF35" i="28"/>
  <c r="AH67" i="27" s="1"/>
  <c r="AF33" i="28"/>
  <c r="AH47" i="27" s="1"/>
  <c r="AE33" i="28"/>
  <c r="AG47" i="27" s="1"/>
  <c r="X34" i="28"/>
  <c r="X33" i="28"/>
  <c r="Z47" i="27" s="1"/>
  <c r="X32" i="28"/>
  <c r="Z37" i="27" s="1"/>
  <c r="X31" i="28"/>
  <c r="X35" i="28"/>
  <c r="Z67" i="27" s="1"/>
  <c r="Y31" i="28"/>
  <c r="Y34" i="28"/>
  <c r="AA57" i="27" s="1"/>
  <c r="Y35" i="28"/>
  <c r="AA67" i="27" s="1"/>
  <c r="Y32" i="28"/>
  <c r="Y33" i="28"/>
  <c r="Z33" i="28"/>
  <c r="AB47" i="27" s="1"/>
  <c r="Z32" i="28"/>
  <c r="Z31" i="28"/>
  <c r="Z35" i="28"/>
  <c r="Z34" i="28"/>
  <c r="AB57" i="27" s="1"/>
  <c r="AC66" i="28"/>
  <c r="AK66" i="28"/>
  <c r="AG66" i="28"/>
  <c r="AH66" i="28"/>
  <c r="AC67" i="27"/>
  <c r="AC47" i="27"/>
  <c r="Y66" i="28"/>
  <c r="AB67" i="27"/>
  <c r="M66" i="28"/>
  <c r="M70" i="28" s="1"/>
  <c r="O38" i="27" s="1"/>
  <c r="O39" i="27" s="1"/>
  <c r="O40" i="27" s="1"/>
  <c r="M69" i="28"/>
  <c r="O28" i="27" s="1"/>
  <c r="O29" i="27" s="1"/>
  <c r="O30" i="27" s="1"/>
  <c r="M73" i="28"/>
  <c r="O68" i="27" s="1"/>
  <c r="M72" i="28"/>
  <c r="O58" i="27" s="1"/>
  <c r="O59" i="27" s="1"/>
  <c r="O60" i="27" s="1"/>
  <c r="P32" i="28"/>
  <c r="R37" i="27" s="1"/>
  <c r="R41" i="27" s="1"/>
  <c r="Q66" i="28"/>
  <c r="M71" i="28"/>
  <c r="O48" i="27" s="1"/>
  <c r="O49" i="27" s="1"/>
  <c r="O50" i="27" s="1"/>
  <c r="R66" i="28"/>
  <c r="L70" i="28"/>
  <c r="N38" i="27" s="1"/>
  <c r="N39" i="27" s="1"/>
  <c r="N40" i="27" s="1"/>
  <c r="Z57" i="27"/>
  <c r="T71" i="27"/>
  <c r="U71" i="27"/>
  <c r="N20" i="28"/>
  <c r="L34" i="28"/>
  <c r="Q71" i="27"/>
  <c r="W35" i="28"/>
  <c r="Y67" i="27" s="1"/>
  <c r="N37" i="27"/>
  <c r="O34" i="28"/>
  <c r="Q57" i="27" s="1"/>
  <c r="Q61" i="27" s="1"/>
  <c r="L31" i="28"/>
  <c r="L33" i="28"/>
  <c r="P33" i="28"/>
  <c r="R47" i="27" s="1"/>
  <c r="R51" i="27" s="1"/>
  <c r="L35" i="28"/>
  <c r="P35" i="28"/>
  <c r="R67" i="27" s="1"/>
  <c r="P31" i="28"/>
  <c r="R27" i="27" s="1"/>
  <c r="R31" i="27" s="1"/>
  <c r="AQ66" i="28"/>
  <c r="AU66" i="28"/>
  <c r="H33" i="28"/>
  <c r="J47" i="27" s="1"/>
  <c r="H35" i="28"/>
  <c r="J67" i="27" s="1"/>
  <c r="AR66" i="28"/>
  <c r="AV66" i="28"/>
  <c r="AP36" i="28"/>
  <c r="AP66" i="28"/>
  <c r="AT66" i="28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U31" i="27" s="1"/>
  <c r="W32" i="28"/>
  <c r="Y37" i="27" s="1"/>
  <c r="Y41" i="27" s="1"/>
  <c r="AA32" i="28"/>
  <c r="AE32" i="28"/>
  <c r="AG37" i="27" s="1"/>
  <c r="W34" i="28"/>
  <c r="Y57" i="27" s="1"/>
  <c r="Y61" i="27" s="1"/>
  <c r="AA34" i="28"/>
  <c r="AE34" i="28"/>
  <c r="AG57" i="27" s="1"/>
  <c r="U32" i="28"/>
  <c r="W37" i="27" s="1"/>
  <c r="W41" i="27" s="1"/>
  <c r="D20" i="28"/>
  <c r="D34" i="28"/>
  <c r="F57" i="27" s="1"/>
  <c r="D35" i="28"/>
  <c r="F66" i="28"/>
  <c r="F72" i="28" s="1"/>
  <c r="H58" i="27" s="1"/>
  <c r="H59" i="27" s="1"/>
  <c r="H60" i="27" s="1"/>
  <c r="AL66" i="28"/>
  <c r="AM3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L71" i="28" s="1"/>
  <c r="N48" i="27" s="1"/>
  <c r="N49" i="27" s="1"/>
  <c r="N50" i="27" s="1"/>
  <c r="P66" i="28"/>
  <c r="T66" i="28"/>
  <c r="X66" i="28"/>
  <c r="AB66" i="28"/>
  <c r="AF66" i="28"/>
  <c r="AJ66" i="28"/>
  <c r="AN66" i="28"/>
  <c r="J66" i="28"/>
  <c r="J72" i="28" s="1"/>
  <c r="L58" i="27" s="1"/>
  <c r="L59" i="27" s="1"/>
  <c r="L60" i="27" s="1"/>
  <c r="N66" i="28"/>
  <c r="N69" i="28" s="1"/>
  <c r="P28" i="27" s="1"/>
  <c r="P29" i="27" s="1"/>
  <c r="P30" i="27" s="1"/>
  <c r="Z66" i="28"/>
  <c r="AD66" i="28"/>
  <c r="AL35" i="28"/>
  <c r="AN67" i="27" s="1"/>
  <c r="G36" i="28"/>
  <c r="AJ20" i="28"/>
  <c r="AD35" i="28"/>
  <c r="AF67" i="27" s="1"/>
  <c r="F35" i="28"/>
  <c r="H67" i="27" s="1"/>
  <c r="N35" i="28"/>
  <c r="P67" i="27" s="1"/>
  <c r="R33" i="28"/>
  <c r="T47" i="27" s="1"/>
  <c r="T51" i="27" s="1"/>
  <c r="AI31" i="28"/>
  <c r="V35" i="28"/>
  <c r="X67" i="27" s="1"/>
  <c r="AH33" i="28"/>
  <c r="AJ47" i="27" s="1"/>
  <c r="E20" i="28"/>
  <c r="M20" i="28"/>
  <c r="Q20" i="28"/>
  <c r="Y20" i="28"/>
  <c r="AC20" i="28"/>
  <c r="AK20" i="28"/>
  <c r="E32" i="28"/>
  <c r="G37" i="27" s="1"/>
  <c r="AK32" i="28"/>
  <c r="AM37" i="27" s="1"/>
  <c r="I32" i="28"/>
  <c r="K37" i="27" s="1"/>
  <c r="M32" i="28"/>
  <c r="O37" i="27" s="1"/>
  <c r="Q32" i="28"/>
  <c r="S37" i="27" s="1"/>
  <c r="S41" i="27" s="1"/>
  <c r="AA37" i="27"/>
  <c r="AC32" i="28"/>
  <c r="AE37" i="27" s="1"/>
  <c r="AG32" i="28"/>
  <c r="AI37" i="27" s="1"/>
  <c r="E34" i="28"/>
  <c r="G57" i="27" s="1"/>
  <c r="I34" i="28"/>
  <c r="K57" i="27" s="1"/>
  <c r="M34" i="28"/>
  <c r="O57" i="27" s="1"/>
  <c r="Q34" i="28"/>
  <c r="S57" i="27" s="1"/>
  <c r="S61" i="27" s="1"/>
  <c r="U34" i="28"/>
  <c r="W57" i="27" s="1"/>
  <c r="W61" i="27" s="1"/>
  <c r="AC34" i="28"/>
  <c r="AE57" i="27" s="1"/>
  <c r="AG34" i="28"/>
  <c r="AI57" i="27" s="1"/>
  <c r="AK34" i="28"/>
  <c r="AM57" i="27" s="1"/>
  <c r="H20" i="28"/>
  <c r="AN20" i="28"/>
  <c r="AD31" i="28"/>
  <c r="AF27" i="27" s="1"/>
  <c r="AF36" i="28"/>
  <c r="AJ36" i="28"/>
  <c r="AR31" i="28"/>
  <c r="AR36" i="28" s="1"/>
  <c r="AR20" i="28"/>
  <c r="V32" i="28"/>
  <c r="X37" i="27" s="1"/>
  <c r="X41" i="27" s="1"/>
  <c r="AD32" i="28"/>
  <c r="AF37" i="27" s="1"/>
  <c r="AH34" i="28"/>
  <c r="AJ57" i="27" s="1"/>
  <c r="L20" i="28"/>
  <c r="AB20" i="28"/>
  <c r="AT20" i="28"/>
  <c r="N31" i="28"/>
  <c r="P27" i="27" s="1"/>
  <c r="AB36" i="28"/>
  <c r="AN36" i="28"/>
  <c r="AV31" i="28"/>
  <c r="AV36" i="28" s="1"/>
  <c r="AV20" i="28"/>
  <c r="AB37" i="27"/>
  <c r="AH32" i="28"/>
  <c r="AJ37" i="27" s="1"/>
  <c r="AL32" i="28"/>
  <c r="AN37" i="27" s="1"/>
  <c r="V34" i="28"/>
  <c r="X57" i="27" s="1"/>
  <c r="X61" i="27" s="1"/>
  <c r="AD34" i="28"/>
  <c r="AF57" i="27" s="1"/>
  <c r="AL34" i="28"/>
  <c r="AN57" i="27" s="1"/>
  <c r="P20" i="28"/>
  <c r="AF20" i="28"/>
  <c r="S36" i="28"/>
  <c r="AT36" i="28"/>
  <c r="I31" i="28"/>
  <c r="K27" i="27" s="1"/>
  <c r="U31" i="28"/>
  <c r="W27" i="27" s="1"/>
  <c r="W31" i="27" s="1"/>
  <c r="AG31" i="28"/>
  <c r="AI27" i="27" s="1"/>
  <c r="AS31" i="28"/>
  <c r="AS36" i="28" s="1"/>
  <c r="AS20" i="28"/>
  <c r="E33" i="28"/>
  <c r="G47" i="27" s="1"/>
  <c r="I33" i="28"/>
  <c r="K47" i="27" s="1"/>
  <c r="M33" i="28"/>
  <c r="O47" i="27" s="1"/>
  <c r="O51" i="27" s="1"/>
  <c r="Q33" i="28"/>
  <c r="S47" i="27" s="1"/>
  <c r="S51" i="27" s="1"/>
  <c r="U33" i="28"/>
  <c r="W47" i="27" s="1"/>
  <c r="W51" i="27" s="1"/>
  <c r="AA47" i="27"/>
  <c r="AC33" i="28"/>
  <c r="AE47" i="27" s="1"/>
  <c r="AG33" i="28"/>
  <c r="AI47" i="27" s="1"/>
  <c r="AK33" i="28"/>
  <c r="AM47" i="27" s="1"/>
  <c r="E35" i="28"/>
  <c r="G67" i="27" s="1"/>
  <c r="I35" i="28"/>
  <c r="K67" i="27" s="1"/>
  <c r="M35" i="28"/>
  <c r="O67" i="27" s="1"/>
  <c r="Q35" i="28"/>
  <c r="S67" i="27" s="1"/>
  <c r="U35" i="28"/>
  <c r="W67" i="27" s="1"/>
  <c r="AC35" i="28"/>
  <c r="AE67" i="27" s="1"/>
  <c r="AG35" i="28"/>
  <c r="AI67" i="27" s="1"/>
  <c r="AK35" i="28"/>
  <c r="AM67" i="27" s="1"/>
  <c r="I20" i="28"/>
  <c r="U20" i="28"/>
  <c r="AG20" i="28"/>
  <c r="AP20" i="28"/>
  <c r="AU20" i="28"/>
  <c r="L27" i="27"/>
  <c r="O31" i="28"/>
  <c r="Q27" i="27" s="1"/>
  <c r="Q31" i="27" s="1"/>
  <c r="AB27" i="27"/>
  <c r="AE31" i="28"/>
  <c r="AG27" i="27" s="1"/>
  <c r="E31" i="28"/>
  <c r="G27" i="27" s="1"/>
  <c r="M31" i="28"/>
  <c r="O27" i="27" s="1"/>
  <c r="O31" i="27" s="1"/>
  <c r="AC31" i="28"/>
  <c r="AE27" i="27" s="1"/>
  <c r="AO31" i="28"/>
  <c r="AO36" i="28" s="1"/>
  <c r="AO20" i="28"/>
  <c r="T11" i="28"/>
  <c r="T19" i="28"/>
  <c r="T32" i="28" s="1"/>
  <c r="V37" i="27" s="1"/>
  <c r="V41" i="27" s="1"/>
  <c r="F20" i="28"/>
  <c r="R20" i="28"/>
  <c r="V20" i="28"/>
  <c r="AH20" i="28"/>
  <c r="AL20" i="28"/>
  <c r="AQ20" i="28"/>
  <c r="K31" i="28"/>
  <c r="M27" i="27" s="1"/>
  <c r="AA31" i="28"/>
  <c r="Q31" i="28"/>
  <c r="S27" i="27" s="1"/>
  <c r="S31" i="27" s="1"/>
  <c r="AA27" i="27"/>
  <c r="AK31" i="28"/>
  <c r="AM27" i="27" s="1"/>
  <c r="AW31" i="28"/>
  <c r="AW36" i="28" s="1"/>
  <c r="AW20" i="28"/>
  <c r="G20" i="28"/>
  <c r="W20" i="28"/>
  <c r="AM20" i="28"/>
  <c r="Q56" i="28"/>
  <c r="P74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S66" i="28"/>
  <c r="W66" i="28"/>
  <c r="AA66" i="28"/>
  <c r="AE66" i="28"/>
  <c r="AI66" i="28"/>
  <c r="AM66" i="28"/>
  <c r="X36" i="28" l="1"/>
  <c r="AI36" i="28"/>
  <c r="AK27" i="27"/>
  <c r="Z40" i="28"/>
  <c r="AL41" i="28"/>
  <c r="AL43" i="28"/>
  <c r="O61" i="27"/>
  <c r="AC37" i="27"/>
  <c r="AL40" i="28"/>
  <c r="Z43" i="28"/>
  <c r="Z39" i="28"/>
  <c r="Z41" i="28"/>
  <c r="AC57" i="27"/>
  <c r="AL42" i="28"/>
  <c r="AC27" i="27"/>
  <c r="AL39" i="28"/>
  <c r="Z42" i="28"/>
  <c r="P31" i="27"/>
  <c r="L73" i="28"/>
  <c r="N68" i="27" s="1"/>
  <c r="O17" i="27"/>
  <c r="O69" i="27"/>
  <c r="N70" i="28"/>
  <c r="P38" i="27" s="1"/>
  <c r="P39" i="27" s="1"/>
  <c r="P40" i="27" s="1"/>
  <c r="P41" i="27" s="1"/>
  <c r="L69" i="28"/>
  <c r="N73" i="28"/>
  <c r="P68" i="27" s="1"/>
  <c r="P36" i="28"/>
  <c r="N72" i="28"/>
  <c r="P58" i="27" s="1"/>
  <c r="P59" i="27" s="1"/>
  <c r="P60" i="27" s="1"/>
  <c r="P61" i="27" s="1"/>
  <c r="L72" i="28"/>
  <c r="N58" i="27" s="1"/>
  <c r="N59" i="27" s="1"/>
  <c r="N60" i="27" s="1"/>
  <c r="O41" i="27"/>
  <c r="N41" i="27"/>
  <c r="N71" i="28"/>
  <c r="P48" i="27" s="1"/>
  <c r="P49" i="27" s="1"/>
  <c r="P50" i="27" s="1"/>
  <c r="P51" i="27" s="1"/>
  <c r="P16" i="27"/>
  <c r="Q20" i="27"/>
  <c r="Q16" i="27"/>
  <c r="Q15" i="27" s="1"/>
  <c r="W40" i="28"/>
  <c r="N57" i="27"/>
  <c r="U20" i="27"/>
  <c r="W16" i="27"/>
  <c r="W71" i="27"/>
  <c r="R16" i="27"/>
  <c r="R71" i="27"/>
  <c r="U16" i="27"/>
  <c r="S16" i="27"/>
  <c r="S71" i="27"/>
  <c r="N67" i="27"/>
  <c r="T20" i="27"/>
  <c r="O16" i="27"/>
  <c r="X16" i="27"/>
  <c r="X71" i="27"/>
  <c r="T16" i="27"/>
  <c r="N47" i="27"/>
  <c r="N51" i="27" s="1"/>
  <c r="N27" i="27"/>
  <c r="Y16" i="27"/>
  <c r="Y71" i="27"/>
  <c r="L36" i="28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F36" i="28"/>
  <c r="D36" i="28"/>
  <c r="F67" i="27"/>
  <c r="F16" i="27" s="1"/>
  <c r="R36" i="28"/>
  <c r="AA36" i="28"/>
  <c r="AE36" i="28"/>
  <c r="K36" i="28"/>
  <c r="O36" i="28"/>
  <c r="AH36" i="28"/>
  <c r="J36" i="28"/>
  <c r="V74" i="28"/>
  <c r="AL74" i="28"/>
  <c r="Q74" i="28"/>
  <c r="AB74" i="28"/>
  <c r="AN74" i="28"/>
  <c r="S74" i="28"/>
  <c r="AD74" i="28"/>
  <c r="AK36" i="28"/>
  <c r="AC36" i="28"/>
  <c r="V36" i="28"/>
  <c r="Z36" i="28"/>
  <c r="N36" i="28"/>
  <c r="T74" i="28"/>
  <c r="AD36" i="28"/>
  <c r="AL36" i="28"/>
  <c r="AK74" i="28"/>
  <c r="U74" i="28"/>
  <c r="E74" i="28"/>
  <c r="O74" i="28"/>
  <c r="AH74" i="28"/>
  <c r="N74" i="28"/>
  <c r="Y36" i="28"/>
  <c r="Z44" i="28" s="1"/>
  <c r="M36" i="28"/>
  <c r="AG36" i="28"/>
  <c r="R74" i="28"/>
  <c r="AG74" i="28"/>
  <c r="AA74" i="28"/>
  <c r="Q36" i="28"/>
  <c r="E36" i="28"/>
  <c r="U36" i="28"/>
  <c r="T34" i="28"/>
  <c r="V57" i="27" s="1"/>
  <c r="V61" i="27" s="1"/>
  <c r="T20" i="28"/>
  <c r="AC74" i="28"/>
  <c r="M74" i="28"/>
  <c r="I36" i="28"/>
  <c r="T33" i="28"/>
  <c r="V47" i="27" s="1"/>
  <c r="V51" i="27" s="1"/>
  <c r="T31" i="28"/>
  <c r="V27" i="27" s="1"/>
  <c r="V31" i="27" s="1"/>
  <c r="T35" i="28"/>
  <c r="V67" i="27" s="1"/>
  <c r="AL44" i="28" l="1"/>
  <c r="N61" i="27"/>
  <c r="P17" i="27"/>
  <c r="P69" i="27"/>
  <c r="N28" i="27"/>
  <c r="N29" i="27" s="1"/>
  <c r="N30" i="27" s="1"/>
  <c r="N31" i="27" s="1"/>
  <c r="L74" i="28"/>
  <c r="O18" i="27"/>
  <c r="O70" i="27"/>
  <c r="N17" i="27"/>
  <c r="N69" i="27"/>
  <c r="X20" i="27"/>
  <c r="W43" i="28"/>
  <c r="W20" i="27"/>
  <c r="Y20" i="27"/>
  <c r="W39" i="28"/>
  <c r="S20" i="27"/>
  <c r="W41" i="28"/>
  <c r="R20" i="27"/>
  <c r="W42" i="28"/>
  <c r="V16" i="27"/>
  <c r="V71" i="27"/>
  <c r="N16" i="27"/>
  <c r="G19" i="27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9" i="27" s="1"/>
  <c r="F18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M74" i="28"/>
  <c r="AI74" i="28"/>
  <c r="AF74" i="28"/>
  <c r="W74" i="28"/>
  <c r="AJ74" i="28"/>
  <c r="D74" i="28"/>
  <c r="T36" i="28"/>
  <c r="W44" i="28" s="1"/>
  <c r="AE74" i="28"/>
  <c r="K74" i="28"/>
  <c r="O19" i="27" l="1"/>
  <c r="O71" i="27"/>
  <c r="O20" i="27" s="1"/>
  <c r="P70" i="27"/>
  <c r="P18" i="27"/>
  <c r="N70" i="27"/>
  <c r="N18" i="27"/>
  <c r="V20" i="27"/>
  <c r="H18" i="27"/>
  <c r="H19" i="27"/>
  <c r="K18" i="27"/>
  <c r="J18" i="27"/>
  <c r="K19" i="27"/>
  <c r="J19" i="27"/>
  <c r="N19" i="27" l="1"/>
  <c r="N71" i="27"/>
  <c r="P19" i="27"/>
  <c r="P71" i="27"/>
  <c r="P20" i="27" s="1"/>
  <c r="N20" i="27" l="1"/>
  <c r="C8" i="27" l="1"/>
  <c r="D8" i="27"/>
  <c r="D12" i="27" s="1"/>
  <c r="AW93" i="27"/>
  <c r="AV93" i="27"/>
  <c r="AU93" i="27"/>
  <c r="AT93" i="27"/>
  <c r="AS93" i="27"/>
  <c r="AR93" i="27"/>
  <c r="AQ93" i="27"/>
  <c r="AP93" i="27"/>
  <c r="AO93" i="27"/>
  <c r="AN93" i="27"/>
  <c r="AM93" i="27"/>
  <c r="AL93" i="27"/>
  <c r="AC93" i="27"/>
  <c r="AD93" i="27" s="1"/>
  <c r="AE93" i="27" s="1"/>
  <c r="AF93" i="27" s="1"/>
  <c r="AG93" i="27" s="1"/>
  <c r="AH93" i="27" s="1"/>
  <c r="AI93" i="27" s="1"/>
  <c r="AJ93" i="27" s="1"/>
  <c r="AK93" i="27" s="1"/>
  <c r="Z93" i="27"/>
  <c r="AA93" i="27" s="1"/>
  <c r="AB87" i="27"/>
  <c r="AB88" i="27" s="1"/>
  <c r="AA87" i="27"/>
  <c r="AA88" i="27" s="1"/>
  <c r="Z87" i="27"/>
  <c r="Z88" i="27" s="1"/>
  <c r="AQ79" i="27"/>
  <c r="AQ81" i="27" s="1"/>
  <c r="AW78" i="27"/>
  <c r="AW79" i="27" s="1"/>
  <c r="AW81" i="27" s="1"/>
  <c r="AV78" i="27"/>
  <c r="AV79" i="27" s="1"/>
  <c r="AV81" i="27" s="1"/>
  <c r="AU78" i="27"/>
  <c r="AU79" i="27" s="1"/>
  <c r="AU81" i="27" s="1"/>
  <c r="AT78" i="27"/>
  <c r="AT79" i="27" s="1"/>
  <c r="AT81" i="27" s="1"/>
  <c r="AS78" i="27"/>
  <c r="AS79" i="27" s="1"/>
  <c r="AS81" i="27" s="1"/>
  <c r="AR78" i="27"/>
  <c r="AR79" i="27" s="1"/>
  <c r="AR81" i="27" s="1"/>
  <c r="AQ78" i="27"/>
  <c r="AP78" i="27"/>
  <c r="AP79" i="27" s="1"/>
  <c r="AP81" i="27" s="1"/>
  <c r="AO78" i="27"/>
  <c r="AO79" i="27" s="1"/>
  <c r="AO81" i="27" s="1"/>
  <c r="AN78" i="27"/>
  <c r="AN79" i="27" s="1"/>
  <c r="AN81" i="27" s="1"/>
  <c r="AM78" i="27"/>
  <c r="AM79" i="27" s="1"/>
  <c r="AM81" i="27" s="1"/>
  <c r="AL78" i="27"/>
  <c r="AL79" i="27" s="1"/>
  <c r="AL81" i="27" s="1"/>
  <c r="AW69" i="27"/>
  <c r="AW70" i="27" s="1"/>
  <c r="AW71" i="27" s="1"/>
  <c r="AW72" i="27" s="1"/>
  <c r="AV69" i="27"/>
  <c r="AV70" i="27" s="1"/>
  <c r="AV19" i="27" s="1"/>
  <c r="AU69" i="27"/>
  <c r="AU70" i="27" s="1"/>
  <c r="AU19" i="27" s="1"/>
  <c r="AT69" i="27"/>
  <c r="AT70" i="27" s="1"/>
  <c r="AT19" i="27" s="1"/>
  <c r="AS69" i="27"/>
  <c r="AS70" i="27" s="1"/>
  <c r="AS71" i="27" s="1"/>
  <c r="AS72" i="27" s="1"/>
  <c r="AR69" i="27"/>
  <c r="AR70" i="27" s="1"/>
  <c r="AR19" i="27" s="1"/>
  <c r="AO70" i="27"/>
  <c r="AO71" i="27" s="1"/>
  <c r="AO72" i="27" s="1"/>
  <c r="AU16" i="27"/>
  <c r="AQ16" i="27"/>
  <c r="AI16" i="27"/>
  <c r="AE16" i="27"/>
  <c r="M71" i="27"/>
  <c r="L71" i="27"/>
  <c r="K71" i="27"/>
  <c r="J71" i="27"/>
  <c r="I71" i="27"/>
  <c r="H71" i="27"/>
  <c r="G71" i="27"/>
  <c r="F71" i="27"/>
  <c r="F72" i="27" s="1"/>
  <c r="AW59" i="27"/>
  <c r="AW60" i="27" s="1"/>
  <c r="AW61" i="27" s="1"/>
  <c r="AW62" i="27" s="1"/>
  <c r="AV59" i="27"/>
  <c r="AV60" i="27" s="1"/>
  <c r="AU59" i="27"/>
  <c r="AU60" i="27" s="1"/>
  <c r="AU61" i="27" s="1"/>
  <c r="AU62" i="27" s="1"/>
  <c r="AT59" i="27"/>
  <c r="AT60" i="27" s="1"/>
  <c r="AT61" i="27" s="1"/>
  <c r="AT62" i="27" s="1"/>
  <c r="AS59" i="27"/>
  <c r="AS60" i="27" s="1"/>
  <c r="AS61" i="27" s="1"/>
  <c r="AS62" i="27" s="1"/>
  <c r="AR59" i="27"/>
  <c r="AR60" i="27" s="1"/>
  <c r="AR61" i="27" s="1"/>
  <c r="AR62" i="27" s="1"/>
  <c r="AQ60" i="27"/>
  <c r="AQ61" i="27" s="1"/>
  <c r="AQ62" i="27" s="1"/>
  <c r="AP60" i="27"/>
  <c r="AP61" i="27" s="1"/>
  <c r="AP62" i="27" s="1"/>
  <c r="AO60" i="27"/>
  <c r="AO61" i="27" s="1"/>
  <c r="AO62" i="27" s="1"/>
  <c r="AJ16" i="27"/>
  <c r="AB16" i="27"/>
  <c r="M61" i="27"/>
  <c r="L61" i="27"/>
  <c r="K61" i="27"/>
  <c r="J61" i="27"/>
  <c r="I61" i="27"/>
  <c r="H61" i="27"/>
  <c r="G61" i="27"/>
  <c r="F61" i="27"/>
  <c r="F62" i="27" s="1"/>
  <c r="AW49" i="27"/>
  <c r="AW50" i="27" s="1"/>
  <c r="AV49" i="27"/>
  <c r="AV50" i="27" s="1"/>
  <c r="AU49" i="27"/>
  <c r="AU50" i="27" s="1"/>
  <c r="AT49" i="27"/>
  <c r="AT50" i="27" s="1"/>
  <c r="AT51" i="27" s="1"/>
  <c r="AT52" i="27" s="1"/>
  <c r="AS49" i="27"/>
  <c r="AS50" i="27" s="1"/>
  <c r="AR49" i="27"/>
  <c r="AR50" i="27" s="1"/>
  <c r="AR51" i="27" s="1"/>
  <c r="AR52" i="27" s="1"/>
  <c r="AQ50" i="27"/>
  <c r="AP50" i="27"/>
  <c r="AP51" i="27" s="1"/>
  <c r="AP52" i="27" s="1"/>
  <c r="AO50" i="27"/>
  <c r="M51" i="27"/>
  <c r="L51" i="27"/>
  <c r="K51" i="27"/>
  <c r="J51" i="27"/>
  <c r="I51" i="27"/>
  <c r="H51" i="27"/>
  <c r="G51" i="27"/>
  <c r="F51" i="27"/>
  <c r="F52" i="27" s="1"/>
  <c r="AW39" i="27"/>
  <c r="AW40" i="27" s="1"/>
  <c r="AV39" i="27"/>
  <c r="AV40" i="27" s="1"/>
  <c r="AU39" i="27"/>
  <c r="AU40" i="27" s="1"/>
  <c r="AU41" i="27" s="1"/>
  <c r="AU42" i="27" s="1"/>
  <c r="AT39" i="27"/>
  <c r="AT40" i="27" s="1"/>
  <c r="AT41" i="27" s="1"/>
  <c r="AT42" i="27" s="1"/>
  <c r="AS39" i="27"/>
  <c r="AS40" i="27" s="1"/>
  <c r="AR39" i="27"/>
  <c r="AR40" i="27" s="1"/>
  <c r="AQ40" i="27"/>
  <c r="AP40" i="27"/>
  <c r="AP41" i="27" s="1"/>
  <c r="AP42" i="27" s="1"/>
  <c r="AO40" i="27"/>
  <c r="M41" i="27"/>
  <c r="L41" i="27"/>
  <c r="K41" i="27"/>
  <c r="J41" i="27"/>
  <c r="I41" i="27"/>
  <c r="H41" i="27"/>
  <c r="G41" i="27"/>
  <c r="F41" i="27"/>
  <c r="F42" i="27" s="1"/>
  <c r="H31" i="27"/>
  <c r="AR29" i="27"/>
  <c r="AR30" i="27" s="1"/>
  <c r="AR31" i="27" s="1"/>
  <c r="AR32" i="27" s="1"/>
  <c r="AW29" i="27"/>
  <c r="AW30" i="27" s="1"/>
  <c r="AV29" i="27"/>
  <c r="AV30" i="27" s="1"/>
  <c r="AV31" i="27" s="1"/>
  <c r="AV32" i="27" s="1"/>
  <c r="AU29" i="27"/>
  <c r="AU30" i="27" s="1"/>
  <c r="AU31" i="27" s="1"/>
  <c r="AU32" i="27" s="1"/>
  <c r="AT29" i="27"/>
  <c r="AT30" i="27" s="1"/>
  <c r="AS29" i="27"/>
  <c r="AS30" i="27" s="1"/>
  <c r="AQ30" i="27"/>
  <c r="AQ31" i="27" s="1"/>
  <c r="AQ32" i="27" s="1"/>
  <c r="AP30" i="27"/>
  <c r="AO30" i="27"/>
  <c r="AG16" i="27"/>
  <c r="AC16" i="27"/>
  <c r="L31" i="27"/>
  <c r="K31" i="27"/>
  <c r="J31" i="27"/>
  <c r="F31" i="27"/>
  <c r="F32" i="27" s="1"/>
  <c r="AV17" i="27"/>
  <c r="AU17" i="27"/>
  <c r="AT17" i="27"/>
  <c r="AR17" i="27"/>
  <c r="AQ17" i="27"/>
  <c r="AP17" i="27"/>
  <c r="AJ17" i="27"/>
  <c r="AI17" i="27"/>
  <c r="AF17" i="27"/>
  <c r="M17" i="27"/>
  <c r="L17" i="27"/>
  <c r="K17" i="27"/>
  <c r="J17" i="27"/>
  <c r="I17" i="27"/>
  <c r="H17" i="27"/>
  <c r="G17" i="27"/>
  <c r="F17" i="27"/>
  <c r="AW16" i="27"/>
  <c r="AV16" i="27"/>
  <c r="AT16" i="27"/>
  <c r="AS16" i="27"/>
  <c r="AR16" i="27"/>
  <c r="AP16" i="27"/>
  <c r="AO16" i="27"/>
  <c r="AN16" i="27"/>
  <c r="AH16" i="27"/>
  <c r="AF16" i="27"/>
  <c r="AD16" i="27"/>
  <c r="AA16" i="27"/>
  <c r="J16" i="27"/>
  <c r="AW8" i="27"/>
  <c r="AV8" i="27"/>
  <c r="AU8" i="27"/>
  <c r="AT8" i="27"/>
  <c r="AS8" i="27"/>
  <c r="AR8" i="27"/>
  <c r="AQ8" i="27"/>
  <c r="AP8" i="27"/>
  <c r="AO8" i="27"/>
  <c r="AN8" i="27"/>
  <c r="AM8" i="27"/>
  <c r="AL8" i="27"/>
  <c r="AK8" i="27"/>
  <c r="AJ8" i="27"/>
  <c r="AI8" i="27"/>
  <c r="AH8" i="27"/>
  <c r="AG8" i="27"/>
  <c r="AF8" i="27"/>
  <c r="AE8" i="27"/>
  <c r="AD8" i="27"/>
  <c r="AC8" i="27"/>
  <c r="M8" i="27"/>
  <c r="L8" i="27"/>
  <c r="K8" i="27"/>
  <c r="J8" i="27"/>
  <c r="I8" i="27"/>
  <c r="H8" i="27"/>
  <c r="G8" i="27"/>
  <c r="F8" i="27"/>
  <c r="E8" i="27"/>
  <c r="AO20" i="27" l="1"/>
  <c r="AO21" i="27"/>
  <c r="AO22" i="27" s="1"/>
  <c r="AS20" i="27"/>
  <c r="AS21" i="27"/>
  <c r="AS22" i="27" s="1"/>
  <c r="AS63" i="27"/>
  <c r="AW20" i="27"/>
  <c r="AW21" i="27"/>
  <c r="AW22" i="27" s="1"/>
  <c r="AU43" i="27"/>
  <c r="G20" i="27"/>
  <c r="AR18" i="27"/>
  <c r="AV18" i="27"/>
  <c r="D13" i="27"/>
  <c r="J20" i="27"/>
  <c r="AU18" i="27"/>
  <c r="AT18" i="27"/>
  <c r="L20" i="27"/>
  <c r="AP70" i="27"/>
  <c r="AP18" i="27"/>
  <c r="AQ70" i="27"/>
  <c r="AQ18" i="27"/>
  <c r="K16" i="27"/>
  <c r="AO17" i="27"/>
  <c r="AS17" i="27"/>
  <c r="AW17" i="27"/>
  <c r="AQ41" i="27"/>
  <c r="AQ42" i="27" s="1"/>
  <c r="AT71" i="27"/>
  <c r="AT72" i="27" s="1"/>
  <c r="L16" i="27"/>
  <c r="AE17" i="27"/>
  <c r="AO18" i="27"/>
  <c r="AS18" i="27"/>
  <c r="AW18" i="27"/>
  <c r="AO19" i="27"/>
  <c r="AS19" i="27"/>
  <c r="AW19" i="27"/>
  <c r="AQ51" i="27"/>
  <c r="AQ52" i="27" s="1"/>
  <c r="AU51" i="27"/>
  <c r="AU52" i="27" s="1"/>
  <c r="AV61" i="27"/>
  <c r="AV62" i="27" s="1"/>
  <c r="AU71" i="27"/>
  <c r="AU72" i="27" s="1"/>
  <c r="G16" i="27"/>
  <c r="AD17" i="27"/>
  <c r="AP31" i="27"/>
  <c r="AP32" i="27" s="1"/>
  <c r="AT31" i="27"/>
  <c r="AT32" i="27" s="1"/>
  <c r="AO41" i="27"/>
  <c r="AO42" i="27" s="1"/>
  <c r="AS41" i="27"/>
  <c r="AS42" i="27" s="1"/>
  <c r="AW41" i="27"/>
  <c r="AW42" i="27" s="1"/>
  <c r="AV51" i="27"/>
  <c r="AV52" i="27" s="1"/>
  <c r="C12" i="27"/>
  <c r="C13" i="27" s="1"/>
  <c r="C11" i="27"/>
  <c r="D11" i="27"/>
  <c r="AR53" i="27"/>
  <c r="H16" i="27"/>
  <c r="AH17" i="27"/>
  <c r="AR33" i="27"/>
  <c r="AV33" i="27"/>
  <c r="F20" i="27"/>
  <c r="AT53" i="27"/>
  <c r="H20" i="27"/>
  <c r="I31" i="27"/>
  <c r="I16" i="27"/>
  <c r="M31" i="27"/>
  <c r="M16" i="27"/>
  <c r="F43" i="27"/>
  <c r="AC17" i="27"/>
  <c r="AG17" i="27"/>
  <c r="AK17" i="27"/>
  <c r="K20" i="27"/>
  <c r="AQ33" i="27"/>
  <c r="AU33" i="27"/>
  <c r="AT43" i="27"/>
  <c r="AO31" i="27"/>
  <c r="AO32" i="27" s="1"/>
  <c r="AS31" i="27"/>
  <c r="AS32" i="27" s="1"/>
  <c r="AW31" i="27"/>
  <c r="AW32" i="27" s="1"/>
  <c r="AR41" i="27"/>
  <c r="AR42" i="27" s="1"/>
  <c r="AV41" i="27"/>
  <c r="AV42" i="27" s="1"/>
  <c r="AP43" i="27"/>
  <c r="AP53" i="27"/>
  <c r="AQ63" i="27"/>
  <c r="AO51" i="27"/>
  <c r="AO52" i="27" s="1"/>
  <c r="AS51" i="27"/>
  <c r="AS52" i="27" s="1"/>
  <c r="AW51" i="27"/>
  <c r="AW52" i="27" s="1"/>
  <c r="AU63" i="27"/>
  <c r="F53" i="27"/>
  <c r="F63" i="27"/>
  <c r="AR63" i="27"/>
  <c r="AP63" i="27"/>
  <c r="AT63" i="27"/>
  <c r="AO63" i="27"/>
  <c r="AW63" i="27"/>
  <c r="AV71" i="27"/>
  <c r="AV72" i="27" s="1"/>
  <c r="Z79" i="27"/>
  <c r="Z81" i="27" s="1"/>
  <c r="Z82" i="27" s="1"/>
  <c r="AA79" i="27" s="1"/>
  <c r="AA81" i="27" s="1"/>
  <c r="AA82" i="27" s="1"/>
  <c r="AB79" i="27" s="1"/>
  <c r="AB81" i="27" s="1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K79" i="27" s="1"/>
  <c r="AK81" i="27" s="1"/>
  <c r="AK82" i="27" s="1"/>
  <c r="AL82" i="27" s="1"/>
  <c r="AM82" i="27" s="1"/>
  <c r="AN82" i="27" s="1"/>
  <c r="AO82" i="27" s="1"/>
  <c r="AP82" i="27" s="1"/>
  <c r="AQ82" i="27" s="1"/>
  <c r="AR82" i="27" s="1"/>
  <c r="AS82" i="27" s="1"/>
  <c r="AT82" i="27" s="1"/>
  <c r="AU82" i="27" s="1"/>
  <c r="AV82" i="27" s="1"/>
  <c r="AW82" i="27" s="1"/>
  <c r="AR71" i="27"/>
  <c r="AR72" i="27" s="1"/>
  <c r="AQ43" i="27" l="1"/>
  <c r="AS43" i="27"/>
  <c r="AT33" i="27"/>
  <c r="AQ53" i="27"/>
  <c r="AO43" i="27"/>
  <c r="AP33" i="27"/>
  <c r="AT20" i="27"/>
  <c r="AT21" i="27"/>
  <c r="AT22" i="27" s="1"/>
  <c r="AV53" i="27"/>
  <c r="AW43" i="27"/>
  <c r="AU53" i="27"/>
  <c r="AV63" i="27"/>
  <c r="AU20" i="27"/>
  <c r="AU21" i="27"/>
  <c r="AU22" i="27" s="1"/>
  <c r="F44" i="27"/>
  <c r="F54" i="27"/>
  <c r="F64" i="27"/>
  <c r="AQ71" i="27"/>
  <c r="AQ72" i="27" s="1"/>
  <c r="AQ19" i="27"/>
  <c r="AP71" i="27"/>
  <c r="AP72" i="27" s="1"/>
  <c r="AP19" i="27"/>
  <c r="AO73" i="27"/>
  <c r="AO23" i="27" s="1"/>
  <c r="AW73" i="27"/>
  <c r="AW23" i="27" s="1"/>
  <c r="AS73" i="27"/>
  <c r="AS23" i="27" s="1"/>
  <c r="Z80" i="27"/>
  <c r="AA80" i="27" s="1"/>
  <c r="AB80" i="27" s="1"/>
  <c r="AC80" i="27" s="1"/>
  <c r="AD80" i="27" s="1"/>
  <c r="AE80" i="27" s="1"/>
  <c r="AF80" i="27" s="1"/>
  <c r="AG80" i="27" s="1"/>
  <c r="AH80" i="27" s="1"/>
  <c r="AI80" i="27" s="1"/>
  <c r="AJ80" i="27" s="1"/>
  <c r="AK80" i="27" s="1"/>
  <c r="AL80" i="27" s="1"/>
  <c r="AM80" i="27" s="1"/>
  <c r="AN80" i="27" s="1"/>
  <c r="AO80" i="27" s="1"/>
  <c r="AP80" i="27" s="1"/>
  <c r="AQ80" i="27" s="1"/>
  <c r="AR80" i="27" s="1"/>
  <c r="AS80" i="27" s="1"/>
  <c r="AT80" i="27" s="1"/>
  <c r="AU80" i="27" s="1"/>
  <c r="AV80" i="27" s="1"/>
  <c r="AW80" i="27" s="1"/>
  <c r="M20" i="27"/>
  <c r="AS53" i="27"/>
  <c r="AV43" i="27"/>
  <c r="AO33" i="27"/>
  <c r="AS33" i="27"/>
  <c r="F33" i="27"/>
  <c r="AR21" i="27"/>
  <c r="AR22" i="27" s="1"/>
  <c r="AR20" i="27"/>
  <c r="AV21" i="27"/>
  <c r="AV22" i="27" s="1"/>
  <c r="AV20" i="27"/>
  <c r="AO53" i="27"/>
  <c r="AR43" i="27"/>
  <c r="I20" i="27"/>
  <c r="AW53" i="27"/>
  <c r="AW33" i="27"/>
  <c r="G42" i="27" l="1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AT73" i="27"/>
  <c r="AT23" i="27" s="1"/>
  <c r="F34" i="27"/>
  <c r="AU73" i="27"/>
  <c r="AU23" i="27" s="1"/>
  <c r="AP20" i="27"/>
  <c r="AP21" i="27"/>
  <c r="AP22" i="27" s="1"/>
  <c r="AQ20" i="27"/>
  <c r="AR73" i="27"/>
  <c r="AR23" i="27" s="1"/>
  <c r="AV73" i="27"/>
  <c r="G32" i="27" l="1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AP73" i="27"/>
  <c r="AP23" i="27" s="1"/>
  <c r="AQ21" i="27"/>
  <c r="AQ22" i="27" s="1"/>
  <c r="AQ73" i="27"/>
  <c r="AQ23" i="27" s="1"/>
  <c r="AV23" i="27"/>
  <c r="J62" i="27" l="1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M40" i="27" l="1"/>
  <c r="AM41" i="27" s="1"/>
  <c r="AM42" i="27" s="1"/>
  <c r="AN60" i="27"/>
  <c r="AN61" i="27" s="1"/>
  <c r="AN62" i="27" s="1"/>
  <c r="AN50" i="27"/>
  <c r="AN51" i="27" s="1"/>
  <c r="AN52" i="27" s="1"/>
  <c r="AN40" i="27"/>
  <c r="AN41" i="27" s="1"/>
  <c r="AN42" i="27" s="1"/>
  <c r="AN30" i="27"/>
  <c r="AN31" i="27" s="1"/>
  <c r="AN32" i="27" s="1"/>
  <c r="AM17" i="27"/>
  <c r="AL17" i="27"/>
  <c r="J21" i="27"/>
  <c r="J22" i="27" s="1"/>
  <c r="J73" i="27"/>
  <c r="AM50" i="27" l="1"/>
  <c r="AM51" i="27" s="1"/>
  <c r="AM52" i="27" s="1"/>
  <c r="AN33" i="27"/>
  <c r="AN53" i="27"/>
  <c r="AM60" i="27"/>
  <c r="AM61" i="27" s="1"/>
  <c r="AM62" i="27" s="1"/>
  <c r="AM30" i="27"/>
  <c r="AM31" i="27" s="1"/>
  <c r="AM32" i="27" s="1"/>
  <c r="AN43" i="27"/>
  <c r="AN63" i="27"/>
  <c r="AM43" i="27"/>
  <c r="AN17" i="27"/>
  <c r="AM16" i="27"/>
  <c r="AC30" i="27"/>
  <c r="AC31" i="27" s="1"/>
  <c r="AC32" i="27" s="1"/>
  <c r="AE30" i="27"/>
  <c r="AE31" i="27" s="1"/>
  <c r="AE32" i="27" s="1"/>
  <c r="AC60" i="27"/>
  <c r="AC61" i="27" s="1"/>
  <c r="AC62" i="27" s="1"/>
  <c r="AM70" i="27"/>
  <c r="AM18" i="27"/>
  <c r="AL16" i="27"/>
  <c r="AK16" i="27"/>
  <c r="J74" i="27"/>
  <c r="K72" i="27" s="1"/>
  <c r="J23" i="27"/>
  <c r="AM63" i="27" l="1"/>
  <c r="AM53" i="27"/>
  <c r="AM33" i="27"/>
  <c r="AN70" i="27"/>
  <c r="AN18" i="27"/>
  <c r="AD70" i="27"/>
  <c r="AC70" i="27"/>
  <c r="AF60" i="27"/>
  <c r="AF61" i="27" s="1"/>
  <c r="AF62" i="27" s="1"/>
  <c r="AE60" i="27"/>
  <c r="AE61" i="27" s="1"/>
  <c r="AE62" i="27" s="1"/>
  <c r="AC40" i="27"/>
  <c r="AC41" i="27" s="1"/>
  <c r="AC42" i="27" s="1"/>
  <c r="AD60" i="27"/>
  <c r="AD61" i="27" s="1"/>
  <c r="AD62" i="27" s="1"/>
  <c r="AF30" i="27"/>
  <c r="AF31" i="27" s="1"/>
  <c r="AF32" i="27" s="1"/>
  <c r="AD30" i="27"/>
  <c r="AD31" i="27" s="1"/>
  <c r="AD32" i="27" s="1"/>
  <c r="AG30" i="27"/>
  <c r="AG31" i="27" s="1"/>
  <c r="AG32" i="27" s="1"/>
  <c r="AM19" i="27"/>
  <c r="AM71" i="27"/>
  <c r="AM72" i="27" s="1"/>
  <c r="J24" i="27"/>
  <c r="AN19" i="27" l="1"/>
  <c r="AN71" i="27"/>
  <c r="AN72" i="27" s="1"/>
  <c r="AD40" i="27"/>
  <c r="AD41" i="27" s="1"/>
  <c r="AD42" i="27" s="1"/>
  <c r="AG60" i="27"/>
  <c r="AG61" i="27" s="1"/>
  <c r="AG62" i="27" s="1"/>
  <c r="AE70" i="27"/>
  <c r="AC71" i="27"/>
  <c r="AC72" i="27" s="1"/>
  <c r="AD71" i="27"/>
  <c r="AD72" i="27" s="1"/>
  <c r="AH30" i="27"/>
  <c r="AH31" i="27" s="1"/>
  <c r="AH32" i="27" s="1"/>
  <c r="AM20" i="27"/>
  <c r="AM21" i="27"/>
  <c r="AM22" i="27" s="1"/>
  <c r="K21" i="27"/>
  <c r="K22" i="27" s="1"/>
  <c r="K73" i="27"/>
  <c r="AN20" i="27" l="1"/>
  <c r="AN21" i="27"/>
  <c r="AN22" i="27" s="1"/>
  <c r="AE40" i="27"/>
  <c r="AE41" i="27" s="1"/>
  <c r="AE42" i="27" s="1"/>
  <c r="AC50" i="27"/>
  <c r="AC18" i="27"/>
  <c r="AF70" i="27"/>
  <c r="AE71" i="27"/>
  <c r="AE72" i="27" s="1"/>
  <c r="AH70" i="27"/>
  <c r="AM73" i="27"/>
  <c r="AM23" i="27" s="1"/>
  <c r="AG70" i="27"/>
  <c r="AI30" i="27"/>
  <c r="AI31" i="27" s="1"/>
  <c r="AI32" i="27" s="1"/>
  <c r="AH60" i="27"/>
  <c r="AH61" i="27" s="1"/>
  <c r="AH62" i="27" s="1"/>
  <c r="K74" i="27"/>
  <c r="L72" i="27" s="1"/>
  <c r="K23" i="27"/>
  <c r="AN73" i="27" l="1"/>
  <c r="AN23" i="27" s="1"/>
  <c r="AF71" i="27"/>
  <c r="AF72" i="27" s="1"/>
  <c r="AI70" i="27"/>
  <c r="AJ30" i="27"/>
  <c r="AJ31" i="27" s="1"/>
  <c r="AJ32" i="27" s="1"/>
  <c r="AG71" i="27"/>
  <c r="AG72" i="27" s="1"/>
  <c r="AF40" i="27"/>
  <c r="AF41" i="27" s="1"/>
  <c r="AF42" i="27" s="1"/>
  <c r="AH71" i="27"/>
  <c r="AH72" i="27" s="1"/>
  <c r="AC51" i="27"/>
  <c r="AC52" i="27" s="1"/>
  <c r="AC19" i="27"/>
  <c r="AI60" i="27"/>
  <c r="AI61" i="27" s="1"/>
  <c r="AI62" i="27" s="1"/>
  <c r="AD50" i="27"/>
  <c r="AD18" i="27"/>
  <c r="K24" i="27"/>
  <c r="AC20" i="27" l="1"/>
  <c r="AE50" i="27"/>
  <c r="AE18" i="27"/>
  <c r="AK30" i="27"/>
  <c r="AK31" i="27" s="1"/>
  <c r="AK32" i="27" s="1"/>
  <c r="AG40" i="27"/>
  <c r="AG41" i="27" s="1"/>
  <c r="AG42" i="27" s="1"/>
  <c r="AJ60" i="27"/>
  <c r="AJ61" i="27" s="1"/>
  <c r="AJ62" i="27" s="1"/>
  <c r="AJ70" i="27"/>
  <c r="AI71" i="27"/>
  <c r="AI72" i="27" s="1"/>
  <c r="AD51" i="27"/>
  <c r="AD52" i="27" s="1"/>
  <c r="AD19" i="27"/>
  <c r="L21" i="27"/>
  <c r="L22" i="27" s="1"/>
  <c r="L73" i="27"/>
  <c r="AD20" i="27" l="1"/>
  <c r="AH40" i="27"/>
  <c r="AH41" i="27" s="1"/>
  <c r="AH42" i="27" s="1"/>
  <c r="AL30" i="27"/>
  <c r="AL31" i="27" s="1"/>
  <c r="AL32" i="27" s="1"/>
  <c r="AE51" i="27"/>
  <c r="AE52" i="27" s="1"/>
  <c r="AE19" i="27"/>
  <c r="AJ71" i="27"/>
  <c r="AJ72" i="27" s="1"/>
  <c r="AK60" i="27"/>
  <c r="AK61" i="27" s="1"/>
  <c r="AK62" i="27" s="1"/>
  <c r="AK70" i="27"/>
  <c r="AF50" i="27"/>
  <c r="AF18" i="27"/>
  <c r="L74" i="27"/>
  <c r="M72" i="27" s="1"/>
  <c r="L23" i="27"/>
  <c r="AE20" i="27" l="1"/>
  <c r="AL33" i="27"/>
  <c r="AL60" i="27"/>
  <c r="AL61" i="27" s="1"/>
  <c r="AL62" i="27" s="1"/>
  <c r="AL70" i="27"/>
  <c r="AK71" i="27"/>
  <c r="AK72" i="27" s="1"/>
  <c r="AI40" i="27"/>
  <c r="AI41" i="27" s="1"/>
  <c r="AI42" i="27" s="1"/>
  <c r="AF51" i="27"/>
  <c r="AF52" i="27" s="1"/>
  <c r="AF19" i="27"/>
  <c r="AG50" i="27"/>
  <c r="AG18" i="27"/>
  <c r="L24" i="27"/>
  <c r="AL63" i="27" l="1"/>
  <c r="AF20" i="27"/>
  <c r="AH50" i="27"/>
  <c r="AH18" i="27"/>
  <c r="AL71" i="27"/>
  <c r="AL72" i="27" s="1"/>
  <c r="AG51" i="27"/>
  <c r="AG52" i="27" s="1"/>
  <c r="AG19" i="27"/>
  <c r="AJ40" i="27"/>
  <c r="AJ41" i="27" s="1"/>
  <c r="AJ42" i="27" s="1"/>
  <c r="M21" i="27"/>
  <c r="M22" i="27" s="1"/>
  <c r="M73" i="27"/>
  <c r="AG20" i="27" l="1"/>
  <c r="AG53" i="27"/>
  <c r="AK40" i="27"/>
  <c r="AK41" i="27" s="1"/>
  <c r="AK42" i="27" s="1"/>
  <c r="AH51" i="27"/>
  <c r="AH52" i="27" s="1"/>
  <c r="AH19" i="27"/>
  <c r="AI50" i="27"/>
  <c r="AI18" i="27"/>
  <c r="AL21" i="27"/>
  <c r="AL22" i="27" s="1"/>
  <c r="M74" i="27"/>
  <c r="M23" i="27"/>
  <c r="AH20" i="27" l="1"/>
  <c r="AH53" i="27"/>
  <c r="AK43" i="27"/>
  <c r="AI51" i="27"/>
  <c r="AI52" i="27" s="1"/>
  <c r="AI19" i="27"/>
  <c r="AJ50" i="27"/>
  <c r="AJ18" i="27"/>
  <c r="AL40" i="27"/>
  <c r="AL41" i="27" s="1"/>
  <c r="AL42" i="27" s="1"/>
  <c r="AL73" i="27"/>
  <c r="AL23" i="27" s="1"/>
  <c r="M24" i="27"/>
  <c r="AI20" i="27" l="1"/>
  <c r="AI53" i="27"/>
  <c r="AL43" i="27"/>
  <c r="AJ51" i="27"/>
  <c r="AJ52" i="27" s="1"/>
  <c r="AJ19" i="27"/>
  <c r="AK50" i="27"/>
  <c r="AK18" i="27"/>
  <c r="AJ20" i="27" l="1"/>
  <c r="AJ53" i="27"/>
  <c r="AK51" i="27"/>
  <c r="AK52" i="27" s="1"/>
  <c r="AK19" i="27"/>
  <c r="AL50" i="27"/>
  <c r="AL18" i="27"/>
  <c r="AK20" i="27" l="1"/>
  <c r="AK53" i="27"/>
  <c r="AL51" i="27"/>
  <c r="AL52" i="27" s="1"/>
  <c r="AL19" i="27"/>
  <c r="AL53" i="27" l="1"/>
  <c r="AL20" i="27"/>
  <c r="AC21" i="27" l="1"/>
  <c r="AC22" i="27" s="1"/>
  <c r="AC73" i="27"/>
  <c r="AC23" i="27" l="1"/>
  <c r="AD21" i="27" l="1"/>
  <c r="AD22" i="27" s="1"/>
  <c r="AD73" i="27"/>
  <c r="AD23" i="27" l="1"/>
  <c r="AE21" i="27" l="1"/>
  <c r="AE22" i="27" s="1"/>
  <c r="AE73" i="27"/>
  <c r="AE23" i="27" l="1"/>
  <c r="AF21" i="27" l="1"/>
  <c r="AF22" i="27" s="1"/>
  <c r="AF73" i="27"/>
  <c r="AF23" i="27" l="1"/>
  <c r="AG21" i="27" l="1"/>
  <c r="AG22" i="27" s="1"/>
  <c r="AG73" i="27"/>
  <c r="AG23" i="27" l="1"/>
  <c r="AH21" i="27" l="1"/>
  <c r="AH22" i="27" s="1"/>
  <c r="AH73" i="27"/>
  <c r="AH23" i="27" l="1"/>
  <c r="AI21" i="27" l="1"/>
  <c r="AI22" i="27" s="1"/>
  <c r="AI73" i="27"/>
  <c r="AI23" i="27" l="1"/>
  <c r="AJ21" i="27" l="1"/>
  <c r="AJ22" i="27" s="1"/>
  <c r="AJ73" i="27"/>
  <c r="AJ23" i="27" l="1"/>
  <c r="AK21" i="27" l="1"/>
  <c r="AK22" i="27" s="1"/>
  <c r="AK73" i="27"/>
  <c r="AK23" i="27" s="1"/>
  <c r="E12" i="27" l="1"/>
  <c r="E13" i="27" s="1"/>
  <c r="F10" i="27" s="1"/>
  <c r="E11" i="27" l="1"/>
  <c r="F12" i="27" l="1"/>
  <c r="F11" i="27"/>
  <c r="F13" i="27" l="1"/>
  <c r="G10" i="27" s="1"/>
  <c r="G12" i="27" l="1"/>
  <c r="G13" i="27" s="1"/>
  <c r="H10" i="27" s="1"/>
  <c r="G11" i="27"/>
  <c r="H12" i="27" l="1"/>
  <c r="H13" i="27" s="1"/>
  <c r="I10" i="27" s="1"/>
  <c r="I12" i="27" l="1"/>
  <c r="I13" i="27" s="1"/>
  <c r="J10" i="27" s="1"/>
  <c r="H11" i="27"/>
  <c r="I11" i="27" s="1"/>
  <c r="J12" i="27" l="1"/>
  <c r="J13" i="27" s="1"/>
  <c r="K10" i="27" s="1"/>
  <c r="J11" i="27" l="1"/>
  <c r="K12" i="27"/>
  <c r="K13" i="27" s="1"/>
  <c r="L10" i="27" l="1"/>
  <c r="L12" i="27" s="1"/>
  <c r="L13" i="27" s="1"/>
  <c r="M10" i="27" s="1"/>
  <c r="M12" i="27" s="1"/>
  <c r="M13" i="27" s="1"/>
  <c r="K11" i="27"/>
  <c r="L11" i="27" l="1"/>
  <c r="M11" i="27" s="1"/>
  <c r="L42" i="30" l="1"/>
  <c r="L22" i="30"/>
  <c r="L32" i="30"/>
  <c r="N46" i="27" l="1"/>
  <c r="N52" i="27" s="1"/>
  <c r="N53" i="27" s="1"/>
  <c r="N54" i="27" s="1"/>
  <c r="O52" i="27" s="1"/>
  <c r="O53" i="27" s="1"/>
  <c r="O54" i="27" s="1"/>
  <c r="N46" i="33"/>
  <c r="N52" i="33" s="1"/>
  <c r="N53" i="33" s="1"/>
  <c r="N54" i="33" s="1"/>
  <c r="O52" i="33" s="1"/>
  <c r="O53" i="33" s="1"/>
  <c r="O54" i="33" s="1"/>
  <c r="P52" i="33" s="1"/>
  <c r="P53" i="33" s="1"/>
  <c r="P54" i="33" s="1"/>
  <c r="Q52" i="33" s="1"/>
  <c r="N36" i="27"/>
  <c r="N42" i="27" s="1"/>
  <c r="N43" i="27" s="1"/>
  <c r="N44" i="27" s="1"/>
  <c r="O42" i="27" s="1"/>
  <c r="O43" i="27" s="1"/>
  <c r="O44" i="27" s="1"/>
  <c r="P42" i="27" s="1"/>
  <c r="P43" i="27" s="1"/>
  <c r="P44" i="27" s="1"/>
  <c r="Q42" i="27" s="1"/>
  <c r="Q43" i="27" s="1"/>
  <c r="Q44" i="27" s="1"/>
  <c r="N36" i="33"/>
  <c r="N42" i="33" s="1"/>
  <c r="N43" i="33" s="1"/>
  <c r="N44" i="33" s="1"/>
  <c r="O42" i="33" s="1"/>
  <c r="O43" i="33" s="1"/>
  <c r="O44" i="33" s="1"/>
  <c r="P42" i="33" s="1"/>
  <c r="P43" i="33" s="1"/>
  <c r="P44" i="33" s="1"/>
  <c r="Q42" i="33" s="1"/>
  <c r="N56" i="27"/>
  <c r="N62" i="27" s="1"/>
  <c r="N63" i="27" s="1"/>
  <c r="N64" i="27" s="1"/>
  <c r="O62" i="27" s="1"/>
  <c r="O63" i="27" s="1"/>
  <c r="O64" i="27" s="1"/>
  <c r="P62" i="27" s="1"/>
  <c r="P63" i="27" s="1"/>
  <c r="P64" i="27" s="1"/>
  <c r="Q62" i="27" s="1"/>
  <c r="Q63" i="27" s="1"/>
  <c r="Q64" i="27" s="1"/>
  <c r="N56" i="33"/>
  <c r="N62" i="33" s="1"/>
  <c r="N63" i="33" s="1"/>
  <c r="N64" i="33" s="1"/>
  <c r="O62" i="33" s="1"/>
  <c r="O63" i="33" s="1"/>
  <c r="O64" i="33" s="1"/>
  <c r="P62" i="33" s="1"/>
  <c r="P63" i="33" s="1"/>
  <c r="P64" i="33" s="1"/>
  <c r="Q62" i="33" s="1"/>
  <c r="P52" i="27"/>
  <c r="P53" i="27" s="1"/>
  <c r="P54" i="27" s="1"/>
  <c r="Q52" i="27" s="1"/>
  <c r="L12" i="30"/>
  <c r="Q63" i="33" l="1"/>
  <c r="Q64" i="33" s="1"/>
  <c r="R62" i="33" s="1"/>
  <c r="Q43" i="33"/>
  <c r="Q44" i="33" s="1"/>
  <c r="R42" i="33" s="1"/>
  <c r="R43" i="33" s="1"/>
  <c r="R44" i="33" s="1"/>
  <c r="S42" i="33" s="1"/>
  <c r="S43" i="33" s="1"/>
  <c r="S44" i="33" s="1"/>
  <c r="T42" i="33" s="1"/>
  <c r="T43" i="33" s="1"/>
  <c r="T44" i="33" s="1"/>
  <c r="U42" i="33" s="1"/>
  <c r="U43" i="33" s="1"/>
  <c r="U44" i="33" s="1"/>
  <c r="V42" i="33" s="1"/>
  <c r="V43" i="33" s="1"/>
  <c r="V44" i="33" s="1"/>
  <c r="W42" i="33" s="1"/>
  <c r="W43" i="33" s="1"/>
  <c r="W44" i="33" s="1"/>
  <c r="X42" i="33" s="1"/>
  <c r="X43" i="33" s="1"/>
  <c r="X44" i="33" s="1"/>
  <c r="Y42" i="33" s="1"/>
  <c r="Y43" i="33" s="1"/>
  <c r="Y44" i="33" s="1"/>
  <c r="Q53" i="33"/>
  <c r="Q54" i="33" s="1"/>
  <c r="R52" i="33" s="1"/>
  <c r="R53" i="33" s="1"/>
  <c r="R54" i="33" s="1"/>
  <c r="S52" i="33" s="1"/>
  <c r="S53" i="33" s="1"/>
  <c r="S54" i="33" s="1"/>
  <c r="T52" i="33" s="1"/>
  <c r="T53" i="33" s="1"/>
  <c r="T54" i="33" s="1"/>
  <c r="U52" i="33" s="1"/>
  <c r="U53" i="33" s="1"/>
  <c r="U54" i="33" s="1"/>
  <c r="V52" i="33" s="1"/>
  <c r="V53" i="33" s="1"/>
  <c r="V54" i="33" s="1"/>
  <c r="W52" i="33" s="1"/>
  <c r="W53" i="33" s="1"/>
  <c r="W54" i="33" s="1"/>
  <c r="X52" i="33" s="1"/>
  <c r="X53" i="33" s="1"/>
  <c r="X54" i="33" s="1"/>
  <c r="Y52" i="33" s="1"/>
  <c r="Y53" i="33" s="1"/>
  <c r="Y54" i="33" s="1"/>
  <c r="N26" i="27"/>
  <c r="N26" i="33"/>
  <c r="R42" i="27"/>
  <c r="R43" i="27" s="1"/>
  <c r="R44" i="27" s="1"/>
  <c r="S42" i="27" s="1"/>
  <c r="S43" i="27" s="1"/>
  <c r="S44" i="27" s="1"/>
  <c r="R62" i="27"/>
  <c r="R63" i="27" s="1"/>
  <c r="R64" i="27" s="1"/>
  <c r="S62" i="27" s="1"/>
  <c r="S63" i="27" s="1"/>
  <c r="S64" i="27" s="1"/>
  <c r="T62" i="27" s="1"/>
  <c r="T63" i="27" s="1"/>
  <c r="T64" i="27" s="1"/>
  <c r="U62" i="27" s="1"/>
  <c r="Q53" i="27"/>
  <c r="Q54" i="27" s="1"/>
  <c r="N32" i="27"/>
  <c r="N33" i="27" s="1"/>
  <c r="N34" i="27" s="1"/>
  <c r="O32" i="27" s="1"/>
  <c r="O33" i="27" s="1"/>
  <c r="O34" i="27" s="1"/>
  <c r="AA52" i="33" l="1"/>
  <c r="AA42" i="33"/>
  <c r="R63" i="33"/>
  <c r="R64" i="33" s="1"/>
  <c r="S62" i="33" s="1"/>
  <c r="S63" i="33" s="1"/>
  <c r="S64" i="33" s="1"/>
  <c r="T62" i="33" s="1"/>
  <c r="T63" i="33" s="1"/>
  <c r="T64" i="33" s="1"/>
  <c r="U62" i="33" s="1"/>
  <c r="U63" i="33" s="1"/>
  <c r="U64" i="33" s="1"/>
  <c r="V62" i="33" s="1"/>
  <c r="V63" i="33" s="1"/>
  <c r="V64" i="33" s="1"/>
  <c r="W62" i="33" s="1"/>
  <c r="W63" i="33" s="1"/>
  <c r="W64" i="33" s="1"/>
  <c r="X62" i="33" s="1"/>
  <c r="X63" i="33" s="1"/>
  <c r="X64" i="33" s="1"/>
  <c r="Y62" i="33" s="1"/>
  <c r="Y63" i="33" s="1"/>
  <c r="Y64" i="33" s="1"/>
  <c r="N32" i="33"/>
  <c r="N33" i="33" s="1"/>
  <c r="N34" i="33" s="1"/>
  <c r="O32" i="33" s="1"/>
  <c r="O33" i="33" s="1"/>
  <c r="O34" i="33" s="1"/>
  <c r="P32" i="33" s="1"/>
  <c r="P33" i="33" s="1"/>
  <c r="P34" i="33" s="1"/>
  <c r="Q32" i="33" s="1"/>
  <c r="R52" i="27"/>
  <c r="R53" i="27" s="1"/>
  <c r="R54" i="27" s="1"/>
  <c r="S52" i="27" s="1"/>
  <c r="S53" i="27" s="1"/>
  <c r="S54" i="27" s="1"/>
  <c r="T42" i="27"/>
  <c r="T43" i="27" s="1"/>
  <c r="T44" i="27" s="1"/>
  <c r="U42" i="27" s="1"/>
  <c r="U43" i="27" s="1"/>
  <c r="U44" i="27" s="1"/>
  <c r="V42" i="27" s="1"/>
  <c r="P32" i="27"/>
  <c r="P33" i="27" s="1"/>
  <c r="P34" i="27" s="1"/>
  <c r="Q32" i="27" s="1"/>
  <c r="U63" i="27"/>
  <c r="U64" i="27" s="1"/>
  <c r="V62" i="27" s="1"/>
  <c r="L52" i="30"/>
  <c r="AA62" i="33" l="1"/>
  <c r="Q33" i="33"/>
  <c r="Q34" i="33" s="1"/>
  <c r="R32" i="33" s="1"/>
  <c r="R33" i="33" s="1"/>
  <c r="R34" i="33" s="1"/>
  <c r="S32" i="33" s="1"/>
  <c r="S33" i="33" s="1"/>
  <c r="S34" i="33" s="1"/>
  <c r="T32" i="33" s="1"/>
  <c r="T33" i="33" s="1"/>
  <c r="T34" i="33" s="1"/>
  <c r="U32" i="33" s="1"/>
  <c r="U33" i="33" s="1"/>
  <c r="U34" i="33" s="1"/>
  <c r="V32" i="33" s="1"/>
  <c r="V33" i="33" s="1"/>
  <c r="V34" i="33" s="1"/>
  <c r="W32" i="33" s="1"/>
  <c r="W33" i="33" s="1"/>
  <c r="W34" i="33" s="1"/>
  <c r="X32" i="33" s="1"/>
  <c r="X33" i="33" s="1"/>
  <c r="X34" i="33" s="1"/>
  <c r="Y32" i="33" s="1"/>
  <c r="Y33" i="33" s="1"/>
  <c r="Y34" i="33" s="1"/>
  <c r="N66" i="27"/>
  <c r="N15" i="27" s="1"/>
  <c r="N66" i="33"/>
  <c r="T52" i="27"/>
  <c r="T53" i="27" s="1"/>
  <c r="T54" i="27" s="1"/>
  <c r="U52" i="27" s="1"/>
  <c r="U53" i="27" s="1"/>
  <c r="U54" i="27" s="1"/>
  <c r="V52" i="27" s="1"/>
  <c r="Q33" i="27"/>
  <c r="Q34" i="27" s="1"/>
  <c r="V43" i="27"/>
  <c r="V44" i="27" s="1"/>
  <c r="W42" i="27" s="1"/>
  <c r="V63" i="27"/>
  <c r="V64" i="27" s="1"/>
  <c r="W62" i="27" s="1"/>
  <c r="N72" i="27" l="1"/>
  <c r="N73" i="27" s="1"/>
  <c r="AA32" i="33"/>
  <c r="N72" i="33"/>
  <c r="N15" i="33"/>
  <c r="R32" i="27"/>
  <c r="R33" i="27" s="1"/>
  <c r="R34" i="27" s="1"/>
  <c r="V53" i="27"/>
  <c r="V54" i="27" s="1"/>
  <c r="W52" i="27" s="1"/>
  <c r="W43" i="27"/>
  <c r="W44" i="27" s="1"/>
  <c r="X42" i="27" s="1"/>
  <c r="W63" i="27"/>
  <c r="W64" i="27" s="1"/>
  <c r="X62" i="27" s="1"/>
  <c r="N21" i="27"/>
  <c r="N22" i="27" s="1"/>
  <c r="N21" i="33" l="1"/>
  <c r="N22" i="33" s="1"/>
  <c r="N73" i="33"/>
  <c r="S32" i="27"/>
  <c r="S33" i="27" s="1"/>
  <c r="S34" i="27" s="1"/>
  <c r="W53" i="27"/>
  <c r="W54" i="27" s="1"/>
  <c r="X52" i="27" s="1"/>
  <c r="X43" i="27"/>
  <c r="X44" i="27" s="1"/>
  <c r="Y42" i="27" s="1"/>
  <c r="X63" i="27"/>
  <c r="X64" i="27" s="1"/>
  <c r="Y62" i="27" s="1"/>
  <c r="N23" i="27"/>
  <c r="N74" i="27"/>
  <c r="N74" i="33" l="1"/>
  <c r="N23" i="33"/>
  <c r="T32" i="27"/>
  <c r="T33" i="27" s="1"/>
  <c r="T34" i="27" s="1"/>
  <c r="U32" i="27" s="1"/>
  <c r="U33" i="27" s="1"/>
  <c r="U34" i="27" s="1"/>
  <c r="V32" i="27" s="1"/>
  <c r="V33" i="27" s="1"/>
  <c r="V34" i="27" s="1"/>
  <c r="W32" i="27" s="1"/>
  <c r="W33" i="27" s="1"/>
  <c r="W34" i="27" s="1"/>
  <c r="X32" i="27" s="1"/>
  <c r="X53" i="27"/>
  <c r="X54" i="27" s="1"/>
  <c r="Y52" i="27" s="1"/>
  <c r="Y43" i="27"/>
  <c r="Y44" i="27" s="1"/>
  <c r="Y63" i="27"/>
  <c r="Y64" i="27" s="1"/>
  <c r="N24" i="27"/>
  <c r="O72" i="27"/>
  <c r="N24" i="33" l="1"/>
  <c r="O72" i="33"/>
  <c r="Y53" i="27"/>
  <c r="Y54" i="27" s="1"/>
  <c r="X33" i="27"/>
  <c r="X34" i="27" s="1"/>
  <c r="Y32" i="27" s="1"/>
  <c r="O73" i="27"/>
  <c r="O21" i="27"/>
  <c r="O22" i="27" s="1"/>
  <c r="O21" i="33" l="1"/>
  <c r="O22" i="33" s="1"/>
  <c r="O73" i="33"/>
  <c r="Y33" i="27"/>
  <c r="Y34" i="27" s="1"/>
  <c r="Z32" i="27" s="1"/>
  <c r="O23" i="27"/>
  <c r="O74" i="27"/>
  <c r="O74" i="33" l="1"/>
  <c r="O23" i="33"/>
  <c r="O24" i="27"/>
  <c r="P72" i="27"/>
  <c r="O24" i="33" l="1"/>
  <c r="P72" i="33"/>
  <c r="P73" i="27"/>
  <c r="P21" i="27"/>
  <c r="P22" i="27" s="1"/>
  <c r="P21" i="33" l="1"/>
  <c r="P22" i="33" s="1"/>
  <c r="P73" i="33"/>
  <c r="P74" i="27"/>
  <c r="Q72" i="27" s="1"/>
  <c r="P23" i="27"/>
  <c r="P74" i="33" l="1"/>
  <c r="P23" i="33"/>
  <c r="P24" i="27"/>
  <c r="P24" i="33" l="1"/>
  <c r="Q72" i="33"/>
  <c r="Q73" i="27"/>
  <c r="Q21" i="27"/>
  <c r="Q22" i="27" s="1"/>
  <c r="Q21" i="33" l="1"/>
  <c r="Q22" i="33" s="1"/>
  <c r="Q73" i="33"/>
  <c r="Q23" i="27"/>
  <c r="Q74" i="27"/>
  <c r="R72" i="27" s="1"/>
  <c r="Q74" i="33" l="1"/>
  <c r="Q23" i="33"/>
  <c r="Q24" i="27"/>
  <c r="Q24" i="33" l="1"/>
  <c r="R72" i="33"/>
  <c r="R21" i="27"/>
  <c r="R22" i="27" s="1"/>
  <c r="R73" i="27"/>
  <c r="R21" i="33" l="1"/>
  <c r="R22" i="33" s="1"/>
  <c r="R73" i="33"/>
  <c r="R23" i="27"/>
  <c r="R74" i="27"/>
  <c r="S72" i="27" s="1"/>
  <c r="R74" i="33" l="1"/>
  <c r="R23" i="33"/>
  <c r="R24" i="27"/>
  <c r="R24" i="33" l="1"/>
  <c r="S72" i="33"/>
  <c r="S21" i="27"/>
  <c r="S22" i="27" s="1"/>
  <c r="S73" i="27"/>
  <c r="S21" i="33" l="1"/>
  <c r="S22" i="33" s="1"/>
  <c r="S73" i="33"/>
  <c r="S23" i="27"/>
  <c r="S74" i="27"/>
  <c r="T72" i="27" s="1"/>
  <c r="S74" i="33" l="1"/>
  <c r="S23" i="33"/>
  <c r="S24" i="27"/>
  <c r="S24" i="33" l="1"/>
  <c r="T72" i="33"/>
  <c r="T21" i="27"/>
  <c r="T22" i="27" s="1"/>
  <c r="T73" i="27"/>
  <c r="T21" i="33" l="1"/>
  <c r="T22" i="33" s="1"/>
  <c r="T73" i="33"/>
  <c r="T23" i="27"/>
  <c r="T74" i="27"/>
  <c r="U72" i="27" s="1"/>
  <c r="T74" i="33" l="1"/>
  <c r="T23" i="33"/>
  <c r="T24" i="27"/>
  <c r="T24" i="33" l="1"/>
  <c r="U72" i="33"/>
  <c r="U21" i="27"/>
  <c r="U22" i="27" s="1"/>
  <c r="U73" i="27"/>
  <c r="U21" i="33" l="1"/>
  <c r="U22" i="33" s="1"/>
  <c r="U73" i="33"/>
  <c r="U23" i="27"/>
  <c r="U74" i="27"/>
  <c r="V72" i="27" s="1"/>
  <c r="U74" i="33" l="1"/>
  <c r="U23" i="33"/>
  <c r="U24" i="27"/>
  <c r="U24" i="33" l="1"/>
  <c r="V72" i="33"/>
  <c r="V21" i="27"/>
  <c r="V22" i="27" s="1"/>
  <c r="V73" i="27"/>
  <c r="V21" i="33" l="1"/>
  <c r="V22" i="33" s="1"/>
  <c r="V73" i="33"/>
  <c r="V23" i="27"/>
  <c r="V74" i="27"/>
  <c r="W72" i="27" s="1"/>
  <c r="V74" i="33" l="1"/>
  <c r="V23" i="33"/>
  <c r="V24" i="27"/>
  <c r="V24" i="33" l="1"/>
  <c r="W72" i="33"/>
  <c r="W21" i="27"/>
  <c r="W22" i="27" s="1"/>
  <c r="W73" i="27"/>
  <c r="W21" i="33" l="1"/>
  <c r="W22" i="33" s="1"/>
  <c r="W73" i="33"/>
  <c r="W23" i="27"/>
  <c r="W74" i="27"/>
  <c r="X72" i="27" s="1"/>
  <c r="W74" i="33" l="1"/>
  <c r="W23" i="33"/>
  <c r="W24" i="27"/>
  <c r="W24" i="33" l="1"/>
  <c r="X72" i="33"/>
  <c r="X21" i="27"/>
  <c r="X22" i="27" s="1"/>
  <c r="X73" i="27"/>
  <c r="X21" i="33" l="1"/>
  <c r="X22" i="33" s="1"/>
  <c r="X73" i="33"/>
  <c r="X23" i="27"/>
  <c r="X74" i="27"/>
  <c r="Y72" i="27" s="1"/>
  <c r="X74" i="33" l="1"/>
  <c r="X23" i="33"/>
  <c r="X24" i="27"/>
  <c r="X24" i="33" l="1"/>
  <c r="Y72" i="33"/>
  <c r="AA72" i="33" s="1"/>
  <c r="Y21" i="27"/>
  <c r="Y22" i="27" s="1"/>
  <c r="Y73" i="27"/>
  <c r="Y21" i="33" l="1"/>
  <c r="Y22" i="33" s="1"/>
  <c r="Y73" i="33"/>
  <c r="Y23" i="27"/>
  <c r="Y74" i="27"/>
  <c r="Y74" i="33" l="1"/>
  <c r="Y24" i="33" s="1"/>
  <c r="Y23" i="33"/>
  <c r="Y24" i="27"/>
  <c r="L3" i="29" l="1"/>
  <c r="L4" i="29" s="1"/>
  <c r="L5" i="29" s="1"/>
  <c r="L6" i="29" s="1"/>
  <c r="L7" i="29" s="1"/>
  <c r="L8" i="29" s="1"/>
  <c r="X69" i="28"/>
  <c r="Z28" i="27"/>
  <c r="Z29" i="27" l="1"/>
  <c r="Z30" i="27" s="1"/>
  <c r="X70" i="28" l="1"/>
  <c r="L10" i="29"/>
  <c r="L11" i="29" s="1"/>
  <c r="L12" i="29" s="1"/>
  <c r="L13" i="29" s="1"/>
  <c r="L14" i="29" s="1"/>
  <c r="L15" i="29" s="1"/>
  <c r="Z39" i="27" s="1"/>
  <c r="Z40" i="27" s="1"/>
  <c r="Z41" i="27" s="1"/>
  <c r="Z42" i="27" s="1"/>
  <c r="Z43" i="27" s="1"/>
  <c r="Z44" i="27" s="1"/>
  <c r="Z38" i="27"/>
  <c r="N10" i="29" l="1"/>
  <c r="Y71" i="28"/>
  <c r="AA48" i="27" s="1"/>
  <c r="N17" i="29"/>
  <c r="Z70" i="28"/>
  <c r="AB38" i="27" s="1"/>
  <c r="L31" i="29"/>
  <c r="N24" i="29"/>
  <c r="Y70" i="28"/>
  <c r="AA38" i="27" s="1"/>
  <c r="M24" i="29"/>
  <c r="Y72" i="28"/>
  <c r="AA58" i="27" s="1"/>
  <c r="M10" i="29"/>
  <c r="M11" i="29" s="1"/>
  <c r="M12" i="29" s="1"/>
  <c r="M13" i="29" s="1"/>
  <c r="M14" i="29" s="1"/>
  <c r="M15" i="29" s="1"/>
  <c r="M31" i="29"/>
  <c r="X71" i="28"/>
  <c r="L17" i="29"/>
  <c r="L18" i="29" s="1"/>
  <c r="L19" i="29" s="1"/>
  <c r="L20" i="29" s="1"/>
  <c r="L21" i="29" s="1"/>
  <c r="L22" i="29" s="1"/>
  <c r="L24" i="29"/>
  <c r="X72" i="28"/>
  <c r="Z58" i="27" s="1"/>
  <c r="Z72" i="28" l="1"/>
  <c r="AB58" i="27" s="1"/>
  <c r="M17" i="29"/>
  <c r="Z71" i="28"/>
  <c r="AB48" i="27" s="1"/>
  <c r="Z73" i="28"/>
  <c r="AB68" i="27" s="1"/>
  <c r="N31" i="29"/>
  <c r="Y73" i="28"/>
  <c r="AA68" i="27" s="1"/>
  <c r="X56" i="28"/>
  <c r="X73" i="28"/>
  <c r="Z68" i="27" s="1"/>
  <c r="Y69" i="28"/>
  <c r="Z69" i="28"/>
  <c r="L32" i="29"/>
  <c r="L33" i="29" s="1"/>
  <c r="L34" i="29" s="1"/>
  <c r="L35" i="29" s="1"/>
  <c r="L36" i="29" s="1"/>
  <c r="L25" i="29"/>
  <c r="L26" i="29" s="1"/>
  <c r="AA39" i="27"/>
  <c r="AA40" i="27" s="1"/>
  <c r="AA41" i="27" s="1"/>
  <c r="AA42" i="27" s="1"/>
  <c r="AA43" i="27" s="1"/>
  <c r="AA44" i="27" s="1"/>
  <c r="M18" i="29"/>
  <c r="M19" i="29" s="1"/>
  <c r="N11" i="29"/>
  <c r="N12" i="29" s="1"/>
  <c r="M32" i="29"/>
  <c r="Z48" i="27"/>
  <c r="Z49" i="27" s="1"/>
  <c r="Z50" i="27" s="1"/>
  <c r="Z51" i="27" s="1"/>
  <c r="Z52" i="27" s="1"/>
  <c r="Z53" i="27" s="1"/>
  <c r="Z54" i="27" s="1"/>
  <c r="M25" i="29" l="1"/>
  <c r="M26" i="29" s="1"/>
  <c r="Y74" i="28"/>
  <c r="M3" i="29"/>
  <c r="M4" i="29" s="1"/>
  <c r="M5" i="29" s="1"/>
  <c r="M6" i="29" s="1"/>
  <c r="M7" i="29" s="1"/>
  <c r="M8" i="29" s="1"/>
  <c r="AA29" i="27" s="1"/>
  <c r="AA30" i="27" s="1"/>
  <c r="AA31" i="27" s="1"/>
  <c r="AA28" i="27"/>
  <c r="AA17" i="27" s="1"/>
  <c r="Z69" i="27"/>
  <c r="X74" i="28"/>
  <c r="Y56" i="28"/>
  <c r="Z74" i="28"/>
  <c r="M27" i="29"/>
  <c r="M28" i="29" s="1"/>
  <c r="M29" i="29" s="1"/>
  <c r="AA59" i="27" s="1"/>
  <c r="AA60" i="27" s="1"/>
  <c r="AA61" i="27" s="1"/>
  <c r="AB28" i="27"/>
  <c r="AB17" i="27" s="1"/>
  <c r="N3" i="29"/>
  <c r="N4" i="29" s="1"/>
  <c r="N5" i="29" s="1"/>
  <c r="Z56" i="28"/>
  <c r="L27" i="29"/>
  <c r="L28" i="29" s="1"/>
  <c r="L29" i="29" s="1"/>
  <c r="Z59" i="27" s="1"/>
  <c r="Z60" i="27" s="1"/>
  <c r="Z61" i="27" s="1"/>
  <c r="Z62" i="27" s="1"/>
  <c r="Z63" i="27" s="1"/>
  <c r="Z64" i="27" s="1"/>
  <c r="N18" i="29"/>
  <c r="N19" i="29" s="1"/>
  <c r="N20" i="29" s="1"/>
  <c r="N21" i="29" s="1"/>
  <c r="N22" i="29" s="1"/>
  <c r="AB49" i="27" s="1"/>
  <c r="AB50" i="27" s="1"/>
  <c r="AB51" i="27" s="1"/>
  <c r="Z70" i="27"/>
  <c r="N25" i="29"/>
  <c r="N26" i="29" s="1"/>
  <c r="N27" i="29" s="1"/>
  <c r="N28" i="29" s="1"/>
  <c r="N29" i="29" s="1"/>
  <c r="AB59" i="27" s="1"/>
  <c r="AB60" i="27" s="1"/>
  <c r="AB61" i="27" s="1"/>
  <c r="M20" i="29"/>
  <c r="M21" i="29" s="1"/>
  <c r="M22" i="29" s="1"/>
  <c r="AA49" i="27" s="1"/>
  <c r="AA50" i="27" s="1"/>
  <c r="AA51" i="27" s="1"/>
  <c r="AA52" i="27" s="1"/>
  <c r="AA53" i="27" s="1"/>
  <c r="AA54" i="27" s="1"/>
  <c r="Z17" i="27"/>
  <c r="N32" i="29"/>
  <c r="M33" i="29"/>
  <c r="N13" i="29"/>
  <c r="N14" i="29" s="1"/>
  <c r="N15" i="29" s="1"/>
  <c r="AB39" i="27" s="1"/>
  <c r="AB40" i="27" s="1"/>
  <c r="AB41" i="27" s="1"/>
  <c r="AB42" i="27" s="1"/>
  <c r="AB43" i="27" s="1"/>
  <c r="AB44" i="27" s="1"/>
  <c r="AC43" i="27" s="1"/>
  <c r="AC44" i="27" s="1"/>
  <c r="AD43" i="27" s="1"/>
  <c r="AD44" i="27" s="1"/>
  <c r="AE43" i="27" s="1"/>
  <c r="AE44" i="27" s="1"/>
  <c r="AF43" i="27" s="1"/>
  <c r="AF44" i="27" s="1"/>
  <c r="AG43" i="27" s="1"/>
  <c r="AG44" i="27" s="1"/>
  <c r="AH43" i="27" s="1"/>
  <c r="AH44" i="27" s="1"/>
  <c r="AI43" i="27" s="1"/>
  <c r="AI44" i="27" s="1"/>
  <c r="AJ43" i="27" s="1"/>
  <c r="AJ44" i="27" s="1"/>
  <c r="AK44" i="27" s="1"/>
  <c r="AL44" i="27" s="1"/>
  <c r="AM44" i="27" s="1"/>
  <c r="AN44" i="27" s="1"/>
  <c r="AO44" i="27" s="1"/>
  <c r="AP44" i="27" s="1"/>
  <c r="AQ44" i="27" s="1"/>
  <c r="AR44" i="27" s="1"/>
  <c r="AS44" i="27" s="1"/>
  <c r="AT44" i="27" s="1"/>
  <c r="AU44" i="27" s="1"/>
  <c r="AV44" i="27" s="1"/>
  <c r="AW44" i="27" s="1"/>
  <c r="AA62" i="27" l="1"/>
  <c r="AA63" i="27" s="1"/>
  <c r="AA64" i="27" s="1"/>
  <c r="Z18" i="27"/>
  <c r="N6" i="29"/>
  <c r="N7" i="29" s="1"/>
  <c r="N8" i="29" s="1"/>
  <c r="AB29" i="27" s="1"/>
  <c r="AB30" i="27" s="1"/>
  <c r="AB31" i="27" s="1"/>
  <c r="AB62" i="27"/>
  <c r="AB63" i="27" s="1"/>
  <c r="AB64" i="27" s="1"/>
  <c r="AC63" i="27" s="1"/>
  <c r="AC64" i="27" s="1"/>
  <c r="AD63" i="27" s="1"/>
  <c r="AD64" i="27" s="1"/>
  <c r="AE63" i="27" s="1"/>
  <c r="AE64" i="27" s="1"/>
  <c r="AF63" i="27" s="1"/>
  <c r="AF64" i="27" s="1"/>
  <c r="AG63" i="27" s="1"/>
  <c r="AG64" i="27" s="1"/>
  <c r="AH63" i="27" s="1"/>
  <c r="AH64" i="27" s="1"/>
  <c r="AI63" i="27" s="1"/>
  <c r="AI64" i="27" s="1"/>
  <c r="AJ63" i="27" s="1"/>
  <c r="AJ64" i="27" s="1"/>
  <c r="AK63" i="27" s="1"/>
  <c r="AK64" i="27" s="1"/>
  <c r="AL64" i="27" s="1"/>
  <c r="AM64" i="27" s="1"/>
  <c r="AN64" i="27" s="1"/>
  <c r="AO64" i="27" s="1"/>
  <c r="AP64" i="27" s="1"/>
  <c r="AQ64" i="27" s="1"/>
  <c r="AR64" i="27" s="1"/>
  <c r="AS64" i="27" s="1"/>
  <c r="AT64" i="27" s="1"/>
  <c r="AU64" i="27" s="1"/>
  <c r="AV64" i="27" s="1"/>
  <c r="AW64" i="27" s="1"/>
  <c r="AB52" i="27"/>
  <c r="AB53" i="27" s="1"/>
  <c r="AB54" i="27" s="1"/>
  <c r="AC53" i="27" s="1"/>
  <c r="AC54" i="27" s="1"/>
  <c r="AD53" i="27" s="1"/>
  <c r="AD54" i="27" s="1"/>
  <c r="AE53" i="27" s="1"/>
  <c r="AE54" i="27" s="1"/>
  <c r="AF53" i="27" s="1"/>
  <c r="AF54" i="27" s="1"/>
  <c r="AG54" i="27" s="1"/>
  <c r="AH54" i="27" s="1"/>
  <c r="AI54" i="27" s="1"/>
  <c r="AJ54" i="27" s="1"/>
  <c r="AK54" i="27" s="1"/>
  <c r="AL54" i="27" s="1"/>
  <c r="AM54" i="27" s="1"/>
  <c r="AN54" i="27" s="1"/>
  <c r="AO54" i="27" s="1"/>
  <c r="AP54" i="27" s="1"/>
  <c r="AQ54" i="27" s="1"/>
  <c r="AR54" i="27" s="1"/>
  <c r="AS54" i="27" s="1"/>
  <c r="AT54" i="27" s="1"/>
  <c r="AU54" i="27" s="1"/>
  <c r="AV54" i="27" s="1"/>
  <c r="AW54" i="27" s="1"/>
  <c r="N33" i="29"/>
  <c r="N34" i="29" s="1"/>
  <c r="N35" i="29" s="1"/>
  <c r="N36" i="29" s="1"/>
  <c r="AB69" i="27" s="1"/>
  <c r="M34" i="29"/>
  <c r="M35" i="29" s="1"/>
  <c r="M36" i="29" s="1"/>
  <c r="AA69" i="27" s="1"/>
  <c r="Z71" i="27"/>
  <c r="Z19" i="27"/>
  <c r="Z72" i="27" l="1"/>
  <c r="AA70" i="27"/>
  <c r="AA18" i="27"/>
  <c r="AB70" i="27"/>
  <c r="AB18" i="27"/>
  <c r="Z73" i="27" l="1"/>
  <c r="Z21" i="27"/>
  <c r="AB19" i="27"/>
  <c r="AB71" i="27"/>
  <c r="Z74" i="27"/>
  <c r="AA19" i="27"/>
  <c r="AA71" i="27"/>
  <c r="AA20" i="27" l="1"/>
  <c r="AA72" i="27"/>
  <c r="AB20" i="27"/>
  <c r="AA73" i="27" l="1"/>
  <c r="AA74" i="27" l="1"/>
  <c r="AB72" i="27" s="1"/>
  <c r="AB73" i="27" l="1"/>
  <c r="AB74" i="27" l="1"/>
  <c r="AC74" i="27" s="1"/>
  <c r="AC24" i="27" l="1"/>
  <c r="AD74" i="27"/>
  <c r="AD24" i="27" l="1"/>
  <c r="AE74" i="27"/>
  <c r="AE24" i="27" l="1"/>
  <c r="AF74" i="27"/>
  <c r="AG74" i="27" l="1"/>
  <c r="AF24" i="27"/>
  <c r="AH74" i="27" l="1"/>
  <c r="AG24" i="27"/>
  <c r="AH24" i="27" l="1"/>
  <c r="AI74" i="27"/>
  <c r="AI24" i="27" l="1"/>
  <c r="AJ74" i="27"/>
  <c r="AK74" i="27" l="1"/>
  <c r="AJ24" i="27"/>
  <c r="AK24" i="27" l="1"/>
  <c r="AL74" i="27"/>
  <c r="AL24" i="27" l="1"/>
  <c r="AM74" i="27"/>
  <c r="AM24" i="27" l="1"/>
  <c r="AN74" i="27"/>
  <c r="AN24" i="27" l="1"/>
  <c r="AO74" i="27"/>
  <c r="AO24" i="27" l="1"/>
  <c r="AP74" i="27"/>
  <c r="AQ74" i="27" l="1"/>
  <c r="AP24" i="27"/>
  <c r="AQ24" i="27" l="1"/>
  <c r="AR74" i="27"/>
  <c r="AR24" i="27" l="1"/>
  <c r="AS74" i="27"/>
  <c r="AS24" i="27" l="1"/>
  <c r="AT74" i="27"/>
  <c r="AT24" i="27" l="1"/>
  <c r="AU74" i="27"/>
  <c r="AU24" i="27" l="1"/>
  <c r="AV74" i="27"/>
  <c r="AV24" i="27" l="1"/>
  <c r="AW74" i="27"/>
  <c r="AW24" i="27" s="1"/>
  <c r="Z8" i="27" l="1"/>
  <c r="Z10" i="27" s="1"/>
  <c r="Z12" i="27" l="1"/>
  <c r="Z13" i="27" s="1"/>
  <c r="Z11" i="27"/>
  <c r="AA8" i="27"/>
  <c r="AB8" i="27"/>
  <c r="AA10" i="27" l="1"/>
  <c r="AA11" i="27" s="1"/>
  <c r="AA12" i="27" l="1"/>
  <c r="AA13" i="27" s="1"/>
  <c r="AB10" i="27" s="1"/>
  <c r="AB11" i="27" s="1"/>
  <c r="AB12" i="27" l="1"/>
  <c r="AB13" i="27" s="1"/>
  <c r="AC10" i="27" s="1"/>
  <c r="AC12" i="27" s="1"/>
  <c r="AC13" i="27" s="1"/>
  <c r="AD10" i="27" s="1"/>
  <c r="AD12" i="27" s="1"/>
  <c r="AD13" i="27" s="1"/>
  <c r="AE10" i="27" s="1"/>
  <c r="AE12" i="27" s="1"/>
  <c r="AE13" i="27" s="1"/>
  <c r="AF10" i="27" s="1"/>
  <c r="AF12" i="27" s="1"/>
  <c r="AF13" i="27" s="1"/>
  <c r="AG10" i="27" s="1"/>
  <c r="AG12" i="27" s="1"/>
  <c r="AG13" i="27" s="1"/>
  <c r="AH10" i="27" s="1"/>
  <c r="AH12" i="27" s="1"/>
  <c r="AH13" i="27" s="1"/>
  <c r="AI10" i="27" s="1"/>
  <c r="AI12" i="27" s="1"/>
  <c r="AI13" i="27" s="1"/>
  <c r="AJ10" i="27" s="1"/>
  <c r="AJ12" i="27" s="1"/>
  <c r="AJ13" i="27" s="1"/>
  <c r="AK10" i="27" s="1"/>
  <c r="AK12" i="27" s="1"/>
  <c r="AK13" i="27" s="1"/>
  <c r="AL10" i="27" s="1"/>
  <c r="AL12" i="27" s="1"/>
  <c r="AL13" i="27" s="1"/>
  <c r="AM10" i="27" s="1"/>
  <c r="AM12" i="27" s="1"/>
  <c r="AM13" i="27" s="1"/>
  <c r="AN10" i="27" s="1"/>
  <c r="AN12" i="27" s="1"/>
  <c r="AN13" i="27" s="1"/>
  <c r="AO10" i="27" s="1"/>
  <c r="AO12" i="27" s="1"/>
  <c r="AO13" i="27" s="1"/>
  <c r="AP10" i="27" s="1"/>
  <c r="AP12" i="27" s="1"/>
  <c r="AP13" i="27" s="1"/>
  <c r="AQ10" i="27" s="1"/>
  <c r="AQ12" i="27" s="1"/>
  <c r="AQ13" i="27" s="1"/>
  <c r="AR10" i="27" s="1"/>
  <c r="AR12" i="27" s="1"/>
  <c r="AR13" i="27" s="1"/>
  <c r="AS10" i="27" s="1"/>
  <c r="AS12" i="27" s="1"/>
  <c r="AS13" i="27" s="1"/>
  <c r="AT10" i="27" s="1"/>
  <c r="AT12" i="27" s="1"/>
  <c r="AT13" i="27" s="1"/>
  <c r="AU10" i="27" s="1"/>
  <c r="AU12" i="27" s="1"/>
  <c r="AU13" i="27" s="1"/>
  <c r="AV10" i="27" s="1"/>
  <c r="AV12" i="27" s="1"/>
  <c r="AV13" i="27" s="1"/>
  <c r="AW10" i="27" s="1"/>
  <c r="AW12" i="27" s="1"/>
  <c r="AW13" i="27" s="1"/>
  <c r="AC11" i="27" l="1"/>
  <c r="AD11" i="27" s="1"/>
  <c r="AE11" i="27" s="1"/>
  <c r="AF11" i="27" s="1"/>
  <c r="AG11" i="27" s="1"/>
  <c r="AH11" i="27" s="1"/>
  <c r="AI11" i="27" s="1"/>
  <c r="AJ11" i="27" s="1"/>
  <c r="AK11" i="27" s="1"/>
  <c r="AL11" i="27" s="1"/>
  <c r="AM11" i="27" s="1"/>
  <c r="AN11" i="27" s="1"/>
  <c r="AO11" i="27" s="1"/>
  <c r="AP11" i="27" s="1"/>
  <c r="AQ11" i="27" s="1"/>
  <c r="AR11" i="27" s="1"/>
  <c r="AS11" i="27" s="1"/>
  <c r="AT11" i="27" s="1"/>
  <c r="AU11" i="27" s="1"/>
  <c r="AV11" i="27" s="1"/>
  <c r="AW11" i="27" s="1"/>
  <c r="AC33" i="27" l="1"/>
  <c r="AD33" i="27"/>
  <c r="AE33" i="27"/>
  <c r="AF33" i="27"/>
  <c r="AG33" i="27"/>
  <c r="AH33" i="27"/>
  <c r="AI33" i="27"/>
  <c r="AJ33" i="27"/>
  <c r="AK33" i="27"/>
  <c r="X11" i="28"/>
  <c r="X20" i="28"/>
  <c r="Z27" i="27"/>
  <c r="Z31" i="27" l="1"/>
  <c r="Z20" i="27" s="1"/>
  <c r="Z16" i="27"/>
  <c r="Z33" i="27" l="1"/>
  <c r="Z22" i="27" l="1"/>
  <c r="Z34" i="27"/>
  <c r="Z23" i="27"/>
  <c r="AA32" i="27" l="1"/>
  <c r="Z24" i="27"/>
  <c r="AA33" i="27" l="1"/>
  <c r="AA21" i="27"/>
  <c r="AA22" i="27" l="1"/>
  <c r="AA23" i="27"/>
  <c r="AA34" i="27"/>
  <c r="AB32" i="27" l="1"/>
  <c r="AA24" i="27"/>
  <c r="AB21" i="27" l="1"/>
  <c r="AB33" i="27"/>
  <c r="AB34" i="27" l="1"/>
  <c r="AB23" i="27"/>
  <c r="AB22" i="27"/>
  <c r="AC34" i="27" l="1"/>
  <c r="AD34" i="27" s="1"/>
  <c r="AE34" i="27" s="1"/>
  <c r="AF34" i="27" s="1"/>
  <c r="AG34" i="27" s="1"/>
  <c r="AH34" i="27" s="1"/>
  <c r="AI34" i="27" s="1"/>
  <c r="AJ34" i="27" s="1"/>
  <c r="AK34" i="27" s="1"/>
  <c r="AL34" i="27" s="1"/>
  <c r="AM34" i="27" s="1"/>
  <c r="AN34" i="27" s="1"/>
  <c r="AO34" i="27" s="1"/>
  <c r="AP34" i="27" s="1"/>
  <c r="AQ34" i="27" s="1"/>
  <c r="AR34" i="27" s="1"/>
  <c r="AS34" i="27" s="1"/>
  <c r="AT34" i="27" s="1"/>
  <c r="AU34" i="27" s="1"/>
  <c r="AV34" i="27" s="1"/>
  <c r="AW34" i="27" s="1"/>
  <c r="AB24" i="27"/>
</calcChain>
</file>

<file path=xl/comments1.xml><?xml version="1.0" encoding="utf-8"?>
<comments xmlns="http://schemas.openxmlformats.org/spreadsheetml/2006/main">
  <authors>
    <author>Filley, Kimberly S</author>
    <author>Logan, Raysene</author>
  </authors>
  <commentList>
    <comment ref="N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Note, this total value is not  linked into the TD-Total formulas below because already included via the TD 1M-4M and 11M updates we made below</t>
        </r>
      </text>
    </comment>
    <comment ref="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AC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D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E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G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H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I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J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K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L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M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N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O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P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Q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8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no M3 EO rate in effect currently so no value to put herein at this time - see comment box in same section of the MEEIA 2 calcs tab herein for how to handle when M3 EO rates do go into effect</t>
        </r>
      </text>
    </comment>
    <comment ref="W84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2019 EO for M3 of $6.6M booked in August 20 and includes a TD True-up -$344K</t>
        </r>
      </text>
    </comment>
  </commentList>
</comments>
</file>

<file path=xl/comments2.xml><?xml version="1.0" encoding="utf-8"?>
<comments xmlns="http://schemas.openxmlformats.org/spreadsheetml/2006/main">
  <authors>
    <author>Filley, Kimberly S</author>
    <author>Logan, Raysene</author>
  </authors>
  <commentList>
    <comment ref="N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Note, this total value is not  linked into the TD-Total formulas below because already included via the TD 1M-4M and 11M updates we made below</t>
        </r>
      </text>
    </comment>
    <comment ref="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8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no M3 EO rate in effect currently so no value to put herein at this time - see comment box in same section of the MEEIA 2 calcs tab herein for how to handle when M3 EO rates do go into effect</t>
        </r>
      </text>
    </comment>
    <comment ref="W84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2019 EO for M3 of $6.6M booked in August 20 and includes a TD True-up -$344K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</commentList>
</comments>
</file>

<file path=xl/sharedStrings.xml><?xml version="1.0" encoding="utf-8"?>
<sst xmlns="http://schemas.openxmlformats.org/spreadsheetml/2006/main" count="377" uniqueCount="81">
  <si>
    <t>Program Cost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</si>
  <si>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</si>
  <si>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</si>
  <si>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</si>
  <si>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</si>
  <si>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</si>
  <si>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</si>
  <si>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</si>
  <si>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</si>
  <si>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</si>
  <si>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</si>
  <si>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</si>
  <si>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</si>
  <si>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</si>
  <si>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</si>
  <si>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</si>
  <si>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</si>
  <si>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</si>
  <si>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</si>
  <si>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</si>
  <si>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</si>
  <si>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</si>
  <si>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</si>
  <si>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</si>
  <si>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</si>
  <si>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</si>
  <si>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</si>
  <si>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</si>
  <si>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</si>
  <si>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</si>
  <si>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</si>
  <si>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</si>
  <si>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</si>
  <si>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</si>
  <si>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</si>
  <si>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</si>
  <si>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</si>
  <si>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</si>
  <si>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</si>
  <si>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</si>
  <si>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 xml:space="preserve">   Interest (Expense)/Revenue $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</si>
  <si>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</si>
  <si>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</si>
  <si>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</si>
  <si>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</si>
  <si>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</si>
  <si>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</si>
  <si>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</si>
  <si>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</si>
  <si>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</si>
  <si>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</si>
  <si>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</si>
  <si>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</si>
  <si>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</si>
  <si>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</si>
  <si>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</si>
  <si>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</si>
  <si>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</si>
  <si>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</si>
  <si>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</si>
  <si>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</si>
  <si>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</si>
  <si>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</si>
  <si>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</si>
  <si>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</si>
  <si>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</si>
  <si>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MEEIA Cycle 3</t>
  </si>
  <si>
    <t>M3 Earnings Opportunity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</si>
  <si>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</si>
  <si>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</si>
  <si>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</si>
  <si>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</si>
  <si>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</si>
  <si>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</si>
  <si>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</si>
  <si>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</si>
  <si>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</si>
  <si>
    <t>TD interest adjs to book as result of the air compressor margin rate being applied to all measures  - booked to GL in Nov 2019</t>
  </si>
  <si>
    <t xml:space="preserve">adj needed  </t>
  </si>
  <si>
    <t>adj needed</t>
  </si>
  <si>
    <t>M3 TD interest correction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</si>
</sst>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rgb="FF000000"/>
      <name val="Tahoma"/>
      <family val="2"/>
    </font>
  </fonts>
  <fills count="7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C9C9CB"/>
      </left>
      <right/>
      <top/>
      <bottom/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138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34" fillId="0" borderId="0" xfId="0" applyFont="1"/>
    <xf numFmtId="0" fontId="33" fillId="0" borderId="0" xfId="0" applyFont="1"/>
    <xf numFmtId="17" fontId="4" fillId="0" borderId="0" xfId="0" applyNumberFormat="1" applyFont="1" applyFill="1" applyBorder="1" applyAlignment="1" applyProtection="1">
      <alignment horizontal="center"/>
    </xf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43" fontId="0" fillId="0" borderId="0" xfId="4" applyFont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0" fontId="6" fillId="70" borderId="0" xfId="0" applyFont="1" applyFill="1" applyBorder="1" applyAlignment="1" applyProtection="1">
      <alignment horizontal="left"/>
      <protection locked="0"/>
    </xf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0" fontId="73" fillId="0" borderId="0" xfId="0" applyFont="1" applyFill="1"/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0" fontId="77" fillId="67" borderId="0" xfId="0" applyFont="1" applyFill="1"/>
    <xf numFmtId="43" fontId="77" fillId="67" borderId="0" xfId="4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38" fontId="0" fillId="15" borderId="0" xfId="4" applyNumberFormat="1" applyFont="1" applyFill="1"/>
    <xf numFmtId="43" fontId="0" fillId="15" borderId="0" xfId="644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4" fontId="0" fillId="75" borderId="0" xfId="37697" applyFont="1" applyFill="1"/>
    <xf numFmtId="44" fontId="0" fillId="67" borderId="0" xfId="37697" applyFont="1" applyFill="1"/>
    <xf numFmtId="43" fontId="0" fillId="0" borderId="0" xfId="4" applyFont="1" applyFill="1"/>
    <xf numFmtId="0" fontId="7" fillId="69" borderId="0" xfId="0" applyFont="1" applyFill="1" applyAlignment="1">
      <alignment horizontal="center" vertical="center" textRotation="90"/>
    </xf>
    <xf numFmtId="43" fontId="1" fillId="0" borderId="0" xfId="21150" applyNumberFormat="1" applyFont="1" applyFill="1"/>
    <xf numFmtId="44" fontId="4" fillId="0" borderId="0" xfId="37697" applyFont="1" applyFill="1" applyBorder="1"/>
    <xf numFmtId="167" fontId="75" fillId="15" borderId="0" xfId="0" applyNumberFormat="1" applyFont="1" applyFill="1"/>
    <xf numFmtId="167" fontId="75" fillId="0" borderId="0" xfId="0" applyNumberFormat="1" applyFont="1" applyFill="1"/>
    <xf numFmtId="168" fontId="75" fillId="15" borderId="0" xfId="0" applyNumberFormat="1" applyFont="1" applyFill="1"/>
    <xf numFmtId="168" fontId="75" fillId="0" borderId="0" xfId="0" applyNumberFormat="1" applyFont="1" applyFill="1"/>
    <xf numFmtId="164" fontId="77" fillId="67" borderId="0" xfId="0" applyNumberFormat="1" applyFont="1" applyFill="1"/>
    <xf numFmtId="164" fontId="6" fillId="76" borderId="3" xfId="2" applyNumberFormat="1" applyFont="1" applyFill="1" applyBorder="1" applyProtection="1"/>
    <xf numFmtId="44" fontId="79" fillId="72" borderId="32" xfId="0" applyNumberFormat="1" applyFont="1" applyFill="1" applyBorder="1" applyProtection="1">
      <protection locked="0"/>
    </xf>
    <xf numFmtId="164" fontId="6" fillId="0" borderId="0" xfId="2" applyNumberFormat="1" applyFont="1" applyFill="1" applyBorder="1" applyProtection="1"/>
    <xf numFmtId="164" fontId="6" fillId="0" borderId="29" xfId="2" applyNumberFormat="1" applyFont="1" applyFill="1" applyBorder="1" applyProtection="1"/>
    <xf numFmtId="0" fontId="0" fillId="6" borderId="0" xfId="0" applyFill="1"/>
    <xf numFmtId="164" fontId="6" fillId="0" borderId="0" xfId="1" applyNumberFormat="1" applyFont="1" applyFill="1" applyBorder="1" applyProtection="1"/>
    <xf numFmtId="0" fontId="78" fillId="78" borderId="0" xfId="21150" applyFont="1" applyFill="1"/>
    <xf numFmtId="44" fontId="4" fillId="78" borderId="0" xfId="37697" applyFont="1" applyFill="1" applyBorder="1"/>
    <xf numFmtId="17" fontId="4" fillId="78" borderId="0" xfId="0" applyNumberFormat="1" applyFont="1" applyFill="1" applyBorder="1" applyAlignment="1" applyProtection="1">
      <alignment horizontal="center"/>
    </xf>
    <xf numFmtId="44" fontId="0" fillId="78" borderId="0" xfId="644" applyNumberFormat="1" applyFont="1" applyFill="1"/>
    <xf numFmtId="0" fontId="78" fillId="77" borderId="0" xfId="21150" applyFont="1" applyFill="1"/>
    <xf numFmtId="0" fontId="0" fillId="77" borderId="0" xfId="0" applyFont="1" applyFill="1"/>
    <xf numFmtId="166" fontId="0" fillId="77" borderId="0" xfId="4" applyNumberFormat="1" applyFont="1" applyFill="1"/>
    <xf numFmtId="44" fontId="0" fillId="0" borderId="0" xfId="644" applyNumberFormat="1" applyFont="1" applyFill="1"/>
    <xf numFmtId="44" fontId="1" fillId="74" borderId="0" xfId="37697" applyFont="1" applyFill="1"/>
    <xf numFmtId="44" fontId="1" fillId="67" borderId="0" xfId="37697" applyFont="1" applyFill="1"/>
    <xf numFmtId="44" fontId="1" fillId="75" borderId="0" xfId="37697" applyFont="1" applyFill="1"/>
    <xf numFmtId="0" fontId="7" fillId="69" borderId="0" xfId="0" applyFont="1" applyFill="1" applyAlignment="1">
      <alignment horizontal="center" vertical="center" textRotation="90"/>
    </xf>
    <xf numFmtId="44" fontId="0" fillId="15" borderId="0" xfId="37697" applyFont="1" applyFill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C028AE"/>
      <color rgb="FFFFFFCC"/>
      <color rgb="FF007A37"/>
      <color rgb="FF0000FF"/>
      <color rgb="FFF7C5BB"/>
      <color rgb="FFFFCC99"/>
      <color rgb="FFBDFFB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59999389629810485"/>
    <pageSetUpPr fitToPage="1"/>
  </sheetPr>
  <dimension ref="A1:AW183"/>
  <sheetViews>
    <sheetView zoomScale="85" zoomScaleNormal="85" zoomScaleSheetLayoutView="80" workbookViewId="0">
      <pane xSplit="2" ySplit="4" topLeftCell="C67" activePane="bottomRight" state="frozen"/>
      <selection pane="topRight"/>
      <selection pane="bottomLeft"/>
      <selection pane="bottomRight" activeCell="I68" sqref="I68"/>
    </sheetView>
  </sheetViews>
  <sheetFormatPr defaultColWidth="9.109375" defaultRowHeight="14.4" zeroHeight="1" outlineLevelRow="1" x14ac:dyDescent="0.3"/>
  <cols>
    <col min="1" max="1" width="3.109375" style="1" customWidth="1"/>
    <col min="2" max="2" width="50" style="36" customWidth="1"/>
    <col min="3" max="3" width="14" style="36" customWidth="1"/>
    <col min="4" max="4" width="14.88671875" style="36" customWidth="1"/>
    <col min="5" max="5" width="15.109375" style="36" customWidth="1"/>
    <col min="6" max="13" width="18.6640625" style="36" customWidth="1"/>
    <col min="14" max="14" width="17.88671875" style="36" customWidth="1" collapsed="1"/>
    <col min="15" max="25" width="18.6640625" style="36" customWidth="1"/>
    <col min="26" max="26" width="18.6640625" style="36" customWidth="1" collapsed="1"/>
    <col min="27" max="40" width="18.6640625" style="36" customWidth="1"/>
    <col min="41" max="49" width="16" style="36" customWidth="1"/>
    <col min="50" max="16384" width="9.109375" style="36"/>
  </cols>
  <sheetData>
    <row r="1" spans="1:49" s="2" customFormat="1" ht="15.6" x14ac:dyDescent="0.3">
      <c r="A1" s="45" t="s">
        <v>66</v>
      </c>
      <c r="Z1" s="118"/>
    </row>
    <row r="2" spans="1:49" ht="15.6" x14ac:dyDescent="0.3">
      <c r="A2" s="45" t="s">
        <v>6</v>
      </c>
      <c r="B2" s="32"/>
      <c r="C2" s="90"/>
      <c r="D2" s="47"/>
      <c r="E2" s="47"/>
      <c r="F2" s="47"/>
      <c r="G2" s="47"/>
      <c r="H2" s="47"/>
      <c r="I2" s="47"/>
      <c r="J2" s="47"/>
      <c r="K2" s="47"/>
      <c r="V2" s="39"/>
      <c r="W2" s="39"/>
      <c r="X2" s="39"/>
      <c r="Z2" s="115"/>
    </row>
    <row r="3" spans="1:49" x14ac:dyDescent="0.3">
      <c r="A3" s="79"/>
      <c r="AG3" s="39"/>
    </row>
    <row r="4" spans="1:49" x14ac:dyDescent="0.3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  <c r="AO4" s="12">
        <v>44593</v>
      </c>
      <c r="AP4" s="12">
        <v>44621</v>
      </c>
      <c r="AQ4" s="12">
        <v>44652</v>
      </c>
      <c r="AR4" s="12">
        <v>44682</v>
      </c>
      <c r="AS4" s="12">
        <v>44713</v>
      </c>
      <c r="AT4" s="12">
        <v>44743</v>
      </c>
      <c r="AU4" s="12">
        <v>44774</v>
      </c>
      <c r="AV4" s="12">
        <v>44805</v>
      </c>
      <c r="AW4" s="12">
        <v>44835</v>
      </c>
    </row>
    <row r="5" spans="1:49" s="2" customFormat="1" ht="15" customHeight="1" x14ac:dyDescent="0.3">
      <c r="A5" s="135" t="s">
        <v>0</v>
      </c>
      <c r="B5" s="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9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s="4" customFormat="1" ht="15" customHeight="1" x14ac:dyDescent="0.3">
      <c r="A6" s="135"/>
      <c r="B6" s="7" t="s">
        <v>8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23">
        <v>7981786.3300000001</v>
      </c>
      <c r="O6" s="24">
        <v>14289408.219999997</v>
      </c>
      <c r="P6" s="24">
        <v>2300282.3399999994</v>
      </c>
      <c r="Q6" s="23">
        <v>3266635.3100000005</v>
      </c>
      <c r="R6" s="23">
        <v>4668387.1399999997</v>
      </c>
      <c r="S6" s="23">
        <v>3355052.560000001</v>
      </c>
      <c r="T6" s="23">
        <v>3504036.8800000004</v>
      </c>
      <c r="U6" s="23">
        <v>4570550.08</v>
      </c>
      <c r="V6" s="23">
        <v>4337551.2399999993</v>
      </c>
      <c r="W6" s="23">
        <v>5132057.5999999996</v>
      </c>
      <c r="X6" s="23">
        <v>6881005.1299999999</v>
      </c>
      <c r="Y6" s="23">
        <v>5075926.8299999991</v>
      </c>
      <c r="Z6" s="95">
        <v>10508235.525170689</v>
      </c>
      <c r="AA6" s="95">
        <v>13979729.345555963</v>
      </c>
      <c r="AB6" s="95">
        <v>5322493.7496591657</v>
      </c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4" customFormat="1" x14ac:dyDescent="0.3">
      <c r="A7" s="135"/>
      <c r="B7" s="7" t="s">
        <v>9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24">
        <v>5729648.6699999999</v>
      </c>
      <c r="O7" s="23">
        <v>7016994.2000000002</v>
      </c>
      <c r="P7" s="24">
        <v>7580344.1500000004</v>
      </c>
      <c r="Q7" s="24">
        <v>6780583.4199999999</v>
      </c>
      <c r="R7" s="24">
        <v>5258818.8899999997</v>
      </c>
      <c r="S7" s="24">
        <v>4379338.6900000004</v>
      </c>
      <c r="T7" s="24">
        <v>4010923.17</v>
      </c>
      <c r="U7" s="24">
        <v>4897738.25</v>
      </c>
      <c r="V7" s="24">
        <v>6248757.4000000004</v>
      </c>
      <c r="W7" s="24">
        <v>6053644.0300000003</v>
      </c>
      <c r="X7" s="24">
        <v>5708518.8099999996</v>
      </c>
      <c r="Y7" s="24">
        <v>4362797.6900000004</v>
      </c>
      <c r="Z7" s="96">
        <v>4351233.5597199863</v>
      </c>
      <c r="AA7" s="96">
        <v>5395845.7600392941</v>
      </c>
      <c r="AB7" s="96">
        <v>6510544.0605135439</v>
      </c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s="4" customFormat="1" x14ac:dyDescent="0.3">
      <c r="A8" s="135"/>
      <c r="B8" s="7" t="s">
        <v>10</v>
      </c>
      <c r="C8" s="9">
        <f t="shared" ref="C8" si="0">IF(OR(C6="",C7=""),"",C6-C7)</f>
        <v>472906.7</v>
      </c>
      <c r="D8" s="9">
        <f t="shared" ref="D8:AW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2252137.66</v>
      </c>
      <c r="O8" s="10">
        <f>IF(OR(O6="",O7=""),"",O6-O7)</f>
        <v>7272414.0199999968</v>
      </c>
      <c r="P8" s="10">
        <f t="shared" si="1"/>
        <v>-5280061.8100000005</v>
      </c>
      <c r="Q8" s="10">
        <f t="shared" si="1"/>
        <v>-3513948.1099999994</v>
      </c>
      <c r="R8" s="10">
        <f t="shared" si="1"/>
        <v>-590431.75</v>
      </c>
      <c r="S8" s="10">
        <f t="shared" si="1"/>
        <v>-1024286.1299999994</v>
      </c>
      <c r="T8" s="10">
        <f t="shared" si="1"/>
        <v>-506886.28999999957</v>
      </c>
      <c r="U8" s="10">
        <f t="shared" si="1"/>
        <v>-327188.16999999993</v>
      </c>
      <c r="V8" s="10">
        <f t="shared" si="1"/>
        <v>-1911206.1600000011</v>
      </c>
      <c r="W8" s="10">
        <f>IF(OR(W6="",W7=""),"",W6-W7)</f>
        <v>-921586.43000000063</v>
      </c>
      <c r="X8" s="10">
        <f>IF(OR(X6="",X7=""),"",X6-X7)</f>
        <v>1172486.3200000003</v>
      </c>
      <c r="Y8" s="10">
        <f t="shared" si="1"/>
        <v>713129.13999999873</v>
      </c>
      <c r="Z8" s="10">
        <f t="shared" ref="Z8:AB8" si="2">IF(OR(Z6="",Z7=""),"",Z6-Z7)</f>
        <v>6157001.9654507032</v>
      </c>
      <c r="AA8" s="10">
        <f t="shared" si="2"/>
        <v>8583883.5855166689</v>
      </c>
      <c r="AB8" s="10">
        <f t="shared" si="2"/>
        <v>-1188050.3108543782</v>
      </c>
      <c r="AC8" s="10" t="str">
        <f t="shared" si="1"/>
        <v/>
      </c>
      <c r="AD8" s="10" t="str">
        <f t="shared" si="1"/>
        <v/>
      </c>
      <c r="AE8" s="10" t="str">
        <f t="shared" si="1"/>
        <v/>
      </c>
      <c r="AF8" s="10" t="str">
        <f t="shared" si="1"/>
        <v/>
      </c>
      <c r="AG8" s="10" t="str">
        <f t="shared" si="1"/>
        <v/>
      </c>
      <c r="AH8" s="10" t="str">
        <f t="shared" si="1"/>
        <v/>
      </c>
      <c r="AI8" s="10" t="str">
        <f t="shared" si="1"/>
        <v/>
      </c>
      <c r="AJ8" s="10" t="str">
        <f t="shared" si="1"/>
        <v/>
      </c>
      <c r="AK8" s="10" t="str">
        <f t="shared" si="1"/>
        <v/>
      </c>
      <c r="AL8" s="10" t="str">
        <f t="shared" si="1"/>
        <v/>
      </c>
      <c r="AM8" s="10" t="str">
        <f t="shared" si="1"/>
        <v/>
      </c>
      <c r="AN8" s="10" t="str">
        <f t="shared" si="1"/>
        <v/>
      </c>
      <c r="AO8" s="10" t="str">
        <f t="shared" si="1"/>
        <v/>
      </c>
      <c r="AP8" s="10" t="str">
        <f t="shared" si="1"/>
        <v/>
      </c>
      <c r="AQ8" s="10" t="str">
        <f t="shared" si="1"/>
        <v/>
      </c>
      <c r="AR8" s="10" t="str">
        <f t="shared" si="1"/>
        <v/>
      </c>
      <c r="AS8" s="10" t="str">
        <f t="shared" si="1"/>
        <v/>
      </c>
      <c r="AT8" s="10" t="str">
        <f t="shared" si="1"/>
        <v/>
      </c>
      <c r="AU8" s="10" t="str">
        <f t="shared" si="1"/>
        <v/>
      </c>
      <c r="AV8" s="10" t="str">
        <f t="shared" si="1"/>
        <v/>
      </c>
      <c r="AW8" s="10" t="str">
        <f t="shared" si="1"/>
        <v/>
      </c>
    </row>
    <row r="9" spans="1:49" s="4" customFormat="1" x14ac:dyDescent="0.3">
      <c r="A9" s="135"/>
      <c r="B9" s="7" t="s">
        <v>3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25">
        <v>1.8159890000000001E-2</v>
      </c>
      <c r="O9" s="25">
        <v>1.9151990000000001E-2</v>
      </c>
      <c r="P9" s="25">
        <v>1.8890779999999999E-2</v>
      </c>
      <c r="Q9" s="25">
        <v>1.8035829999999999E-2</v>
      </c>
      <c r="R9" s="25">
        <v>1.888592E-2</v>
      </c>
      <c r="S9" s="25">
        <v>9.3845999999999999E-3</v>
      </c>
      <c r="T9" s="25">
        <v>1.2906700000000001E-3</v>
      </c>
      <c r="U9" s="25">
        <v>1.2563100000000001E-3</v>
      </c>
      <c r="V9" s="25">
        <v>1.9366299999999999E-3</v>
      </c>
      <c r="W9" s="25">
        <v>1.3658500000000001E-3</v>
      </c>
      <c r="X9" s="25">
        <v>1.23916E-3</v>
      </c>
      <c r="Y9" s="25">
        <v>2E-3</v>
      </c>
      <c r="Z9" s="97">
        <f>Y9</f>
        <v>2E-3</v>
      </c>
      <c r="AA9" s="97">
        <f>Z9</f>
        <v>2E-3</v>
      </c>
      <c r="AB9" s="97">
        <f>AA9</f>
        <v>2E-3</v>
      </c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s="4" customFormat="1" x14ac:dyDescent="0.3">
      <c r="A10" s="135"/>
      <c r="B10" s="7" t="s">
        <v>4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3">IF(OR(E9="",E8="",D13=""),"",ROUND(((D13+E8)*E9)/12,2))</f>
        <v>0</v>
      </c>
      <c r="F10" s="10">
        <f t="shared" si="3"/>
        <v>9653.81</v>
      </c>
      <c r="G10" s="10">
        <f t="shared" si="3"/>
        <v>12438.97</v>
      </c>
      <c r="H10" s="10">
        <f t="shared" si="3"/>
        <v>17431.88</v>
      </c>
      <c r="I10" s="10">
        <f t="shared" si="3"/>
        <v>10576.06</v>
      </c>
      <c r="J10" s="10">
        <f t="shared" si="3"/>
        <v>2521.9899999999998</v>
      </c>
      <c r="K10" s="10">
        <f t="shared" si="3"/>
        <v>-1864.05</v>
      </c>
      <c r="L10" s="10">
        <f t="shared" ref="L10" si="4">IF(OR(L9="",L8="",K13=""),"",ROUND(((K13+L8)*L9)/12,2))</f>
        <v>-6842.24</v>
      </c>
      <c r="M10" s="10">
        <f t="shared" ref="M10" si="5">IF(OR(M9="",M8="",L13=""),"",ROUND(((L13+M8)*M9)/12,2))</f>
        <v>-9531.39</v>
      </c>
      <c r="N10" s="10">
        <f t="shared" ref="N10" si="6">IF(OR(N9="",N8="",M13=""),"",ROUND(((M13+N8)*N9)/12,2))</f>
        <v>-4794.22</v>
      </c>
      <c r="O10" s="10">
        <f t="shared" ref="O10" si="7">IF(OR(O9="",O8="",N13=""),"",ROUND(((N13+O8)*O9)/12,2))</f>
        <v>6542.98</v>
      </c>
      <c r="P10" s="10">
        <f t="shared" ref="P10" si="8">IF(OR(P9="",P8="",O13=""),"",ROUND(((O13+P8)*P9)/12,2))</f>
        <v>-1848</v>
      </c>
      <c r="Q10" s="10">
        <f t="shared" ref="Q10" si="9">IF(OR(Q9="",Q8="",P13=""),"",ROUND(((P13+Q8)*Q9)/12,2))</f>
        <v>-7048.55</v>
      </c>
      <c r="R10" s="10">
        <f t="shared" ref="R10" si="10">IF(OR(R9="",R8="",Q13=""),"",ROUND(((Q13+R8)*R9)/12,2))</f>
        <v>-8321.11</v>
      </c>
      <c r="S10" s="10">
        <f t="shared" ref="S10" si="11">IF(OR(S9="",S8="",R13=""),"",ROUND(((R13+S8)*S9)/12,2))</f>
        <v>-4942.3900000000003</v>
      </c>
      <c r="T10" s="10">
        <f t="shared" ref="T10" si="12">IF(OR(T9="",T8="",S13=""),"",ROUND(((S13+T8)*T9)/12,2))</f>
        <v>-734.78</v>
      </c>
      <c r="U10" s="10">
        <f t="shared" ref="U10" si="13">IF(OR(U9="",U8="",T13=""),"",ROUND(((T13+U8)*U9)/12,2))</f>
        <v>-749.55</v>
      </c>
      <c r="V10" s="10">
        <f t="shared" ref="V10" si="14">IF(OR(V9="",V8="",U13=""),"",ROUND(((U13+V8)*V9)/12,2))</f>
        <v>-1464.01</v>
      </c>
      <c r="W10" s="10">
        <f t="shared" ref="W10" si="15">IF(OR(W9="",W8="",V13=""),"",ROUND(((V13+W8)*W9)/12,2))</f>
        <v>-1137.5899999999999</v>
      </c>
      <c r="X10" s="10">
        <f t="shared" ref="X10" si="16">IF(OR(X9="",X8="",W13=""),"",ROUND(((W13+X8)*X9)/12,2))</f>
        <v>-911.11</v>
      </c>
      <c r="Y10" s="10">
        <f>IF(OR(Y9="",Y8="",X13=""),"",ROUND(((X13+Y8)*Y9)/12,2))</f>
        <v>-1351.83</v>
      </c>
      <c r="Z10" s="10">
        <f>IF(OR(Z9="",Z8="",Y13=""),"",ROUND(((Y13+Z8)*Z9)/12,2))</f>
        <v>-325.89</v>
      </c>
      <c r="AA10" s="10">
        <f t="shared" ref="AA10:AB10" si="17">IF(OR(AA9="",AA8="",Z13=""),"",ROUND(((Z13+AA8)*AA9)/12,2))</f>
        <v>1104.7</v>
      </c>
      <c r="AB10" s="10">
        <f t="shared" si="17"/>
        <v>906.88</v>
      </c>
      <c r="AC10" s="10" t="str">
        <f t="shared" ref="AC10" si="18">IF(OR(AC9="",AC8="",AB13=""),"",ROUND(((AB13+AC8)*AC9)/12,2))</f>
        <v/>
      </c>
      <c r="AD10" s="10" t="str">
        <f t="shared" ref="AD10" si="19">IF(OR(AD9="",AD8="",AC13=""),"",ROUND(((AC13+AD8)*AD9)/12,2))</f>
        <v/>
      </c>
      <c r="AE10" s="10" t="str">
        <f t="shared" ref="AE10" si="20">IF(OR(AE9="",AE8="",AD13=""),"",ROUND(((AD13+AE8)*AE9)/12,2))</f>
        <v/>
      </c>
      <c r="AF10" s="10" t="str">
        <f t="shared" ref="AF10" si="21">IF(OR(AF9="",AF8="",AE13=""),"",ROUND(((AE13+AF8)*AF9)/12,2))</f>
        <v/>
      </c>
      <c r="AG10" s="10" t="str">
        <f t="shared" ref="AG10" si="22">IF(OR(AG9="",AG8="",AF13=""),"",ROUND(((AF13+AG8)*AG9)/12,2))</f>
        <v/>
      </c>
      <c r="AH10" s="10" t="str">
        <f t="shared" ref="AH10" si="23">IF(OR(AH9="",AH8="",AG13=""),"",ROUND(((AG13+AH8)*AH9)/12,2))</f>
        <v/>
      </c>
      <c r="AI10" s="10" t="str">
        <f t="shared" ref="AI10" si="24">IF(OR(AI9="",AI8="",AH13=""),"",ROUND(((AH13+AI8)*AI9)/12,2))</f>
        <v/>
      </c>
      <c r="AJ10" s="10" t="str">
        <f t="shared" ref="AJ10" si="25">IF(OR(AJ9="",AJ8="",AI13=""),"",ROUND(((AI13+AJ8)*AJ9)/12,2))</f>
        <v/>
      </c>
      <c r="AK10" s="10" t="str">
        <f t="shared" ref="AK10" si="26">IF(OR(AK9="",AK8="",AJ13=""),"",ROUND(((AJ13+AK8)*AK9)/12,2))</f>
        <v/>
      </c>
      <c r="AL10" s="10" t="str">
        <f t="shared" ref="AL10" si="27">IF(OR(AL9="",AL8="",AK13=""),"",ROUND(((AK13+AL8)*AL9)/12,2))</f>
        <v/>
      </c>
      <c r="AM10" s="10" t="str">
        <f t="shared" ref="AM10" si="28">IF(OR(AM9="",AM8="",AL13=""),"",ROUND(((AL13+AM8)*AM9)/12,2))</f>
        <v/>
      </c>
      <c r="AN10" s="10" t="str">
        <f t="shared" ref="AN10" si="29">IF(OR(AN9="",AN8="",AM13=""),"",ROUND(((AM13+AN8)*AN9)/12,2))</f>
        <v/>
      </c>
      <c r="AO10" s="10" t="str">
        <f t="shared" ref="AO10" si="30">IF(OR(AO9="",AO8="",AN13=""),"",ROUND(((AN13+AO8)*AO9)/12,2))</f>
        <v/>
      </c>
      <c r="AP10" s="10" t="str">
        <f t="shared" ref="AP10" si="31">IF(OR(AP9="",AP8="",AO13=""),"",ROUND(((AO13+AP8)*AP9)/12,2))</f>
        <v/>
      </c>
      <c r="AQ10" s="10" t="str">
        <f t="shared" ref="AQ10" si="32">IF(OR(AQ9="",AQ8="",AP13=""),"",ROUND(((AP13+AQ8)*AQ9)/12,2))</f>
        <v/>
      </c>
      <c r="AR10" s="10" t="str">
        <f t="shared" ref="AR10" si="33">IF(OR(AR9="",AR8="",AQ13=""),"",ROUND(((AQ13+AR8)*AR9)/12,2))</f>
        <v/>
      </c>
      <c r="AS10" s="10" t="str">
        <f t="shared" ref="AS10" si="34">IF(OR(AS9="",AS8="",AR13=""),"",ROUND(((AR13+AS8)*AS9)/12,2))</f>
        <v/>
      </c>
      <c r="AT10" s="10" t="str">
        <f t="shared" ref="AT10" si="35">IF(OR(AT9="",AT8="",AS13=""),"",ROUND(((AS13+AT8)*AT9)/12,2))</f>
        <v/>
      </c>
      <c r="AU10" s="10" t="str">
        <f t="shared" ref="AU10" si="36">IF(OR(AU9="",AU8="",AT13=""),"",ROUND(((AT13+AU8)*AU9)/12,2))</f>
        <v/>
      </c>
      <c r="AV10" s="10" t="str">
        <f t="shared" ref="AV10" si="37">IF(OR(AV9="",AV8="",AU13=""),"",ROUND(((AU13+AV8)*AV9)/12,2))</f>
        <v/>
      </c>
      <c r="AW10" s="10" t="str">
        <f t="shared" ref="AW10" si="38">IF(OR(AW9="",AW8="",AV13=""),"",ROUND(((AV13+AW8)*AW9)/12,2))</f>
        <v/>
      </c>
    </row>
    <row r="11" spans="1:49" s="4" customFormat="1" x14ac:dyDescent="0.3">
      <c r="A11" s="135"/>
      <c r="B11" s="8" t="s">
        <v>5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W11" si="39">IF(OR(E11="",F10=""),"",E11+F10)</f>
        <v>9653.81</v>
      </c>
      <c r="G11" s="10">
        <f t="shared" si="39"/>
        <v>22092.78</v>
      </c>
      <c r="H11" s="10">
        <f t="shared" si="39"/>
        <v>39524.660000000003</v>
      </c>
      <c r="I11" s="10">
        <f t="shared" si="39"/>
        <v>50100.72</v>
      </c>
      <c r="J11" s="10">
        <f t="shared" si="39"/>
        <v>52622.71</v>
      </c>
      <c r="K11" s="10">
        <f t="shared" si="39"/>
        <v>50758.659999999996</v>
      </c>
      <c r="L11" s="10">
        <f t="shared" si="39"/>
        <v>43916.42</v>
      </c>
      <c r="M11" s="10">
        <f t="shared" si="39"/>
        <v>34385.03</v>
      </c>
      <c r="N11" s="10">
        <f t="shared" si="39"/>
        <v>29590.809999999998</v>
      </c>
      <c r="O11" s="10">
        <f>IF(OR(N11="",O10=""),"",N11+O10)</f>
        <v>36133.789999999994</v>
      </c>
      <c r="P11" s="10">
        <f t="shared" si="39"/>
        <v>34285.789999999994</v>
      </c>
      <c r="Q11" s="10">
        <f t="shared" si="39"/>
        <v>27237.239999999994</v>
      </c>
      <c r="R11" s="10">
        <f t="shared" si="39"/>
        <v>18916.129999999994</v>
      </c>
      <c r="S11" s="10">
        <f t="shared" si="39"/>
        <v>13973.739999999994</v>
      </c>
      <c r="T11" s="10">
        <f t="shared" si="39"/>
        <v>13238.959999999994</v>
      </c>
      <c r="U11" s="10">
        <f t="shared" si="39"/>
        <v>12489.409999999994</v>
      </c>
      <c r="V11" s="10">
        <f t="shared" si="39"/>
        <v>11025.399999999994</v>
      </c>
      <c r="W11" s="10">
        <f t="shared" si="39"/>
        <v>9887.809999999994</v>
      </c>
      <c r="X11" s="10">
        <f>IF(OR(W11="",X10=""),"",W11+X10+X5)</f>
        <v>8976.6999999999935</v>
      </c>
      <c r="Y11" s="10">
        <f t="shared" si="39"/>
        <v>7624.8699999999935</v>
      </c>
      <c r="Z11" s="10">
        <f>IF(OR(Y11="",Z10=""),"",Y11+Z10)</f>
        <v>7298.9799999999932</v>
      </c>
      <c r="AA11" s="10">
        <f t="shared" si="39"/>
        <v>8403.679999999993</v>
      </c>
      <c r="AB11" s="10">
        <f t="shared" si="39"/>
        <v>9310.5599999999922</v>
      </c>
      <c r="AC11" s="10" t="str">
        <f t="shared" si="39"/>
        <v/>
      </c>
      <c r="AD11" s="10" t="str">
        <f t="shared" si="39"/>
        <v/>
      </c>
      <c r="AE11" s="10" t="str">
        <f t="shared" si="39"/>
        <v/>
      </c>
      <c r="AF11" s="10" t="str">
        <f t="shared" si="39"/>
        <v/>
      </c>
      <c r="AG11" s="10" t="str">
        <f t="shared" si="39"/>
        <v/>
      </c>
      <c r="AH11" s="10" t="str">
        <f t="shared" si="39"/>
        <v/>
      </c>
      <c r="AI11" s="10" t="str">
        <f t="shared" si="39"/>
        <v/>
      </c>
      <c r="AJ11" s="10" t="str">
        <f t="shared" si="39"/>
        <v/>
      </c>
      <c r="AK11" s="10" t="str">
        <f t="shared" si="39"/>
        <v/>
      </c>
      <c r="AL11" s="10" t="str">
        <f t="shared" si="39"/>
        <v/>
      </c>
      <c r="AM11" s="10" t="str">
        <f>IF(OR(AL11="",AM10=""),"",AL11+AM10)</f>
        <v/>
      </c>
      <c r="AN11" s="10" t="str">
        <f t="shared" si="39"/>
        <v/>
      </c>
      <c r="AO11" s="10" t="str">
        <f t="shared" si="39"/>
        <v/>
      </c>
      <c r="AP11" s="10" t="str">
        <f>IF(OR(AO11="",AP10=""),"",AO11+AP10)</f>
        <v/>
      </c>
      <c r="AQ11" s="10" t="str">
        <f t="shared" si="39"/>
        <v/>
      </c>
      <c r="AR11" s="10" t="str">
        <f t="shared" si="39"/>
        <v/>
      </c>
      <c r="AS11" s="10" t="str">
        <f t="shared" si="39"/>
        <v/>
      </c>
      <c r="AT11" s="10" t="str">
        <f t="shared" si="39"/>
        <v/>
      </c>
      <c r="AU11" s="10" t="str">
        <f t="shared" si="39"/>
        <v/>
      </c>
      <c r="AV11" s="10" t="str">
        <f t="shared" si="39"/>
        <v/>
      </c>
      <c r="AW11" s="10" t="str">
        <f t="shared" si="39"/>
        <v/>
      </c>
    </row>
    <row r="12" spans="1:49" s="4" customFormat="1" x14ac:dyDescent="0.3">
      <c r="A12" s="135"/>
      <c r="B12" s="7" t="s">
        <v>11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40">IF(OR(F10="",F8=""),"",F8+F10)</f>
        <v>3264169.56</v>
      </c>
      <c r="G12" s="10">
        <f>IF(OR(G10="",G8=""),"",G8+G10)</f>
        <v>1454125.8400000005</v>
      </c>
      <c r="H12" s="10">
        <f t="shared" si="40"/>
        <v>2211233.6500000004</v>
      </c>
      <c r="I12" s="10">
        <f>IF(OR(I10="",I8=""),"",I8+I10)</f>
        <v>-3030810.39</v>
      </c>
      <c r="J12" s="10">
        <f t="shared" ref="J12:M12" si="41">IF(OR(J10="",J8=""),"",J8+J10)</f>
        <v>-3630815.8500000006</v>
      </c>
      <c r="K12" s="10">
        <f>IF(OR(K10="",K8=""),"",K8+K10)</f>
        <v>-2122057.16</v>
      </c>
      <c r="L12" s="10">
        <f t="shared" si="41"/>
        <v>-2757332.0299999984</v>
      </c>
      <c r="M12" s="10">
        <f t="shared" si="41"/>
        <v>-1709571.269999997</v>
      </c>
      <c r="N12" s="10">
        <f>IF(OR(N10="",N8=""),"",N8+N10)</f>
        <v>2247343.44</v>
      </c>
      <c r="O12" s="10">
        <f>IF(OR(O10="",O8=""),"",O8+O10)</f>
        <v>7278956.9999999972</v>
      </c>
      <c r="P12" s="10">
        <f t="shared" ref="P12:X12" si="42">IF(OR(P10="",P8=""),"",P8+P10)</f>
        <v>-5281909.8100000005</v>
      </c>
      <c r="Q12" s="10">
        <f t="shared" si="42"/>
        <v>-3520996.6599999992</v>
      </c>
      <c r="R12" s="10">
        <f t="shared" si="42"/>
        <v>-598752.86</v>
      </c>
      <c r="S12" s="10">
        <f t="shared" si="42"/>
        <v>-1029228.5199999994</v>
      </c>
      <c r="T12" s="10">
        <f>IF(OR(T10="",T8=""),"",T8+T10)</f>
        <v>-507621.0699999996</v>
      </c>
      <c r="U12" s="10">
        <f t="shared" si="42"/>
        <v>-327937.71999999991</v>
      </c>
      <c r="V12" s="10">
        <f>IF(OR(V10="",V8=""),"",V8+V10)</f>
        <v>-1912670.1700000011</v>
      </c>
      <c r="W12" s="10">
        <f t="shared" si="42"/>
        <v>-922724.0200000006</v>
      </c>
      <c r="X12" s="10">
        <f t="shared" si="42"/>
        <v>1171575.2100000002</v>
      </c>
      <c r="Y12" s="10">
        <f>IF(OR(Y10="",Y8=""),"",Y8+Y10)</f>
        <v>711777.30999999878</v>
      </c>
      <c r="Z12" s="10">
        <f>IF(OR(Z10="",Z8=""),"",Z8+Z10)</f>
        <v>6156676.0754507035</v>
      </c>
      <c r="AA12" s="10">
        <f>IF(OR(AA10="",AA8=""),"",AA8+AA10)</f>
        <v>8584988.2855166681</v>
      </c>
      <c r="AB12" s="10">
        <f>IF(OR(AB10="",AB8=""),"",AB8+AB10)</f>
        <v>-1187143.4308543783</v>
      </c>
      <c r="AC12" s="10" t="str">
        <f t="shared" ref="AC12:AW12" si="43">IF(OR(AC10="",AC8=""),"",AC8+AC10)</f>
        <v/>
      </c>
      <c r="AD12" s="10" t="str">
        <f t="shared" si="43"/>
        <v/>
      </c>
      <c r="AE12" s="10" t="str">
        <f t="shared" si="43"/>
        <v/>
      </c>
      <c r="AF12" s="10" t="str">
        <f t="shared" si="43"/>
        <v/>
      </c>
      <c r="AG12" s="10" t="str">
        <f t="shared" si="43"/>
        <v/>
      </c>
      <c r="AH12" s="10" t="str">
        <f t="shared" si="43"/>
        <v/>
      </c>
      <c r="AI12" s="10" t="str">
        <f t="shared" si="43"/>
        <v/>
      </c>
      <c r="AJ12" s="10" t="str">
        <f t="shared" si="43"/>
        <v/>
      </c>
      <c r="AK12" s="10" t="str">
        <f t="shared" si="43"/>
        <v/>
      </c>
      <c r="AL12" s="10" t="str">
        <f t="shared" si="43"/>
        <v/>
      </c>
      <c r="AM12" s="10" t="str">
        <f>IF(OR(AM10="",AM8=""),"",AM8+AM10)</f>
        <v/>
      </c>
      <c r="AN12" s="10" t="str">
        <f t="shared" si="43"/>
        <v/>
      </c>
      <c r="AO12" s="10" t="str">
        <f t="shared" si="43"/>
        <v/>
      </c>
      <c r="AP12" s="10" t="str">
        <f t="shared" si="43"/>
        <v/>
      </c>
      <c r="AQ12" s="10" t="str">
        <f t="shared" si="43"/>
        <v/>
      </c>
      <c r="AR12" s="10" t="str">
        <f t="shared" si="43"/>
        <v/>
      </c>
      <c r="AS12" s="10" t="str">
        <f t="shared" si="43"/>
        <v/>
      </c>
      <c r="AT12" s="10" t="str">
        <f t="shared" si="43"/>
        <v/>
      </c>
      <c r="AU12" s="10" t="str">
        <f t="shared" si="43"/>
        <v/>
      </c>
      <c r="AV12" s="10" t="str">
        <f t="shared" si="43"/>
        <v/>
      </c>
      <c r="AW12" s="10" t="str">
        <f t="shared" si="43"/>
        <v/>
      </c>
    </row>
    <row r="13" spans="1:49" s="4" customFormat="1" x14ac:dyDescent="0.3">
      <c r="A13" s="135"/>
      <c r="B13" s="11" t="s">
        <v>2</v>
      </c>
      <c r="C13" s="86">
        <f>C12</f>
        <v>472906.7</v>
      </c>
      <c r="D13" s="86">
        <f>IF(OR(D12="",C13=""),"",D12+C13)</f>
        <v>594857.16</v>
      </c>
      <c r="E13" s="86">
        <f>IF(OR(E12="",D13=""),"",E12+D13)</f>
        <v>900914.26</v>
      </c>
      <c r="F13" s="10">
        <f>IF(OR(F12="",E13=""),"",F12+E13)</f>
        <v>4165083.8200000003</v>
      </c>
      <c r="G13" s="10">
        <f t="shared" ref="G13:AL13" si="44">IF(OR(G12="",F13=""),"",G12+F13)</f>
        <v>5619209.6600000011</v>
      </c>
      <c r="H13" s="10">
        <f t="shared" si="44"/>
        <v>7830443.3100000015</v>
      </c>
      <c r="I13" s="10">
        <f t="shared" si="44"/>
        <v>4799632.9200000018</v>
      </c>
      <c r="J13" s="10">
        <f t="shared" si="44"/>
        <v>1168817.0700000012</v>
      </c>
      <c r="K13" s="10">
        <f>IF(OR(K12="",J13=""),"",K12+J13)</f>
        <v>-953240.08999999892</v>
      </c>
      <c r="L13" s="10">
        <f t="shared" si="44"/>
        <v>-3710572.1199999973</v>
      </c>
      <c r="M13" s="10">
        <f t="shared" si="44"/>
        <v>-5420143.3899999941</v>
      </c>
      <c r="N13" s="10">
        <f>IF(OR(N12="",M13=""),"",N12+M13)</f>
        <v>-3172799.9499999941</v>
      </c>
      <c r="O13" s="10">
        <f>IF(OR(O12="",N13=""),"",O12+N13+O5)</f>
        <v>4106157.0500000031</v>
      </c>
      <c r="P13" s="10">
        <f t="shared" si="44"/>
        <v>-1175752.7599999974</v>
      </c>
      <c r="Q13" s="10">
        <f t="shared" si="44"/>
        <v>-4696749.4199999962</v>
      </c>
      <c r="R13" s="10">
        <f t="shared" si="44"/>
        <v>-5295502.2799999965</v>
      </c>
      <c r="S13" s="10">
        <f t="shared" si="44"/>
        <v>-6324730.7999999961</v>
      </c>
      <c r="T13" s="10">
        <f t="shared" si="44"/>
        <v>-6832351.8699999955</v>
      </c>
      <c r="U13" s="10">
        <f t="shared" si="44"/>
        <v>-7160289.5899999952</v>
      </c>
      <c r="V13" s="10">
        <f>IF(OR(V12="",U13=""),"",V12+U13)</f>
        <v>-9072959.7599999961</v>
      </c>
      <c r="W13" s="10">
        <f t="shared" si="44"/>
        <v>-9995683.7799999975</v>
      </c>
      <c r="X13" s="10">
        <f>IF(OR(X12="",W13=""),"",X12+W13+X5)</f>
        <v>-8824108.5699999966</v>
      </c>
      <c r="Y13" s="10">
        <f t="shared" si="44"/>
        <v>-8112331.2599999979</v>
      </c>
      <c r="Z13" s="10">
        <f>IF(OR(Z12="",Y13=""),"",Z12+Y13)</f>
        <v>-1955655.1845492944</v>
      </c>
      <c r="AA13" s="10">
        <f t="shared" si="44"/>
        <v>6629333.1009673737</v>
      </c>
      <c r="AB13" s="10">
        <f t="shared" si="44"/>
        <v>5442189.6701129954</v>
      </c>
      <c r="AC13" s="10" t="str">
        <f t="shared" si="44"/>
        <v/>
      </c>
      <c r="AD13" s="10" t="str">
        <f t="shared" si="44"/>
        <v/>
      </c>
      <c r="AE13" s="10" t="str">
        <f t="shared" si="44"/>
        <v/>
      </c>
      <c r="AF13" s="10" t="str">
        <f t="shared" si="44"/>
        <v/>
      </c>
      <c r="AG13" s="10" t="str">
        <f t="shared" si="44"/>
        <v/>
      </c>
      <c r="AH13" s="10" t="str">
        <f t="shared" si="44"/>
        <v/>
      </c>
      <c r="AI13" s="10" t="str">
        <f t="shared" si="44"/>
        <v/>
      </c>
      <c r="AJ13" s="10" t="str">
        <f t="shared" si="44"/>
        <v/>
      </c>
      <c r="AK13" s="10" t="str">
        <f t="shared" si="44"/>
        <v/>
      </c>
      <c r="AL13" s="10" t="str">
        <f t="shared" si="44"/>
        <v/>
      </c>
      <c r="AM13" s="10" t="str">
        <f>IF(OR(AM12="",AL13=""),"",AM12+AL13)</f>
        <v/>
      </c>
      <c r="AN13" s="10" t="str">
        <f t="shared" ref="AN13:AW13" si="45">IF(OR(AN12="",AM13=""),"",AN12+AM13)</f>
        <v/>
      </c>
      <c r="AO13" s="10" t="str">
        <f t="shared" si="45"/>
        <v/>
      </c>
      <c r="AP13" s="10" t="str">
        <f t="shared" si="45"/>
        <v/>
      </c>
      <c r="AQ13" s="10" t="str">
        <f t="shared" si="45"/>
        <v/>
      </c>
      <c r="AR13" s="10" t="str">
        <f t="shared" si="45"/>
        <v/>
      </c>
      <c r="AS13" s="10" t="str">
        <f t="shared" si="45"/>
        <v/>
      </c>
      <c r="AT13" s="10" t="str">
        <f t="shared" si="45"/>
        <v/>
      </c>
      <c r="AU13" s="10" t="str">
        <f t="shared" si="45"/>
        <v/>
      </c>
      <c r="AV13" s="10" t="str">
        <f t="shared" si="45"/>
        <v/>
      </c>
      <c r="AW13" s="10" t="str">
        <f t="shared" si="45"/>
        <v/>
      </c>
    </row>
    <row r="14" spans="1:49" s="5" customFormat="1" ht="8.25" customHeight="1" x14ac:dyDescent="0.3">
      <c r="A14" s="40"/>
      <c r="B14" s="13"/>
      <c r="C14" s="85"/>
      <c r="D14" s="85"/>
      <c r="E14" s="85"/>
      <c r="F14" s="8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" customHeight="1" x14ac:dyDescent="0.3">
      <c r="A15" s="132" t="s">
        <v>24</v>
      </c>
      <c r="B15" s="17"/>
      <c r="C15" s="87"/>
      <c r="D15" s="87"/>
      <c r="E15" s="87"/>
      <c r="F15" s="9"/>
      <c r="G15" s="9"/>
      <c r="H15" s="9"/>
      <c r="I15" s="9"/>
      <c r="J15" s="9"/>
      <c r="K15" s="9"/>
      <c r="L15" s="9"/>
      <c r="M15" s="9"/>
      <c r="N15" s="96">
        <f>N26+N36+N46+N56+N66</f>
        <v>157.77999999999946</v>
      </c>
      <c r="O15" s="9"/>
      <c r="P15" s="9"/>
      <c r="Q15" s="9">
        <f>Q16-Q17</f>
        <v>215690.55539476918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59"/>
      <c r="AP15" s="59"/>
      <c r="AQ15" s="59"/>
      <c r="AR15" s="59"/>
      <c r="AS15" s="59"/>
      <c r="AT15" s="59"/>
      <c r="AU15" s="59"/>
      <c r="AV15" s="59"/>
      <c r="AW15" s="59"/>
    </row>
    <row r="16" spans="1:49" s="3" customFormat="1" ht="15" customHeight="1" x14ac:dyDescent="0.3">
      <c r="A16" s="132"/>
      <c r="B16" s="17" t="s">
        <v>27</v>
      </c>
      <c r="C16" s="81"/>
      <c r="D16" s="81"/>
      <c r="E16" s="81"/>
      <c r="F16" s="21">
        <f>IF(F67="","",SUM(F67,F57,F47,F37,F27))</f>
        <v>0.71203150918887492</v>
      </c>
      <c r="G16" s="21">
        <f t="shared" ref="F16:AW19" si="46">IF(G67="","",SUM(G67,G57,G47,G37,G27))</f>
        <v>4695.4207688607348</v>
      </c>
      <c r="H16" s="21">
        <f t="shared" si="46"/>
        <v>39935.570121927383</v>
      </c>
      <c r="I16" s="21">
        <f t="shared" si="46"/>
        <v>291676.37356246018</v>
      </c>
      <c r="J16" s="21">
        <f t="shared" si="46"/>
        <v>544866.33457860805</v>
      </c>
      <c r="K16" s="21">
        <f t="shared" si="46"/>
        <v>663040.94756639062</v>
      </c>
      <c r="L16" s="21">
        <f t="shared" si="46"/>
        <v>547744.67638274864</v>
      </c>
      <c r="M16" s="21">
        <f t="shared" si="46"/>
        <v>270067.89072131994</v>
      </c>
      <c r="N16" s="21">
        <f t="shared" si="46"/>
        <v>449448.83291898982</v>
      </c>
      <c r="O16" s="21">
        <f t="shared" si="46"/>
        <v>672384.11562352558</v>
      </c>
      <c r="P16" s="21">
        <f t="shared" si="46"/>
        <v>860299.05315340089</v>
      </c>
      <c r="Q16" s="21">
        <f t="shared" si="46"/>
        <v>921069.68539476907</v>
      </c>
      <c r="R16" s="21">
        <f t="shared" si="46"/>
        <v>727242.36549864151</v>
      </c>
      <c r="S16" s="21">
        <f t="shared" si="46"/>
        <v>330495.27100759087</v>
      </c>
      <c r="T16" s="21">
        <f t="shared" si="46"/>
        <v>448514.38010054693</v>
      </c>
      <c r="U16" s="21">
        <f t="shared" si="46"/>
        <v>1166466.8526526124</v>
      </c>
      <c r="V16" s="21">
        <f t="shared" si="46"/>
        <v>1596902.1714481553</v>
      </c>
      <c r="W16" s="21">
        <f>IF(W67="","",SUM(W67,W57,W47,W37,W27))</f>
        <v>1748272.4117888492</v>
      </c>
      <c r="X16" s="21">
        <f t="shared" si="46"/>
        <v>1519471.01623757</v>
      </c>
      <c r="Y16" s="21">
        <f t="shared" si="46"/>
        <v>764880.45368540613</v>
      </c>
      <c r="Z16" s="21">
        <f t="shared" si="46"/>
        <v>911910.19352346717</v>
      </c>
      <c r="AA16" s="21">
        <f t="shared" si="46"/>
        <v>1208568.6903410305</v>
      </c>
      <c r="AB16" s="21">
        <f t="shared" si="46"/>
        <v>1385905.4484206997</v>
      </c>
      <c r="AC16" s="21">
        <f t="shared" si="46"/>
        <v>1221967.9954680279</v>
      </c>
      <c r="AD16" s="21">
        <f t="shared" si="46"/>
        <v>1295143.4790573313</v>
      </c>
      <c r="AE16" s="21">
        <f t="shared" si="46"/>
        <v>1192299.7039782484</v>
      </c>
      <c r="AF16" s="21">
        <f t="shared" si="46"/>
        <v>1489944.1996731781</v>
      </c>
      <c r="AG16" s="21">
        <f t="shared" si="46"/>
        <v>3556393.6381326336</v>
      </c>
      <c r="AH16" s="21">
        <f t="shared" si="46"/>
        <v>4422089.8181227557</v>
      </c>
      <c r="AI16" s="21">
        <f t="shared" si="46"/>
        <v>4386809.0942111481</v>
      </c>
      <c r="AJ16" s="21">
        <f t="shared" si="46"/>
        <v>3487636.0635276344</v>
      </c>
      <c r="AK16" s="21">
        <f t="shared" si="46"/>
        <v>1738974.7908042395</v>
      </c>
      <c r="AL16" s="21">
        <f t="shared" si="46"/>
        <v>1885092.3161374219</v>
      </c>
      <c r="AM16" s="21">
        <f t="shared" si="46"/>
        <v>2390497.8087381148</v>
      </c>
      <c r="AN16" s="21">
        <f t="shared" si="46"/>
        <v>2641961.073381301</v>
      </c>
      <c r="AO16" s="21" t="str">
        <f t="shared" si="46"/>
        <v/>
      </c>
      <c r="AP16" s="21" t="str">
        <f t="shared" si="46"/>
        <v/>
      </c>
      <c r="AQ16" s="21" t="str">
        <f t="shared" si="46"/>
        <v/>
      </c>
      <c r="AR16" s="21" t="str">
        <f t="shared" si="46"/>
        <v/>
      </c>
      <c r="AS16" s="21" t="str">
        <f t="shared" si="46"/>
        <v/>
      </c>
      <c r="AT16" s="21" t="str">
        <f t="shared" si="46"/>
        <v/>
      </c>
      <c r="AU16" s="21" t="str">
        <f t="shared" si="46"/>
        <v/>
      </c>
      <c r="AV16" s="21" t="str">
        <f t="shared" si="46"/>
        <v/>
      </c>
      <c r="AW16" s="21" t="str">
        <f t="shared" si="46"/>
        <v/>
      </c>
    </row>
    <row r="17" spans="1:49" s="5" customFormat="1" ht="15" customHeight="1" x14ac:dyDescent="0.3">
      <c r="A17" s="132"/>
      <c r="B17" s="18" t="s">
        <v>25</v>
      </c>
      <c r="C17" s="81"/>
      <c r="D17" s="81"/>
      <c r="E17" s="81"/>
      <c r="F17" s="21">
        <f t="shared" si="46"/>
        <v>0</v>
      </c>
      <c r="G17" s="21">
        <f t="shared" si="46"/>
        <v>0</v>
      </c>
      <c r="H17" s="21">
        <f t="shared" si="46"/>
        <v>42385.43</v>
      </c>
      <c r="I17" s="21">
        <f t="shared" si="46"/>
        <v>557603.83999999997</v>
      </c>
      <c r="J17" s="21">
        <f t="shared" si="46"/>
        <v>676036.05</v>
      </c>
      <c r="K17" s="21">
        <f t="shared" si="46"/>
        <v>706998.16999999993</v>
      </c>
      <c r="L17" s="21">
        <f t="shared" si="46"/>
        <v>670246.85</v>
      </c>
      <c r="M17" s="21">
        <f t="shared" si="46"/>
        <v>574404.17000000004</v>
      </c>
      <c r="N17" s="21">
        <f t="shared" si="46"/>
        <v>514881.99</v>
      </c>
      <c r="O17" s="21">
        <f t="shared" si="46"/>
        <v>639874.60000000009</v>
      </c>
      <c r="P17" s="21">
        <f t="shared" si="46"/>
        <v>693023.25</v>
      </c>
      <c r="Q17" s="21">
        <f t="shared" si="46"/>
        <v>705379.12999999989</v>
      </c>
      <c r="R17" s="21">
        <f t="shared" si="46"/>
        <v>656045.5</v>
      </c>
      <c r="S17" s="21">
        <f t="shared" si="46"/>
        <v>537519.55000000005</v>
      </c>
      <c r="T17" s="21">
        <f t="shared" si="46"/>
        <v>488973.88</v>
      </c>
      <c r="U17" s="21">
        <f t="shared" si="46"/>
        <v>614590.80000000005</v>
      </c>
      <c r="V17" s="21">
        <f t="shared" si="46"/>
        <v>791820.69</v>
      </c>
      <c r="W17" s="21">
        <f t="shared" si="46"/>
        <v>759797.67</v>
      </c>
      <c r="X17" s="21">
        <f t="shared" si="46"/>
        <v>707202.3</v>
      </c>
      <c r="Y17" s="21">
        <f t="shared" si="46"/>
        <v>523078.24999999994</v>
      </c>
      <c r="Z17" s="21">
        <f t="shared" si="46"/>
        <v>528965.36143649998</v>
      </c>
      <c r="AA17" s="21">
        <f t="shared" si="46"/>
        <v>684378.47879325284</v>
      </c>
      <c r="AB17" s="21">
        <f t="shared" si="46"/>
        <v>833485.22145765054</v>
      </c>
      <c r="AC17" s="21" t="str">
        <f>IF(AC68="","",SUM(AC68,AC58,AC48,AC38,AC28))</f>
        <v/>
      </c>
      <c r="AD17" s="21" t="str">
        <f t="shared" si="46"/>
        <v/>
      </c>
      <c r="AE17" s="21" t="str">
        <f t="shared" si="46"/>
        <v/>
      </c>
      <c r="AF17" s="21" t="str">
        <f t="shared" si="46"/>
        <v/>
      </c>
      <c r="AG17" s="21" t="str">
        <f t="shared" si="46"/>
        <v/>
      </c>
      <c r="AH17" s="21" t="str">
        <f t="shared" si="46"/>
        <v/>
      </c>
      <c r="AI17" s="21" t="str">
        <f t="shared" si="46"/>
        <v/>
      </c>
      <c r="AJ17" s="21" t="str">
        <f>IF(AJ68="","",SUM(AJ68,AJ58,AJ48,AJ38,AJ28))</f>
        <v/>
      </c>
      <c r="AK17" s="21" t="str">
        <f t="shared" si="46"/>
        <v/>
      </c>
      <c r="AL17" s="21" t="str">
        <f t="shared" si="46"/>
        <v/>
      </c>
      <c r="AM17" s="21" t="str">
        <f t="shared" si="46"/>
        <v/>
      </c>
      <c r="AN17" s="21" t="str">
        <f t="shared" si="46"/>
        <v/>
      </c>
      <c r="AO17" s="21" t="str">
        <f t="shared" si="46"/>
        <v/>
      </c>
      <c r="AP17" s="21" t="str">
        <f t="shared" si="46"/>
        <v/>
      </c>
      <c r="AQ17" s="21" t="str">
        <f t="shared" si="46"/>
        <v/>
      </c>
      <c r="AR17" s="21" t="str">
        <f t="shared" si="46"/>
        <v/>
      </c>
      <c r="AS17" s="21" t="str">
        <f t="shared" si="46"/>
        <v/>
      </c>
      <c r="AT17" s="21" t="str">
        <f t="shared" si="46"/>
        <v/>
      </c>
      <c r="AU17" s="21" t="str">
        <f t="shared" si="46"/>
        <v/>
      </c>
      <c r="AV17" s="21" t="str">
        <f t="shared" si="46"/>
        <v/>
      </c>
      <c r="AW17" s="21" t="str">
        <f t="shared" si="46"/>
        <v/>
      </c>
    </row>
    <row r="18" spans="1:49" s="5" customFormat="1" ht="15" customHeight="1" x14ac:dyDescent="0.3">
      <c r="A18" s="132"/>
      <c r="B18" s="18" t="s">
        <v>41</v>
      </c>
      <c r="C18" s="81"/>
      <c r="D18" s="81"/>
      <c r="E18" s="81"/>
      <c r="F18" s="21">
        <f t="shared" ref="F18:M18" si="47">IF(F69="","",SUM(F69,F59,F49,F39,F29))</f>
        <v>0</v>
      </c>
      <c r="G18" s="21">
        <f t="shared" si="47"/>
        <v>0</v>
      </c>
      <c r="H18" s="21">
        <f t="shared" si="47"/>
        <v>0</v>
      </c>
      <c r="I18" s="21">
        <f t="shared" si="47"/>
        <v>0</v>
      </c>
      <c r="J18" s="21">
        <f t="shared" si="47"/>
        <v>0</v>
      </c>
      <c r="K18" s="21">
        <f t="shared" si="47"/>
        <v>0</v>
      </c>
      <c r="L18" s="21">
        <f t="shared" si="47"/>
        <v>0</v>
      </c>
      <c r="M18" s="21">
        <f t="shared" si="47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46"/>
        <v>0</v>
      </c>
      <c r="Q18" s="21">
        <f t="shared" si="46"/>
        <v>196554.22</v>
      </c>
      <c r="R18" s="21">
        <f t="shared" si="46"/>
        <v>181274.15000000002</v>
      </c>
      <c r="S18" s="21">
        <f t="shared" si="46"/>
        <v>149642.01999999999</v>
      </c>
      <c r="T18" s="21">
        <f t="shared" si="46"/>
        <v>136362.22</v>
      </c>
      <c r="U18" s="21">
        <f t="shared" si="46"/>
        <v>171212.22</v>
      </c>
      <c r="V18" s="21">
        <f t="shared" si="46"/>
        <v>216757.82</v>
      </c>
      <c r="W18" s="21">
        <f t="shared" si="46"/>
        <v>209115.01</v>
      </c>
      <c r="X18" s="21">
        <f t="shared" si="46"/>
        <v>195955.65999999997</v>
      </c>
      <c r="Y18" s="21">
        <f t="shared" si="46"/>
        <v>147507.93</v>
      </c>
      <c r="Z18" s="21">
        <f t="shared" si="46"/>
        <v>147810.62</v>
      </c>
      <c r="AA18" s="21">
        <f t="shared" si="46"/>
        <v>187157.64</v>
      </c>
      <c r="AB18" s="21">
        <f t="shared" si="46"/>
        <v>227054.76</v>
      </c>
      <c r="AC18" s="21" t="str">
        <f t="shared" si="46"/>
        <v/>
      </c>
      <c r="AD18" s="21" t="str">
        <f t="shared" si="46"/>
        <v/>
      </c>
      <c r="AE18" s="21" t="str">
        <f t="shared" si="46"/>
        <v/>
      </c>
      <c r="AF18" s="21" t="str">
        <f t="shared" si="46"/>
        <v/>
      </c>
      <c r="AG18" s="21" t="str">
        <f t="shared" si="46"/>
        <v/>
      </c>
      <c r="AH18" s="21" t="str">
        <f t="shared" si="46"/>
        <v/>
      </c>
      <c r="AI18" s="21" t="str">
        <f t="shared" si="46"/>
        <v/>
      </c>
      <c r="AJ18" s="21" t="str">
        <f t="shared" si="46"/>
        <v/>
      </c>
      <c r="AK18" s="21" t="str">
        <f t="shared" si="46"/>
        <v/>
      </c>
      <c r="AL18" s="21" t="str">
        <f t="shared" si="46"/>
        <v/>
      </c>
      <c r="AM18" s="21" t="str">
        <f t="shared" si="46"/>
        <v/>
      </c>
      <c r="AN18" s="21" t="str">
        <f t="shared" si="46"/>
        <v/>
      </c>
      <c r="AO18" s="21" t="str">
        <f t="shared" si="46"/>
        <v/>
      </c>
      <c r="AP18" s="21" t="str">
        <f t="shared" si="46"/>
        <v/>
      </c>
      <c r="AQ18" s="21" t="str">
        <f t="shared" si="46"/>
        <v/>
      </c>
      <c r="AR18" s="21" t="str">
        <f t="shared" si="46"/>
        <v/>
      </c>
      <c r="AS18" s="21" t="str">
        <f t="shared" si="46"/>
        <v/>
      </c>
      <c r="AT18" s="21" t="str">
        <f t="shared" si="46"/>
        <v/>
      </c>
      <c r="AU18" s="21" t="str">
        <f t="shared" si="46"/>
        <v/>
      </c>
      <c r="AV18" s="21" t="str">
        <f t="shared" si="46"/>
        <v/>
      </c>
      <c r="AW18" s="21" t="str">
        <f t="shared" si="46"/>
        <v/>
      </c>
    </row>
    <row r="19" spans="1:49" s="5" customFormat="1" ht="15" customHeight="1" x14ac:dyDescent="0.3">
      <c r="A19" s="132"/>
      <c r="B19" s="18" t="s">
        <v>42</v>
      </c>
      <c r="C19" s="81"/>
      <c r="D19" s="81"/>
      <c r="E19" s="81"/>
      <c r="F19" s="21">
        <f t="shared" ref="F19:L19" si="48">IF(F70="","",SUM(F70,F60,F50,F40,F30))</f>
        <v>0</v>
      </c>
      <c r="G19" s="21">
        <f>IF(G70="","",SUM(G70,G60,G50,G40,G30))</f>
        <v>0</v>
      </c>
      <c r="H19" s="21">
        <f t="shared" si="48"/>
        <v>42385.43</v>
      </c>
      <c r="I19" s="21">
        <f t="shared" si="48"/>
        <v>557603.83999999997</v>
      </c>
      <c r="J19" s="21">
        <f t="shared" si="48"/>
        <v>676036.05</v>
      </c>
      <c r="K19" s="21">
        <f t="shared" si="48"/>
        <v>706998.16999999993</v>
      </c>
      <c r="L19" s="21">
        <f t="shared" si="48"/>
        <v>670246.85</v>
      </c>
      <c r="M19" s="21">
        <f>IF(M70="","",SUM(M70,M60,M50,M40,M30))</f>
        <v>574404.17000000004</v>
      </c>
      <c r="N19" s="21">
        <f>IF(N70="","",SUM(N70,N60,N50,N40,N30))</f>
        <v>514881.99</v>
      </c>
      <c r="O19" s="21">
        <f>IF(O70="","",SUM(O70,O60,O50,O40,O30))</f>
        <v>639874.60000000009</v>
      </c>
      <c r="P19" s="21">
        <f t="shared" si="46"/>
        <v>693023.25</v>
      </c>
      <c r="Q19" s="21">
        <f t="shared" si="46"/>
        <v>901933.35</v>
      </c>
      <c r="R19" s="21">
        <f t="shared" si="46"/>
        <v>837319.65</v>
      </c>
      <c r="S19" s="21">
        <f t="shared" si="46"/>
        <v>687161.57000000007</v>
      </c>
      <c r="T19" s="21">
        <f t="shared" si="46"/>
        <v>625336.1</v>
      </c>
      <c r="U19" s="21">
        <f t="shared" si="46"/>
        <v>785803.02</v>
      </c>
      <c r="V19" s="21">
        <f t="shared" si="46"/>
        <v>1008578.51</v>
      </c>
      <c r="W19" s="21">
        <f t="shared" si="46"/>
        <v>968912.67999999993</v>
      </c>
      <c r="X19" s="21">
        <f t="shared" si="46"/>
        <v>903157.96</v>
      </c>
      <c r="Y19" s="21">
        <f t="shared" si="46"/>
        <v>670586.17999999993</v>
      </c>
      <c r="Z19" s="21">
        <f t="shared" si="46"/>
        <v>676775.98143650009</v>
      </c>
      <c r="AA19" s="21">
        <f t="shared" si="46"/>
        <v>871536.11879325286</v>
      </c>
      <c r="AB19" s="21">
        <f t="shared" si="46"/>
        <v>1060539.9814576504</v>
      </c>
      <c r="AC19" s="21" t="str">
        <f t="shared" si="46"/>
        <v/>
      </c>
      <c r="AD19" s="21" t="str">
        <f t="shared" si="46"/>
        <v/>
      </c>
      <c r="AE19" s="21" t="str">
        <f t="shared" si="46"/>
        <v/>
      </c>
      <c r="AF19" s="21" t="str">
        <f t="shared" si="46"/>
        <v/>
      </c>
      <c r="AG19" s="21" t="str">
        <f t="shared" si="46"/>
        <v/>
      </c>
      <c r="AH19" s="21" t="str">
        <f t="shared" si="46"/>
        <v/>
      </c>
      <c r="AI19" s="21" t="str">
        <f t="shared" si="46"/>
        <v/>
      </c>
      <c r="AJ19" s="21" t="str">
        <f t="shared" si="46"/>
        <v/>
      </c>
      <c r="AK19" s="21" t="str">
        <f t="shared" si="46"/>
        <v/>
      </c>
      <c r="AL19" s="21" t="str">
        <f t="shared" si="46"/>
        <v/>
      </c>
      <c r="AM19" s="21" t="str">
        <f t="shared" si="46"/>
        <v/>
      </c>
      <c r="AN19" s="21" t="str">
        <f t="shared" si="46"/>
        <v/>
      </c>
      <c r="AO19" s="21" t="str">
        <f t="shared" si="46"/>
        <v/>
      </c>
      <c r="AP19" s="21" t="str">
        <f t="shared" si="46"/>
        <v/>
      </c>
      <c r="AQ19" s="21" t="str">
        <f t="shared" si="46"/>
        <v/>
      </c>
      <c r="AR19" s="21" t="str">
        <f t="shared" si="46"/>
        <v/>
      </c>
      <c r="AS19" s="21" t="str">
        <f t="shared" si="46"/>
        <v/>
      </c>
      <c r="AT19" s="21" t="str">
        <f t="shared" si="46"/>
        <v/>
      </c>
      <c r="AU19" s="21" t="str">
        <f t="shared" si="46"/>
        <v/>
      </c>
      <c r="AV19" s="21" t="str">
        <f t="shared" si="46"/>
        <v/>
      </c>
      <c r="AW19" s="21" t="str">
        <f t="shared" si="46"/>
        <v/>
      </c>
    </row>
    <row r="20" spans="1:49" s="5" customFormat="1" x14ac:dyDescent="0.3">
      <c r="A20" s="132"/>
      <c r="B20" s="18" t="s">
        <v>12</v>
      </c>
      <c r="C20" s="81"/>
      <c r="D20" s="81"/>
      <c r="E20" s="81"/>
      <c r="F20" s="21">
        <f t="shared" ref="F20:M21" si="49">IF(F71="","",SUM(F71,F61,F51,F41,F31))</f>
        <v>0.71203150918887492</v>
      </c>
      <c r="G20" s="21">
        <f>IF(G71="","",SUM(G71,G61,G51,G41,G31))</f>
        <v>4695.4207688607348</v>
      </c>
      <c r="H20" s="21">
        <f t="shared" si="49"/>
        <v>-2449.8598780726179</v>
      </c>
      <c r="I20" s="21">
        <f t="shared" si="49"/>
        <v>-265927.46643753978</v>
      </c>
      <c r="J20" s="21">
        <f t="shared" si="49"/>
        <v>-131169.715421392</v>
      </c>
      <c r="K20" s="21">
        <f t="shared" si="49"/>
        <v>-43957.222433609393</v>
      </c>
      <c r="L20" s="21">
        <f t="shared" si="49"/>
        <v>-122502.17361725139</v>
      </c>
      <c r="M20" s="21">
        <f t="shared" si="49"/>
        <v>-304336.2792786801</v>
      </c>
      <c r="N20" s="21">
        <f>IF(N71="","",SUM(N71,N61,N51,N41,N31))</f>
        <v>-65433.157081010191</v>
      </c>
      <c r="O20" s="21">
        <f t="shared" ref="O20:AW21" si="50">IF(O71="","",SUM(O71,O61,O51,O41,O31))</f>
        <v>32509.51562352556</v>
      </c>
      <c r="P20" s="21">
        <f t="shared" si="50"/>
        <v>167275.80315340095</v>
      </c>
      <c r="Q20" s="21">
        <f>IF(Q71="","",SUM(Q71,Q61,Q51,Q41,Q31))</f>
        <v>19136.33539476915</v>
      </c>
      <c r="R20" s="21">
        <f t="shared" si="50"/>
        <v>-110077.28450135858</v>
      </c>
      <c r="S20" s="21">
        <f t="shared" si="50"/>
        <v>-356666.29899240914</v>
      </c>
      <c r="T20" s="21">
        <f t="shared" si="50"/>
        <v>-176821.71989945308</v>
      </c>
      <c r="U20" s="21">
        <f t="shared" si="50"/>
        <v>380663.8326526123</v>
      </c>
      <c r="V20" s="21">
        <f t="shared" si="50"/>
        <v>588323.66144815541</v>
      </c>
      <c r="W20" s="21">
        <f t="shared" si="50"/>
        <v>779359.73178884923</v>
      </c>
      <c r="X20" s="21">
        <f t="shared" si="50"/>
        <v>616313.05623756989</v>
      </c>
      <c r="Y20" s="21">
        <f t="shared" si="50"/>
        <v>94294.273685406195</v>
      </c>
      <c r="Z20" s="21">
        <f t="shared" si="50"/>
        <v>235134.21208696713</v>
      </c>
      <c r="AA20" s="21">
        <f t="shared" si="50"/>
        <v>337032.57154777751</v>
      </c>
      <c r="AB20" s="21">
        <f t="shared" si="50"/>
        <v>325365.46696304926</v>
      </c>
      <c r="AC20" s="21" t="str">
        <f t="shared" si="50"/>
        <v/>
      </c>
      <c r="AD20" s="21" t="str">
        <f t="shared" si="50"/>
        <v/>
      </c>
      <c r="AE20" s="21" t="str">
        <f t="shared" si="50"/>
        <v/>
      </c>
      <c r="AF20" s="21" t="str">
        <f t="shared" si="50"/>
        <v/>
      </c>
      <c r="AG20" s="21" t="str">
        <f t="shared" si="50"/>
        <v/>
      </c>
      <c r="AH20" s="21" t="str">
        <f t="shared" si="50"/>
        <v/>
      </c>
      <c r="AI20" s="21" t="str">
        <f t="shared" si="50"/>
        <v/>
      </c>
      <c r="AJ20" s="21" t="str">
        <f t="shared" si="50"/>
        <v/>
      </c>
      <c r="AK20" s="21" t="str">
        <f t="shared" si="50"/>
        <v/>
      </c>
      <c r="AL20" s="21" t="str">
        <f t="shared" si="50"/>
        <v/>
      </c>
      <c r="AM20" s="21" t="str">
        <f t="shared" si="50"/>
        <v/>
      </c>
      <c r="AN20" s="21" t="str">
        <f t="shared" si="50"/>
        <v/>
      </c>
      <c r="AO20" s="21" t="str">
        <f t="shared" si="50"/>
        <v/>
      </c>
      <c r="AP20" s="21" t="str">
        <f t="shared" si="50"/>
        <v/>
      </c>
      <c r="AQ20" s="21" t="str">
        <f t="shared" si="50"/>
        <v/>
      </c>
      <c r="AR20" s="21" t="str">
        <f t="shared" si="50"/>
        <v/>
      </c>
      <c r="AS20" s="21" t="str">
        <f t="shared" si="50"/>
        <v/>
      </c>
      <c r="AT20" s="21" t="str">
        <f t="shared" si="50"/>
        <v/>
      </c>
      <c r="AU20" s="21" t="str">
        <f t="shared" si="50"/>
        <v/>
      </c>
      <c r="AV20" s="21" t="str">
        <f t="shared" si="50"/>
        <v/>
      </c>
      <c r="AW20" s="21" t="str">
        <f t="shared" si="50"/>
        <v/>
      </c>
    </row>
    <row r="21" spans="1:49" s="5" customFormat="1" x14ac:dyDescent="0.3">
      <c r="A21" s="132"/>
      <c r="B21" s="19" t="s">
        <v>7</v>
      </c>
      <c r="C21" s="81"/>
      <c r="D21" s="81"/>
      <c r="E21" s="81"/>
      <c r="F21" s="21">
        <f t="shared" si="49"/>
        <v>0</v>
      </c>
      <c r="G21" s="21">
        <f t="shared" si="49"/>
        <v>10.42</v>
      </c>
      <c r="H21" s="21">
        <f t="shared" si="49"/>
        <v>5.0299999999999994</v>
      </c>
      <c r="I21" s="21">
        <f t="shared" si="49"/>
        <v>-582.26</v>
      </c>
      <c r="J21" s="21">
        <f t="shared" si="49"/>
        <v>-855.06</v>
      </c>
      <c r="K21" s="21">
        <f t="shared" si="49"/>
        <v>-862.55</v>
      </c>
      <c r="L21" s="21">
        <f t="shared" si="49"/>
        <v>-1041.1799999999998</v>
      </c>
      <c r="M21" s="21">
        <f t="shared" si="49"/>
        <v>-1530.79</v>
      </c>
      <c r="N21" s="21">
        <f>IF(N72="","",SUM(N72,N62,N52,N42,N32))</f>
        <v>-1258.5900000000006</v>
      </c>
      <c r="O21" s="21">
        <f t="shared" si="50"/>
        <v>-1443.8799999999999</v>
      </c>
      <c r="P21" s="21">
        <f t="shared" si="50"/>
        <v>-1163.1299999999999</v>
      </c>
      <c r="Q21" s="21">
        <f t="shared" si="50"/>
        <v>-788.05</v>
      </c>
      <c r="R21" s="21">
        <f t="shared" si="50"/>
        <v>-714.39</v>
      </c>
      <c r="S21" s="21">
        <f t="shared" si="50"/>
        <v>-517.45000000000005</v>
      </c>
      <c r="T21" s="21">
        <f t="shared" si="50"/>
        <v>-75.570000000000007</v>
      </c>
      <c r="U21" s="21">
        <f t="shared" si="50"/>
        <v>-15.789999999999996</v>
      </c>
      <c r="V21" s="21">
        <f t="shared" si="50"/>
        <v>105.58999999999999</v>
      </c>
      <c r="W21" s="21">
        <f t="shared" si="50"/>
        <v>186.98</v>
      </c>
      <c r="X21" s="21">
        <f t="shared" si="50"/>
        <v>253.54000000000002</v>
      </c>
      <c r="Y21" s="21">
        <f t="shared" si="50"/>
        <v>449.55</v>
      </c>
      <c r="Z21" s="21">
        <f>IF(Z72="","",SUM(Z72,Z62,Z52,Z42,Z32))</f>
        <v>513.45000000000005</v>
      </c>
      <c r="AA21" s="21">
        <f t="shared" si="50"/>
        <v>600.91</v>
      </c>
      <c r="AB21" s="21">
        <f t="shared" si="50"/>
        <v>693.08</v>
      </c>
      <c r="AC21" s="21" t="str">
        <f t="shared" si="50"/>
        <v/>
      </c>
      <c r="AD21" s="21" t="str">
        <f t="shared" si="50"/>
        <v/>
      </c>
      <c r="AE21" s="21" t="str">
        <f t="shared" si="50"/>
        <v/>
      </c>
      <c r="AF21" s="21" t="str">
        <f t="shared" si="50"/>
        <v/>
      </c>
      <c r="AG21" s="21" t="str">
        <f t="shared" si="50"/>
        <v/>
      </c>
      <c r="AH21" s="21" t="str">
        <f t="shared" si="50"/>
        <v/>
      </c>
      <c r="AI21" s="21" t="str">
        <f t="shared" si="50"/>
        <v/>
      </c>
      <c r="AJ21" s="21" t="str">
        <f t="shared" si="50"/>
        <v/>
      </c>
      <c r="AK21" s="21" t="str">
        <f t="shared" si="50"/>
        <v/>
      </c>
      <c r="AL21" s="21" t="str">
        <f t="shared" si="50"/>
        <v/>
      </c>
      <c r="AM21" s="21" t="str">
        <f t="shared" si="50"/>
        <v/>
      </c>
      <c r="AN21" s="21" t="str">
        <f t="shared" si="50"/>
        <v/>
      </c>
      <c r="AO21" s="21" t="str">
        <f t="shared" si="50"/>
        <v/>
      </c>
      <c r="AP21" s="21" t="str">
        <f t="shared" si="50"/>
        <v/>
      </c>
      <c r="AQ21" s="21" t="str">
        <f t="shared" si="50"/>
        <v/>
      </c>
      <c r="AR21" s="21" t="str">
        <f t="shared" si="50"/>
        <v/>
      </c>
      <c r="AS21" s="21" t="str">
        <f t="shared" si="50"/>
        <v/>
      </c>
      <c r="AT21" s="21" t="str">
        <f t="shared" si="50"/>
        <v/>
      </c>
      <c r="AU21" s="21" t="str">
        <f t="shared" si="50"/>
        <v/>
      </c>
      <c r="AV21" s="21" t="str">
        <f t="shared" si="50"/>
        <v/>
      </c>
      <c r="AW21" s="21" t="str">
        <f t="shared" si="50"/>
        <v/>
      </c>
    </row>
    <row r="22" spans="1:49" s="5" customFormat="1" x14ac:dyDescent="0.3">
      <c r="A22" s="132"/>
      <c r="B22" s="19" t="s">
        <v>26</v>
      </c>
      <c r="C22" s="81"/>
      <c r="D22" s="81"/>
      <c r="E22" s="80"/>
      <c r="F22" s="16">
        <f>IF(F21="","",E22+F21)</f>
        <v>0</v>
      </c>
      <c r="G22" s="16">
        <f>IF(G21="","",F22+G21)</f>
        <v>10.42</v>
      </c>
      <c r="H22" s="16">
        <f t="shared" ref="H22:AW22" si="51">IF(H21="","",G22+H21)</f>
        <v>15.45</v>
      </c>
      <c r="I22" s="16">
        <f t="shared" si="51"/>
        <v>-566.80999999999995</v>
      </c>
      <c r="J22" s="16">
        <f t="shared" si="51"/>
        <v>-1421.87</v>
      </c>
      <c r="K22" s="16">
        <f t="shared" si="51"/>
        <v>-2284.42</v>
      </c>
      <c r="L22" s="16">
        <f t="shared" si="51"/>
        <v>-3325.6</v>
      </c>
      <c r="M22" s="16">
        <f t="shared" si="51"/>
        <v>-4856.3899999999994</v>
      </c>
      <c r="N22" s="16">
        <f t="shared" si="51"/>
        <v>-6114.98</v>
      </c>
      <c r="O22" s="16">
        <f t="shared" si="51"/>
        <v>-7558.86</v>
      </c>
      <c r="P22" s="16">
        <f t="shared" si="51"/>
        <v>-8721.99</v>
      </c>
      <c r="Q22" s="16">
        <f t="shared" si="51"/>
        <v>-9510.0399999999991</v>
      </c>
      <c r="R22" s="16">
        <f t="shared" si="51"/>
        <v>-10224.429999999998</v>
      </c>
      <c r="S22" s="16">
        <f t="shared" si="51"/>
        <v>-10741.88</v>
      </c>
      <c r="T22" s="16">
        <f t="shared" si="51"/>
        <v>-10817.449999999999</v>
      </c>
      <c r="U22" s="16">
        <f t="shared" si="51"/>
        <v>-10833.24</v>
      </c>
      <c r="V22" s="16">
        <f t="shared" si="51"/>
        <v>-10727.65</v>
      </c>
      <c r="W22" s="16">
        <f t="shared" si="51"/>
        <v>-10540.67</v>
      </c>
      <c r="X22" s="16">
        <f t="shared" si="51"/>
        <v>-10287.129999999999</v>
      </c>
      <c r="Y22" s="16">
        <f t="shared" si="51"/>
        <v>-9837.58</v>
      </c>
      <c r="Z22" s="16">
        <f t="shared" si="51"/>
        <v>-9324.1299999999992</v>
      </c>
      <c r="AA22" s="16">
        <f t="shared" si="51"/>
        <v>-8723.2199999999993</v>
      </c>
      <c r="AB22" s="16">
        <f t="shared" si="51"/>
        <v>-8030.1399999999994</v>
      </c>
      <c r="AC22" s="16" t="str">
        <f t="shared" si="51"/>
        <v/>
      </c>
      <c r="AD22" s="16" t="str">
        <f t="shared" si="51"/>
        <v/>
      </c>
      <c r="AE22" s="16" t="str">
        <f t="shared" si="51"/>
        <v/>
      </c>
      <c r="AF22" s="16" t="str">
        <f t="shared" si="51"/>
        <v/>
      </c>
      <c r="AG22" s="16" t="str">
        <f t="shared" si="51"/>
        <v/>
      </c>
      <c r="AH22" s="16" t="str">
        <f t="shared" si="51"/>
        <v/>
      </c>
      <c r="AI22" s="16" t="str">
        <f t="shared" si="51"/>
        <v/>
      </c>
      <c r="AJ22" s="16" t="str">
        <f t="shared" si="51"/>
        <v/>
      </c>
      <c r="AK22" s="16" t="str">
        <f t="shared" si="51"/>
        <v/>
      </c>
      <c r="AL22" s="16" t="str">
        <f t="shared" si="51"/>
        <v/>
      </c>
      <c r="AM22" s="16" t="str">
        <f t="shared" si="51"/>
        <v/>
      </c>
      <c r="AN22" s="16" t="str">
        <f t="shared" si="51"/>
        <v/>
      </c>
      <c r="AO22" s="16" t="str">
        <f t="shared" si="51"/>
        <v/>
      </c>
      <c r="AP22" s="16" t="str">
        <f t="shared" si="51"/>
        <v/>
      </c>
      <c r="AQ22" s="16" t="str">
        <f t="shared" si="51"/>
        <v/>
      </c>
      <c r="AR22" s="16" t="str">
        <f t="shared" si="51"/>
        <v/>
      </c>
      <c r="AS22" s="16" t="str">
        <f t="shared" si="51"/>
        <v/>
      </c>
      <c r="AT22" s="16" t="str">
        <f t="shared" si="51"/>
        <v/>
      </c>
      <c r="AU22" s="16" t="str">
        <f t="shared" si="51"/>
        <v/>
      </c>
      <c r="AV22" s="16" t="str">
        <f t="shared" si="51"/>
        <v/>
      </c>
      <c r="AW22" s="16" t="str">
        <f t="shared" si="51"/>
        <v/>
      </c>
    </row>
    <row r="23" spans="1:49" s="5" customFormat="1" x14ac:dyDescent="0.3">
      <c r="A23" s="132"/>
      <c r="B23" s="18" t="s">
        <v>13</v>
      </c>
      <c r="C23" s="81"/>
      <c r="D23" s="81"/>
      <c r="E23" s="81"/>
      <c r="F23" s="21">
        <f t="shared" ref="F23:AW24" si="52">IF(F73="","",SUM(F73,F63,F53,F43,F33))</f>
        <v>0.71203150918887492</v>
      </c>
      <c r="G23" s="21">
        <f t="shared" si="52"/>
        <v>4705.8407688607349</v>
      </c>
      <c r="H23" s="21">
        <f t="shared" si="52"/>
        <v>-2444.8298780726182</v>
      </c>
      <c r="I23" s="21">
        <f t="shared" si="52"/>
        <v>-266509.72643753979</v>
      </c>
      <c r="J23" s="21">
        <f t="shared" si="52"/>
        <v>-132024.775421392</v>
      </c>
      <c r="K23" s="21">
        <f t="shared" si="52"/>
        <v>-44819.772433609396</v>
      </c>
      <c r="L23" s="21">
        <f t="shared" si="52"/>
        <v>-123543.3536172514</v>
      </c>
      <c r="M23" s="21">
        <f t="shared" si="52"/>
        <v>-305867.06927868014</v>
      </c>
      <c r="N23" s="21">
        <f t="shared" si="52"/>
        <v>-66691.747081010195</v>
      </c>
      <c r="O23" s="21">
        <f>IF(O73="","",SUM(O73,O63,O53,O43,O33))</f>
        <v>31065.635623525563</v>
      </c>
      <c r="P23" s="21">
        <f t="shared" si="52"/>
        <v>166112.67315340095</v>
      </c>
      <c r="Q23" s="21">
        <f t="shared" si="52"/>
        <v>18348.285394769147</v>
      </c>
      <c r="R23" s="21">
        <f t="shared" si="52"/>
        <v>-110791.67450135859</v>
      </c>
      <c r="S23" s="21">
        <f t="shared" si="52"/>
        <v>-357183.74899240915</v>
      </c>
      <c r="T23" s="21">
        <f t="shared" si="52"/>
        <v>-176897.28989945308</v>
      </c>
      <c r="U23" s="21">
        <f t="shared" si="52"/>
        <v>380648.04265261232</v>
      </c>
      <c r="V23" s="21">
        <f t="shared" si="52"/>
        <v>588429.25144815538</v>
      </c>
      <c r="W23" s="21">
        <f t="shared" si="52"/>
        <v>779546.71178884932</v>
      </c>
      <c r="X23" s="21">
        <f t="shared" si="52"/>
        <v>616566.59623756993</v>
      </c>
      <c r="Y23" s="21">
        <f t="shared" si="52"/>
        <v>94743.823685406212</v>
      </c>
      <c r="Z23" s="21">
        <f t="shared" si="52"/>
        <v>235647.66208696712</v>
      </c>
      <c r="AA23" s="21">
        <f t="shared" si="52"/>
        <v>337633.48154777754</v>
      </c>
      <c r="AB23" s="21">
        <f t="shared" si="52"/>
        <v>326058.54696304927</v>
      </c>
      <c r="AC23" s="21" t="str">
        <f t="shared" si="52"/>
        <v/>
      </c>
      <c r="AD23" s="21" t="str">
        <f t="shared" si="52"/>
        <v/>
      </c>
      <c r="AE23" s="21" t="str">
        <f t="shared" si="52"/>
        <v/>
      </c>
      <c r="AF23" s="21" t="str">
        <f t="shared" si="52"/>
        <v/>
      </c>
      <c r="AG23" s="21" t="str">
        <f t="shared" si="52"/>
        <v/>
      </c>
      <c r="AH23" s="21" t="str">
        <f t="shared" si="52"/>
        <v/>
      </c>
      <c r="AI23" s="21" t="str">
        <f t="shared" si="52"/>
        <v/>
      </c>
      <c r="AJ23" s="21" t="str">
        <f t="shared" si="52"/>
        <v/>
      </c>
      <c r="AK23" s="21" t="str">
        <f t="shared" si="52"/>
        <v/>
      </c>
      <c r="AL23" s="21" t="str">
        <f t="shared" si="52"/>
        <v/>
      </c>
      <c r="AM23" s="21" t="str">
        <f t="shared" si="52"/>
        <v/>
      </c>
      <c r="AN23" s="21" t="str">
        <f t="shared" si="52"/>
        <v/>
      </c>
      <c r="AO23" s="21" t="str">
        <f t="shared" si="52"/>
        <v/>
      </c>
      <c r="AP23" s="21" t="str">
        <f t="shared" si="52"/>
        <v/>
      </c>
      <c r="AQ23" s="21" t="str">
        <f t="shared" si="52"/>
        <v/>
      </c>
      <c r="AR23" s="21" t="str">
        <f t="shared" si="52"/>
        <v/>
      </c>
      <c r="AS23" s="21" t="str">
        <f t="shared" si="52"/>
        <v/>
      </c>
      <c r="AT23" s="21" t="str">
        <f t="shared" si="52"/>
        <v/>
      </c>
      <c r="AU23" s="21" t="str">
        <f t="shared" si="52"/>
        <v/>
      </c>
      <c r="AV23" s="21" t="str">
        <f t="shared" si="52"/>
        <v/>
      </c>
      <c r="AW23" s="21" t="str">
        <f t="shared" si="52"/>
        <v/>
      </c>
    </row>
    <row r="24" spans="1:49" s="5" customFormat="1" x14ac:dyDescent="0.3">
      <c r="A24" s="132"/>
      <c r="B24" s="20" t="s">
        <v>1</v>
      </c>
      <c r="C24" s="81"/>
      <c r="D24" s="81"/>
      <c r="E24" s="81"/>
      <c r="F24" s="21">
        <f>IF(F74="","",SUM(F74,F64,F54,F44,F34))</f>
        <v>0.71203150918887492</v>
      </c>
      <c r="G24" s="21">
        <f t="shared" si="52"/>
        <v>4706.5528003699237</v>
      </c>
      <c r="H24" s="21">
        <f t="shared" si="52"/>
        <v>2261.7229222973056</v>
      </c>
      <c r="I24" s="21">
        <f t="shared" si="52"/>
        <v>-264248.00351524254</v>
      </c>
      <c r="J24" s="21">
        <f t="shared" si="52"/>
        <v>-396272.77893663448</v>
      </c>
      <c r="K24" s="21">
        <f t="shared" si="52"/>
        <v>-441092.55137024395</v>
      </c>
      <c r="L24" s="21">
        <f t="shared" si="52"/>
        <v>-564635.90498749528</v>
      </c>
      <c r="M24" s="21">
        <f t="shared" si="52"/>
        <v>-870502.97426617541</v>
      </c>
      <c r="N24" s="21">
        <f t="shared" si="52"/>
        <v>-937194.72134718567</v>
      </c>
      <c r="O24" s="21">
        <f>IF(O74="","",SUM(O74,O64,O54,O44,O34))</f>
        <v>-906129.08572366007</v>
      </c>
      <c r="P24" s="21">
        <f t="shared" si="52"/>
        <v>-740016.41257025907</v>
      </c>
      <c r="Q24" s="21">
        <f t="shared" si="52"/>
        <v>-525113.90717548993</v>
      </c>
      <c r="R24" s="21">
        <f t="shared" si="52"/>
        <v>-454631.4316768485</v>
      </c>
      <c r="S24" s="21">
        <f t="shared" si="52"/>
        <v>-662173.16066925763</v>
      </c>
      <c r="T24" s="21">
        <f t="shared" si="52"/>
        <v>-702708.23056871083</v>
      </c>
      <c r="U24" s="21">
        <f t="shared" si="52"/>
        <v>-150847.96791609848</v>
      </c>
      <c r="V24" s="21">
        <f t="shared" si="52"/>
        <v>654339.10353205702</v>
      </c>
      <c r="W24" s="21">
        <f t="shared" si="52"/>
        <v>1643000.8253209062</v>
      </c>
      <c r="X24" s="21">
        <f t="shared" si="52"/>
        <v>2455523.0815584762</v>
      </c>
      <c r="Y24" s="21">
        <f t="shared" si="52"/>
        <v>2697774.8352438826</v>
      </c>
      <c r="Z24" s="21">
        <f t="shared" si="52"/>
        <v>3081233.1173308496</v>
      </c>
      <c r="AA24" s="21">
        <f t="shared" si="52"/>
        <v>3606024.2388786273</v>
      </c>
      <c r="AB24" s="21">
        <f t="shared" si="52"/>
        <v>4159137.5458416771</v>
      </c>
      <c r="AC24" s="21" t="str">
        <f t="shared" si="52"/>
        <v/>
      </c>
      <c r="AD24" s="21" t="str">
        <f t="shared" si="52"/>
        <v/>
      </c>
      <c r="AE24" s="21" t="str">
        <f t="shared" si="52"/>
        <v/>
      </c>
      <c r="AF24" s="21" t="str">
        <f t="shared" si="52"/>
        <v/>
      </c>
      <c r="AG24" s="21" t="str">
        <f t="shared" si="52"/>
        <v/>
      </c>
      <c r="AH24" s="21" t="str">
        <f t="shared" si="52"/>
        <v/>
      </c>
      <c r="AI24" s="21" t="str">
        <f t="shared" si="52"/>
        <v/>
      </c>
      <c r="AJ24" s="21" t="str">
        <f t="shared" si="52"/>
        <v/>
      </c>
      <c r="AK24" s="21" t="str">
        <f t="shared" si="52"/>
        <v/>
      </c>
      <c r="AL24" s="21" t="str">
        <f t="shared" si="52"/>
        <v/>
      </c>
      <c r="AM24" s="21" t="str">
        <f t="shared" si="52"/>
        <v/>
      </c>
      <c r="AN24" s="21" t="str">
        <f t="shared" si="52"/>
        <v/>
      </c>
      <c r="AO24" s="21" t="str">
        <f t="shared" si="52"/>
        <v/>
      </c>
      <c r="AP24" s="21" t="str">
        <f t="shared" si="52"/>
        <v/>
      </c>
      <c r="AQ24" s="21" t="str">
        <f t="shared" si="52"/>
        <v/>
      </c>
      <c r="AR24" s="21" t="str">
        <f t="shared" si="52"/>
        <v/>
      </c>
      <c r="AS24" s="21" t="str">
        <f t="shared" si="52"/>
        <v/>
      </c>
      <c r="AT24" s="21" t="str">
        <f t="shared" si="52"/>
        <v/>
      </c>
      <c r="AU24" s="21" t="str">
        <f t="shared" si="52"/>
        <v/>
      </c>
      <c r="AV24" s="21" t="str">
        <f t="shared" si="52"/>
        <v/>
      </c>
      <c r="AW24" s="21" t="str">
        <f t="shared" si="52"/>
        <v/>
      </c>
    </row>
    <row r="25" spans="1:49" s="5" customFormat="1" ht="8.25" customHeight="1" x14ac:dyDescent="0.3">
      <c r="A25" s="40"/>
      <c r="B25" s="13"/>
      <c r="C25" s="85"/>
      <c r="D25" s="85"/>
      <c r="E25" s="8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5" customHeight="1" outlineLevel="1" x14ac:dyDescent="0.3">
      <c r="A26" s="132" t="s">
        <v>19</v>
      </c>
      <c r="B26" s="17"/>
      <c r="C26" s="80"/>
      <c r="D26" s="80"/>
      <c r="E26" s="80"/>
      <c r="F26" s="9"/>
      <c r="G26" s="9"/>
      <c r="H26" s="9"/>
      <c r="I26" s="9"/>
      <c r="J26" s="9"/>
      <c r="K26" s="9"/>
      <c r="L26" s="9"/>
      <c r="M26" s="9"/>
      <c r="N26" s="113">
        <f>'MEEIA 3 adjs Nov 19'!L12</f>
        <v>8.9999999999918145E-2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59"/>
      <c r="AP26" s="59"/>
      <c r="AQ26" s="59"/>
      <c r="AR26" s="59"/>
      <c r="AS26" s="59"/>
      <c r="AT26" s="59"/>
      <c r="AU26" s="59"/>
      <c r="AV26" s="59"/>
      <c r="AW26" s="59"/>
    </row>
    <row r="27" spans="1:49" s="3" customFormat="1" ht="15" customHeight="1" outlineLevel="1" x14ac:dyDescent="0.3">
      <c r="A27" s="132"/>
      <c r="B27" s="17" t="s">
        <v>27</v>
      </c>
      <c r="C27" s="80"/>
      <c r="D27" s="80"/>
      <c r="E27" s="80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274809.55657286098</v>
      </c>
      <c r="O27" s="22">
        <f>IF('M3 Allocations - TD'!M5="","",'M3 Allocations - TD'!M31)</f>
        <v>467843.25553902646</v>
      </c>
      <c r="P27" s="22">
        <f>IF('M3 Allocations - TD'!N5="","",'M3 Allocations - TD'!N31)</f>
        <v>544296.07292371744</v>
      </c>
      <c r="Q27" s="22">
        <f>IF('M3 Allocations - TD'!O5="","",'M3 Allocations - TD'!O31)</f>
        <v>676189.22029010952</v>
      </c>
      <c r="R27" s="22">
        <f>IF('M3 Allocations - TD'!P5="","",'M3 Allocations - TD'!P31)</f>
        <v>463090.51540533279</v>
      </c>
      <c r="S27" s="22">
        <f>IF('M3 Allocations - TD'!Q5="","",'M3 Allocations - TD'!Q31)</f>
        <v>212999.83668866704</v>
      </c>
      <c r="T27" s="22">
        <f>IF('M3 Allocations - TD'!R5="","",'M3 Allocations - TD'!R31)</f>
        <v>239315.41925638349</v>
      </c>
      <c r="U27" s="22">
        <f>IF('M3 Allocations - TD'!S5="","",'M3 Allocations - TD'!S31)</f>
        <v>745964.63979628112</v>
      </c>
      <c r="V27" s="22">
        <f>IF('M3 Allocations - TD'!T5="","",'M3 Allocations - TD'!T31)</f>
        <v>1021961.1417325244</v>
      </c>
      <c r="W27" s="22">
        <f>IF('M3 Allocations - TD'!U5="","",'M3 Allocations - TD'!U31)</f>
        <v>1221140.287913003</v>
      </c>
      <c r="X27" s="22">
        <f>IF('M3 Allocations - TD'!V5="","",'M3 Allocations - TD'!V31)</f>
        <v>1038934.5439936385</v>
      </c>
      <c r="Y27" s="22">
        <f>IF('M3 Allocations - TD'!W5="","",'M3 Allocations - TD'!W31)</f>
        <v>456853.18990942289</v>
      </c>
      <c r="Z27" s="22">
        <f>IF('M3 Allocations - TD'!X5="","",'M3 Allocations - TD'!X31)</f>
        <v>614000.20336797263</v>
      </c>
      <c r="AA27" s="22">
        <f>IF('M3 Allocations - TD'!Y5="","",'M3 Allocations - TD'!Y31)</f>
        <v>813558.24200883822</v>
      </c>
      <c r="AB27" s="22">
        <f>IF('M3 Allocations - TD'!Z5="","",'M3 Allocations - TD'!Z31)</f>
        <v>872752.43415280792</v>
      </c>
      <c r="AC27" s="22">
        <f>IF('M3 Allocations - TD'!AA5="","",'M3 Allocations - TD'!AA31)</f>
        <v>784964.28700334299</v>
      </c>
      <c r="AD27" s="22">
        <f>IF('M3 Allocations - TD'!AB5="","",'M3 Allocations - TD'!AB31)</f>
        <v>799349.42435294436</v>
      </c>
      <c r="AE27" s="22">
        <f>IF('M3 Allocations - TD'!AC5="","",'M3 Allocations - TD'!AC31)</f>
        <v>682368.21614873444</v>
      </c>
      <c r="AF27" s="22">
        <f>IF('M3 Allocations - TD'!AD5="","",'M3 Allocations - TD'!AD31)</f>
        <v>732520.38842368498</v>
      </c>
      <c r="AG27" s="22">
        <f>IF('M3 Allocations - TD'!AE5="","",'M3 Allocations - TD'!AE31)</f>
        <v>2033284.7710432373</v>
      </c>
      <c r="AH27" s="22">
        <f>IF('M3 Allocations - TD'!AF5="","",'M3 Allocations - TD'!AF31)</f>
        <v>2470164.4505030229</v>
      </c>
      <c r="AI27" s="22">
        <f>IF('M3 Allocations - TD'!AG5="","",'M3 Allocations - TD'!AG31)</f>
        <v>2541790.8668168131</v>
      </c>
      <c r="AJ27" s="22">
        <f>IF('M3 Allocations - TD'!AH5="","",'M3 Allocations - TD'!AH31)</f>
        <v>1920414.7122299627</v>
      </c>
      <c r="AK27" s="22">
        <f>IF('M3 Allocations - TD'!AI5="","",'M3 Allocations - TD'!AI31)</f>
        <v>769572.55982980167</v>
      </c>
      <c r="AL27" s="22">
        <f>IF('M3 Allocations - TD'!AJ5="","",'M3 Allocations - TD'!AJ31)</f>
        <v>978212.63466897758</v>
      </c>
      <c r="AM27" s="22">
        <f>IF('M3 Allocations - TD'!AK5="","",'M3 Allocations - TD'!AK31)</f>
        <v>1275251.0084362559</v>
      </c>
      <c r="AN27" s="22">
        <f>IF('M3 Allocations - TD'!AL5="","",'M3 Allocations - TD'!AL31)</f>
        <v>1294653.3342777691</v>
      </c>
      <c r="AO27" s="22" t="str">
        <f>IF('M3 Allocations - TD'!AM5="","",'M3 Allocations - TD'!AM31)</f>
        <v/>
      </c>
      <c r="AP27" s="22" t="str">
        <f>IF('M3 Allocations - TD'!AN5="","",'M3 Allocations - TD'!AN31)</f>
        <v/>
      </c>
      <c r="AQ27" s="22" t="str">
        <f>IF('M3 Allocations - TD'!AO5="","",'M3 Allocations - TD'!AO31)</f>
        <v/>
      </c>
      <c r="AR27" s="22" t="str">
        <f>IF('M3 Allocations - TD'!AP5="","",'M3 Allocations - TD'!AP31)</f>
        <v/>
      </c>
      <c r="AS27" s="22" t="str">
        <f>IF('M3 Allocations - TD'!AQ5="","",'M3 Allocations - TD'!AQ31)</f>
        <v/>
      </c>
      <c r="AT27" s="22" t="str">
        <f>IF('M3 Allocations - TD'!AR5="","",'M3 Allocations - TD'!AR31)</f>
        <v/>
      </c>
      <c r="AU27" s="22" t="str">
        <f>IF('M3 Allocations - TD'!AS5="","",'M3 Allocations - TD'!AS31)</f>
        <v/>
      </c>
      <c r="AV27" s="22" t="str">
        <f>IF('M3 Allocations - TD'!AT5="","",'M3 Allocations - TD'!AT31)</f>
        <v/>
      </c>
      <c r="AW27" s="22" t="str">
        <f>IF('M3 Allocations - TD'!AU5="","",'M3 Allocations - TD'!AU31)</f>
        <v/>
      </c>
    </row>
    <row r="28" spans="1:49" s="5" customFormat="1" ht="15" customHeight="1" outlineLevel="1" x14ac:dyDescent="0.3">
      <c r="A28" s="132"/>
      <c r="B28" s="18" t="s">
        <v>25</v>
      </c>
      <c r="C28" s="80"/>
      <c r="D28" s="80"/>
      <c r="E28" s="80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315194.78964232601</v>
      </c>
      <c r="O28" s="22">
        <f>IF('M3 Allocations - TD'!M51="","",'M3 Allocations - TD'!M69)</f>
        <v>423499.84124645527</v>
      </c>
      <c r="P28" s="22">
        <f>IF('M3 Allocations - TD'!N51="","",'M3 Allocations - TD'!N69)</f>
        <v>467459.76087976695</v>
      </c>
      <c r="Q28" s="22">
        <f>IF('M3 Allocations - TD'!O51="","",'M3 Allocations - TD'!O69)</f>
        <v>474323.05163473397</v>
      </c>
      <c r="R28" s="22">
        <f>IF('M3 Allocations - TD'!P51="","",'M3 Allocations - TD'!P69)</f>
        <v>428810.25716296653</v>
      </c>
      <c r="S28" s="22">
        <f>IF('M3 Allocations - TD'!Q51="","",'M3 Allocations - TD'!Q69)</f>
        <v>339346.33491655142</v>
      </c>
      <c r="T28" s="22">
        <f>IF('M3 Allocations - TD'!R51="","",'M3 Allocations - TD'!R69)</f>
        <v>302925.05162387801</v>
      </c>
      <c r="U28" s="22">
        <f>IF('M3 Allocations - TD'!S51="","",'M3 Allocations - TD'!S69)</f>
        <v>399589.74786578171</v>
      </c>
      <c r="V28" s="22">
        <f>IF('M3 Allocations - TD'!T51="","",'M3 Allocations - TD'!T69)</f>
        <v>536049.73122413771</v>
      </c>
      <c r="W28" s="22">
        <f>IF('M3 Allocations - TD'!U51="","",'M3 Allocations - TD'!U69)</f>
        <v>503311.04413038632</v>
      </c>
      <c r="X28" s="22">
        <f>IF('M3 Allocations - TD'!V51="","",'M3 Allocations - TD'!V69)</f>
        <v>453730.11803544633</v>
      </c>
      <c r="Y28" s="22">
        <f>IF('M3 Allocations - TD'!W51="","",'M3 Allocations - TD'!W69)</f>
        <v>307694.93026905361</v>
      </c>
      <c r="Z28" s="22">
        <f>IF('M3 Allocations - TD'!X51="","",'M3 Allocations - TD'!X69)</f>
        <v>323301.211336245</v>
      </c>
      <c r="AA28" s="22">
        <f>IF('M3 Allocations - TD'!Y51="","",'M3 Allocations - TD'!Y69)</f>
        <v>465462.69803547335</v>
      </c>
      <c r="AB28" s="22">
        <f>IF('M3 Allocations - TD'!Z51="","",'M3 Allocations - TD'!Z69)</f>
        <v>579065.18154592789</v>
      </c>
      <c r="AC28" s="22" t="str">
        <f>IF('M3 Allocations - TD'!AA51="","",'M3 Allocations - TD'!AA69)</f>
        <v/>
      </c>
      <c r="AD28" s="22" t="str">
        <f>IF('M3 Allocations - TD'!AB51="","",'M3 Allocations - TD'!AB69)</f>
        <v/>
      </c>
      <c r="AE28" s="22" t="str">
        <f>IF('M3 Allocations - TD'!AC51="","",'M3 Allocations - TD'!AC69)</f>
        <v/>
      </c>
      <c r="AF28" s="22" t="str">
        <f>IF('M3 Allocations - TD'!AD51="","",'M3 Allocations - TD'!AD69)</f>
        <v/>
      </c>
      <c r="AG28" s="22" t="str">
        <f>IF('M3 Allocations - TD'!AE51="","",'M3 Allocations - TD'!AE69)</f>
        <v/>
      </c>
      <c r="AH28" s="22" t="str">
        <f>IF('M3 Allocations - TD'!AF51="","",'M3 Allocations - TD'!AF69)</f>
        <v/>
      </c>
      <c r="AI28" s="22" t="str">
        <f>IF('M3 Allocations - TD'!AG51="","",'M3 Allocations - TD'!AG69)</f>
        <v/>
      </c>
      <c r="AJ28" s="22" t="str">
        <f>IF('M3 Allocations - TD'!AH51="","",'M3 Allocations - TD'!AH69)</f>
        <v/>
      </c>
      <c r="AK28" s="22" t="str">
        <f>IF('M3 Allocations - TD'!AI51="","",'M3 Allocations - TD'!AI69)</f>
        <v/>
      </c>
      <c r="AL28" s="22" t="str">
        <f>IF('M3 Allocations - TD'!AJ51="","",'M3 Allocations - TD'!AJ69)</f>
        <v/>
      </c>
      <c r="AM28" s="22" t="str">
        <f>IF('M3 Allocations - TD'!AK51="","",'M3 Allocations - TD'!AK69)</f>
        <v/>
      </c>
      <c r="AN28" s="22" t="str">
        <f>IF('M3 Allocations - TD'!AL51="","",'M3 Allocations - TD'!AL69)</f>
        <v/>
      </c>
      <c r="AO28" s="22" t="str">
        <f>IF('M3 Allocations - TD'!AM51="","",'M3 Allocations - TD'!AM69)</f>
        <v/>
      </c>
      <c r="AP28" s="22" t="str">
        <f>IF('M3 Allocations - TD'!AN51="","",'M3 Allocations - TD'!AN69)</f>
        <v/>
      </c>
      <c r="AQ28" s="22" t="str">
        <f>IF('M3 Allocations - TD'!AO51="","",'M3 Allocations - TD'!AO69)</f>
        <v/>
      </c>
      <c r="AR28" s="22" t="str">
        <f>IF('M3 Allocations - TD'!AP51="","",'M3 Allocations - TD'!AP69)</f>
        <v/>
      </c>
      <c r="AS28" s="22" t="str">
        <f>IF('M3 Allocations - TD'!AQ51="","",'M3 Allocations - TD'!AQ69)</f>
        <v/>
      </c>
      <c r="AT28" s="22" t="str">
        <f>IF('M3 Allocations - TD'!AR51="","",'M3 Allocations - TD'!AR69)</f>
        <v/>
      </c>
      <c r="AU28" s="22" t="str">
        <f>IF('M3 Allocations - TD'!AS51="","",'M3 Allocations - TD'!AS69)</f>
        <v/>
      </c>
      <c r="AV28" s="22" t="str">
        <f>IF('M3 Allocations - TD'!AT51="","",'M3 Allocations - TD'!AT69)</f>
        <v/>
      </c>
      <c r="AW28" s="22" t="str">
        <f>IF('M3 Allocations - TD'!AU51="","",'M3 Allocations - TD'!AU69)</f>
        <v/>
      </c>
    </row>
    <row r="29" spans="1:49" s="5" customFormat="1" ht="15" customHeight="1" outlineLevel="1" x14ac:dyDescent="0.3">
      <c r="A29" s="132"/>
      <c r="B29" s="18" t="s">
        <v>41</v>
      </c>
      <c r="C29" s="80"/>
      <c r="D29" s="80"/>
      <c r="E29" s="80"/>
      <c r="F29" s="22">
        <f>IF(F28="","",0)</f>
        <v>0</v>
      </c>
      <c r="G29" s="22">
        <f t="shared" ref="G29:P29" si="53">IF(G28="","",0)</f>
        <v>0</v>
      </c>
      <c r="H29" s="22">
        <f t="shared" si="53"/>
        <v>0</v>
      </c>
      <c r="I29" s="22">
        <f t="shared" si="53"/>
        <v>0</v>
      </c>
      <c r="J29" s="22">
        <f t="shared" si="53"/>
        <v>0</v>
      </c>
      <c r="K29" s="22">
        <f t="shared" si="53"/>
        <v>0</v>
      </c>
      <c r="L29" s="22">
        <f t="shared" si="53"/>
        <v>0</v>
      </c>
      <c r="M29" s="22">
        <f t="shared" si="53"/>
        <v>0</v>
      </c>
      <c r="N29" s="22">
        <f t="shared" si="53"/>
        <v>0</v>
      </c>
      <c r="O29" s="22">
        <f t="shared" si="53"/>
        <v>0</v>
      </c>
      <c r="P29" s="22">
        <f t="shared" si="53"/>
        <v>0</v>
      </c>
      <c r="Q29" s="22">
        <f>IF(Q28="","",-'M3 TD amort'!C8)</f>
        <v>115732.97</v>
      </c>
      <c r="R29" s="22">
        <f>IF(R28="","",-'M3 TD amort'!D8)</f>
        <v>104574.51</v>
      </c>
      <c r="S29" s="22">
        <f>IF(S28="","",-'M3 TD amort'!E8)</f>
        <v>82818.98</v>
      </c>
      <c r="T29" s="22">
        <f>IF(T28="","",-'M3 TD amort'!F8)</f>
        <v>74005.649999999994</v>
      </c>
      <c r="U29" s="22">
        <f>IF(U28="","",-'M3 TD amort'!G8)</f>
        <v>97941.18</v>
      </c>
      <c r="V29" s="22">
        <f>IF(V28="","",-'M3 TD amort'!H8)</f>
        <v>131594.67000000001</v>
      </c>
      <c r="W29" s="22">
        <f>IF(W28="","",-'M3 TD amort'!I8)</f>
        <v>123527.13</v>
      </c>
      <c r="X29" s="22">
        <f>IF(X28="","",-'M3 TD amort'!J8)</f>
        <v>111322.95</v>
      </c>
      <c r="Y29" s="22">
        <f>IF(Y28="","",-'M3 TD amort'!K8)</f>
        <v>75219.710000000006</v>
      </c>
      <c r="Z29" s="22">
        <f>IF(Z28="","",-'M3 TD amort'!L8)</f>
        <v>78962.75</v>
      </c>
      <c r="AA29" s="22">
        <f>IF(AA28="","",-'M3 TD amort'!M8)</f>
        <v>113963.55</v>
      </c>
      <c r="AB29" s="22">
        <f>IF(AB28="","",-'M3 TD amort'!N8)</f>
        <v>141856.68</v>
      </c>
      <c r="AC29" s="22" t="str">
        <f>IF(AC28="","",-'M3 TD amort'!O8)</f>
        <v/>
      </c>
      <c r="AD29" s="22" t="str">
        <f>IF(AD28="","",-'M3 TD amort'!P8)</f>
        <v/>
      </c>
      <c r="AE29" s="22" t="str">
        <f>IF(AE28="","",-'M3 TD amort'!Q8)</f>
        <v/>
      </c>
      <c r="AF29" s="22" t="str">
        <f>IF(AF28="","",-'M3 TD amort'!R8)</f>
        <v/>
      </c>
      <c r="AG29" s="22" t="str">
        <f>IF(AG28="","",-'M3 TD amort'!S8)</f>
        <v/>
      </c>
      <c r="AH29" s="22" t="str">
        <f>IF(AH28="","",-'M3 TD amort'!T8)</f>
        <v/>
      </c>
      <c r="AI29" s="22" t="str">
        <f>IF(AI28="","",-'M3 TD amort'!U8)</f>
        <v/>
      </c>
      <c r="AJ29" s="22" t="str">
        <f>IF(AJ28="","",-'M3 TD amort'!V8)</f>
        <v/>
      </c>
      <c r="AK29" s="22" t="str">
        <f>IF(AK28="","",-'M3 TD amort'!W8)</f>
        <v/>
      </c>
      <c r="AL29" s="22" t="str">
        <f>IF(AL28="","",-'M3 TD amort'!X8)</f>
        <v/>
      </c>
      <c r="AM29" s="22" t="str">
        <f>IF(AM28="","",-'M3 TD amort'!Y8)</f>
        <v/>
      </c>
      <c r="AN29" s="22" t="str">
        <f>IF(AN28="","",-'M3 TD amort'!Z8)</f>
        <v/>
      </c>
      <c r="AO29" s="22" t="str">
        <f>IF(AO28="","",-'M3 TD amort'!AA8)</f>
        <v/>
      </c>
      <c r="AP29" s="22" t="str">
        <f>IF(AP28="","",-'M3 TD amort'!AB8)</f>
        <v/>
      </c>
      <c r="AQ29" s="22" t="str">
        <f>IF(AQ28="","",-'M3 TD amort'!AC8)</f>
        <v/>
      </c>
      <c r="AR29" s="22" t="str">
        <f>IF(AR28="","",-#REF!)</f>
        <v/>
      </c>
      <c r="AS29" s="22" t="str">
        <f>IF(AS28="","",-#REF!)</f>
        <v/>
      </c>
      <c r="AT29" s="22" t="str">
        <f>IF(AT28="","",-#REF!)</f>
        <v/>
      </c>
      <c r="AU29" s="22" t="str">
        <f>IF(AU28="","",-#REF!)</f>
        <v/>
      </c>
      <c r="AV29" s="22" t="str">
        <f>IF(AV28="","",-#REF!)</f>
        <v/>
      </c>
      <c r="AW29" s="22" t="str">
        <f>IF(AW28="","",-#REF!)</f>
        <v/>
      </c>
    </row>
    <row r="30" spans="1:49" s="5" customFormat="1" ht="15" customHeight="1" outlineLevel="1" x14ac:dyDescent="0.3">
      <c r="A30" s="132"/>
      <c r="B30" s="18" t="s">
        <v>42</v>
      </c>
      <c r="C30" s="80"/>
      <c r="D30" s="80"/>
      <c r="E30" s="80"/>
      <c r="F30" s="9">
        <f t="shared" ref="F30:M30" si="54">IF(OR(F29="",F28=""),"",F28+F29)</f>
        <v>0</v>
      </c>
      <c r="G30" s="9">
        <f t="shared" si="54"/>
        <v>0</v>
      </c>
      <c r="H30" s="9">
        <f t="shared" si="54"/>
        <v>28636.335868779192</v>
      </c>
      <c r="I30" s="9">
        <f t="shared" si="54"/>
        <v>344669.92129031231</v>
      </c>
      <c r="J30" s="9">
        <f t="shared" si="54"/>
        <v>437739.69493695599</v>
      </c>
      <c r="K30" s="9">
        <f t="shared" si="54"/>
        <v>461093.89388914994</v>
      </c>
      <c r="L30" s="9">
        <f t="shared" si="54"/>
        <v>425531.99443758972</v>
      </c>
      <c r="M30" s="9">
        <f t="shared" si="54"/>
        <v>350101.97926152864</v>
      </c>
      <c r="N30" s="9">
        <f>IF(OR(N29="",N28=""),"",N28+N29)</f>
        <v>315194.78964232601</v>
      </c>
      <c r="O30" s="9">
        <f>IF(OR(O29="",O28=""),"",O28+O29)</f>
        <v>423499.84124645527</v>
      </c>
      <c r="P30" s="9">
        <f t="shared" ref="P30:AW30" si="55">IF(OR(P29="",P28=""),"",P28+P29)</f>
        <v>467459.76087976695</v>
      </c>
      <c r="Q30" s="9">
        <f t="shared" si="55"/>
        <v>590056.021634734</v>
      </c>
      <c r="R30" s="9">
        <f t="shared" si="55"/>
        <v>533384.76716296654</v>
      </c>
      <c r="S30" s="9">
        <f t="shared" si="55"/>
        <v>422165.3149165514</v>
      </c>
      <c r="T30" s="9">
        <f t="shared" si="55"/>
        <v>376930.70162387798</v>
      </c>
      <c r="U30" s="9">
        <f t="shared" si="55"/>
        <v>497530.9278657817</v>
      </c>
      <c r="V30" s="9">
        <f t="shared" si="55"/>
        <v>667644.40122413775</v>
      </c>
      <c r="W30" s="9">
        <f t="shared" si="55"/>
        <v>626838.17413038632</v>
      </c>
      <c r="X30" s="9">
        <f t="shared" si="55"/>
        <v>565053.06803544634</v>
      </c>
      <c r="Y30" s="9">
        <f t="shared" si="55"/>
        <v>382914.64026905363</v>
      </c>
      <c r="Z30" s="9">
        <f>IF(OR(Z29="",Z28=""),"",Z28+Z29)</f>
        <v>402263.961336245</v>
      </c>
      <c r="AA30" s="9">
        <f t="shared" si="55"/>
        <v>579426.2480354734</v>
      </c>
      <c r="AB30" s="9">
        <f t="shared" si="55"/>
        <v>720921.86154592782</v>
      </c>
      <c r="AC30" s="9" t="str">
        <f t="shared" si="55"/>
        <v/>
      </c>
      <c r="AD30" s="9" t="str">
        <f t="shared" si="55"/>
        <v/>
      </c>
      <c r="AE30" s="9" t="str">
        <f t="shared" si="55"/>
        <v/>
      </c>
      <c r="AF30" s="9" t="str">
        <f t="shared" si="55"/>
        <v/>
      </c>
      <c r="AG30" s="9" t="str">
        <f t="shared" si="55"/>
        <v/>
      </c>
      <c r="AH30" s="9" t="str">
        <f t="shared" si="55"/>
        <v/>
      </c>
      <c r="AI30" s="9" t="str">
        <f t="shared" si="55"/>
        <v/>
      </c>
      <c r="AJ30" s="9" t="str">
        <f t="shared" si="55"/>
        <v/>
      </c>
      <c r="AK30" s="9" t="str">
        <f t="shared" si="55"/>
        <v/>
      </c>
      <c r="AL30" s="9" t="str">
        <f t="shared" si="55"/>
        <v/>
      </c>
      <c r="AM30" s="9" t="str">
        <f t="shared" si="55"/>
        <v/>
      </c>
      <c r="AN30" s="9" t="str">
        <f t="shared" si="55"/>
        <v/>
      </c>
      <c r="AO30" s="9" t="str">
        <f t="shared" si="55"/>
        <v/>
      </c>
      <c r="AP30" s="9" t="str">
        <f t="shared" si="55"/>
        <v/>
      </c>
      <c r="AQ30" s="9" t="str">
        <f t="shared" si="55"/>
        <v/>
      </c>
      <c r="AR30" s="9" t="str">
        <f t="shared" si="55"/>
        <v/>
      </c>
      <c r="AS30" s="9" t="str">
        <f t="shared" si="55"/>
        <v/>
      </c>
      <c r="AT30" s="9" t="str">
        <f t="shared" si="55"/>
        <v/>
      </c>
      <c r="AU30" s="9" t="str">
        <f t="shared" si="55"/>
        <v/>
      </c>
      <c r="AV30" s="9" t="str">
        <f t="shared" si="55"/>
        <v/>
      </c>
      <c r="AW30" s="9" t="str">
        <f t="shared" si="55"/>
        <v/>
      </c>
    </row>
    <row r="31" spans="1:49" s="5" customFormat="1" outlineLevel="1" x14ac:dyDescent="0.3">
      <c r="A31" s="132"/>
      <c r="B31" s="18" t="s">
        <v>12</v>
      </c>
      <c r="C31" s="80"/>
      <c r="D31" s="80"/>
      <c r="E31" s="80"/>
      <c r="F31" s="9">
        <f t="shared" ref="F31:M31" si="56">IF(OR(F28="",F27=""),"",F27-F28)</f>
        <v>0</v>
      </c>
      <c r="G31" s="9">
        <f>IF(OR(G28="",G27=""),"",G27-G28)</f>
        <v>3542.7066619947968</v>
      </c>
      <c r="H31" s="9">
        <f t="shared" si="56"/>
        <v>-2042.587011875763</v>
      </c>
      <c r="I31" s="9">
        <f t="shared" si="56"/>
        <v>-101305.99221352636</v>
      </c>
      <c r="J31" s="9">
        <f t="shared" si="56"/>
        <v>3390.1150170901092</v>
      </c>
      <c r="K31" s="9">
        <f t="shared" si="56"/>
        <v>76961.106998553209</v>
      </c>
      <c r="L31" s="9">
        <f t="shared" si="56"/>
        <v>-50530.984803922765</v>
      </c>
      <c r="M31" s="9">
        <f t="shared" si="56"/>
        <v>-212267.59868433682</v>
      </c>
      <c r="N31" s="9">
        <f>IF(OR(N30="",N27=""),"",N27-N30)</f>
        <v>-40385.23306946503</v>
      </c>
      <c r="O31" s="9">
        <f t="shared" ref="O31:AW31" si="57">IF(OR(O30="",O27=""),"",O27-O30)</f>
        <v>44343.414292571193</v>
      </c>
      <c r="P31" s="9">
        <f t="shared" si="57"/>
        <v>76836.312043950486</v>
      </c>
      <c r="Q31" s="9">
        <f t="shared" si="57"/>
        <v>86133.198655375512</v>
      </c>
      <c r="R31" s="9">
        <f t="shared" si="57"/>
        <v>-70294.251757633756</v>
      </c>
      <c r="S31" s="9">
        <f t="shared" si="57"/>
        <v>-209165.47822788436</v>
      </c>
      <c r="T31" s="9">
        <f t="shared" si="57"/>
        <v>-137615.28236749448</v>
      </c>
      <c r="U31" s="9">
        <f t="shared" si="57"/>
        <v>248433.71193049941</v>
      </c>
      <c r="V31" s="9">
        <f t="shared" si="57"/>
        <v>354316.74050838663</v>
      </c>
      <c r="W31" s="9">
        <f t="shared" si="57"/>
        <v>594302.11378261668</v>
      </c>
      <c r="X31" s="9">
        <f t="shared" si="57"/>
        <v>473881.47595819214</v>
      </c>
      <c r="Y31" s="9">
        <f t="shared" si="57"/>
        <v>73938.549640369252</v>
      </c>
      <c r="Z31" s="9">
        <f>IF(OR(Z30="",Z27=""),"",Z27-Z30)</f>
        <v>211736.24203172763</v>
      </c>
      <c r="AA31" s="9">
        <f t="shared" si="57"/>
        <v>234131.99397336482</v>
      </c>
      <c r="AB31" s="9">
        <f t="shared" si="57"/>
        <v>151830.5726068801</v>
      </c>
      <c r="AC31" s="9" t="str">
        <f t="shared" si="57"/>
        <v/>
      </c>
      <c r="AD31" s="9" t="str">
        <f t="shared" si="57"/>
        <v/>
      </c>
      <c r="AE31" s="9" t="str">
        <f t="shared" si="57"/>
        <v/>
      </c>
      <c r="AF31" s="9" t="str">
        <f t="shared" si="57"/>
        <v/>
      </c>
      <c r="AG31" s="9" t="str">
        <f t="shared" si="57"/>
        <v/>
      </c>
      <c r="AH31" s="9" t="str">
        <f t="shared" si="57"/>
        <v/>
      </c>
      <c r="AI31" s="9" t="str">
        <f t="shared" si="57"/>
        <v/>
      </c>
      <c r="AJ31" s="9" t="str">
        <f t="shared" si="57"/>
        <v/>
      </c>
      <c r="AK31" s="9" t="str">
        <f t="shared" si="57"/>
        <v/>
      </c>
      <c r="AL31" s="9" t="str">
        <f t="shared" si="57"/>
        <v/>
      </c>
      <c r="AM31" s="9" t="str">
        <f t="shared" si="57"/>
        <v/>
      </c>
      <c r="AN31" s="9" t="str">
        <f t="shared" si="57"/>
        <v/>
      </c>
      <c r="AO31" s="9" t="str">
        <f t="shared" si="57"/>
        <v/>
      </c>
      <c r="AP31" s="9" t="str">
        <f t="shared" si="57"/>
        <v/>
      </c>
      <c r="AQ31" s="9" t="str">
        <f t="shared" si="57"/>
        <v/>
      </c>
      <c r="AR31" s="9" t="str">
        <f t="shared" si="57"/>
        <v/>
      </c>
      <c r="AS31" s="9" t="str">
        <f t="shared" si="57"/>
        <v/>
      </c>
      <c r="AT31" s="9" t="str">
        <f t="shared" si="57"/>
        <v/>
      </c>
      <c r="AU31" s="9" t="str">
        <f t="shared" si="57"/>
        <v/>
      </c>
      <c r="AV31" s="9" t="str">
        <f t="shared" si="57"/>
        <v/>
      </c>
      <c r="AW31" s="9" t="str">
        <f t="shared" si="57"/>
        <v/>
      </c>
    </row>
    <row r="32" spans="1:49" s="5" customFormat="1" outlineLevel="1" x14ac:dyDescent="0.3">
      <c r="A32" s="132"/>
      <c r="B32" s="19" t="s">
        <v>7</v>
      </c>
      <c r="C32" s="80"/>
      <c r="D32" s="80"/>
      <c r="E32" s="80"/>
      <c r="F32" s="9">
        <f>IF(OR(F9="",F31=""),"",ROUND((F31+E34)*F9/12,2))</f>
        <v>0</v>
      </c>
      <c r="G32" s="9">
        <f t="shared" ref="G32:L32" si="58">IF(OR(G9="",G31=""),"",ROUND((G31+F34)*G9/12,2))</f>
        <v>7.86</v>
      </c>
      <c r="H32" s="9">
        <f t="shared" si="58"/>
        <v>3.36</v>
      </c>
      <c r="I32" s="9">
        <f t="shared" si="58"/>
        <v>-220.38</v>
      </c>
      <c r="J32" s="9">
        <f t="shared" si="58"/>
        <v>-208.94</v>
      </c>
      <c r="K32" s="9">
        <f t="shared" si="58"/>
        <v>-38.94</v>
      </c>
      <c r="L32" s="9">
        <f t="shared" si="58"/>
        <v>-130.13999999999999</v>
      </c>
      <c r="M32" s="9">
        <f t="shared" ref="M32" si="59">IF(OR(M9="",M31=""),"",ROUND((M31+L34)*M9/12,2))</f>
        <v>-498.25</v>
      </c>
      <c r="N32" s="9">
        <f>IF(OR(N9="",N31=""),"",ROUND((N31+M34)*N9/12,2))+N26</f>
        <v>-489.81000000000006</v>
      </c>
      <c r="O32" s="9">
        <f t="shared" ref="O32" si="60">IF(OR(O9="",O31=""),"",ROUND((O31+N34)*O9/12,2))</f>
        <v>-446.67</v>
      </c>
      <c r="P32" s="9">
        <f>IF(OR(P9="",P31=""),"",ROUND((P31+O34)*P9/12,2))</f>
        <v>-320.33</v>
      </c>
      <c r="Q32" s="9">
        <f t="shared" ref="Q32:Y32" si="61">IF(OR(Q9="",Q31=""),"",ROUND((Q29+Q31+P34)*Q9/12,2))</f>
        <v>-2.91</v>
      </c>
      <c r="R32" s="9">
        <f t="shared" si="61"/>
        <v>50.9</v>
      </c>
      <c r="S32" s="9">
        <f t="shared" si="61"/>
        <v>-73.48</v>
      </c>
      <c r="T32" s="9">
        <f t="shared" si="61"/>
        <v>-16.95</v>
      </c>
      <c r="U32" s="9">
        <f t="shared" si="61"/>
        <v>19.760000000000002</v>
      </c>
      <c r="V32" s="9">
        <f t="shared" si="61"/>
        <v>108.88</v>
      </c>
      <c r="W32" s="9">
        <f t="shared" si="61"/>
        <v>158.51</v>
      </c>
      <c r="X32" s="9">
        <f t="shared" si="61"/>
        <v>204.25</v>
      </c>
      <c r="Y32" s="9">
        <f t="shared" si="61"/>
        <v>354.55</v>
      </c>
      <c r="Z32" s="9">
        <f>IF(OR(Z9="",Z31=""),"",ROUND((Z29+Z31+Y34)*Z9/12,2))</f>
        <v>403.06</v>
      </c>
      <c r="AA32" s="9">
        <f t="shared" ref="AA32:AW32" si="62">IF(OR(AA9="",AA31=""),"",ROUND((AA29+AA31+Z34)*AA9/12,2))</f>
        <v>461.14</v>
      </c>
      <c r="AB32" s="9">
        <f t="shared" si="62"/>
        <v>510.17</v>
      </c>
      <c r="AC32" s="9" t="str">
        <f t="shared" si="62"/>
        <v/>
      </c>
      <c r="AD32" s="9" t="str">
        <f t="shared" si="62"/>
        <v/>
      </c>
      <c r="AE32" s="9" t="str">
        <f t="shared" si="62"/>
        <v/>
      </c>
      <c r="AF32" s="9" t="str">
        <f t="shared" si="62"/>
        <v/>
      </c>
      <c r="AG32" s="9" t="str">
        <f t="shared" si="62"/>
        <v/>
      </c>
      <c r="AH32" s="9" t="str">
        <f t="shared" si="62"/>
        <v/>
      </c>
      <c r="AI32" s="9" t="str">
        <f t="shared" si="62"/>
        <v/>
      </c>
      <c r="AJ32" s="9" t="str">
        <f t="shared" si="62"/>
        <v/>
      </c>
      <c r="AK32" s="9" t="str">
        <f t="shared" si="62"/>
        <v/>
      </c>
      <c r="AL32" s="9" t="str">
        <f t="shared" si="62"/>
        <v/>
      </c>
      <c r="AM32" s="9" t="str">
        <f t="shared" si="62"/>
        <v/>
      </c>
      <c r="AN32" s="9" t="str">
        <f t="shared" si="62"/>
        <v/>
      </c>
      <c r="AO32" s="9" t="str">
        <f t="shared" si="62"/>
        <v/>
      </c>
      <c r="AP32" s="9" t="str">
        <f t="shared" si="62"/>
        <v/>
      </c>
      <c r="AQ32" s="9" t="str">
        <f t="shared" si="62"/>
        <v/>
      </c>
      <c r="AR32" s="9" t="str">
        <f t="shared" si="62"/>
        <v/>
      </c>
      <c r="AS32" s="9" t="str">
        <f t="shared" si="62"/>
        <v/>
      </c>
      <c r="AT32" s="9" t="str">
        <f t="shared" si="62"/>
        <v/>
      </c>
      <c r="AU32" s="9" t="str">
        <f t="shared" si="62"/>
        <v/>
      </c>
      <c r="AV32" s="9" t="str">
        <f t="shared" si="62"/>
        <v/>
      </c>
      <c r="AW32" s="9" t="str">
        <f t="shared" si="62"/>
        <v/>
      </c>
    </row>
    <row r="33" spans="1:49" s="5" customFormat="1" outlineLevel="1" x14ac:dyDescent="0.3">
      <c r="A33" s="132"/>
      <c r="B33" s="18" t="s">
        <v>13</v>
      </c>
      <c r="C33" s="80"/>
      <c r="D33" s="80"/>
      <c r="E33" s="80"/>
      <c r="F33" s="9">
        <f t="shared" ref="F33:M33" si="63">IF(OR(F31="",F32=""),"",F31+F32)</f>
        <v>0</v>
      </c>
      <c r="G33" s="9">
        <f>IF(OR(G31="",G32=""),"",G31+G32)</f>
        <v>3550.566661994797</v>
      </c>
      <c r="H33" s="9">
        <f t="shared" si="63"/>
        <v>-2039.2270118757631</v>
      </c>
      <c r="I33" s="9">
        <f t="shared" si="63"/>
        <v>-101526.37221352637</v>
      </c>
      <c r="J33" s="9">
        <f t="shared" si="63"/>
        <v>3181.1750170901091</v>
      </c>
      <c r="K33" s="9">
        <f t="shared" si="63"/>
        <v>76922.166998553206</v>
      </c>
      <c r="L33" s="9">
        <f t="shared" si="63"/>
        <v>-50661.124803922765</v>
      </c>
      <c r="M33" s="9">
        <f t="shared" si="63"/>
        <v>-212765.84868433682</v>
      </c>
      <c r="N33" s="9">
        <f>IF(OR(N31="",N32=""),"",N31+N32)</f>
        <v>-40875.043069465028</v>
      </c>
      <c r="O33" s="9">
        <f>IF(OR(O31="",O32=""),"",O31+O32)</f>
        <v>43896.744292571195</v>
      </c>
      <c r="P33" s="9">
        <f t="shared" ref="P33:AW33" si="64">IF(OR(P31="",P32=""),"",P31+P32)</f>
        <v>76515.982043950484</v>
      </c>
      <c r="Q33" s="9">
        <f>IF(OR(Q31="",Q32=""),"",Q31+Q32)</f>
        <v>86130.288655375509</v>
      </c>
      <c r="R33" s="9">
        <f t="shared" si="64"/>
        <v>-70243.351757633762</v>
      </c>
      <c r="S33" s="9">
        <f t="shared" si="64"/>
        <v>-209238.95822788437</v>
      </c>
      <c r="T33" s="9">
        <f t="shared" si="64"/>
        <v>-137632.23236749449</v>
      </c>
      <c r="U33" s="9">
        <f t="shared" si="64"/>
        <v>248453.47193049942</v>
      </c>
      <c r="V33" s="9">
        <f t="shared" si="64"/>
        <v>354425.62050838664</v>
      </c>
      <c r="W33" s="9">
        <f t="shared" si="64"/>
        <v>594460.62378261669</v>
      </c>
      <c r="X33" s="9">
        <f t="shared" si="64"/>
        <v>474085.72595819214</v>
      </c>
      <c r="Y33" s="9">
        <f t="shared" si="64"/>
        <v>74293.099640369255</v>
      </c>
      <c r="Z33" s="9">
        <f t="shared" si="64"/>
        <v>212139.30203172762</v>
      </c>
      <c r="AA33" s="9">
        <f t="shared" si="64"/>
        <v>234593.13397336483</v>
      </c>
      <c r="AB33" s="9">
        <f t="shared" si="64"/>
        <v>152340.74260688011</v>
      </c>
      <c r="AC33" s="9" t="str">
        <f t="shared" si="64"/>
        <v/>
      </c>
      <c r="AD33" s="9" t="str">
        <f t="shared" si="64"/>
        <v/>
      </c>
      <c r="AE33" s="9" t="str">
        <f t="shared" si="64"/>
        <v/>
      </c>
      <c r="AF33" s="9" t="str">
        <f t="shared" si="64"/>
        <v/>
      </c>
      <c r="AG33" s="9" t="str">
        <f t="shared" si="64"/>
        <v/>
      </c>
      <c r="AH33" s="9" t="str">
        <f t="shared" si="64"/>
        <v/>
      </c>
      <c r="AI33" s="9" t="str">
        <f t="shared" si="64"/>
        <v/>
      </c>
      <c r="AJ33" s="9" t="str">
        <f t="shared" si="64"/>
        <v/>
      </c>
      <c r="AK33" s="9" t="str">
        <f t="shared" si="64"/>
        <v/>
      </c>
      <c r="AL33" s="9" t="str">
        <f t="shared" si="64"/>
        <v/>
      </c>
      <c r="AM33" s="9" t="str">
        <f t="shared" si="64"/>
        <v/>
      </c>
      <c r="AN33" s="9" t="str">
        <f t="shared" si="64"/>
        <v/>
      </c>
      <c r="AO33" s="9" t="str">
        <f t="shared" si="64"/>
        <v/>
      </c>
      <c r="AP33" s="9" t="str">
        <f t="shared" si="64"/>
        <v/>
      </c>
      <c r="AQ33" s="9" t="str">
        <f t="shared" si="64"/>
        <v/>
      </c>
      <c r="AR33" s="9" t="str">
        <f t="shared" si="64"/>
        <v/>
      </c>
      <c r="AS33" s="9" t="str">
        <f t="shared" si="64"/>
        <v/>
      </c>
      <c r="AT33" s="9" t="str">
        <f t="shared" si="64"/>
        <v/>
      </c>
      <c r="AU33" s="9" t="str">
        <f t="shared" si="64"/>
        <v/>
      </c>
      <c r="AV33" s="9" t="str">
        <f t="shared" si="64"/>
        <v/>
      </c>
      <c r="AW33" s="9" t="str">
        <f t="shared" si="64"/>
        <v/>
      </c>
    </row>
    <row r="34" spans="1:49" s="5" customFormat="1" outlineLevel="1" x14ac:dyDescent="0.3">
      <c r="A34" s="132"/>
      <c r="B34" s="20" t="s">
        <v>14</v>
      </c>
      <c r="C34" s="80"/>
      <c r="D34" s="80"/>
      <c r="E34" s="80"/>
      <c r="F34" s="9">
        <f>IF(OR(F33=""),"",F33)</f>
        <v>0</v>
      </c>
      <c r="G34" s="9">
        <f>IF(OR(G33="",F34=""),"",G33+F34)</f>
        <v>3550.566661994797</v>
      </c>
      <c r="H34" s="9">
        <f t="shared" ref="H34:M34" si="65">IF(OR(H33="",G34=""),"",H33+G34)</f>
        <v>1511.3396501190339</v>
      </c>
      <c r="I34" s="9">
        <f t="shared" si="65"/>
        <v>-100015.03256340734</v>
      </c>
      <c r="J34" s="9">
        <f t="shared" si="65"/>
        <v>-96833.857546317231</v>
      </c>
      <c r="K34" s="9">
        <f t="shared" si="65"/>
        <v>-19911.690547764025</v>
      </c>
      <c r="L34" s="9">
        <f t="shared" si="65"/>
        <v>-70572.81535168679</v>
      </c>
      <c r="M34" s="9">
        <f t="shared" si="65"/>
        <v>-283338.66403602361</v>
      </c>
      <c r="N34" s="9">
        <f>IF(OR(N33="",M34=""),"",N33+N29+M34)</f>
        <v>-324213.70710548863</v>
      </c>
      <c r="O34" s="9">
        <f>IF(OR(O33="",N34=""),"",O33+O29+N34+O26)</f>
        <v>-280316.96281291742</v>
      </c>
      <c r="P34" s="9">
        <f>IF(OR(P33="",O34=""),"",P33+P29+O34)</f>
        <v>-203800.98076896695</v>
      </c>
      <c r="Q34" s="9">
        <f>IF(OR(Q33="",P34=""),"",Q33+Q29+P34)</f>
        <v>-1937.7221135914442</v>
      </c>
      <c r="R34" s="9">
        <f t="shared" ref="R34:AW34" si="66">IF(OR(R33="",Q34=""),"",R33+R29+Q34)</f>
        <v>32393.436128774789</v>
      </c>
      <c r="S34" s="9">
        <f>IF(OR(S33="",R34=""),"",S33+S29+R34)</f>
        <v>-94026.542099109589</v>
      </c>
      <c r="T34" s="9">
        <f t="shared" si="66"/>
        <v>-157653.12446660409</v>
      </c>
      <c r="U34" s="9">
        <f t="shared" si="66"/>
        <v>188741.52746389533</v>
      </c>
      <c r="V34" s="9">
        <f t="shared" si="66"/>
        <v>674761.81797228195</v>
      </c>
      <c r="W34" s="9">
        <f t="shared" si="66"/>
        <v>1392749.5717548986</v>
      </c>
      <c r="X34" s="9">
        <f t="shared" si="66"/>
        <v>1978158.2477130909</v>
      </c>
      <c r="Y34" s="9">
        <f t="shared" si="66"/>
        <v>2127671.0573534602</v>
      </c>
      <c r="Z34" s="9">
        <f t="shared" si="66"/>
        <v>2418773.1093851877</v>
      </c>
      <c r="AA34" s="9">
        <f t="shared" si="66"/>
        <v>2767329.7933585527</v>
      </c>
      <c r="AB34" s="9">
        <f t="shared" si="66"/>
        <v>3061527.215965433</v>
      </c>
      <c r="AC34" s="9" t="str">
        <f t="shared" si="66"/>
        <v/>
      </c>
      <c r="AD34" s="9" t="str">
        <f t="shared" si="66"/>
        <v/>
      </c>
      <c r="AE34" s="9" t="str">
        <f t="shared" si="66"/>
        <v/>
      </c>
      <c r="AF34" s="9" t="str">
        <f t="shared" si="66"/>
        <v/>
      </c>
      <c r="AG34" s="9" t="str">
        <f t="shared" si="66"/>
        <v/>
      </c>
      <c r="AH34" s="9" t="str">
        <f t="shared" si="66"/>
        <v/>
      </c>
      <c r="AI34" s="9" t="str">
        <f t="shared" si="66"/>
        <v/>
      </c>
      <c r="AJ34" s="9" t="str">
        <f t="shared" si="66"/>
        <v/>
      </c>
      <c r="AK34" s="9" t="str">
        <f t="shared" si="66"/>
        <v/>
      </c>
      <c r="AL34" s="9" t="str">
        <f t="shared" si="66"/>
        <v/>
      </c>
      <c r="AM34" s="9" t="str">
        <f t="shared" si="66"/>
        <v/>
      </c>
      <c r="AN34" s="9" t="str">
        <f>IF(OR(AN33="",AM34=""),"",AN33+AN29+AM34)</f>
        <v/>
      </c>
      <c r="AO34" s="9" t="str">
        <f t="shared" si="66"/>
        <v/>
      </c>
      <c r="AP34" s="9" t="str">
        <f t="shared" si="66"/>
        <v/>
      </c>
      <c r="AQ34" s="9" t="str">
        <f t="shared" si="66"/>
        <v/>
      </c>
      <c r="AR34" s="9" t="str">
        <f t="shared" si="66"/>
        <v/>
      </c>
      <c r="AS34" s="9" t="str">
        <f t="shared" si="66"/>
        <v/>
      </c>
      <c r="AT34" s="9" t="str">
        <f t="shared" si="66"/>
        <v/>
      </c>
      <c r="AU34" s="9" t="str">
        <f t="shared" si="66"/>
        <v/>
      </c>
      <c r="AV34" s="9" t="str">
        <f t="shared" si="66"/>
        <v/>
      </c>
      <c r="AW34" s="9" t="str">
        <f t="shared" si="66"/>
        <v/>
      </c>
    </row>
    <row r="35" spans="1:49" s="5" customFormat="1" ht="8.25" customHeight="1" outlineLevel="1" x14ac:dyDescent="0.3">
      <c r="A35" s="40"/>
      <c r="B35" s="13"/>
      <c r="C35" s="85"/>
      <c r="D35" s="85"/>
      <c r="E35" s="8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" customHeight="1" outlineLevel="1" x14ac:dyDescent="0.3">
      <c r="A36" s="132" t="s">
        <v>20</v>
      </c>
      <c r="B36" s="17"/>
      <c r="C36" s="80"/>
      <c r="D36" s="80"/>
      <c r="E36" s="80"/>
      <c r="F36" s="9"/>
      <c r="G36" s="9"/>
      <c r="H36" s="9"/>
      <c r="I36" s="9"/>
      <c r="J36" s="9"/>
      <c r="K36" s="9"/>
      <c r="L36" s="9"/>
      <c r="M36" s="9"/>
      <c r="N36" s="113">
        <f>'MEEIA 3 adjs Nov 19'!L22</f>
        <v>1.999999999998181E-2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59"/>
      <c r="AP36" s="59"/>
      <c r="AQ36" s="59"/>
      <c r="AR36" s="59"/>
      <c r="AS36" s="59"/>
      <c r="AT36" s="59"/>
      <c r="AU36" s="59"/>
      <c r="AV36" s="59"/>
      <c r="AW36" s="59"/>
    </row>
    <row r="37" spans="1:49" s="3" customFormat="1" ht="15" customHeight="1" outlineLevel="1" x14ac:dyDescent="0.3">
      <c r="A37" s="132"/>
      <c r="B37" s="17" t="s">
        <v>27</v>
      </c>
      <c r="C37" s="80"/>
      <c r="D37" s="80"/>
      <c r="E37" s="80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64700.998849587129</v>
      </c>
      <c r="O37" s="22">
        <f>IF('M3 Allocations - TD'!M6="","",'M3 Allocations - TD'!M32)</f>
        <v>81956.189294724609</v>
      </c>
      <c r="P37" s="22">
        <f>IF('M3 Allocations - TD'!N6="","",'M3 Allocations - TD'!N32)</f>
        <v>113990.99327753842</v>
      </c>
      <c r="Q37" s="22">
        <f>IF('M3 Allocations - TD'!O6="","",'M3 Allocations - TD'!O32)</f>
        <v>88043.147483850829</v>
      </c>
      <c r="R37" s="22">
        <f>IF('M3 Allocations - TD'!P6="","",'M3 Allocations - TD'!P32)</f>
        <v>103641.60510926238</v>
      </c>
      <c r="S37" s="22">
        <f>IF('M3 Allocations - TD'!Q6="","",'M3 Allocations - TD'!Q32)</f>
        <v>44495.668454394727</v>
      </c>
      <c r="T37" s="22">
        <f>IF('M3 Allocations - TD'!R6="","",'M3 Allocations - TD'!R32)</f>
        <v>72447.479306892477</v>
      </c>
      <c r="U37" s="22">
        <f>IF('M3 Allocations - TD'!S6="","",'M3 Allocations - TD'!S32)</f>
        <v>100242.14080653639</v>
      </c>
      <c r="V37" s="22">
        <f>IF('M3 Allocations - TD'!T6="","",'M3 Allocations - TD'!T32)</f>
        <v>144814.88878280437</v>
      </c>
      <c r="W37" s="22">
        <f>IF('M3 Allocations - TD'!U6="","",'M3 Allocations - TD'!U32)</f>
        <v>113846.66455304027</v>
      </c>
      <c r="X37" s="22">
        <f>IF('M3 Allocations - TD'!V6="","",'M3 Allocations - TD'!V32)</f>
        <v>127713.0610159208</v>
      </c>
      <c r="Y37" s="22">
        <f>IF('M3 Allocations - TD'!W6="","",'M3 Allocations - TD'!W32)</f>
        <v>102944.20736329375</v>
      </c>
      <c r="Z37" s="22">
        <f>IF('M3 Allocations - TD'!X6="","",'M3 Allocations - TD'!X32)</f>
        <v>97425.639139626393</v>
      </c>
      <c r="AA37" s="22">
        <f>IF('M3 Allocations - TD'!Y6="","",'M3 Allocations - TD'!Y32)</f>
        <v>123931.27565285936</v>
      </c>
      <c r="AB37" s="22">
        <f>IF('M3 Allocations - TD'!Z6="","",'M3 Allocations - TD'!Z32)</f>
        <v>151720.68967988784</v>
      </c>
      <c r="AC37" s="22">
        <f>IF('M3 Allocations - TD'!AA6="","",'M3 Allocations - TD'!AA32)</f>
        <v>128047.48804991264</v>
      </c>
      <c r="AD37" s="22">
        <f>IF('M3 Allocations - TD'!AB6="","",'M3 Allocations - TD'!AB32)</f>
        <v>151480.14898392203</v>
      </c>
      <c r="AE37" s="22">
        <f>IF('M3 Allocations - TD'!AC6="","",'M3 Allocations - TD'!AC32)</f>
        <v>163405.97919130255</v>
      </c>
      <c r="AF37" s="22">
        <f>IF('M3 Allocations - TD'!AD6="","",'M3 Allocations - TD'!AD32)</f>
        <v>238728.51643063777</v>
      </c>
      <c r="AG37" s="22">
        <f>IF('M3 Allocations - TD'!AE6="","",'M3 Allocations - TD'!AE32)</f>
        <v>331991.20901924698</v>
      </c>
      <c r="AH37" s="22">
        <f>IF('M3 Allocations - TD'!AF6="","",'M3 Allocations - TD'!AF32)</f>
        <v>456224.44420866336</v>
      </c>
      <c r="AI37" s="22">
        <f>IF('M3 Allocations - TD'!AG6="","",'M3 Allocations - TD'!AG32)</f>
        <v>402135.17149156495</v>
      </c>
      <c r="AJ37" s="22">
        <f>IF('M3 Allocations - TD'!AH6="","",'M3 Allocations - TD'!AH32)</f>
        <v>436729.96737153135</v>
      </c>
      <c r="AK37" s="22">
        <f>IF('M3 Allocations - TD'!AI6="","",'M3 Allocations - TD'!AI32)</f>
        <v>345421.36706761247</v>
      </c>
      <c r="AL37" s="22">
        <f>IF('M3 Allocations - TD'!AJ6="","",'M3 Allocations - TD'!AJ32)</f>
        <v>319157.77547472599</v>
      </c>
      <c r="AM37" s="22">
        <f>IF('M3 Allocations - TD'!AK6="","",'M3 Allocations - TD'!AK32)</f>
        <v>380503.4113534842</v>
      </c>
      <c r="AN37" s="22">
        <f>IF('M3 Allocations - TD'!AL6="","",'M3 Allocations - TD'!AL32)</f>
        <v>435876.05460866523</v>
      </c>
      <c r="AO37" s="22" t="str">
        <f>IF('M3 Allocations - TD'!AM6="","",'M3 Allocations - TD'!AM32)</f>
        <v/>
      </c>
      <c r="AP37" s="22" t="str">
        <f>IF('M3 Allocations - TD'!AN6="","",'M3 Allocations - TD'!AN32)</f>
        <v/>
      </c>
      <c r="AQ37" s="22" t="str">
        <f>IF('M3 Allocations - TD'!AO6="","",'M3 Allocations - TD'!AO32)</f>
        <v/>
      </c>
      <c r="AR37" s="22" t="str">
        <f>IF('M3 Allocations - TD'!AP6="","",'M3 Allocations - TD'!AP32)</f>
        <v/>
      </c>
      <c r="AS37" s="22" t="str">
        <f>IF('M3 Allocations - TD'!AQ6="","",'M3 Allocations - TD'!AQ32)</f>
        <v/>
      </c>
      <c r="AT37" s="22" t="str">
        <f>IF('M3 Allocations - TD'!AR6="","",'M3 Allocations - TD'!AR32)</f>
        <v/>
      </c>
      <c r="AU37" s="22" t="str">
        <f>IF('M3 Allocations - TD'!AS6="","",'M3 Allocations - TD'!AS32)</f>
        <v/>
      </c>
      <c r="AV37" s="22" t="str">
        <f>IF('M3 Allocations - TD'!AT6="","",'M3 Allocations - TD'!AT32)</f>
        <v/>
      </c>
      <c r="AW37" s="22" t="str">
        <f>IF('M3 Allocations - TD'!AU6="","",'M3 Allocations - TD'!AU32)</f>
        <v/>
      </c>
    </row>
    <row r="38" spans="1:49" s="5" customFormat="1" ht="15" customHeight="1" outlineLevel="1" x14ac:dyDescent="0.3">
      <c r="A38" s="132"/>
      <c r="B38" s="18" t="s">
        <v>25</v>
      </c>
      <c r="C38" s="80"/>
      <c r="D38" s="80"/>
      <c r="E38" s="80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55314.675500358826</v>
      </c>
      <c r="O38" s="22">
        <f>IF('M3 Allocations - TD'!M52="","",'M3 Allocations - TD'!M70)</f>
        <v>64772.869833744619</v>
      </c>
      <c r="P38" s="22">
        <f>IF('M3 Allocations - TD'!N52="","",'M3 Allocations - TD'!N70)</f>
        <v>69020.979330338465</v>
      </c>
      <c r="Q38" s="22">
        <f>IF('M3 Allocations - TD'!O52="","",'M3 Allocations - TD'!O70)</f>
        <v>72477.677451482814</v>
      </c>
      <c r="R38" s="22">
        <f>IF('M3 Allocations - TD'!P52="","",'M3 Allocations - TD'!P70)</f>
        <v>71928.028717536567</v>
      </c>
      <c r="S38" s="22">
        <f>IF('M3 Allocations - TD'!Q52="","",'M3 Allocations - TD'!Q70)</f>
        <v>55453.451619799707</v>
      </c>
      <c r="T38" s="22">
        <f>IF('M3 Allocations - TD'!R52="","",'M3 Allocations - TD'!R70)</f>
        <v>50391.746026202469</v>
      </c>
      <c r="U38" s="22">
        <f>IF('M3 Allocations - TD'!S52="","",'M3 Allocations - TD'!S70)</f>
        <v>63389.498728401399</v>
      </c>
      <c r="V38" s="22">
        <f>IF('M3 Allocations - TD'!T52="","",'M3 Allocations - TD'!T70)</f>
        <v>78881.855890584935</v>
      </c>
      <c r="W38" s="22">
        <f>IF('M3 Allocations - TD'!U52="","",'M3 Allocations - TD'!U70)</f>
        <v>76955.02703194521</v>
      </c>
      <c r="X38" s="22">
        <f>IF('M3 Allocations - TD'!V52="","",'M3 Allocations - TD'!V70)</f>
        <v>73755.388306573834</v>
      </c>
      <c r="Y38" s="22">
        <f>IF('M3 Allocations - TD'!W52="","",'M3 Allocations - TD'!W70)</f>
        <v>59772.834718849517</v>
      </c>
      <c r="Z38" s="22">
        <f>IF('M3 Allocations - TD'!X52="","",'M3 Allocations - TD'!X70)</f>
        <v>58118.836941996247</v>
      </c>
      <c r="AA38" s="22">
        <f>IF('M3 Allocations - TD'!Y52="","",'M3 Allocations - TD'!Y70)</f>
        <v>67411.118345190043</v>
      </c>
      <c r="AB38" s="22">
        <f>IF('M3 Allocations - TD'!Z52="","",'M3 Allocations - TD'!Z70)</f>
        <v>80749.961676747451</v>
      </c>
      <c r="AC38" s="22" t="str">
        <f>IF('M3 Allocations - TD'!AA52="","",'M3 Allocations - TD'!AA70)</f>
        <v/>
      </c>
      <c r="AD38" s="22" t="str">
        <f>IF('M3 Allocations - TD'!AB52="","",'M3 Allocations - TD'!AB70)</f>
        <v/>
      </c>
      <c r="AE38" s="22" t="str">
        <f>IF('M3 Allocations - TD'!AC52="","",'M3 Allocations - TD'!AC70)</f>
        <v/>
      </c>
      <c r="AF38" s="22" t="str">
        <f>IF('M3 Allocations - TD'!AD52="","",'M3 Allocations - TD'!AD70)</f>
        <v/>
      </c>
      <c r="AG38" s="22" t="str">
        <f>IF('M3 Allocations - TD'!AE52="","",'M3 Allocations - TD'!AE70)</f>
        <v/>
      </c>
      <c r="AH38" s="22" t="str">
        <f>IF('M3 Allocations - TD'!AF52="","",'M3 Allocations - TD'!AF70)</f>
        <v/>
      </c>
      <c r="AI38" s="22" t="str">
        <f>IF('M3 Allocations - TD'!AG52="","",'M3 Allocations - TD'!AG70)</f>
        <v/>
      </c>
      <c r="AJ38" s="22" t="str">
        <f>IF('M3 Allocations - TD'!AH52="","",'M3 Allocations - TD'!AH70)</f>
        <v/>
      </c>
      <c r="AK38" s="22" t="str">
        <f>IF('M3 Allocations - TD'!AI52="","",'M3 Allocations - TD'!AI70)</f>
        <v/>
      </c>
      <c r="AL38" s="22" t="str">
        <f>IF('M3 Allocations - TD'!AJ52="","",'M3 Allocations - TD'!AJ70)</f>
        <v/>
      </c>
      <c r="AM38" s="22" t="str">
        <f>IF('M3 Allocations - TD'!AK52="","",'M3 Allocations - TD'!AK70)</f>
        <v/>
      </c>
      <c r="AN38" s="22" t="str">
        <f>IF('M3 Allocations - TD'!AL52="","",'M3 Allocations - TD'!AL70)</f>
        <v/>
      </c>
      <c r="AO38" s="22" t="str">
        <f>IF('M3 Allocations - TD'!AM52="","",'M3 Allocations - TD'!AM70)</f>
        <v/>
      </c>
      <c r="AP38" s="22" t="str">
        <f>IF('M3 Allocations - TD'!AN52="","",'M3 Allocations - TD'!AN70)</f>
        <v/>
      </c>
      <c r="AQ38" s="22" t="str">
        <f>IF('M3 Allocations - TD'!AO52="","",'M3 Allocations - TD'!AO70)</f>
        <v/>
      </c>
      <c r="AR38" s="22" t="str">
        <f>IF('M3 Allocations - TD'!AP52="","",'M3 Allocations - TD'!AP70)</f>
        <v/>
      </c>
      <c r="AS38" s="22" t="str">
        <f>IF('M3 Allocations - TD'!AQ52="","",'M3 Allocations - TD'!AQ70)</f>
        <v/>
      </c>
      <c r="AT38" s="22" t="str">
        <f>IF('M3 Allocations - TD'!AR52="","",'M3 Allocations - TD'!AR70)</f>
        <v/>
      </c>
      <c r="AU38" s="22" t="str">
        <f>IF('M3 Allocations - TD'!AS52="","",'M3 Allocations - TD'!AS70)</f>
        <v/>
      </c>
      <c r="AV38" s="22" t="str">
        <f>IF('M3 Allocations - TD'!AT52="","",'M3 Allocations - TD'!AT70)</f>
        <v/>
      </c>
      <c r="AW38" s="22" t="str">
        <f>IF('M3 Allocations - TD'!AU52="","",'M3 Allocations - TD'!AU70)</f>
        <v/>
      </c>
    </row>
    <row r="39" spans="1:49" s="5" customFormat="1" ht="15" customHeight="1" outlineLevel="1" x14ac:dyDescent="0.3">
      <c r="A39" s="132"/>
      <c r="B39" s="18" t="s">
        <v>41</v>
      </c>
      <c r="C39" s="80"/>
      <c r="D39" s="80"/>
      <c r="E39" s="80"/>
      <c r="F39" s="22">
        <f>IF(F38="","",0)</f>
        <v>0</v>
      </c>
      <c r="G39" s="22">
        <f t="shared" ref="G39" si="67">IF(G38="","",0)</f>
        <v>0</v>
      </c>
      <c r="H39" s="22">
        <f t="shared" ref="H39" si="68">IF(H38="","",0)</f>
        <v>0</v>
      </c>
      <c r="I39" s="22">
        <f t="shared" ref="I39" si="69">IF(I38="","",0)</f>
        <v>0</v>
      </c>
      <c r="J39" s="22">
        <f t="shared" ref="J39" si="70">IF(J38="","",0)</f>
        <v>0</v>
      </c>
      <c r="K39" s="22">
        <f t="shared" ref="K39" si="71">IF(K38="","",0)</f>
        <v>0</v>
      </c>
      <c r="L39" s="22">
        <f t="shared" ref="L39" si="72">IF(L38="","",0)</f>
        <v>0</v>
      </c>
      <c r="M39" s="22">
        <f t="shared" ref="M39" si="73">IF(M38="","",0)</f>
        <v>0</v>
      </c>
      <c r="N39" s="22">
        <f t="shared" ref="N39" si="74">IF(N38="","",0)</f>
        <v>0</v>
      </c>
      <c r="O39" s="22">
        <f t="shared" ref="O39" si="75">IF(O38="","",0)</f>
        <v>0</v>
      </c>
      <c r="P39" s="22">
        <f t="shared" ref="P39" si="76">IF(P38="","",0)</f>
        <v>0</v>
      </c>
      <c r="Q39" s="22">
        <f>IF(Q38="","",-'M3 TD amort'!C15)</f>
        <v>17996.03</v>
      </c>
      <c r="R39" s="22">
        <f>IF(R38="","",-'M3 TD amort'!D15)</f>
        <v>17828.82</v>
      </c>
      <c r="S39" s="22">
        <f>IF(S38="","",-'M3 TD amort'!E15)</f>
        <v>13698.34</v>
      </c>
      <c r="T39" s="22">
        <f>IF(T38="","",-'M3 TD amort'!F15)</f>
        <v>12419.68</v>
      </c>
      <c r="U39" s="22">
        <f>IF(U38="","",-'M3 TD amort'!G15)</f>
        <v>15595.43</v>
      </c>
      <c r="V39" s="22">
        <f>IF(V38="","",-'M3 TD amort'!H15)</f>
        <v>19419.18</v>
      </c>
      <c r="W39" s="22">
        <f>IF(W38="","",-'M3 TD amort'!I15)</f>
        <v>18927.88</v>
      </c>
      <c r="X39" s="22">
        <f>IF(X38="","",-'M3 TD amort'!J15)</f>
        <v>18118.43</v>
      </c>
      <c r="Y39" s="22">
        <f>IF(Y38="","",-'M3 TD amort'!K15)</f>
        <v>14686.23</v>
      </c>
      <c r="Z39" s="22">
        <f>IF(Z38="","",-'M3 TD amort'!L15)</f>
        <v>14319.1</v>
      </c>
      <c r="AA39" s="22">
        <f>IF(AA38="","",-'M3 TD amort'!M15)</f>
        <v>16665.79</v>
      </c>
      <c r="AB39" s="22">
        <f>IF(AB38="","",-'M3 TD amort'!N15)</f>
        <v>19979.080000000002</v>
      </c>
      <c r="AC39" s="22" t="str">
        <f>IF(AC38="","",-'M3 TD amort'!O15)</f>
        <v/>
      </c>
      <c r="AD39" s="22" t="str">
        <f>IF(AD38="","",-'M3 TD amort'!P15)</f>
        <v/>
      </c>
      <c r="AE39" s="22" t="str">
        <f>IF(AE38="","",-'M3 TD amort'!Q15)</f>
        <v/>
      </c>
      <c r="AF39" s="22" t="str">
        <f>IF(AF38="","",-'M3 TD amort'!R15)</f>
        <v/>
      </c>
      <c r="AG39" s="22" t="str">
        <f>IF(AG38="","",-'M3 TD amort'!S15)</f>
        <v/>
      </c>
      <c r="AH39" s="22" t="str">
        <f>IF(AH38="","",-'M3 TD amort'!T15)</f>
        <v/>
      </c>
      <c r="AI39" s="22" t="str">
        <f>IF(AI38="","",-'M3 TD amort'!U15)</f>
        <v/>
      </c>
      <c r="AJ39" s="22" t="str">
        <f>IF(AJ38="","",-'M3 TD amort'!V15)</f>
        <v/>
      </c>
      <c r="AK39" s="22" t="str">
        <f>IF(AK38="","",-'M3 TD amort'!W15)</f>
        <v/>
      </c>
      <c r="AL39" s="22" t="str">
        <f>IF(AL38="","",-'M3 TD amort'!X15)</f>
        <v/>
      </c>
      <c r="AM39" s="22" t="str">
        <f>IF(AM38="","",-'M3 TD amort'!Y15)</f>
        <v/>
      </c>
      <c r="AN39" s="22" t="str">
        <f>IF(AN38="","",-'M3 TD amort'!Z15)</f>
        <v/>
      </c>
      <c r="AO39" s="22" t="str">
        <f>IF(AO38="","",-'M3 TD amort'!AA15)</f>
        <v/>
      </c>
      <c r="AP39" s="22" t="str">
        <f>IF(AP38="","",-'M3 TD amort'!AB15)</f>
        <v/>
      </c>
      <c r="AQ39" s="22" t="str">
        <f>IF(AQ38="","",-'M3 TD amort'!AC15)</f>
        <v/>
      </c>
      <c r="AR39" s="22" t="str">
        <f>IF(AR38="","",-#REF!)</f>
        <v/>
      </c>
      <c r="AS39" s="22" t="str">
        <f>IF(AS38="","",-#REF!)</f>
        <v/>
      </c>
      <c r="AT39" s="22" t="str">
        <f>IF(AT38="","",-#REF!)</f>
        <v/>
      </c>
      <c r="AU39" s="22" t="str">
        <f>IF(AU38="","",-#REF!)</f>
        <v/>
      </c>
      <c r="AV39" s="22" t="str">
        <f>IF(AV38="","",-#REF!)</f>
        <v/>
      </c>
      <c r="AW39" s="22" t="str">
        <f>IF(AW38="","",-#REF!)</f>
        <v/>
      </c>
    </row>
    <row r="40" spans="1:49" s="5" customFormat="1" ht="15" customHeight="1" outlineLevel="1" x14ac:dyDescent="0.3">
      <c r="A40" s="132"/>
      <c r="B40" s="18" t="s">
        <v>42</v>
      </c>
      <c r="C40" s="80"/>
      <c r="D40" s="80"/>
      <c r="E40" s="80"/>
      <c r="F40" s="9">
        <f t="shared" ref="F40:M40" si="77">IF(OR(F39="",F38=""),"",F38+F39)</f>
        <v>0</v>
      </c>
      <c r="G40" s="9">
        <f t="shared" si="77"/>
        <v>0</v>
      </c>
      <c r="H40" s="9">
        <f t="shared" si="77"/>
        <v>4662.874879564878</v>
      </c>
      <c r="I40" s="9">
        <f t="shared" si="77"/>
        <v>60575.806014450071</v>
      </c>
      <c r="J40" s="9">
        <f t="shared" si="77"/>
        <v>69235.226705339766</v>
      </c>
      <c r="K40" s="9">
        <f t="shared" si="77"/>
        <v>71132.268141530934</v>
      </c>
      <c r="L40" s="9">
        <f t="shared" si="77"/>
        <v>68766.003213137257</v>
      </c>
      <c r="M40" s="9">
        <f t="shared" si="77"/>
        <v>61936.863591354115</v>
      </c>
      <c r="N40" s="9">
        <f>IF(OR(N39="",N38=""),"",N38+N39)</f>
        <v>55314.675500358826</v>
      </c>
      <c r="O40" s="9">
        <f t="shared" ref="O40:AW40" si="78">IF(OR(O39="",O38=""),"",O38+O39)</f>
        <v>64772.869833744619</v>
      </c>
      <c r="P40" s="9">
        <f t="shared" si="78"/>
        <v>69020.979330338465</v>
      </c>
      <c r="Q40" s="9">
        <f t="shared" si="78"/>
        <v>90473.707451482813</v>
      </c>
      <c r="R40" s="9">
        <f t="shared" si="78"/>
        <v>89756.848717536574</v>
      </c>
      <c r="S40" s="9">
        <f t="shared" si="78"/>
        <v>69151.791619799711</v>
      </c>
      <c r="T40" s="9">
        <f t="shared" si="78"/>
        <v>62811.426026202469</v>
      </c>
      <c r="U40" s="9">
        <f t="shared" si="78"/>
        <v>78984.928728401399</v>
      </c>
      <c r="V40" s="9">
        <f t="shared" si="78"/>
        <v>98301.035890584928</v>
      </c>
      <c r="W40" s="9">
        <f t="shared" si="78"/>
        <v>95882.907031945215</v>
      </c>
      <c r="X40" s="9">
        <f t="shared" si="78"/>
        <v>91873.818306573841</v>
      </c>
      <c r="Y40" s="9">
        <f t="shared" si="78"/>
        <v>74459.06471884952</v>
      </c>
      <c r="Z40" s="9">
        <f t="shared" si="78"/>
        <v>72437.936941996246</v>
      </c>
      <c r="AA40" s="9">
        <f t="shared" si="78"/>
        <v>84076.908345190051</v>
      </c>
      <c r="AB40" s="9">
        <f t="shared" si="78"/>
        <v>100729.04167674745</v>
      </c>
      <c r="AC40" s="9" t="str">
        <f t="shared" si="78"/>
        <v/>
      </c>
      <c r="AD40" s="9" t="str">
        <f t="shared" si="78"/>
        <v/>
      </c>
      <c r="AE40" s="9" t="str">
        <f t="shared" si="78"/>
        <v/>
      </c>
      <c r="AF40" s="9" t="str">
        <f t="shared" si="78"/>
        <v/>
      </c>
      <c r="AG40" s="9" t="str">
        <f t="shared" si="78"/>
        <v/>
      </c>
      <c r="AH40" s="9" t="str">
        <f t="shared" si="78"/>
        <v/>
      </c>
      <c r="AI40" s="9" t="str">
        <f t="shared" si="78"/>
        <v/>
      </c>
      <c r="AJ40" s="9" t="str">
        <f t="shared" si="78"/>
        <v/>
      </c>
      <c r="AK40" s="9" t="str">
        <f t="shared" si="78"/>
        <v/>
      </c>
      <c r="AL40" s="9" t="str">
        <f t="shared" si="78"/>
        <v/>
      </c>
      <c r="AM40" s="9" t="str">
        <f t="shared" si="78"/>
        <v/>
      </c>
      <c r="AN40" s="9" t="str">
        <f t="shared" si="78"/>
        <v/>
      </c>
      <c r="AO40" s="9" t="str">
        <f t="shared" si="78"/>
        <v/>
      </c>
      <c r="AP40" s="9" t="str">
        <f t="shared" si="78"/>
        <v/>
      </c>
      <c r="AQ40" s="9" t="str">
        <f t="shared" si="78"/>
        <v/>
      </c>
      <c r="AR40" s="9" t="str">
        <f t="shared" si="78"/>
        <v/>
      </c>
      <c r="AS40" s="9" t="str">
        <f t="shared" si="78"/>
        <v/>
      </c>
      <c r="AT40" s="9" t="str">
        <f t="shared" si="78"/>
        <v/>
      </c>
      <c r="AU40" s="9" t="str">
        <f t="shared" si="78"/>
        <v/>
      </c>
      <c r="AV40" s="9" t="str">
        <f t="shared" si="78"/>
        <v/>
      </c>
      <c r="AW40" s="9" t="str">
        <f t="shared" si="78"/>
        <v/>
      </c>
    </row>
    <row r="41" spans="1:49" s="5" customFormat="1" outlineLevel="1" x14ac:dyDescent="0.3">
      <c r="A41" s="132"/>
      <c r="B41" s="18" t="s">
        <v>12</v>
      </c>
      <c r="C41" s="80"/>
      <c r="D41" s="80"/>
      <c r="E41" s="80"/>
      <c r="F41" s="9">
        <f t="shared" ref="F41:M41" si="79">IF(OR(F38="",F37=""),"",F37-F38)</f>
        <v>0.34412602678174997</v>
      </c>
      <c r="G41" s="9">
        <f t="shared" si="79"/>
        <v>593.85341007321881</v>
      </c>
      <c r="H41" s="9">
        <f t="shared" si="79"/>
        <v>3705.6477164422931</v>
      </c>
      <c r="I41" s="9">
        <f t="shared" si="79"/>
        <v>-36933.991833043365</v>
      </c>
      <c r="J41" s="9">
        <f t="shared" si="79"/>
        <v>-21571.365474004102</v>
      </c>
      <c r="K41" s="9">
        <f t="shared" si="79"/>
        <v>-17718.260509192958</v>
      </c>
      <c r="L41" s="9">
        <f t="shared" si="79"/>
        <v>3197.5668888877699</v>
      </c>
      <c r="M41" s="9">
        <f t="shared" si="79"/>
        <v>28.546596919208241</v>
      </c>
      <c r="N41" s="9">
        <f>IF(OR(N40="",N37=""),"",N37-N40)</f>
        <v>9386.3233492283034</v>
      </c>
      <c r="O41" s="9">
        <f t="shared" ref="O41:AW41" si="80">IF(OR(O40="",O37=""),"",O37-O40)</f>
        <v>17183.31946097999</v>
      </c>
      <c r="P41" s="9">
        <f t="shared" si="80"/>
        <v>44970.013947199957</v>
      </c>
      <c r="Q41" s="9">
        <f>IF(OR(Q40="",Q37=""),"",Q37-Q40)</f>
        <v>-2430.5599676319835</v>
      </c>
      <c r="R41" s="9">
        <f t="shared" si="80"/>
        <v>13884.756391725808</v>
      </c>
      <c r="S41" s="9">
        <f t="shared" si="80"/>
        <v>-24656.123165404984</v>
      </c>
      <c r="T41" s="9">
        <f t="shared" si="80"/>
        <v>9636.0532806900083</v>
      </c>
      <c r="U41" s="9">
        <f t="shared" si="80"/>
        <v>21257.212078134995</v>
      </c>
      <c r="V41" s="9">
        <f t="shared" si="80"/>
        <v>46513.852892219438</v>
      </c>
      <c r="W41" s="9">
        <f t="shared" si="80"/>
        <v>17963.75752109506</v>
      </c>
      <c r="X41" s="9">
        <f t="shared" si="80"/>
        <v>35839.24270934696</v>
      </c>
      <c r="Y41" s="9">
        <f t="shared" si="80"/>
        <v>28485.142644444233</v>
      </c>
      <c r="Z41" s="9">
        <f t="shared" si="80"/>
        <v>24987.702197630148</v>
      </c>
      <c r="AA41" s="9">
        <f t="shared" si="80"/>
        <v>39854.367307669309</v>
      </c>
      <c r="AB41" s="9">
        <f t="shared" si="80"/>
        <v>50991.648003140392</v>
      </c>
      <c r="AC41" s="9" t="str">
        <f t="shared" si="80"/>
        <v/>
      </c>
      <c r="AD41" s="9" t="str">
        <f t="shared" si="80"/>
        <v/>
      </c>
      <c r="AE41" s="9" t="str">
        <f t="shared" si="80"/>
        <v/>
      </c>
      <c r="AF41" s="9" t="str">
        <f t="shared" si="80"/>
        <v/>
      </c>
      <c r="AG41" s="9" t="str">
        <f t="shared" si="80"/>
        <v/>
      </c>
      <c r="AH41" s="9" t="str">
        <f t="shared" si="80"/>
        <v/>
      </c>
      <c r="AI41" s="9" t="str">
        <f t="shared" si="80"/>
        <v/>
      </c>
      <c r="AJ41" s="9" t="str">
        <f t="shared" si="80"/>
        <v/>
      </c>
      <c r="AK41" s="9" t="str">
        <f t="shared" si="80"/>
        <v/>
      </c>
      <c r="AL41" s="9" t="str">
        <f t="shared" si="80"/>
        <v/>
      </c>
      <c r="AM41" s="9" t="str">
        <f t="shared" si="80"/>
        <v/>
      </c>
      <c r="AN41" s="9" t="str">
        <f t="shared" si="80"/>
        <v/>
      </c>
      <c r="AO41" s="9" t="str">
        <f t="shared" si="80"/>
        <v/>
      </c>
      <c r="AP41" s="9" t="str">
        <f t="shared" si="80"/>
        <v/>
      </c>
      <c r="AQ41" s="9" t="str">
        <f t="shared" si="80"/>
        <v/>
      </c>
      <c r="AR41" s="9" t="str">
        <f t="shared" si="80"/>
        <v/>
      </c>
      <c r="AS41" s="9" t="str">
        <f t="shared" si="80"/>
        <v/>
      </c>
      <c r="AT41" s="9" t="str">
        <f t="shared" si="80"/>
        <v/>
      </c>
      <c r="AU41" s="9" t="str">
        <f t="shared" si="80"/>
        <v/>
      </c>
      <c r="AV41" s="9" t="str">
        <f t="shared" si="80"/>
        <v/>
      </c>
      <c r="AW41" s="9" t="str">
        <f t="shared" si="80"/>
        <v/>
      </c>
    </row>
    <row r="42" spans="1:49" s="5" customFormat="1" outlineLevel="1" x14ac:dyDescent="0.3">
      <c r="A42" s="132"/>
      <c r="B42" s="19" t="s">
        <v>7</v>
      </c>
      <c r="C42" s="80"/>
      <c r="D42" s="80"/>
      <c r="E42" s="80"/>
      <c r="F42" s="9">
        <f>IF(OR(F9="",F41=""),"",ROUND((F41+E44)*F9/12,2))</f>
        <v>0</v>
      </c>
      <c r="G42" s="9">
        <f t="shared" ref="G42:L42" si="81">IF(OR(G9="",G41=""),"",ROUND((G41+F44)*G9/12,2))</f>
        <v>1.32</v>
      </c>
      <c r="H42" s="9">
        <f t="shared" si="81"/>
        <v>9.6</v>
      </c>
      <c r="I42" s="9">
        <f t="shared" si="81"/>
        <v>-72.040000000000006</v>
      </c>
      <c r="J42" s="9">
        <f t="shared" si="81"/>
        <v>-117.35</v>
      </c>
      <c r="K42" s="9">
        <f t="shared" si="81"/>
        <v>-141.27000000000001</v>
      </c>
      <c r="L42" s="9">
        <f t="shared" si="81"/>
        <v>-127.55</v>
      </c>
      <c r="M42" s="9">
        <f t="shared" ref="M42" si="82">IF(OR(M9="",M41=""),"",ROUND((M41+L44)*M9/12,2))</f>
        <v>-121.81</v>
      </c>
      <c r="N42" s="9">
        <f>IF(OR(N9="",N41=""),"",ROUND((N41+M44)*N9/12,2))+N36</f>
        <v>-90.600000000000023</v>
      </c>
      <c r="O42" s="9">
        <f t="shared" ref="O42" si="83">IF(OR(O9="",O41=""),"",ROUND((O41+N44)*O9/12,2))</f>
        <v>-68.290000000000006</v>
      </c>
      <c r="P42" s="9">
        <f t="shared" ref="P42" si="84">IF(OR(P9="",P41=""),"",ROUND((P41+O44)*P9/12,2))</f>
        <v>3.33</v>
      </c>
      <c r="Q42" s="9">
        <f>IF(OR(Q9="",Q41=""),"",ROUND((Q39+Q41+P44)*Q9/12,2))</f>
        <v>26.58</v>
      </c>
      <c r="R42" s="9">
        <f t="shared" ref="R42:X42" si="85">IF(OR(R9="",R41=""),"",ROUND((R39+R41+Q44)*R9/12,2))</f>
        <v>77.78</v>
      </c>
      <c r="S42" s="9">
        <f t="shared" si="85"/>
        <v>30.14</v>
      </c>
      <c r="T42" s="9">
        <f t="shared" si="85"/>
        <v>6.52</v>
      </c>
      <c r="U42" s="9">
        <f t="shared" si="85"/>
        <v>10.210000000000001</v>
      </c>
      <c r="V42" s="9">
        <f t="shared" si="85"/>
        <v>26.38</v>
      </c>
      <c r="W42" s="9">
        <f t="shared" si="85"/>
        <v>22.8</v>
      </c>
      <c r="X42" s="9">
        <f t="shared" si="85"/>
        <v>26.26</v>
      </c>
      <c r="Y42" s="9">
        <f>IF(OR(Y9="",Y41=""),"",ROUND((Y39+Y41+X44)*Y9/12,2))</f>
        <v>49.59</v>
      </c>
      <c r="Z42" s="9">
        <f t="shared" ref="Z42:AW42" si="86">IF(OR(Z9="",Z41=""),"",ROUND((Z39+Z41+Y44)*Z9/12,2))</f>
        <v>56.15</v>
      </c>
      <c r="AA42" s="9">
        <f t="shared" si="86"/>
        <v>65.58</v>
      </c>
      <c r="AB42" s="9">
        <f t="shared" si="86"/>
        <v>77.42</v>
      </c>
      <c r="AC42" s="9" t="str">
        <f t="shared" si="86"/>
        <v/>
      </c>
      <c r="AD42" s="9" t="str">
        <f t="shared" si="86"/>
        <v/>
      </c>
      <c r="AE42" s="9" t="str">
        <f t="shared" si="86"/>
        <v/>
      </c>
      <c r="AF42" s="9" t="str">
        <f t="shared" si="86"/>
        <v/>
      </c>
      <c r="AG42" s="9" t="str">
        <f t="shared" si="86"/>
        <v/>
      </c>
      <c r="AH42" s="9" t="str">
        <f t="shared" si="86"/>
        <v/>
      </c>
      <c r="AI42" s="9" t="str">
        <f t="shared" si="86"/>
        <v/>
      </c>
      <c r="AJ42" s="9" t="str">
        <f t="shared" si="86"/>
        <v/>
      </c>
      <c r="AK42" s="9" t="str">
        <f t="shared" si="86"/>
        <v/>
      </c>
      <c r="AL42" s="9" t="str">
        <f t="shared" si="86"/>
        <v/>
      </c>
      <c r="AM42" s="9" t="str">
        <f t="shared" si="86"/>
        <v/>
      </c>
      <c r="AN42" s="9" t="str">
        <f t="shared" si="86"/>
        <v/>
      </c>
      <c r="AO42" s="9" t="str">
        <f t="shared" si="86"/>
        <v/>
      </c>
      <c r="AP42" s="9" t="str">
        <f t="shared" si="86"/>
        <v/>
      </c>
      <c r="AQ42" s="9" t="str">
        <f t="shared" si="86"/>
        <v/>
      </c>
      <c r="AR42" s="9" t="str">
        <f t="shared" si="86"/>
        <v/>
      </c>
      <c r="AS42" s="9" t="str">
        <f t="shared" si="86"/>
        <v/>
      </c>
      <c r="AT42" s="9" t="str">
        <f t="shared" si="86"/>
        <v/>
      </c>
      <c r="AU42" s="9" t="str">
        <f t="shared" si="86"/>
        <v/>
      </c>
      <c r="AV42" s="9" t="str">
        <f t="shared" si="86"/>
        <v/>
      </c>
      <c r="AW42" s="9" t="str">
        <f t="shared" si="86"/>
        <v/>
      </c>
    </row>
    <row r="43" spans="1:49" s="5" customFormat="1" outlineLevel="1" x14ac:dyDescent="0.3">
      <c r="A43" s="132"/>
      <c r="B43" s="18" t="s">
        <v>13</v>
      </c>
      <c r="C43" s="80"/>
      <c r="D43" s="80"/>
      <c r="E43" s="80"/>
      <c r="F43" s="9">
        <f t="shared" ref="F43:M43" si="87">IF(OR(F41="",F42=""),"",F41+F42)</f>
        <v>0.34412602678174997</v>
      </c>
      <c r="G43" s="9">
        <f t="shared" si="87"/>
        <v>595.17341007321886</v>
      </c>
      <c r="H43" s="9">
        <f t="shared" si="87"/>
        <v>3715.247716442293</v>
      </c>
      <c r="I43" s="9">
        <f t="shared" si="87"/>
        <v>-37006.031833043366</v>
      </c>
      <c r="J43" s="9">
        <f t="shared" si="87"/>
        <v>-21688.715474004101</v>
      </c>
      <c r="K43" s="9">
        <f t="shared" si="87"/>
        <v>-17859.530509192959</v>
      </c>
      <c r="L43" s="9">
        <f t="shared" si="87"/>
        <v>3070.0168888877697</v>
      </c>
      <c r="M43" s="9">
        <f t="shared" si="87"/>
        <v>-93.263403080791761</v>
      </c>
      <c r="N43" s="9">
        <f>IF(OR(N41="",N42=""),"",N41+N42)</f>
        <v>9295.7233492283031</v>
      </c>
      <c r="O43" s="9">
        <f t="shared" ref="O43:AW43" si="88">IF(OR(O41="",O42=""),"",O41+O42)</f>
        <v>17115.029460979989</v>
      </c>
      <c r="P43" s="9">
        <f t="shared" si="88"/>
        <v>44973.343947199959</v>
      </c>
      <c r="Q43" s="9">
        <f t="shared" si="88"/>
        <v>-2403.9799676319835</v>
      </c>
      <c r="R43" s="9">
        <f t="shared" si="88"/>
        <v>13962.536391725809</v>
      </c>
      <c r="S43" s="9">
        <f t="shared" si="88"/>
        <v>-24625.983165404985</v>
      </c>
      <c r="T43" s="9">
        <f t="shared" si="88"/>
        <v>9642.5732806900087</v>
      </c>
      <c r="U43" s="9">
        <f t="shared" si="88"/>
        <v>21267.422078134994</v>
      </c>
      <c r="V43" s="9">
        <f t="shared" si="88"/>
        <v>46540.232892219436</v>
      </c>
      <c r="W43" s="9">
        <f t="shared" si="88"/>
        <v>17986.557521095059</v>
      </c>
      <c r="X43" s="9">
        <f t="shared" si="88"/>
        <v>35865.502709346962</v>
      </c>
      <c r="Y43" s="9">
        <f t="shared" si="88"/>
        <v>28534.732644444233</v>
      </c>
      <c r="Z43" s="9">
        <f t="shared" si="88"/>
        <v>25043.852197630149</v>
      </c>
      <c r="AA43" s="9">
        <f t="shared" si="88"/>
        <v>39919.94730766931</v>
      </c>
      <c r="AB43" s="9">
        <f t="shared" si="88"/>
        <v>51069.06800314039</v>
      </c>
      <c r="AC43" s="9" t="str">
        <f t="shared" si="88"/>
        <v/>
      </c>
      <c r="AD43" s="9" t="str">
        <f t="shared" si="88"/>
        <v/>
      </c>
      <c r="AE43" s="9" t="str">
        <f t="shared" si="88"/>
        <v/>
      </c>
      <c r="AF43" s="9" t="str">
        <f t="shared" si="88"/>
        <v/>
      </c>
      <c r="AG43" s="9" t="str">
        <f t="shared" si="88"/>
        <v/>
      </c>
      <c r="AH43" s="9" t="str">
        <f t="shared" si="88"/>
        <v/>
      </c>
      <c r="AI43" s="9" t="str">
        <f t="shared" si="88"/>
        <v/>
      </c>
      <c r="AJ43" s="9" t="str">
        <f t="shared" si="88"/>
        <v/>
      </c>
      <c r="AK43" s="9" t="str">
        <f t="shared" si="88"/>
        <v/>
      </c>
      <c r="AL43" s="9" t="str">
        <f t="shared" si="88"/>
        <v/>
      </c>
      <c r="AM43" s="9" t="str">
        <f t="shared" si="88"/>
        <v/>
      </c>
      <c r="AN43" s="9" t="str">
        <f t="shared" si="88"/>
        <v/>
      </c>
      <c r="AO43" s="9" t="str">
        <f t="shared" si="88"/>
        <v/>
      </c>
      <c r="AP43" s="9" t="str">
        <f t="shared" si="88"/>
        <v/>
      </c>
      <c r="AQ43" s="9" t="str">
        <f t="shared" si="88"/>
        <v/>
      </c>
      <c r="AR43" s="9" t="str">
        <f t="shared" si="88"/>
        <v/>
      </c>
      <c r="AS43" s="9" t="str">
        <f t="shared" si="88"/>
        <v/>
      </c>
      <c r="AT43" s="9" t="str">
        <f t="shared" si="88"/>
        <v/>
      </c>
      <c r="AU43" s="9" t="str">
        <f t="shared" si="88"/>
        <v/>
      </c>
      <c r="AV43" s="9" t="str">
        <f t="shared" si="88"/>
        <v/>
      </c>
      <c r="AW43" s="9" t="str">
        <f t="shared" si="88"/>
        <v/>
      </c>
    </row>
    <row r="44" spans="1:49" s="5" customFormat="1" outlineLevel="1" x14ac:dyDescent="0.3">
      <c r="A44" s="132"/>
      <c r="B44" s="20" t="s">
        <v>15</v>
      </c>
      <c r="C44" s="80"/>
      <c r="D44" s="80"/>
      <c r="E44" s="80"/>
      <c r="F44" s="9">
        <f>IF(OR(F43=""),"",F43)</f>
        <v>0.34412602678174997</v>
      </c>
      <c r="G44" s="9">
        <f t="shared" ref="G44:M44" si="89">IF(OR(G43="",F44=""),"",G43+F44)</f>
        <v>595.5175361000006</v>
      </c>
      <c r="H44" s="9">
        <f t="shared" si="89"/>
        <v>4310.7652525422936</v>
      </c>
      <c r="I44" s="9">
        <f t="shared" si="89"/>
        <v>-32695.266580501073</v>
      </c>
      <c r="J44" s="9">
        <f t="shared" si="89"/>
        <v>-54383.982054505177</v>
      </c>
      <c r="K44" s="9">
        <f t="shared" si="89"/>
        <v>-72243.512563698139</v>
      </c>
      <c r="L44" s="9">
        <f t="shared" si="89"/>
        <v>-69173.495674810372</v>
      </c>
      <c r="M44" s="9">
        <f t="shared" si="89"/>
        <v>-69266.759077891169</v>
      </c>
      <c r="N44" s="9">
        <f>IF(OR(N43="",M44=""),"",N43+N39+M44)</f>
        <v>-59971.035728662864</v>
      </c>
      <c r="O44" s="9">
        <f>IF(OR(O43="",N44=""),"",O43+O39+N44+O36)</f>
        <v>-42856.006267682875</v>
      </c>
      <c r="P44" s="9">
        <f t="shared" ref="P44:AW44" si="90">IF(OR(P43="",O44=""),"",P43+P39+O44)</f>
        <v>2117.3376795170843</v>
      </c>
      <c r="Q44" s="9">
        <f t="shared" si="90"/>
        <v>17709.387711885101</v>
      </c>
      <c r="R44" s="9">
        <f t="shared" si="90"/>
        <v>49500.744103610908</v>
      </c>
      <c r="S44" s="9">
        <f t="shared" si="90"/>
        <v>38573.100938205927</v>
      </c>
      <c r="T44" s="9">
        <f t="shared" si="90"/>
        <v>60635.35421889594</v>
      </c>
      <c r="U44" s="9">
        <f t="shared" si="90"/>
        <v>97498.206297030934</v>
      </c>
      <c r="V44" s="9">
        <f t="shared" si="90"/>
        <v>163457.61918925037</v>
      </c>
      <c r="W44" s="9">
        <f t="shared" si="90"/>
        <v>200372.05671034544</v>
      </c>
      <c r="X44" s="9">
        <f t="shared" si="90"/>
        <v>254355.9894196924</v>
      </c>
      <c r="Y44" s="9">
        <f t="shared" si="90"/>
        <v>297576.95206413663</v>
      </c>
      <c r="Z44" s="9">
        <f t="shared" si="90"/>
        <v>336939.90426176676</v>
      </c>
      <c r="AA44" s="9">
        <f t="shared" si="90"/>
        <v>393525.64156943606</v>
      </c>
      <c r="AB44" s="9">
        <f t="shared" si="90"/>
        <v>464573.78957257647</v>
      </c>
      <c r="AC44" s="9" t="str">
        <f t="shared" si="90"/>
        <v/>
      </c>
      <c r="AD44" s="9" t="str">
        <f t="shared" si="90"/>
        <v/>
      </c>
      <c r="AE44" s="9" t="str">
        <f t="shared" si="90"/>
        <v/>
      </c>
      <c r="AF44" s="9" t="str">
        <f t="shared" si="90"/>
        <v/>
      </c>
      <c r="AG44" s="9" t="str">
        <f t="shared" si="90"/>
        <v/>
      </c>
      <c r="AH44" s="9" t="str">
        <f t="shared" si="90"/>
        <v/>
      </c>
      <c r="AI44" s="9" t="str">
        <f t="shared" si="90"/>
        <v/>
      </c>
      <c r="AJ44" s="9" t="str">
        <f t="shared" si="90"/>
        <v/>
      </c>
      <c r="AK44" s="9" t="str">
        <f t="shared" si="90"/>
        <v/>
      </c>
      <c r="AL44" s="9" t="str">
        <f t="shared" si="90"/>
        <v/>
      </c>
      <c r="AM44" s="9" t="str">
        <f t="shared" si="90"/>
        <v/>
      </c>
      <c r="AN44" s="9" t="str">
        <f t="shared" si="90"/>
        <v/>
      </c>
      <c r="AO44" s="9" t="str">
        <f t="shared" si="90"/>
        <v/>
      </c>
      <c r="AP44" s="9" t="str">
        <f t="shared" si="90"/>
        <v/>
      </c>
      <c r="AQ44" s="9" t="str">
        <f t="shared" si="90"/>
        <v/>
      </c>
      <c r="AR44" s="9" t="str">
        <f t="shared" si="90"/>
        <v/>
      </c>
      <c r="AS44" s="9" t="str">
        <f t="shared" si="90"/>
        <v/>
      </c>
      <c r="AT44" s="9" t="str">
        <f t="shared" si="90"/>
        <v/>
      </c>
      <c r="AU44" s="9" t="str">
        <f t="shared" si="90"/>
        <v/>
      </c>
      <c r="AV44" s="9" t="str">
        <f t="shared" si="90"/>
        <v/>
      </c>
      <c r="AW44" s="9" t="str">
        <f t="shared" si="90"/>
        <v/>
      </c>
    </row>
    <row r="45" spans="1:49" s="5" customFormat="1" ht="8.25" customHeight="1" outlineLevel="1" x14ac:dyDescent="0.3">
      <c r="A45" s="40"/>
      <c r="B45" s="13"/>
      <c r="C45" s="85"/>
      <c r="D45" s="85"/>
      <c r="E45" s="85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 s="5" customFormat="1" ht="15" customHeight="1" outlineLevel="1" x14ac:dyDescent="0.3">
      <c r="A46" s="132" t="s">
        <v>21</v>
      </c>
      <c r="B46" s="17"/>
      <c r="C46" s="80"/>
      <c r="D46" s="80"/>
      <c r="E46" s="80"/>
      <c r="F46" s="9"/>
      <c r="G46" s="9"/>
      <c r="H46" s="9"/>
      <c r="I46" s="9"/>
      <c r="J46" s="9"/>
      <c r="K46" s="9"/>
      <c r="L46" s="9"/>
      <c r="M46" s="9"/>
      <c r="N46" s="113">
        <f>'MEEIA 3 adjs Nov 19'!L32</f>
        <v>95.419999999999618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s="3" customFormat="1" ht="15" customHeight="1" outlineLevel="1" x14ac:dyDescent="0.3">
      <c r="A47" s="132"/>
      <c r="B47" s="17" t="s">
        <v>27</v>
      </c>
      <c r="C47" s="80"/>
      <c r="D47" s="80"/>
      <c r="E47" s="80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84805.665004540322</v>
      </c>
      <c r="O47" s="22">
        <f>IF('M3 Allocations - TD'!M7="","",'M3 Allocations - TD'!M33)</f>
        <v>101585.96799703788</v>
      </c>
      <c r="P47" s="22">
        <f>IF('M3 Allocations - TD'!N7="","",'M3 Allocations - TD'!N33)</f>
        <v>154209.2659634623</v>
      </c>
      <c r="Q47" s="22">
        <f>IF('M3 Allocations - TD'!O7="","",'M3 Allocations - TD'!O33)</f>
        <v>122696.92137199735</v>
      </c>
      <c r="R47" s="22">
        <f>IF('M3 Allocations - TD'!P7="","",'M3 Allocations - TD'!P33)</f>
        <v>123411.87388052933</v>
      </c>
      <c r="S47" s="22">
        <f>IF('M3 Allocations - TD'!Q7="","",'M3 Allocations - TD'!Q33)</f>
        <v>47446.211556775474</v>
      </c>
      <c r="T47" s="22">
        <f>IF('M3 Allocations - TD'!R7="","",'M3 Allocations - TD'!R33)</f>
        <v>83556.534245541465</v>
      </c>
      <c r="U47" s="22">
        <f>IF('M3 Allocations - TD'!S7="","",'M3 Allocations - TD'!S33)</f>
        <v>189049.36683437167</v>
      </c>
      <c r="V47" s="22">
        <f>IF('M3 Allocations - TD'!T7="","",'M3 Allocations - TD'!T33)</f>
        <v>265484.4397628404</v>
      </c>
      <c r="W47" s="22">
        <f>IF('M3 Allocations - TD'!U7="","",'M3 Allocations - TD'!U33)</f>
        <v>248590.59560852987</v>
      </c>
      <c r="X47" s="22">
        <f>IF('M3 Allocations - TD'!V7="","",'M3 Allocations - TD'!V33)</f>
        <v>229992.78825383674</v>
      </c>
      <c r="Y47" s="22">
        <f>IF('M3 Allocations - TD'!W7="","",'M3 Allocations - TD'!W33)</f>
        <v>142655.78999924072</v>
      </c>
      <c r="Z47" s="22">
        <f>IF('M3 Allocations - TD'!X7="","",'M3 Allocations - TD'!X33)</f>
        <v>141791.47042159317</v>
      </c>
      <c r="AA47" s="22">
        <f>IF('M3 Allocations - TD'!Y7="","",'M3 Allocations - TD'!Y33)</f>
        <v>197679.02607225222</v>
      </c>
      <c r="AB47" s="22">
        <f>IF('M3 Allocations - TD'!Z7="","",'M3 Allocations - TD'!Z33)</f>
        <v>257513.84897812031</v>
      </c>
      <c r="AC47" s="22">
        <f>IF('M3 Allocations - TD'!AA7="","",'M3 Allocations - TD'!AA33)</f>
        <v>217702.14357256194</v>
      </c>
      <c r="AD47" s="22">
        <f>IF('M3 Allocations - TD'!AB7="","",'M3 Allocations - TD'!AB33)</f>
        <v>246197.70595604749</v>
      </c>
      <c r="AE47" s="22">
        <f>IF('M3 Allocations - TD'!AC7="","",'M3 Allocations - TD'!AC33)</f>
        <v>242106.98347501378</v>
      </c>
      <c r="AF47" s="22">
        <f>IF('M3 Allocations - TD'!AD7="","",'M3 Allocations - TD'!AD33)</f>
        <v>346940.64481854474</v>
      </c>
      <c r="AG47" s="22">
        <f>IF('M3 Allocations - TD'!AE7="","",'M3 Allocations - TD'!AE33)</f>
        <v>727611.47673151968</v>
      </c>
      <c r="AH47" s="22">
        <f>IF('M3 Allocations - TD'!AF7="","",'M3 Allocations - TD'!AF33)</f>
        <v>936757.19312298065</v>
      </c>
      <c r="AI47" s="22">
        <f>IF('M3 Allocations - TD'!AG7="","",'M3 Allocations - TD'!AG33)</f>
        <v>894142.60285032494</v>
      </c>
      <c r="AJ47" s="22">
        <f>IF('M3 Allocations - TD'!AH7="","",'M3 Allocations - TD'!AH33)</f>
        <v>763382.78632200893</v>
      </c>
      <c r="AK47" s="22">
        <f>IF('M3 Allocations - TD'!AI7="","",'M3 Allocations - TD'!AI33)</f>
        <v>453493.05895840662</v>
      </c>
      <c r="AL47" s="22">
        <f>IF('M3 Allocations - TD'!AJ7="","",'M3 Allocations - TD'!AJ33)</f>
        <v>438914.23489619081</v>
      </c>
      <c r="AM47" s="22">
        <f>IF('M3 Allocations - TD'!AK7="","",'M3 Allocations - TD'!AK33)</f>
        <v>558311.72717659501</v>
      </c>
      <c r="AN47" s="22">
        <f>IF('M3 Allocations - TD'!AL7="","",'M3 Allocations - TD'!AL33)</f>
        <v>677544.53113133169</v>
      </c>
      <c r="AO47" s="22" t="str">
        <f>IF('M3 Allocations - TD'!AM7="","",'M3 Allocations - TD'!AM33)</f>
        <v/>
      </c>
      <c r="AP47" s="22" t="str">
        <f>IF('M3 Allocations - TD'!AN7="","",'M3 Allocations - TD'!AN33)</f>
        <v/>
      </c>
      <c r="AQ47" s="22" t="str">
        <f>IF('M3 Allocations - TD'!AO7="","",'M3 Allocations - TD'!AO33)</f>
        <v/>
      </c>
      <c r="AR47" s="22" t="str">
        <f>IF('M3 Allocations - TD'!AP7="","",'M3 Allocations - TD'!AP33)</f>
        <v/>
      </c>
      <c r="AS47" s="22" t="str">
        <f>IF('M3 Allocations - TD'!AQ7="","",'M3 Allocations - TD'!AQ33)</f>
        <v/>
      </c>
      <c r="AT47" s="22" t="str">
        <f>IF('M3 Allocations - TD'!AR7="","",'M3 Allocations - TD'!AR33)</f>
        <v/>
      </c>
      <c r="AU47" s="22" t="str">
        <f>IF('M3 Allocations - TD'!AS7="","",'M3 Allocations - TD'!AS33)</f>
        <v/>
      </c>
      <c r="AV47" s="22" t="str">
        <f>IF('M3 Allocations - TD'!AT7="","",'M3 Allocations - TD'!AT33)</f>
        <v/>
      </c>
      <c r="AW47" s="22" t="str">
        <f>IF('M3 Allocations - TD'!AU7="","",'M3 Allocations - TD'!AU33)</f>
        <v/>
      </c>
    </row>
    <row r="48" spans="1:49" s="5" customFormat="1" ht="15" customHeight="1" outlineLevel="1" x14ac:dyDescent="0.3">
      <c r="A48" s="132"/>
      <c r="B48" s="18" t="s">
        <v>25</v>
      </c>
      <c r="C48" s="80"/>
      <c r="D48" s="80"/>
      <c r="E48" s="80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96533.881711475129</v>
      </c>
      <c r="O48" s="22">
        <f>IF('M3 Allocations - TD'!M53="","",'M3 Allocations - TD'!M71)</f>
        <v>104142.56971532079</v>
      </c>
      <c r="P48" s="22">
        <f>IF('M3 Allocations - TD'!N53="","",'M3 Allocations - TD'!N71)</f>
        <v>107611.86637282498</v>
      </c>
      <c r="Q48" s="22">
        <f>IF('M3 Allocations - TD'!O53="","",'M3 Allocations - TD'!O71)</f>
        <v>104313.87773241718</v>
      </c>
      <c r="R48" s="22">
        <f>IF('M3 Allocations - TD'!P53="","",'M3 Allocations - TD'!P71)</f>
        <v>98420.974410363575</v>
      </c>
      <c r="S48" s="22">
        <f>IF('M3 Allocations - TD'!Q53="","",'M3 Allocations - TD'!Q71)</f>
        <v>84560.155028366615</v>
      </c>
      <c r="T48" s="22">
        <f>IF('M3 Allocations - TD'!R53="","",'M3 Allocations - TD'!R71)</f>
        <v>79147.524446379844</v>
      </c>
      <c r="U48" s="22">
        <f>IF('M3 Allocations - TD'!S53="","",'M3 Allocations - TD'!S71)</f>
        <v>94049.927973792379</v>
      </c>
      <c r="V48" s="22">
        <f>IF('M3 Allocations - TD'!T53="","",'M3 Allocations - TD'!T71)</f>
        <v>109708.48677351972</v>
      </c>
      <c r="W48" s="22">
        <f>IF('M3 Allocations - TD'!U53="","",'M3 Allocations - TD'!U71)</f>
        <v>109463.73998502946</v>
      </c>
      <c r="X48" s="22">
        <f>IF('M3 Allocations - TD'!V53="","",'M3 Allocations - TD'!V71)</f>
        <v>109154.24836711264</v>
      </c>
      <c r="Y48" s="22">
        <f>IF('M3 Allocations - TD'!W53="","",'M3 Allocations - TD'!W71)</f>
        <v>93111.170115006884</v>
      </c>
      <c r="Z48" s="22">
        <f>IF('M3 Allocations - TD'!X53="","",'M3 Allocations - TD'!X71)</f>
        <v>88694.531067245276</v>
      </c>
      <c r="AA48" s="22">
        <f>IF('M3 Allocations - TD'!Y53="","",'M3 Allocations - TD'!Y71)</f>
        <v>93050.278518844061</v>
      </c>
      <c r="AB48" s="22">
        <f>IF('M3 Allocations - TD'!Z53="","",'M3 Allocations - TD'!Z71)</f>
        <v>107803.24974868697</v>
      </c>
      <c r="AC48" s="22" t="str">
        <f>IF('M3 Allocations - TD'!AA53="","",'M3 Allocations - TD'!AA71)</f>
        <v/>
      </c>
      <c r="AD48" s="22" t="str">
        <f>IF('M3 Allocations - TD'!AB53="","",'M3 Allocations - TD'!AB71)</f>
        <v/>
      </c>
      <c r="AE48" s="22" t="str">
        <f>IF('M3 Allocations - TD'!AC53="","",'M3 Allocations - TD'!AC71)</f>
        <v/>
      </c>
      <c r="AF48" s="22" t="str">
        <f>IF('M3 Allocations - TD'!AD53="","",'M3 Allocations - TD'!AD71)</f>
        <v/>
      </c>
      <c r="AG48" s="22" t="str">
        <f>IF('M3 Allocations - TD'!AE53="","",'M3 Allocations - TD'!AE71)</f>
        <v/>
      </c>
      <c r="AH48" s="22" t="str">
        <f>IF('M3 Allocations - TD'!AF53="","",'M3 Allocations - TD'!AF71)</f>
        <v/>
      </c>
      <c r="AI48" s="22" t="str">
        <f>IF('M3 Allocations - TD'!AG53="","",'M3 Allocations - TD'!AG71)</f>
        <v/>
      </c>
      <c r="AJ48" s="22" t="str">
        <f>IF('M3 Allocations - TD'!AH53="","",'M3 Allocations - TD'!AH71)</f>
        <v/>
      </c>
      <c r="AK48" s="22" t="str">
        <f>IF('M3 Allocations - TD'!AI53="","",'M3 Allocations - TD'!AI71)</f>
        <v/>
      </c>
      <c r="AL48" s="22" t="str">
        <f>IF('M3 Allocations - TD'!AJ53="","",'M3 Allocations - TD'!AJ71)</f>
        <v/>
      </c>
      <c r="AM48" s="22" t="str">
        <f>IF('M3 Allocations - TD'!AK53="","",'M3 Allocations - TD'!AK71)</f>
        <v/>
      </c>
      <c r="AN48" s="22" t="str">
        <f>IF('M3 Allocations - TD'!AL53="","",'M3 Allocations - TD'!AL71)</f>
        <v/>
      </c>
      <c r="AO48" s="22" t="str">
        <f>IF('M3 Allocations - TD'!AM53="","",'M3 Allocations - TD'!AM71)</f>
        <v/>
      </c>
      <c r="AP48" s="22" t="str">
        <f>IF('M3 Allocations - TD'!AN53="","",'M3 Allocations - TD'!AN71)</f>
        <v/>
      </c>
      <c r="AQ48" s="22" t="str">
        <f>IF('M3 Allocations - TD'!AO53="","",'M3 Allocations - TD'!AO71)</f>
        <v/>
      </c>
      <c r="AR48" s="22" t="str">
        <f>IF('M3 Allocations - TD'!AP53="","",'M3 Allocations - TD'!AP71)</f>
        <v/>
      </c>
      <c r="AS48" s="22" t="str">
        <f>IF('M3 Allocations - TD'!AQ53="","",'M3 Allocations - TD'!AQ71)</f>
        <v/>
      </c>
      <c r="AT48" s="22" t="str">
        <f>IF('M3 Allocations - TD'!AR53="","",'M3 Allocations - TD'!AR71)</f>
        <v/>
      </c>
      <c r="AU48" s="22" t="str">
        <f>IF('M3 Allocations - TD'!AS53="","",'M3 Allocations - TD'!AS71)</f>
        <v/>
      </c>
      <c r="AV48" s="22" t="str">
        <f>IF('M3 Allocations - TD'!AT53="","",'M3 Allocations - TD'!AT71)</f>
        <v/>
      </c>
      <c r="AW48" s="22" t="str">
        <f>IF('M3 Allocations - TD'!AU53="","",'M3 Allocations - TD'!AU71)</f>
        <v/>
      </c>
    </row>
    <row r="49" spans="1:49" s="5" customFormat="1" ht="15" customHeight="1" outlineLevel="1" x14ac:dyDescent="0.3">
      <c r="A49" s="132"/>
      <c r="B49" s="18" t="s">
        <v>41</v>
      </c>
      <c r="C49" s="80"/>
      <c r="D49" s="80"/>
      <c r="E49" s="80"/>
      <c r="F49" s="22">
        <f>IF(F48="","",0)</f>
        <v>0</v>
      </c>
      <c r="G49" s="22">
        <f t="shared" ref="G49" si="91">IF(G48="","",0)</f>
        <v>0</v>
      </c>
      <c r="H49" s="22">
        <f t="shared" ref="H49" si="92">IF(H48="","",0)</f>
        <v>0</v>
      </c>
      <c r="I49" s="22">
        <f t="shared" ref="I49" si="93">IF(I48="","",0)</f>
        <v>0</v>
      </c>
      <c r="J49" s="22">
        <f t="shared" ref="J49" si="94">IF(J48="","",0)</f>
        <v>0</v>
      </c>
      <c r="K49" s="22">
        <f t="shared" ref="K49" si="95">IF(K48="","",0)</f>
        <v>0</v>
      </c>
      <c r="L49" s="22">
        <f t="shared" ref="L49" si="96">IF(L48="","",0)</f>
        <v>0</v>
      </c>
      <c r="M49" s="22">
        <f t="shared" ref="M49" si="97">IF(M48="","",0)</f>
        <v>0</v>
      </c>
      <c r="N49" s="22">
        <f t="shared" ref="N49" si="98">IF(N48="","",0)</f>
        <v>0</v>
      </c>
      <c r="O49" s="22">
        <f t="shared" ref="O49" si="99">IF(O48="","",0)</f>
        <v>0</v>
      </c>
      <c r="P49" s="22">
        <f t="shared" ref="P49" si="100">IF(P48="","",0)</f>
        <v>0</v>
      </c>
      <c r="Q49" s="22">
        <f>IF(Q48="","",-'M3 TD amort'!C22)</f>
        <v>40612.01</v>
      </c>
      <c r="R49" s="22">
        <f>IF(R48="","",-'M3 TD amort'!D22)</f>
        <v>38351.11</v>
      </c>
      <c r="S49" s="22">
        <f>IF(S48="","",-'M3 TD amort'!E22)</f>
        <v>32774.379999999997</v>
      </c>
      <c r="T49" s="22">
        <f>IF(T48="","",-'M3 TD amort'!F22)</f>
        <v>30569.17</v>
      </c>
      <c r="U49" s="22">
        <f>IF(U48="","",-'M3 TD amort'!G22)</f>
        <v>36225.06</v>
      </c>
      <c r="V49" s="22">
        <f>IF(V48="","",-'M3 TD amort'!H22)</f>
        <v>42295.91</v>
      </c>
      <c r="W49" s="22">
        <f>IF(W48="","",-'M3 TD amort'!I22)</f>
        <v>42141.33</v>
      </c>
      <c r="X49" s="22">
        <f>IF(X48="","",-'M3 TD amort'!J22)</f>
        <v>41942.74</v>
      </c>
      <c r="Y49" s="22">
        <f>IF(Y48="","",-'M3 TD amort'!K22)</f>
        <v>35788.269999999997</v>
      </c>
      <c r="Z49" s="22">
        <f>IF(Z48="","",-'M3 TD amort'!L22)</f>
        <v>34237.58</v>
      </c>
      <c r="AA49" s="22">
        <f>IF(AA48="","",-'M3 TD amort'!M22)</f>
        <v>36112.46</v>
      </c>
      <c r="AB49" s="22">
        <f>IF(AB48="","",-'M3 TD amort'!N22)</f>
        <v>41889.01</v>
      </c>
      <c r="AC49" s="22" t="str">
        <f>IF(AC48="","",-'M3 TD amort'!O22)</f>
        <v/>
      </c>
      <c r="AD49" s="22" t="str">
        <f>IF(AD48="","",-'M3 TD amort'!P22)</f>
        <v/>
      </c>
      <c r="AE49" s="22" t="str">
        <f>IF(AE48="","",-'M3 TD amort'!Q22)</f>
        <v/>
      </c>
      <c r="AF49" s="22" t="str">
        <f>IF(AF48="","",-'M3 TD amort'!R22)</f>
        <v/>
      </c>
      <c r="AG49" s="22" t="str">
        <f>IF(AG48="","",-'M3 TD amort'!S22)</f>
        <v/>
      </c>
      <c r="AH49" s="22" t="str">
        <f>IF(AH48="","",-'M3 TD amort'!T22)</f>
        <v/>
      </c>
      <c r="AI49" s="22" t="str">
        <f>IF(AI48="","",-'M3 TD amort'!U22)</f>
        <v/>
      </c>
      <c r="AJ49" s="22" t="str">
        <f>IF(AJ48="","",-'M3 TD amort'!V22)</f>
        <v/>
      </c>
      <c r="AK49" s="22" t="str">
        <f>IF(AK48="","",-'M3 TD amort'!W22)</f>
        <v/>
      </c>
      <c r="AL49" s="22" t="str">
        <f>IF(AL48="","",-'M3 TD amort'!X22)</f>
        <v/>
      </c>
      <c r="AM49" s="22" t="str">
        <f>IF(AM48="","",-'M3 TD amort'!Y22)</f>
        <v/>
      </c>
      <c r="AN49" s="22" t="str">
        <f>IF(AN48="","",-'M3 TD amort'!Z22)</f>
        <v/>
      </c>
      <c r="AO49" s="22" t="str">
        <f>IF(AO48="","",-'M3 TD amort'!AA22)</f>
        <v/>
      </c>
      <c r="AP49" s="22" t="str">
        <f>IF(AP48="","",-'M3 TD amort'!AB22)</f>
        <v/>
      </c>
      <c r="AQ49" s="22" t="str">
        <f>IF(AQ48="","",-'M3 TD amort'!AC22)</f>
        <v/>
      </c>
      <c r="AR49" s="22" t="str">
        <f>IF(AR48="","",-#REF!)</f>
        <v/>
      </c>
      <c r="AS49" s="22" t="str">
        <f>IF(AS48="","",-#REF!)</f>
        <v/>
      </c>
      <c r="AT49" s="22" t="str">
        <f>IF(AT48="","",-#REF!)</f>
        <v/>
      </c>
      <c r="AU49" s="22" t="str">
        <f>IF(AU48="","",-#REF!)</f>
        <v/>
      </c>
      <c r="AV49" s="22" t="str">
        <f>IF(AV48="","",-#REF!)</f>
        <v/>
      </c>
      <c r="AW49" s="22" t="str">
        <f>IF(AW48="","",-#REF!)</f>
        <v/>
      </c>
    </row>
    <row r="50" spans="1:49" s="5" customFormat="1" ht="15" customHeight="1" outlineLevel="1" x14ac:dyDescent="0.3">
      <c r="A50" s="132"/>
      <c r="B50" s="18" t="s">
        <v>42</v>
      </c>
      <c r="C50" s="80"/>
      <c r="D50" s="80"/>
      <c r="E50" s="80"/>
      <c r="F50" s="9">
        <f t="shared" ref="F50:M50" si="101">IF(OR(F49="",F48=""),"",F48+F49)</f>
        <v>0</v>
      </c>
      <c r="G50" s="9">
        <f t="shared" si="101"/>
        <v>0</v>
      </c>
      <c r="H50" s="9">
        <f t="shared" si="101"/>
        <v>6753.6701978728988</v>
      </c>
      <c r="I50" s="9">
        <f t="shared" si="101"/>
        <v>107151.44580605239</v>
      </c>
      <c r="J50" s="9">
        <f t="shared" si="101"/>
        <v>115634.5208649429</v>
      </c>
      <c r="K50" s="9">
        <f t="shared" si="101"/>
        <v>118331.81312804784</v>
      </c>
      <c r="L50" s="9">
        <f t="shared" si="101"/>
        <v>119601.33814288217</v>
      </c>
      <c r="M50" s="9">
        <f t="shared" si="101"/>
        <v>109968.9574924099</v>
      </c>
      <c r="N50" s="9">
        <f>IF(OR(N49="",N48=""),"",N48+N49)</f>
        <v>96533.881711475129</v>
      </c>
      <c r="O50" s="9">
        <f t="shared" ref="O50:AW50" si="102">IF(OR(O49="",O48=""),"",O48+O49)</f>
        <v>104142.56971532079</v>
      </c>
      <c r="P50" s="9">
        <f t="shared" si="102"/>
        <v>107611.86637282498</v>
      </c>
      <c r="Q50" s="9">
        <f t="shared" si="102"/>
        <v>144925.88773241718</v>
      </c>
      <c r="R50" s="9">
        <f t="shared" si="102"/>
        <v>136772.08441036358</v>
      </c>
      <c r="S50" s="9">
        <f t="shared" si="102"/>
        <v>117334.5350283666</v>
      </c>
      <c r="T50" s="9">
        <f t="shared" si="102"/>
        <v>109716.69444637984</v>
      </c>
      <c r="U50" s="9">
        <f t="shared" si="102"/>
        <v>130274.98797379238</v>
      </c>
      <c r="V50" s="9">
        <f t="shared" si="102"/>
        <v>152004.39677351972</v>
      </c>
      <c r="W50" s="9">
        <f t="shared" si="102"/>
        <v>151605.06998502946</v>
      </c>
      <c r="X50" s="9">
        <f t="shared" si="102"/>
        <v>151096.98836711264</v>
      </c>
      <c r="Y50" s="9">
        <f t="shared" si="102"/>
        <v>128899.44011500687</v>
      </c>
      <c r="Z50" s="9">
        <f t="shared" si="102"/>
        <v>122932.11106724528</v>
      </c>
      <c r="AA50" s="9">
        <f t="shared" si="102"/>
        <v>129162.73851884407</v>
      </c>
      <c r="AB50" s="9">
        <f t="shared" si="102"/>
        <v>149692.25974868698</v>
      </c>
      <c r="AC50" s="9" t="str">
        <f t="shared" si="102"/>
        <v/>
      </c>
      <c r="AD50" s="9" t="str">
        <f t="shared" si="102"/>
        <v/>
      </c>
      <c r="AE50" s="9" t="str">
        <f t="shared" si="102"/>
        <v/>
      </c>
      <c r="AF50" s="9" t="str">
        <f t="shared" si="102"/>
        <v/>
      </c>
      <c r="AG50" s="9" t="str">
        <f t="shared" si="102"/>
        <v/>
      </c>
      <c r="AH50" s="9" t="str">
        <f t="shared" si="102"/>
        <v/>
      </c>
      <c r="AI50" s="9" t="str">
        <f t="shared" si="102"/>
        <v/>
      </c>
      <c r="AJ50" s="9" t="str">
        <f t="shared" si="102"/>
        <v/>
      </c>
      <c r="AK50" s="9" t="str">
        <f t="shared" si="102"/>
        <v/>
      </c>
      <c r="AL50" s="9" t="str">
        <f t="shared" si="102"/>
        <v/>
      </c>
      <c r="AM50" s="9" t="str">
        <f t="shared" si="102"/>
        <v/>
      </c>
      <c r="AN50" s="9" t="str">
        <f t="shared" si="102"/>
        <v/>
      </c>
      <c r="AO50" s="9" t="str">
        <f t="shared" si="102"/>
        <v/>
      </c>
      <c r="AP50" s="9" t="str">
        <f t="shared" si="102"/>
        <v/>
      </c>
      <c r="AQ50" s="9" t="str">
        <f t="shared" si="102"/>
        <v/>
      </c>
      <c r="AR50" s="9" t="str">
        <f t="shared" si="102"/>
        <v/>
      </c>
      <c r="AS50" s="9" t="str">
        <f t="shared" si="102"/>
        <v/>
      </c>
      <c r="AT50" s="9" t="str">
        <f t="shared" si="102"/>
        <v/>
      </c>
      <c r="AU50" s="9" t="str">
        <f t="shared" si="102"/>
        <v/>
      </c>
      <c r="AV50" s="9" t="str">
        <f t="shared" si="102"/>
        <v/>
      </c>
      <c r="AW50" s="9" t="str">
        <f t="shared" si="102"/>
        <v/>
      </c>
    </row>
    <row r="51" spans="1:49" s="5" customFormat="1" outlineLevel="1" x14ac:dyDescent="0.3">
      <c r="A51" s="132"/>
      <c r="B51" s="18" t="s">
        <v>12</v>
      </c>
      <c r="C51" s="80"/>
      <c r="D51" s="80"/>
      <c r="E51" s="80"/>
      <c r="F51" s="9">
        <f t="shared" ref="F51:M51" si="103">IF(OR(F48="",F47=""),"",F47-F48)</f>
        <v>0.36790548240712501</v>
      </c>
      <c r="G51" s="9">
        <f t="shared" si="103"/>
        <v>549.3842450882164</v>
      </c>
      <c r="H51" s="9">
        <f t="shared" si="103"/>
        <v>-2931.1326047334169</v>
      </c>
      <c r="I51" s="9">
        <f t="shared" si="103"/>
        <v>-90370.113443998154</v>
      </c>
      <c r="J51" s="9">
        <f t="shared" si="103"/>
        <v>-75556.802484400338</v>
      </c>
      <c r="K51" s="9">
        <f t="shared" si="103"/>
        <v>-64270.675133255725</v>
      </c>
      <c r="L51" s="9">
        <f t="shared" si="103"/>
        <v>-39992.989537141941</v>
      </c>
      <c r="M51" s="9">
        <f t="shared" si="103"/>
        <v>-53536.042368776616</v>
      </c>
      <c r="N51" s="9">
        <f>IF(OR(N50="",N47=""),"",N47-N50)</f>
        <v>-11728.216706934807</v>
      </c>
      <c r="O51" s="9">
        <f t="shared" ref="O51:AW51" si="104">IF(OR(O50="",O47=""),"",O47-O50)</f>
        <v>-2556.6017182829091</v>
      </c>
      <c r="P51" s="9">
        <f>IF(OR(P50="",P47=""),"",P47-P50)</f>
        <v>46597.399590637317</v>
      </c>
      <c r="Q51" s="9">
        <f t="shared" si="104"/>
        <v>-22228.966360419829</v>
      </c>
      <c r="R51" s="9">
        <f t="shared" si="104"/>
        <v>-13360.21052983425</v>
      </c>
      <c r="S51" s="9">
        <f t="shared" si="104"/>
        <v>-69888.323471591139</v>
      </c>
      <c r="T51" s="9">
        <f t="shared" si="104"/>
        <v>-26160.160200838378</v>
      </c>
      <c r="U51" s="9">
        <f t="shared" si="104"/>
        <v>58774.378860579294</v>
      </c>
      <c r="V51" s="9">
        <f t="shared" si="104"/>
        <v>113480.04298932067</v>
      </c>
      <c r="W51" s="9">
        <f t="shared" si="104"/>
        <v>96985.525623500405</v>
      </c>
      <c r="X51" s="9">
        <f t="shared" si="104"/>
        <v>78895.799886724097</v>
      </c>
      <c r="Y51" s="9">
        <f t="shared" si="104"/>
        <v>13756.349884233845</v>
      </c>
      <c r="Z51" s="9">
        <f t="shared" si="104"/>
        <v>18859.359354347893</v>
      </c>
      <c r="AA51" s="9">
        <f t="shared" si="104"/>
        <v>68516.287553408154</v>
      </c>
      <c r="AB51" s="9">
        <f t="shared" si="104"/>
        <v>107821.58922943333</v>
      </c>
      <c r="AC51" s="9" t="str">
        <f t="shared" si="104"/>
        <v/>
      </c>
      <c r="AD51" s="9" t="str">
        <f t="shared" si="104"/>
        <v/>
      </c>
      <c r="AE51" s="9" t="str">
        <f t="shared" si="104"/>
        <v/>
      </c>
      <c r="AF51" s="9" t="str">
        <f t="shared" si="104"/>
        <v/>
      </c>
      <c r="AG51" s="9" t="str">
        <f t="shared" si="104"/>
        <v/>
      </c>
      <c r="AH51" s="9" t="str">
        <f t="shared" si="104"/>
        <v/>
      </c>
      <c r="AI51" s="9" t="str">
        <f t="shared" si="104"/>
        <v/>
      </c>
      <c r="AJ51" s="9" t="str">
        <f t="shared" si="104"/>
        <v/>
      </c>
      <c r="AK51" s="9" t="str">
        <f t="shared" si="104"/>
        <v/>
      </c>
      <c r="AL51" s="9" t="str">
        <f t="shared" si="104"/>
        <v/>
      </c>
      <c r="AM51" s="9" t="str">
        <f t="shared" si="104"/>
        <v/>
      </c>
      <c r="AN51" s="9" t="str">
        <f t="shared" si="104"/>
        <v/>
      </c>
      <c r="AO51" s="9" t="str">
        <f t="shared" si="104"/>
        <v/>
      </c>
      <c r="AP51" s="9" t="str">
        <f t="shared" si="104"/>
        <v/>
      </c>
      <c r="AQ51" s="9" t="str">
        <f t="shared" si="104"/>
        <v/>
      </c>
      <c r="AR51" s="9" t="str">
        <f t="shared" si="104"/>
        <v/>
      </c>
      <c r="AS51" s="9" t="str">
        <f t="shared" si="104"/>
        <v/>
      </c>
      <c r="AT51" s="9" t="str">
        <f t="shared" si="104"/>
        <v/>
      </c>
      <c r="AU51" s="9" t="str">
        <f t="shared" si="104"/>
        <v/>
      </c>
      <c r="AV51" s="9" t="str">
        <f t="shared" si="104"/>
        <v/>
      </c>
      <c r="AW51" s="9" t="str">
        <f t="shared" si="104"/>
        <v/>
      </c>
    </row>
    <row r="52" spans="1:49" s="5" customFormat="1" outlineLevel="1" x14ac:dyDescent="0.3">
      <c r="A52" s="132"/>
      <c r="B52" s="19" t="s">
        <v>7</v>
      </c>
      <c r="C52" s="80"/>
      <c r="D52" s="80"/>
      <c r="E52" s="80"/>
      <c r="F52" s="9">
        <f>IF(OR(F9="",F51=""),"",ROUND((F51+E54)*F9/12,2))</f>
        <v>0</v>
      </c>
      <c r="G52" s="9">
        <f t="shared" ref="G52:L52" si="105">IF(OR(G9="",G51=""),"",ROUND((G51+F54)*G9/12,2))</f>
        <v>1.22</v>
      </c>
      <c r="H52" s="9">
        <f t="shared" si="105"/>
        <v>-5.31</v>
      </c>
      <c r="I52" s="9">
        <f t="shared" si="105"/>
        <v>-204.84</v>
      </c>
      <c r="J52" s="9">
        <f t="shared" si="105"/>
        <v>-364.4</v>
      </c>
      <c r="K52" s="9">
        <f t="shared" si="105"/>
        <v>-456.82</v>
      </c>
      <c r="L52" s="9">
        <f t="shared" si="105"/>
        <v>-505.45</v>
      </c>
      <c r="M52" s="9">
        <f t="shared" ref="M52" si="106">IF(OR(M9="",M51=""),"",ROUND((M51+L54)*M9/12,2))</f>
        <v>-577.17999999999995</v>
      </c>
      <c r="N52" s="9">
        <f>IF(OR(N9="",N51=""),"",ROUND((N51+M54)*N9/12,2))+N46</f>
        <v>-419.03000000000043</v>
      </c>
      <c r="O52" s="9">
        <f t="shared" ref="O52" si="107">IF(OR(O9="",O51=""),"",ROUND((O51+N54)*O9/12,2))</f>
        <v>-547.30999999999995</v>
      </c>
      <c r="P52" s="9">
        <f>IF(OR(P9="",P51=""),"",ROUND((P51+O54)*P9/12,2))</f>
        <v>-467.35</v>
      </c>
      <c r="Q52" s="9">
        <f>IF(OR(Q9="",Q51=""),"",ROUND((Q49+Q51+P54)*Q9/12,2))</f>
        <v>-419.27</v>
      </c>
      <c r="R52" s="9">
        <f t="shared" ref="R52:X52" si="108">IF(OR(R9="",R51=""),"",ROUND((R49+R51+Q54)*R9/12,2))</f>
        <v>-400.36</v>
      </c>
      <c r="S52" s="9">
        <f t="shared" si="108"/>
        <v>-228.28</v>
      </c>
      <c r="T52" s="9">
        <f t="shared" si="108"/>
        <v>-30.95</v>
      </c>
      <c r="U52" s="9">
        <f t="shared" si="108"/>
        <v>-20.18</v>
      </c>
      <c r="V52" s="9">
        <f t="shared" si="108"/>
        <v>-5.97</v>
      </c>
      <c r="W52" s="9">
        <f t="shared" si="108"/>
        <v>11.62</v>
      </c>
      <c r="X52" s="9">
        <f t="shared" si="108"/>
        <v>23.03</v>
      </c>
      <c r="Y52" s="9">
        <f>IF(OR(Y9="",Y51=""),"",ROUND((Y49+Y51+X54)*Y9/12,2))</f>
        <v>45.42</v>
      </c>
      <c r="Z52" s="9">
        <f t="shared" ref="Z52:AW52" si="109">IF(OR(Z9="",Z51=""),"",ROUND((Z49+Z51+Y54)*Z9/12,2))</f>
        <v>54.28</v>
      </c>
      <c r="AA52" s="9">
        <f t="shared" si="109"/>
        <v>71.73</v>
      </c>
      <c r="AB52" s="9">
        <f t="shared" si="109"/>
        <v>96.69</v>
      </c>
      <c r="AC52" s="9" t="str">
        <f t="shared" si="109"/>
        <v/>
      </c>
      <c r="AD52" s="9" t="str">
        <f t="shared" si="109"/>
        <v/>
      </c>
      <c r="AE52" s="9" t="str">
        <f t="shared" si="109"/>
        <v/>
      </c>
      <c r="AF52" s="9" t="str">
        <f t="shared" si="109"/>
        <v/>
      </c>
      <c r="AG52" s="9" t="str">
        <f t="shared" si="109"/>
        <v/>
      </c>
      <c r="AH52" s="9" t="str">
        <f t="shared" si="109"/>
        <v/>
      </c>
      <c r="AI52" s="9" t="str">
        <f t="shared" si="109"/>
        <v/>
      </c>
      <c r="AJ52" s="9" t="str">
        <f t="shared" si="109"/>
        <v/>
      </c>
      <c r="AK52" s="9" t="str">
        <f t="shared" si="109"/>
        <v/>
      </c>
      <c r="AL52" s="9" t="str">
        <f t="shared" si="109"/>
        <v/>
      </c>
      <c r="AM52" s="9" t="str">
        <f t="shared" si="109"/>
        <v/>
      </c>
      <c r="AN52" s="9" t="str">
        <f t="shared" si="109"/>
        <v/>
      </c>
      <c r="AO52" s="9" t="str">
        <f t="shared" si="109"/>
        <v/>
      </c>
      <c r="AP52" s="9" t="str">
        <f t="shared" si="109"/>
        <v/>
      </c>
      <c r="AQ52" s="9" t="str">
        <f t="shared" si="109"/>
        <v/>
      </c>
      <c r="AR52" s="9" t="str">
        <f t="shared" si="109"/>
        <v/>
      </c>
      <c r="AS52" s="9" t="str">
        <f t="shared" si="109"/>
        <v/>
      </c>
      <c r="AT52" s="9" t="str">
        <f t="shared" si="109"/>
        <v/>
      </c>
      <c r="AU52" s="9" t="str">
        <f t="shared" si="109"/>
        <v/>
      </c>
      <c r="AV52" s="9" t="str">
        <f t="shared" si="109"/>
        <v/>
      </c>
      <c r="AW52" s="9" t="str">
        <f t="shared" si="109"/>
        <v/>
      </c>
    </row>
    <row r="53" spans="1:49" s="5" customFormat="1" outlineLevel="1" x14ac:dyDescent="0.3">
      <c r="A53" s="132"/>
      <c r="B53" s="18" t="s">
        <v>13</v>
      </c>
      <c r="C53" s="80"/>
      <c r="D53" s="80"/>
      <c r="E53" s="80"/>
      <c r="F53" s="9">
        <f t="shared" ref="F53:M53" si="110">IF(OR(F51="",F52=""),"",F51+F52)</f>
        <v>0.36790548240712501</v>
      </c>
      <c r="G53" s="9">
        <f t="shared" si="110"/>
        <v>550.60424508821643</v>
      </c>
      <c r="H53" s="9">
        <f t="shared" si="110"/>
        <v>-2936.4426047334168</v>
      </c>
      <c r="I53" s="9">
        <f t="shared" si="110"/>
        <v>-90574.953443998151</v>
      </c>
      <c r="J53" s="9">
        <f t="shared" si="110"/>
        <v>-75921.202484400332</v>
      </c>
      <c r="K53" s="9">
        <f t="shared" si="110"/>
        <v>-64727.495133255725</v>
      </c>
      <c r="L53" s="9">
        <f t="shared" si="110"/>
        <v>-40498.439537141938</v>
      </c>
      <c r="M53" s="9">
        <f t="shared" si="110"/>
        <v>-54113.222368776616</v>
      </c>
      <c r="N53" s="9">
        <f>IF(OR(N51="",N52=""),"",N51+N52)</f>
        <v>-12147.246706934808</v>
      </c>
      <c r="O53" s="9">
        <f>IF(OR(O51="",O52=""),"",O51+O52)</f>
        <v>-3103.9117182829091</v>
      </c>
      <c r="P53" s="9">
        <f t="shared" ref="P53:AW53" si="111">IF(OR(P51="",P52=""),"",P51+P52)</f>
        <v>46130.049590637318</v>
      </c>
      <c r="Q53" s="9">
        <f t="shared" si="111"/>
        <v>-22648.236360419829</v>
      </c>
      <c r="R53" s="9">
        <f t="shared" si="111"/>
        <v>-13760.570529834251</v>
      </c>
      <c r="S53" s="9">
        <f t="shared" si="111"/>
        <v>-70116.603471591137</v>
      </c>
      <c r="T53" s="9">
        <f t="shared" si="111"/>
        <v>-26191.110200838379</v>
      </c>
      <c r="U53" s="9">
        <f t="shared" si="111"/>
        <v>58754.198860579294</v>
      </c>
      <c r="V53" s="9">
        <f t="shared" si="111"/>
        <v>113474.07298932067</v>
      </c>
      <c r="W53" s="9">
        <f t="shared" si="111"/>
        <v>96997.145623500401</v>
      </c>
      <c r="X53" s="9">
        <f t="shared" si="111"/>
        <v>78918.829886724096</v>
      </c>
      <c r="Y53" s="9">
        <f t="shared" si="111"/>
        <v>13801.769884233845</v>
      </c>
      <c r="Z53" s="9">
        <f t="shared" si="111"/>
        <v>18913.639354347892</v>
      </c>
      <c r="AA53" s="9">
        <f t="shared" si="111"/>
        <v>68588.01755340815</v>
      </c>
      <c r="AB53" s="9">
        <f t="shared" si="111"/>
        <v>107918.27922943333</v>
      </c>
      <c r="AC53" s="9" t="str">
        <f t="shared" si="111"/>
        <v/>
      </c>
      <c r="AD53" s="9" t="str">
        <f t="shared" si="111"/>
        <v/>
      </c>
      <c r="AE53" s="9" t="str">
        <f t="shared" si="111"/>
        <v/>
      </c>
      <c r="AF53" s="9" t="str">
        <f t="shared" si="111"/>
        <v/>
      </c>
      <c r="AG53" s="9" t="str">
        <f t="shared" si="111"/>
        <v/>
      </c>
      <c r="AH53" s="9" t="str">
        <f t="shared" si="111"/>
        <v/>
      </c>
      <c r="AI53" s="9" t="str">
        <f t="shared" si="111"/>
        <v/>
      </c>
      <c r="AJ53" s="9" t="str">
        <f t="shared" si="111"/>
        <v/>
      </c>
      <c r="AK53" s="9" t="str">
        <f t="shared" si="111"/>
        <v/>
      </c>
      <c r="AL53" s="9" t="str">
        <f t="shared" si="111"/>
        <v/>
      </c>
      <c r="AM53" s="9" t="str">
        <f t="shared" si="111"/>
        <v/>
      </c>
      <c r="AN53" s="9" t="str">
        <f t="shared" si="111"/>
        <v/>
      </c>
      <c r="AO53" s="9" t="str">
        <f t="shared" si="111"/>
        <v/>
      </c>
      <c r="AP53" s="9" t="str">
        <f t="shared" si="111"/>
        <v/>
      </c>
      <c r="AQ53" s="9" t="str">
        <f t="shared" si="111"/>
        <v/>
      </c>
      <c r="AR53" s="9" t="str">
        <f t="shared" si="111"/>
        <v/>
      </c>
      <c r="AS53" s="9" t="str">
        <f t="shared" si="111"/>
        <v/>
      </c>
      <c r="AT53" s="9" t="str">
        <f t="shared" si="111"/>
        <v/>
      </c>
      <c r="AU53" s="9" t="str">
        <f t="shared" si="111"/>
        <v/>
      </c>
      <c r="AV53" s="9" t="str">
        <f t="shared" si="111"/>
        <v/>
      </c>
      <c r="AW53" s="9" t="str">
        <f t="shared" si="111"/>
        <v/>
      </c>
    </row>
    <row r="54" spans="1:49" s="5" customFormat="1" outlineLevel="1" x14ac:dyDescent="0.3">
      <c r="A54" s="132"/>
      <c r="B54" s="20" t="s">
        <v>16</v>
      </c>
      <c r="C54" s="80"/>
      <c r="D54" s="80"/>
      <c r="E54" s="80"/>
      <c r="F54" s="9">
        <f>IF(OR(F53=""),"",F53)</f>
        <v>0.36790548240712501</v>
      </c>
      <c r="G54" s="9">
        <f t="shared" ref="G54:M54" si="112">IF(OR(G53="",F54=""),"",G53+F54)</f>
        <v>550.97215057062351</v>
      </c>
      <c r="H54" s="9">
        <f t="shared" si="112"/>
        <v>-2385.4704541627934</v>
      </c>
      <c r="I54" s="9">
        <f t="shared" si="112"/>
        <v>-92960.423898160938</v>
      </c>
      <c r="J54" s="9">
        <f t="shared" si="112"/>
        <v>-168881.62638256128</v>
      </c>
      <c r="K54" s="9">
        <f t="shared" si="112"/>
        <v>-233609.12151581701</v>
      </c>
      <c r="L54" s="9">
        <f t="shared" si="112"/>
        <v>-274107.56105295895</v>
      </c>
      <c r="M54" s="9">
        <f t="shared" si="112"/>
        <v>-328220.78342173557</v>
      </c>
      <c r="N54" s="9">
        <f>IF(OR(N53="",M54=""),"",N53+N49+M54)</f>
        <v>-340368.03012867039</v>
      </c>
      <c r="O54" s="9">
        <f>IF(OR(O53="",N54=""),"",O53+O49+N54+O46)</f>
        <v>-343471.9418469533</v>
      </c>
      <c r="P54" s="9">
        <f t="shared" ref="P54:AW54" si="113">IF(OR(P53="",O54=""),"",P53+P49+O54)</f>
        <v>-297341.89225631597</v>
      </c>
      <c r="Q54" s="9">
        <f t="shared" si="113"/>
        <v>-279378.1186167358</v>
      </c>
      <c r="R54" s="9">
        <f t="shared" si="113"/>
        <v>-254787.57914657006</v>
      </c>
      <c r="S54" s="9">
        <f t="shared" si="113"/>
        <v>-292129.80261816119</v>
      </c>
      <c r="T54" s="9">
        <f t="shared" si="113"/>
        <v>-287751.74281899957</v>
      </c>
      <c r="U54" s="9">
        <f t="shared" si="113"/>
        <v>-192772.48395842029</v>
      </c>
      <c r="V54" s="9">
        <f t="shared" si="113"/>
        <v>-37002.500969099608</v>
      </c>
      <c r="W54" s="9">
        <f t="shared" si="113"/>
        <v>102135.97465440081</v>
      </c>
      <c r="X54" s="9">
        <f t="shared" si="113"/>
        <v>222997.54454112489</v>
      </c>
      <c r="Y54" s="9">
        <f t="shared" si="113"/>
        <v>272587.58442535874</v>
      </c>
      <c r="Z54" s="9">
        <f t="shared" si="113"/>
        <v>325738.80377970665</v>
      </c>
      <c r="AA54" s="9">
        <f t="shared" si="113"/>
        <v>430439.28133311484</v>
      </c>
      <c r="AB54" s="9">
        <f t="shared" si="113"/>
        <v>580246.57056254824</v>
      </c>
      <c r="AC54" s="9" t="str">
        <f t="shared" si="113"/>
        <v/>
      </c>
      <c r="AD54" s="9" t="str">
        <f t="shared" si="113"/>
        <v/>
      </c>
      <c r="AE54" s="9" t="str">
        <f t="shared" si="113"/>
        <v/>
      </c>
      <c r="AF54" s="9" t="str">
        <f t="shared" si="113"/>
        <v/>
      </c>
      <c r="AG54" s="9" t="str">
        <f t="shared" si="113"/>
        <v/>
      </c>
      <c r="AH54" s="9" t="str">
        <f t="shared" si="113"/>
        <v/>
      </c>
      <c r="AI54" s="9" t="str">
        <f t="shared" si="113"/>
        <v/>
      </c>
      <c r="AJ54" s="9" t="str">
        <f t="shared" si="113"/>
        <v/>
      </c>
      <c r="AK54" s="9" t="str">
        <f t="shared" si="113"/>
        <v/>
      </c>
      <c r="AL54" s="9" t="str">
        <f t="shared" si="113"/>
        <v/>
      </c>
      <c r="AM54" s="9" t="str">
        <f t="shared" si="113"/>
        <v/>
      </c>
      <c r="AN54" s="9" t="str">
        <f t="shared" si="113"/>
        <v/>
      </c>
      <c r="AO54" s="9" t="str">
        <f t="shared" si="113"/>
        <v/>
      </c>
      <c r="AP54" s="9" t="str">
        <f t="shared" si="113"/>
        <v/>
      </c>
      <c r="AQ54" s="9" t="str">
        <f t="shared" si="113"/>
        <v/>
      </c>
      <c r="AR54" s="9" t="str">
        <f t="shared" si="113"/>
        <v/>
      </c>
      <c r="AS54" s="9" t="str">
        <f t="shared" si="113"/>
        <v/>
      </c>
      <c r="AT54" s="9" t="str">
        <f t="shared" si="113"/>
        <v/>
      </c>
      <c r="AU54" s="9" t="str">
        <f t="shared" si="113"/>
        <v/>
      </c>
      <c r="AV54" s="9" t="str">
        <f t="shared" si="113"/>
        <v/>
      </c>
      <c r="AW54" s="9" t="str">
        <f t="shared" si="113"/>
        <v/>
      </c>
    </row>
    <row r="55" spans="1:49" s="5" customFormat="1" ht="8.25" customHeight="1" outlineLevel="1" x14ac:dyDescent="0.3">
      <c r="A55" s="40"/>
      <c r="B55" s="13"/>
      <c r="C55" s="85"/>
      <c r="D55" s="85"/>
      <c r="E55" s="85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</row>
    <row r="56" spans="1:49" s="5" customFormat="1" ht="15" customHeight="1" outlineLevel="1" x14ac:dyDescent="0.3">
      <c r="A56" s="132" t="s">
        <v>22</v>
      </c>
      <c r="B56" s="17"/>
      <c r="C56" s="80"/>
      <c r="D56" s="80"/>
      <c r="E56" s="80"/>
      <c r="F56" s="9"/>
      <c r="G56" s="9"/>
      <c r="H56" s="9"/>
      <c r="I56" s="9"/>
      <c r="J56" s="9"/>
      <c r="K56" s="9"/>
      <c r="L56" s="9"/>
      <c r="M56" s="9"/>
      <c r="N56" s="113">
        <f>'MEEIA 3 adjs Nov 19'!L42</f>
        <v>46.569999999999936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s="3" customFormat="1" ht="15" customHeight="1" outlineLevel="1" x14ac:dyDescent="0.3">
      <c r="A57" s="132"/>
      <c r="B57" s="17" t="s">
        <v>27</v>
      </c>
      <c r="C57" s="80"/>
      <c r="D57" s="80"/>
      <c r="E57" s="80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20634.15638219006</v>
      </c>
      <c r="O57" s="22">
        <f>IF('M3 Allocations - TD'!M8="","",'M3 Allocations - TD'!M34)</f>
        <v>18530.128304448888</v>
      </c>
      <c r="P57" s="22">
        <f>IF('M3 Allocations - TD'!N8="","",'M3 Allocations - TD'!N34)</f>
        <v>41320.38859087076</v>
      </c>
      <c r="Q57" s="22">
        <f>IF('M3 Allocations - TD'!O8="","",'M3 Allocations - TD'!O34)</f>
        <v>29425.974245256413</v>
      </c>
      <c r="R57" s="22">
        <f>IF('M3 Allocations - TD'!P8="","",'M3 Allocations - TD'!P34)</f>
        <v>32165.147795809222</v>
      </c>
      <c r="S57" s="22">
        <f>IF('M3 Allocations - TD'!Q8="","",'M3 Allocations - TD'!Q34)</f>
        <v>21213.003373036219</v>
      </c>
      <c r="T57" s="22">
        <f>IF('M3 Allocations - TD'!R8="","",'M3 Allocations - TD'!R34)</f>
        <v>41395.000804902586</v>
      </c>
      <c r="U57" s="22">
        <f>IF('M3 Allocations - TD'!S8="","",'M3 Allocations - TD'!S34)</f>
        <v>92952.761963081415</v>
      </c>
      <c r="V57" s="22">
        <f>IF('M3 Allocations - TD'!T8="","",'M3 Allocations - TD'!T34)</f>
        <v>123951.10916307675</v>
      </c>
      <c r="W57" s="22">
        <f>IF('M3 Allocations - TD'!U8="","",'M3 Allocations - TD'!U34)</f>
        <v>122809.27801030048</v>
      </c>
      <c r="X57" s="22">
        <f>IF('M3 Allocations - TD'!V8="","",'M3 Allocations - TD'!V34)</f>
        <v>96049.861338882605</v>
      </c>
      <c r="Y57" s="22">
        <f>IF('M3 Allocations - TD'!W8="","",'M3 Allocations - TD'!W34)</f>
        <v>51830.00376307463</v>
      </c>
      <c r="Z57" s="22">
        <f>IF('M3 Allocations - TD'!X8="","",'M3 Allocations - TD'!X34)</f>
        <v>48658.932927997463</v>
      </c>
      <c r="AA57" s="22">
        <f>IF('M3 Allocations - TD'!Y8="","",'M3 Allocations - TD'!Y34)</f>
        <v>59970.08081020516</v>
      </c>
      <c r="AB57" s="22">
        <f>IF('M3 Allocations - TD'!Z8="","",'M3 Allocations - TD'!Z34)</f>
        <v>87162.828989695612</v>
      </c>
      <c r="AC57" s="22">
        <f>IF('M3 Allocations - TD'!AA8="","",'M3 Allocations - TD'!AA34)</f>
        <v>76735.538229243772</v>
      </c>
      <c r="AD57" s="22">
        <f>IF('M3 Allocations - TD'!AB8="","",'M3 Allocations - TD'!AB34)</f>
        <v>83329.834183353363</v>
      </c>
      <c r="AE57" s="22">
        <f>IF('M3 Allocations - TD'!AC8="","",'M3 Allocations - TD'!AC34)</f>
        <v>86542.327775322512</v>
      </c>
      <c r="AF57" s="22">
        <f>IF('M3 Allocations - TD'!AD8="","",'M3 Allocations - TD'!AD34)</f>
        <v>134652.28997454798</v>
      </c>
      <c r="AG57" s="22">
        <f>IF('M3 Allocations - TD'!AE8="","",'M3 Allocations - TD'!AE34)</f>
        <v>344645.2569037489</v>
      </c>
      <c r="AH57" s="22">
        <f>IF('M3 Allocations - TD'!AF8="","",'M3 Allocations - TD'!AF34)</f>
        <v>433598.35909049766</v>
      </c>
      <c r="AI57" s="22">
        <f>IF('M3 Allocations - TD'!AG8="","",'M3 Allocations - TD'!AG34)</f>
        <v>423698.85938326776</v>
      </c>
      <c r="AJ57" s="22">
        <f>IF('M3 Allocations - TD'!AH8="","",'M3 Allocations - TD'!AH34)</f>
        <v>289691.43350799673</v>
      </c>
      <c r="AK57" s="22">
        <f>IF('M3 Allocations - TD'!AI8="","",'M3 Allocations - TD'!AI34)</f>
        <v>141388.49389401343</v>
      </c>
      <c r="AL57" s="22">
        <f>IF('M3 Allocations - TD'!AJ8="","",'M3 Allocations - TD'!AJ34)</f>
        <v>122502.84130602854</v>
      </c>
      <c r="AM57" s="22">
        <f>IF('M3 Allocations - TD'!AK8="","",'M3 Allocations - TD'!AK34)</f>
        <v>141005.87213449329</v>
      </c>
      <c r="AN57" s="22">
        <f>IF('M3 Allocations - TD'!AL8="","",'M3 Allocations - TD'!AL34)</f>
        <v>189386.80453146814</v>
      </c>
      <c r="AO57" s="22" t="str">
        <f>IF('M3 Allocations - TD'!AM8="","",'M3 Allocations - TD'!AM34)</f>
        <v/>
      </c>
      <c r="AP57" s="22" t="str">
        <f>IF('M3 Allocations - TD'!AN8="","",'M3 Allocations - TD'!AN34)</f>
        <v/>
      </c>
      <c r="AQ57" s="22" t="str">
        <f>IF('M3 Allocations - TD'!AO8="","",'M3 Allocations - TD'!AO34)</f>
        <v/>
      </c>
      <c r="AR57" s="22" t="str">
        <f>IF('M3 Allocations - TD'!AP8="","",'M3 Allocations - TD'!AP34)</f>
        <v/>
      </c>
      <c r="AS57" s="22" t="str">
        <f>IF('M3 Allocations - TD'!AQ8="","",'M3 Allocations - TD'!AQ34)</f>
        <v/>
      </c>
      <c r="AT57" s="22" t="str">
        <f>IF('M3 Allocations - TD'!AR8="","",'M3 Allocations - TD'!AR34)</f>
        <v/>
      </c>
      <c r="AU57" s="22" t="str">
        <f>IF('M3 Allocations - TD'!AS8="","",'M3 Allocations - TD'!AS34)</f>
        <v/>
      </c>
      <c r="AV57" s="22" t="str">
        <f>IF('M3 Allocations - TD'!AT8="","",'M3 Allocations - TD'!AT34)</f>
        <v/>
      </c>
      <c r="AW57" s="22" t="str">
        <f>IF('M3 Allocations - TD'!AU8="","",'M3 Allocations - TD'!AU34)</f>
        <v/>
      </c>
    </row>
    <row r="58" spans="1:49" s="5" customFormat="1" ht="15" customHeight="1" outlineLevel="1" x14ac:dyDescent="0.3">
      <c r="A58" s="132"/>
      <c r="B58" s="18" t="s">
        <v>25</v>
      </c>
      <c r="C58" s="80"/>
      <c r="D58" s="80"/>
      <c r="E58" s="80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41515.04923810179</v>
      </c>
      <c r="O58" s="22">
        <f>IF('M3 Allocations - TD'!M54="","",'M3 Allocations - TD'!M72)</f>
        <v>41594.548478057877</v>
      </c>
      <c r="P58" s="22">
        <f>IF('M3 Allocations - TD'!N54="","",'M3 Allocations - TD'!N72)</f>
        <v>42743.649469302021</v>
      </c>
      <c r="Q58" s="22">
        <f>IF('M3 Allocations - TD'!O54="","",'M3 Allocations - TD'!O72)</f>
        <v>43471.756585125317</v>
      </c>
      <c r="R58" s="22">
        <f>IF('M3 Allocations - TD'!P54="","",'M3 Allocations - TD'!P72)</f>
        <v>37573.855689531287</v>
      </c>
      <c r="S58" s="22">
        <f>IF('M3 Allocations - TD'!Q54="","",'M3 Allocations - TD'!Q72)</f>
        <v>36905.295455925545</v>
      </c>
      <c r="T58" s="22">
        <f>IF('M3 Allocations - TD'!R54="","",'M3 Allocations - TD'!R72)</f>
        <v>34871.894488322658</v>
      </c>
      <c r="U58" s="22">
        <f>IF('M3 Allocations - TD'!S54="","",'M3 Allocations - TD'!S72)</f>
        <v>40727.091457001268</v>
      </c>
      <c r="V58" s="22">
        <f>IF('M3 Allocations - TD'!T54="","",'M3 Allocations - TD'!T72)</f>
        <v>42825.077518324979</v>
      </c>
      <c r="W58" s="22">
        <f>IF('M3 Allocations - TD'!U54="","",'M3 Allocations - TD'!U72)</f>
        <v>44954.202556147626</v>
      </c>
      <c r="X58" s="22">
        <f>IF('M3 Allocations - TD'!V54="","",'M3 Allocations - TD'!V72)</f>
        <v>45054.75137109276</v>
      </c>
      <c r="Y58" s="22">
        <f>IF('M3 Allocations - TD'!W54="","",'M3 Allocations - TD'!W72)</f>
        <v>40035.738044047088</v>
      </c>
      <c r="Z58" s="22">
        <f>IF('M3 Allocations - TD'!X54="","",'M3 Allocations - TD'!X72)</f>
        <v>36703.331683486729</v>
      </c>
      <c r="AA58" s="22">
        <f>IF('M3 Allocations - TD'!Y54="","",'M3 Allocations - TD'!Y72)</f>
        <v>36903.310490135111</v>
      </c>
      <c r="AB58" s="22">
        <f>IF('M3 Allocations - TD'!Z54="","",'M3 Allocations - TD'!Z72)</f>
        <v>42451.999146641407</v>
      </c>
      <c r="AC58" s="22" t="str">
        <f>IF('M3 Allocations - TD'!AA54="","",'M3 Allocations - TD'!AA72)</f>
        <v/>
      </c>
      <c r="AD58" s="22" t="str">
        <f>IF('M3 Allocations - TD'!AB54="","",'M3 Allocations - TD'!AB72)</f>
        <v/>
      </c>
      <c r="AE58" s="22" t="str">
        <f>IF('M3 Allocations - TD'!AC54="","",'M3 Allocations - TD'!AC72)</f>
        <v/>
      </c>
      <c r="AF58" s="22" t="str">
        <f>IF('M3 Allocations - TD'!AD54="","",'M3 Allocations - TD'!AD72)</f>
        <v/>
      </c>
      <c r="AG58" s="22" t="str">
        <f>IF('M3 Allocations - TD'!AE54="","",'M3 Allocations - TD'!AE72)</f>
        <v/>
      </c>
      <c r="AH58" s="22" t="str">
        <f>IF('M3 Allocations - TD'!AF54="","",'M3 Allocations - TD'!AF72)</f>
        <v/>
      </c>
      <c r="AI58" s="22" t="str">
        <f>IF('M3 Allocations - TD'!AG54="","",'M3 Allocations - TD'!AG72)</f>
        <v/>
      </c>
      <c r="AJ58" s="22" t="str">
        <f>IF('M3 Allocations - TD'!AH54="","",'M3 Allocations - TD'!AH72)</f>
        <v/>
      </c>
      <c r="AK58" s="22" t="str">
        <f>IF('M3 Allocations - TD'!AI54="","",'M3 Allocations - TD'!AI72)</f>
        <v/>
      </c>
      <c r="AL58" s="22" t="str">
        <f>IF('M3 Allocations - TD'!AJ54="","",'M3 Allocations - TD'!AJ72)</f>
        <v/>
      </c>
      <c r="AM58" s="22" t="str">
        <f>IF('M3 Allocations - TD'!AK54="","",'M3 Allocations - TD'!AK72)</f>
        <v/>
      </c>
      <c r="AN58" s="22" t="str">
        <f>IF('M3 Allocations - TD'!AL54="","",'M3 Allocations - TD'!AL72)</f>
        <v/>
      </c>
      <c r="AO58" s="22" t="str">
        <f>IF('M3 Allocations - TD'!AM54="","",'M3 Allocations - TD'!AM72)</f>
        <v/>
      </c>
      <c r="AP58" s="22" t="str">
        <f>IF('M3 Allocations - TD'!AN54="","",'M3 Allocations - TD'!AN72)</f>
        <v/>
      </c>
      <c r="AQ58" s="22" t="str">
        <f>IF('M3 Allocations - TD'!AO54="","",'M3 Allocations - TD'!AO72)</f>
        <v/>
      </c>
      <c r="AR58" s="22" t="str">
        <f>IF('M3 Allocations - TD'!AP54="","",'M3 Allocations - TD'!AP72)</f>
        <v/>
      </c>
      <c r="AS58" s="22" t="str">
        <f>IF('M3 Allocations - TD'!AQ54="","",'M3 Allocations - TD'!AQ72)</f>
        <v/>
      </c>
      <c r="AT58" s="22" t="str">
        <f>IF('M3 Allocations - TD'!AR54="","",'M3 Allocations - TD'!AR72)</f>
        <v/>
      </c>
      <c r="AU58" s="22" t="str">
        <f>IF('M3 Allocations - TD'!AS54="","",'M3 Allocations - TD'!AS72)</f>
        <v/>
      </c>
      <c r="AV58" s="22" t="str">
        <f>IF('M3 Allocations - TD'!AT54="","",'M3 Allocations - TD'!AT72)</f>
        <v/>
      </c>
      <c r="AW58" s="22" t="str">
        <f>IF('M3 Allocations - TD'!AU54="","",'M3 Allocations - TD'!AU72)</f>
        <v/>
      </c>
    </row>
    <row r="59" spans="1:49" s="5" customFormat="1" ht="15" customHeight="1" outlineLevel="1" x14ac:dyDescent="0.3">
      <c r="A59" s="132"/>
      <c r="B59" s="18" t="s">
        <v>41</v>
      </c>
      <c r="C59" s="80"/>
      <c r="D59" s="80"/>
      <c r="E59" s="80"/>
      <c r="F59" s="22">
        <f>IF(F58="","",0)</f>
        <v>0</v>
      </c>
      <c r="G59" s="22">
        <f t="shared" ref="G59" si="114">IF(G58="","",0)</f>
        <v>0</v>
      </c>
      <c r="H59" s="22">
        <f t="shared" ref="H59" si="115">IF(H58="","",0)</f>
        <v>0</v>
      </c>
      <c r="I59" s="22">
        <f t="shared" ref="I59" si="116">IF(I58="","",0)</f>
        <v>0</v>
      </c>
      <c r="J59" s="22">
        <f t="shared" ref="J59" si="117">IF(J58="","",0)</f>
        <v>0</v>
      </c>
      <c r="K59" s="22">
        <f t="shared" ref="K59" si="118">IF(K58="","",0)</f>
        <v>0</v>
      </c>
      <c r="L59" s="22">
        <f t="shared" ref="L59" si="119">IF(L58="","",0)</f>
        <v>0</v>
      </c>
      <c r="M59" s="22">
        <f t="shared" ref="M59" si="120">IF(M58="","",0)</f>
        <v>0</v>
      </c>
      <c r="N59" s="22">
        <f t="shared" ref="N59" si="121">IF(N58="","",0)</f>
        <v>0</v>
      </c>
      <c r="O59" s="22">
        <f t="shared" ref="O59" si="122">IF(O58="","",0)</f>
        <v>0</v>
      </c>
      <c r="P59" s="22">
        <f t="shared" ref="P59" si="123">IF(P58="","",0)</f>
        <v>0</v>
      </c>
      <c r="Q59" s="22">
        <f>IF(Q58="","",-'M3 TD amort'!C29)</f>
        <v>20708.53</v>
      </c>
      <c r="R59" s="22">
        <f>IF(R58="","",-'M3 TD amort'!D29)</f>
        <v>17927.830000000002</v>
      </c>
      <c r="S59" s="22">
        <f>IF(S58="","",-'M3 TD amort'!E29)</f>
        <v>17511.97</v>
      </c>
      <c r="T59" s="22">
        <f>IF(T58="","",-'M3 TD amort'!F29)</f>
        <v>16485.95</v>
      </c>
      <c r="U59" s="22">
        <f>IF(U58="","",-'M3 TD amort'!G29)</f>
        <v>19200.04</v>
      </c>
      <c r="V59" s="22">
        <f>IF(V58="","",-'M3 TD amort'!H29)</f>
        <v>20208.66</v>
      </c>
      <c r="W59" s="22">
        <f>IF(W58="","",-'M3 TD amort'!I29)</f>
        <v>21182.03</v>
      </c>
      <c r="X59" s="22">
        <f>IF(X58="","",-'M3 TD amort'!J29)</f>
        <v>21187.42</v>
      </c>
      <c r="Y59" s="22">
        <f>IF(Y58="","",-'M3 TD amort'!K29)</f>
        <v>18832.849999999999</v>
      </c>
      <c r="Z59" s="22">
        <f>IF(Z58="","",-'M3 TD amort'!L29)</f>
        <v>17342.66</v>
      </c>
      <c r="AA59" s="22">
        <f>IF(AA58="","",-'M3 TD amort'!M29)</f>
        <v>17535</v>
      </c>
      <c r="AB59" s="22">
        <f>IF(AB58="","",-'M3 TD amort'!N29)</f>
        <v>20197.13</v>
      </c>
      <c r="AC59" s="22" t="str">
        <f>IF(AC58="","",-'M3 TD amort'!O29)</f>
        <v/>
      </c>
      <c r="AD59" s="22" t="str">
        <f>IF(AD58="","",-'M3 TD amort'!P29)</f>
        <v/>
      </c>
      <c r="AE59" s="22" t="str">
        <f>IF(AE58="","",-'M3 TD amort'!Q29)</f>
        <v/>
      </c>
      <c r="AF59" s="22" t="str">
        <f>IF(AF58="","",-'M3 TD amort'!R29)</f>
        <v/>
      </c>
      <c r="AG59" s="22" t="str">
        <f>IF(AG58="","",-'M3 TD amort'!S29)</f>
        <v/>
      </c>
      <c r="AH59" s="22" t="str">
        <f>IF(AH58="","",-'M3 TD amort'!T29)</f>
        <v/>
      </c>
      <c r="AI59" s="22" t="str">
        <f>IF(AI58="","",-'M3 TD amort'!U29)</f>
        <v/>
      </c>
      <c r="AJ59" s="22" t="str">
        <f>IF(AJ58="","",-'M3 TD amort'!V29)</f>
        <v/>
      </c>
      <c r="AK59" s="22" t="str">
        <f>IF(AK58="","",-'M3 TD amort'!W29)</f>
        <v/>
      </c>
      <c r="AL59" s="22" t="str">
        <f>IF(AL58="","",-'M3 TD amort'!X29)</f>
        <v/>
      </c>
      <c r="AM59" s="22" t="str">
        <f>IF(AM58="","",-'M3 TD amort'!Y29)</f>
        <v/>
      </c>
      <c r="AN59" s="22" t="str">
        <f>IF(AN58="","",-'M3 TD amort'!Z29)</f>
        <v/>
      </c>
      <c r="AO59" s="22" t="str">
        <f>IF(AO58="","",-'M3 TD amort'!AA29)</f>
        <v/>
      </c>
      <c r="AP59" s="22" t="str">
        <f>IF(AP58="","",-'M3 TD amort'!AB29)</f>
        <v/>
      </c>
      <c r="AQ59" s="22" t="str">
        <f>IF(AQ58="","",-'M3 TD amort'!AC29)</f>
        <v/>
      </c>
      <c r="AR59" s="22" t="str">
        <f>IF(AR58="","",-#REF!)</f>
        <v/>
      </c>
      <c r="AS59" s="22" t="str">
        <f>IF(AS58="","",-#REF!)</f>
        <v/>
      </c>
      <c r="AT59" s="22" t="str">
        <f>IF(AT58="","",-#REF!)</f>
        <v/>
      </c>
      <c r="AU59" s="22" t="str">
        <f>IF(AU58="","",-#REF!)</f>
        <v/>
      </c>
      <c r="AV59" s="22" t="str">
        <f>IF(AV58="","",-#REF!)</f>
        <v/>
      </c>
      <c r="AW59" s="22" t="str">
        <f>IF(AW58="","",-#REF!)</f>
        <v/>
      </c>
    </row>
    <row r="60" spans="1:49" s="5" customFormat="1" ht="15" customHeight="1" outlineLevel="1" x14ac:dyDescent="0.3">
      <c r="A60" s="132"/>
      <c r="B60" s="18" t="s">
        <v>42</v>
      </c>
      <c r="C60" s="80"/>
      <c r="D60" s="80"/>
      <c r="E60" s="80"/>
      <c r="F60" s="9">
        <f t="shared" ref="F60:M60" si="124">IF(OR(F59="",F58=""),"",F58+F59)</f>
        <v>0</v>
      </c>
      <c r="G60" s="9">
        <f t="shared" si="124"/>
        <v>0</v>
      </c>
      <c r="H60" s="9">
        <f t="shared" si="124"/>
        <v>2381.1324731369587</v>
      </c>
      <c r="I60" s="9">
        <f t="shared" si="124"/>
        <v>41080.759711289073</v>
      </c>
      <c r="J60" s="9">
        <f t="shared" si="124"/>
        <v>46620.227707662583</v>
      </c>
      <c r="K60" s="9">
        <f t="shared" si="124"/>
        <v>48915.290383093015</v>
      </c>
      <c r="L60" s="9">
        <f t="shared" si="124"/>
        <v>48689.064699160743</v>
      </c>
      <c r="M60" s="9">
        <f t="shared" si="124"/>
        <v>45154.720570269681</v>
      </c>
      <c r="N60" s="9">
        <f>IF(OR(N59="",N58=""),"",N58+N59)</f>
        <v>41515.04923810179</v>
      </c>
      <c r="O60" s="9">
        <f t="shared" ref="O60:AW60" si="125">IF(OR(O59="",O58=""),"",O58+O59)</f>
        <v>41594.548478057877</v>
      </c>
      <c r="P60" s="9">
        <f t="shared" si="125"/>
        <v>42743.649469302021</v>
      </c>
      <c r="Q60" s="9">
        <f t="shared" si="125"/>
        <v>64180.286585125315</v>
      </c>
      <c r="R60" s="9">
        <f t="shared" si="125"/>
        <v>55501.685689531289</v>
      </c>
      <c r="S60" s="9">
        <f t="shared" si="125"/>
        <v>54417.265455925546</v>
      </c>
      <c r="T60" s="9">
        <f t="shared" si="125"/>
        <v>51357.844488322662</v>
      </c>
      <c r="U60" s="9">
        <f t="shared" si="125"/>
        <v>59927.131457001269</v>
      </c>
      <c r="V60" s="9">
        <f t="shared" si="125"/>
        <v>63033.737518324982</v>
      </c>
      <c r="W60" s="9">
        <f t="shared" si="125"/>
        <v>66136.232556147617</v>
      </c>
      <c r="X60" s="9">
        <f t="shared" si="125"/>
        <v>66242.171371092758</v>
      </c>
      <c r="Y60" s="9">
        <f t="shared" si="125"/>
        <v>58868.588044047086</v>
      </c>
      <c r="Z60" s="9">
        <f t="shared" si="125"/>
        <v>54045.991683486733</v>
      </c>
      <c r="AA60" s="9">
        <f t="shared" si="125"/>
        <v>54438.310490135111</v>
      </c>
      <c r="AB60" s="9">
        <f t="shared" si="125"/>
        <v>62649.129146641411</v>
      </c>
      <c r="AC60" s="9" t="str">
        <f t="shared" si="125"/>
        <v/>
      </c>
      <c r="AD60" s="9" t="str">
        <f t="shared" si="125"/>
        <v/>
      </c>
      <c r="AE60" s="9" t="str">
        <f t="shared" si="125"/>
        <v/>
      </c>
      <c r="AF60" s="9" t="str">
        <f t="shared" si="125"/>
        <v/>
      </c>
      <c r="AG60" s="9" t="str">
        <f t="shared" si="125"/>
        <v/>
      </c>
      <c r="AH60" s="9" t="str">
        <f t="shared" si="125"/>
        <v/>
      </c>
      <c r="AI60" s="9" t="str">
        <f t="shared" si="125"/>
        <v/>
      </c>
      <c r="AJ60" s="9" t="str">
        <f t="shared" si="125"/>
        <v/>
      </c>
      <c r="AK60" s="9" t="str">
        <f t="shared" si="125"/>
        <v/>
      </c>
      <c r="AL60" s="9" t="str">
        <f t="shared" si="125"/>
        <v/>
      </c>
      <c r="AM60" s="9" t="str">
        <f t="shared" si="125"/>
        <v/>
      </c>
      <c r="AN60" s="9" t="str">
        <f t="shared" si="125"/>
        <v/>
      </c>
      <c r="AO60" s="9" t="str">
        <f t="shared" si="125"/>
        <v/>
      </c>
      <c r="AP60" s="9" t="str">
        <f t="shared" si="125"/>
        <v/>
      </c>
      <c r="AQ60" s="9" t="str">
        <f t="shared" si="125"/>
        <v/>
      </c>
      <c r="AR60" s="9" t="str">
        <f t="shared" si="125"/>
        <v/>
      </c>
      <c r="AS60" s="9" t="str">
        <f t="shared" si="125"/>
        <v/>
      </c>
      <c r="AT60" s="9" t="str">
        <f t="shared" si="125"/>
        <v/>
      </c>
      <c r="AU60" s="9" t="str">
        <f t="shared" si="125"/>
        <v/>
      </c>
      <c r="AV60" s="9" t="str">
        <f t="shared" si="125"/>
        <v/>
      </c>
      <c r="AW60" s="9" t="str">
        <f t="shared" si="125"/>
        <v/>
      </c>
    </row>
    <row r="61" spans="1:49" s="5" customFormat="1" outlineLevel="1" x14ac:dyDescent="0.3">
      <c r="A61" s="132"/>
      <c r="B61" s="18" t="s">
        <v>12</v>
      </c>
      <c r="C61" s="80"/>
      <c r="D61" s="80"/>
      <c r="E61" s="80"/>
      <c r="F61" s="9">
        <f t="shared" ref="F61:M61" si="126">IF(OR(F58="",F57=""),"",F57-F58)</f>
        <v>0</v>
      </c>
      <c r="G61" s="9">
        <f t="shared" si="126"/>
        <v>9.4764517045030008</v>
      </c>
      <c r="H61" s="9">
        <f t="shared" si="126"/>
        <v>-1388.7476725055421</v>
      </c>
      <c r="I61" s="9">
        <f t="shared" si="126"/>
        <v>-33788.634873838782</v>
      </c>
      <c r="J61" s="9">
        <f t="shared" si="126"/>
        <v>-30625.282694978901</v>
      </c>
      <c r="K61" s="9">
        <f t="shared" si="126"/>
        <v>-31628.79776913585</v>
      </c>
      <c r="L61" s="9">
        <f t="shared" si="126"/>
        <v>-28095.429085728912</v>
      </c>
      <c r="M61" s="9">
        <f t="shared" si="126"/>
        <v>-31873.257504636691</v>
      </c>
      <c r="N61" s="9">
        <f>IF(OR(N60="",N57=""),"",N57-N60)</f>
        <v>-20880.89285591173</v>
      </c>
      <c r="O61" s="9">
        <f t="shared" ref="O61:AW61" si="127">IF(OR(O60="",O57=""),"",O57-O60)</f>
        <v>-23064.420173608989</v>
      </c>
      <c r="P61" s="9">
        <f t="shared" si="127"/>
        <v>-1423.2608784312615</v>
      </c>
      <c r="Q61" s="9">
        <f t="shared" si="127"/>
        <v>-34754.312339868906</v>
      </c>
      <c r="R61" s="9">
        <f t="shared" si="127"/>
        <v>-23336.537893722067</v>
      </c>
      <c r="S61" s="9">
        <f t="shared" si="127"/>
        <v>-33204.262082889327</v>
      </c>
      <c r="T61" s="9">
        <f t="shared" si="127"/>
        <v>-9962.8436834200766</v>
      </c>
      <c r="U61" s="9">
        <f t="shared" si="127"/>
        <v>33025.630506080146</v>
      </c>
      <c r="V61" s="9">
        <f t="shared" si="127"/>
        <v>60917.371644751765</v>
      </c>
      <c r="W61" s="9">
        <f t="shared" si="127"/>
        <v>56673.04545415286</v>
      </c>
      <c r="X61" s="9">
        <f t="shared" si="127"/>
        <v>29807.689967789847</v>
      </c>
      <c r="Y61" s="9">
        <f t="shared" si="127"/>
        <v>-7038.5842809724563</v>
      </c>
      <c r="Z61" s="9">
        <f t="shared" si="127"/>
        <v>-5387.05875548927</v>
      </c>
      <c r="AA61" s="9">
        <f t="shared" si="127"/>
        <v>5531.7703200700489</v>
      </c>
      <c r="AB61" s="9">
        <f t="shared" si="127"/>
        <v>24513.699843054201</v>
      </c>
      <c r="AC61" s="9" t="str">
        <f t="shared" si="127"/>
        <v/>
      </c>
      <c r="AD61" s="9" t="str">
        <f t="shared" si="127"/>
        <v/>
      </c>
      <c r="AE61" s="9" t="str">
        <f t="shared" si="127"/>
        <v/>
      </c>
      <c r="AF61" s="9" t="str">
        <f t="shared" si="127"/>
        <v/>
      </c>
      <c r="AG61" s="9" t="str">
        <f t="shared" si="127"/>
        <v/>
      </c>
      <c r="AH61" s="9" t="str">
        <f t="shared" si="127"/>
        <v/>
      </c>
      <c r="AI61" s="9" t="str">
        <f t="shared" si="127"/>
        <v/>
      </c>
      <c r="AJ61" s="9" t="str">
        <f t="shared" si="127"/>
        <v/>
      </c>
      <c r="AK61" s="9" t="str">
        <f t="shared" si="127"/>
        <v/>
      </c>
      <c r="AL61" s="9" t="str">
        <f t="shared" si="127"/>
        <v/>
      </c>
      <c r="AM61" s="9" t="str">
        <f t="shared" si="127"/>
        <v/>
      </c>
      <c r="AN61" s="9" t="str">
        <f t="shared" si="127"/>
        <v/>
      </c>
      <c r="AO61" s="9" t="str">
        <f t="shared" si="127"/>
        <v/>
      </c>
      <c r="AP61" s="9" t="str">
        <f t="shared" si="127"/>
        <v/>
      </c>
      <c r="AQ61" s="9" t="str">
        <f t="shared" si="127"/>
        <v/>
      </c>
      <c r="AR61" s="9" t="str">
        <f t="shared" si="127"/>
        <v/>
      </c>
      <c r="AS61" s="9" t="str">
        <f t="shared" si="127"/>
        <v/>
      </c>
      <c r="AT61" s="9" t="str">
        <f t="shared" si="127"/>
        <v/>
      </c>
      <c r="AU61" s="9" t="str">
        <f t="shared" si="127"/>
        <v/>
      </c>
      <c r="AV61" s="9" t="str">
        <f t="shared" si="127"/>
        <v/>
      </c>
      <c r="AW61" s="9" t="str">
        <f t="shared" si="127"/>
        <v/>
      </c>
    </row>
    <row r="62" spans="1:49" s="5" customFormat="1" outlineLevel="1" x14ac:dyDescent="0.3">
      <c r="A62" s="132"/>
      <c r="B62" s="19" t="s">
        <v>7</v>
      </c>
      <c r="C62" s="80"/>
      <c r="D62" s="80"/>
      <c r="E62" s="80"/>
      <c r="F62" s="9">
        <f>IF(OR(F9="",F61=""),"",ROUND((F61+E64)*F9/12,2))</f>
        <v>0</v>
      </c>
      <c r="G62" s="9">
        <f t="shared" ref="G62:L62" si="128">IF(OR(G9="",G61=""),"",ROUND((G61+F64)*G9/12,2))</f>
        <v>0.02</v>
      </c>
      <c r="H62" s="9">
        <f t="shared" si="128"/>
        <v>-3.08</v>
      </c>
      <c r="I62" s="9">
        <f t="shared" si="128"/>
        <v>-77.67</v>
      </c>
      <c r="J62" s="9">
        <f t="shared" si="128"/>
        <v>-142.44999999999999</v>
      </c>
      <c r="K62" s="9">
        <f t="shared" si="128"/>
        <v>-191.32</v>
      </c>
      <c r="L62" s="9">
        <f t="shared" si="128"/>
        <v>-232.65</v>
      </c>
      <c r="M62" s="9">
        <f t="shared" ref="M62" si="129">IF(OR(M9="",M61=""),"",ROUND((M61+L64)*M9/12,2))</f>
        <v>-278.39999999999998</v>
      </c>
      <c r="N62" s="9">
        <f>IF(OR(N9="",N61=""),"",ROUND((N61+M64)*N9/12,2))+N56</f>
        <v>-224.61000000000007</v>
      </c>
      <c r="O62" s="9">
        <f t="shared" ref="O62" si="130">IF(OR(O9="",O61=""),"",ROUND((O61+N64)*O9/12,2))</f>
        <v>-323.17</v>
      </c>
      <c r="P62" s="9">
        <f t="shared" ref="P62" si="131">IF(OR(P9="",P61=""),"",ROUND((P61+O64)*P9/12,2))</f>
        <v>-321.51</v>
      </c>
      <c r="Q62" s="9">
        <f>IF(OR(Q9="",Q61=""),"",ROUND((Q59+Q61+P64)*Q9/12,2))</f>
        <v>-328.55</v>
      </c>
      <c r="R62" s="9">
        <f t="shared" ref="R62:X62" si="132">IF(OR(R9="",R61=""),"",ROUND((R59+R61+Q64)*R9/12,2))</f>
        <v>-353.07</v>
      </c>
      <c r="S62" s="9">
        <f t="shared" si="132"/>
        <v>-187.99</v>
      </c>
      <c r="T62" s="9">
        <f t="shared" si="132"/>
        <v>-25.17</v>
      </c>
      <c r="U62" s="9">
        <f t="shared" si="132"/>
        <v>-19.04</v>
      </c>
      <c r="V62" s="9">
        <f t="shared" si="132"/>
        <v>-16.260000000000002</v>
      </c>
      <c r="W62" s="9">
        <f t="shared" si="132"/>
        <v>-2.61</v>
      </c>
      <c r="X62" s="9">
        <f t="shared" si="132"/>
        <v>2.9</v>
      </c>
      <c r="Y62" s="9">
        <f>IF(OR(Y9="",Y61=""),"",ROUND((Y59+Y61+X64)*Y9/12,2))</f>
        <v>6.65</v>
      </c>
      <c r="Z62" s="9">
        <f t="shared" ref="Z62:AW62" si="133">IF(OR(Z9="",Z61=""),"",ROUND((Z59+Z61+Y64)*Z9/12,2))</f>
        <v>8.64</v>
      </c>
      <c r="AA62" s="9">
        <f t="shared" si="133"/>
        <v>12.49</v>
      </c>
      <c r="AB62" s="9">
        <f t="shared" si="133"/>
        <v>19.940000000000001</v>
      </c>
      <c r="AC62" s="9" t="str">
        <f t="shared" si="133"/>
        <v/>
      </c>
      <c r="AD62" s="9" t="str">
        <f t="shared" si="133"/>
        <v/>
      </c>
      <c r="AE62" s="9" t="str">
        <f t="shared" si="133"/>
        <v/>
      </c>
      <c r="AF62" s="9" t="str">
        <f t="shared" si="133"/>
        <v/>
      </c>
      <c r="AG62" s="9" t="str">
        <f t="shared" si="133"/>
        <v/>
      </c>
      <c r="AH62" s="9" t="str">
        <f t="shared" si="133"/>
        <v/>
      </c>
      <c r="AI62" s="9" t="str">
        <f t="shared" si="133"/>
        <v/>
      </c>
      <c r="AJ62" s="9" t="str">
        <f t="shared" si="133"/>
        <v/>
      </c>
      <c r="AK62" s="9" t="str">
        <f t="shared" si="133"/>
        <v/>
      </c>
      <c r="AL62" s="9" t="str">
        <f t="shared" si="133"/>
        <v/>
      </c>
      <c r="AM62" s="9" t="str">
        <f t="shared" si="133"/>
        <v/>
      </c>
      <c r="AN62" s="9" t="str">
        <f t="shared" si="133"/>
        <v/>
      </c>
      <c r="AO62" s="9" t="str">
        <f t="shared" si="133"/>
        <v/>
      </c>
      <c r="AP62" s="9" t="str">
        <f t="shared" si="133"/>
        <v/>
      </c>
      <c r="AQ62" s="9" t="str">
        <f t="shared" si="133"/>
        <v/>
      </c>
      <c r="AR62" s="9" t="str">
        <f t="shared" si="133"/>
        <v/>
      </c>
      <c r="AS62" s="9" t="str">
        <f t="shared" si="133"/>
        <v/>
      </c>
      <c r="AT62" s="9" t="str">
        <f t="shared" si="133"/>
        <v/>
      </c>
      <c r="AU62" s="9" t="str">
        <f t="shared" si="133"/>
        <v/>
      </c>
      <c r="AV62" s="9" t="str">
        <f t="shared" si="133"/>
        <v/>
      </c>
      <c r="AW62" s="9" t="str">
        <f t="shared" si="133"/>
        <v/>
      </c>
    </row>
    <row r="63" spans="1:49" s="5" customFormat="1" outlineLevel="1" x14ac:dyDescent="0.3">
      <c r="A63" s="132"/>
      <c r="B63" s="18" t="s">
        <v>13</v>
      </c>
      <c r="C63" s="80"/>
      <c r="D63" s="80"/>
      <c r="E63" s="80"/>
      <c r="F63" s="9">
        <f t="shared" ref="F63:M63" si="134">IF(OR(F61="",F62=""),"",F61+F62)</f>
        <v>0</v>
      </c>
      <c r="G63" s="9">
        <f t="shared" si="134"/>
        <v>9.4964517045030004</v>
      </c>
      <c r="H63" s="9">
        <f t="shared" si="134"/>
        <v>-1391.8276725055421</v>
      </c>
      <c r="I63" s="9">
        <f t="shared" si="134"/>
        <v>-33866.304873838781</v>
      </c>
      <c r="J63" s="9">
        <f t="shared" si="134"/>
        <v>-30767.732694978902</v>
      </c>
      <c r="K63" s="9">
        <f t="shared" si="134"/>
        <v>-31820.11776913585</v>
      </c>
      <c r="L63" s="9">
        <f t="shared" si="134"/>
        <v>-28328.079085728914</v>
      </c>
      <c r="M63" s="9">
        <f t="shared" si="134"/>
        <v>-32151.657504636692</v>
      </c>
      <c r="N63" s="9">
        <f>IF(OR(N61="",N62=""),"",N61+N62)</f>
        <v>-21105.502855911731</v>
      </c>
      <c r="O63" s="9">
        <f t="shared" ref="O63:AW63" si="135">IF(OR(O61="",O62=""),"",O61+O62)</f>
        <v>-23387.590173608987</v>
      </c>
      <c r="P63" s="9">
        <f t="shared" si="135"/>
        <v>-1744.7708784312615</v>
      </c>
      <c r="Q63" s="9">
        <f t="shared" si="135"/>
        <v>-35082.862339868909</v>
      </c>
      <c r="R63" s="9">
        <f t="shared" si="135"/>
        <v>-23689.607893722066</v>
      </c>
      <c r="S63" s="9">
        <f t="shared" si="135"/>
        <v>-33392.252082889325</v>
      </c>
      <c r="T63" s="9">
        <f t="shared" si="135"/>
        <v>-9988.0136834200766</v>
      </c>
      <c r="U63" s="9">
        <f t="shared" si="135"/>
        <v>33006.590506080145</v>
      </c>
      <c r="V63" s="9">
        <f t="shared" si="135"/>
        <v>60901.111644751763</v>
      </c>
      <c r="W63" s="9">
        <f t="shared" si="135"/>
        <v>56670.435454152859</v>
      </c>
      <c r="X63" s="9">
        <f t="shared" si="135"/>
        <v>29810.589967789849</v>
      </c>
      <c r="Y63" s="9">
        <f t="shared" si="135"/>
        <v>-7031.9342809724567</v>
      </c>
      <c r="Z63" s="9">
        <f t="shared" si="135"/>
        <v>-5378.4187554892696</v>
      </c>
      <c r="AA63" s="9">
        <f t="shared" si="135"/>
        <v>5544.2603200700487</v>
      </c>
      <c r="AB63" s="9">
        <f t="shared" si="135"/>
        <v>24533.639843054199</v>
      </c>
      <c r="AC63" s="9" t="str">
        <f t="shared" si="135"/>
        <v/>
      </c>
      <c r="AD63" s="9" t="str">
        <f t="shared" si="135"/>
        <v/>
      </c>
      <c r="AE63" s="9" t="str">
        <f t="shared" si="135"/>
        <v/>
      </c>
      <c r="AF63" s="9" t="str">
        <f t="shared" si="135"/>
        <v/>
      </c>
      <c r="AG63" s="9" t="str">
        <f t="shared" si="135"/>
        <v/>
      </c>
      <c r="AH63" s="9" t="str">
        <f t="shared" si="135"/>
        <v/>
      </c>
      <c r="AI63" s="9" t="str">
        <f t="shared" si="135"/>
        <v/>
      </c>
      <c r="AJ63" s="9" t="str">
        <f t="shared" si="135"/>
        <v/>
      </c>
      <c r="AK63" s="9" t="str">
        <f t="shared" si="135"/>
        <v/>
      </c>
      <c r="AL63" s="9" t="str">
        <f t="shared" si="135"/>
        <v/>
      </c>
      <c r="AM63" s="9" t="str">
        <f t="shared" si="135"/>
        <v/>
      </c>
      <c r="AN63" s="9" t="str">
        <f t="shared" si="135"/>
        <v/>
      </c>
      <c r="AO63" s="9" t="str">
        <f t="shared" si="135"/>
        <v/>
      </c>
      <c r="AP63" s="9" t="str">
        <f t="shared" si="135"/>
        <v/>
      </c>
      <c r="AQ63" s="9" t="str">
        <f t="shared" si="135"/>
        <v/>
      </c>
      <c r="AR63" s="9" t="str">
        <f t="shared" si="135"/>
        <v/>
      </c>
      <c r="AS63" s="9" t="str">
        <f t="shared" si="135"/>
        <v/>
      </c>
      <c r="AT63" s="9" t="str">
        <f t="shared" si="135"/>
        <v/>
      </c>
      <c r="AU63" s="9" t="str">
        <f t="shared" si="135"/>
        <v/>
      </c>
      <c r="AV63" s="9" t="str">
        <f t="shared" si="135"/>
        <v/>
      </c>
      <c r="AW63" s="9" t="str">
        <f t="shared" si="135"/>
        <v/>
      </c>
    </row>
    <row r="64" spans="1:49" s="5" customFormat="1" outlineLevel="1" x14ac:dyDescent="0.3">
      <c r="A64" s="132"/>
      <c r="B64" s="20" t="s">
        <v>17</v>
      </c>
      <c r="C64" s="80"/>
      <c r="D64" s="80"/>
      <c r="E64" s="80"/>
      <c r="F64" s="9">
        <f>IF(OR(F63=""),"",F63)</f>
        <v>0</v>
      </c>
      <c r="G64" s="9">
        <f t="shared" ref="G64:M64" si="136">IF(OR(G63="",F64=""),"",G63+F64)</f>
        <v>9.4964517045030004</v>
      </c>
      <c r="H64" s="9">
        <f t="shared" si="136"/>
        <v>-1382.3312208010391</v>
      </c>
      <c r="I64" s="9">
        <f t="shared" si="136"/>
        <v>-35248.63609463982</v>
      </c>
      <c r="J64" s="9">
        <f t="shared" si="136"/>
        <v>-66016.368789618718</v>
      </c>
      <c r="K64" s="9">
        <f t="shared" si="136"/>
        <v>-97836.486558754565</v>
      </c>
      <c r="L64" s="9">
        <f t="shared" si="136"/>
        <v>-126164.56564448347</v>
      </c>
      <c r="M64" s="9">
        <f t="shared" si="136"/>
        <v>-158316.22314912017</v>
      </c>
      <c r="N64" s="9">
        <f>IF(OR(N63="",M64=""),"",N63+N59+M64)</f>
        <v>-179421.7260050319</v>
      </c>
      <c r="O64" s="9">
        <f>IF(OR(O63="",N64=""),"",O63+O59+N64+O56)</f>
        <v>-202809.31617864087</v>
      </c>
      <c r="P64" s="9">
        <f t="shared" ref="P64:AW64" si="137">IF(OR(P63="",O64=""),"",P63+P59+O64)</f>
        <v>-204554.08705707215</v>
      </c>
      <c r="Q64" s="9">
        <f t="shared" si="137"/>
        <v>-218928.41939694106</v>
      </c>
      <c r="R64" s="9">
        <f t="shared" si="137"/>
        <v>-224690.19729066311</v>
      </c>
      <c r="S64" s="9">
        <f t="shared" si="137"/>
        <v>-240570.47937355243</v>
      </c>
      <c r="T64" s="9">
        <f t="shared" si="137"/>
        <v>-234072.5430569725</v>
      </c>
      <c r="U64" s="9">
        <f t="shared" si="137"/>
        <v>-181865.91255089236</v>
      </c>
      <c r="V64" s="9">
        <f t="shared" si="137"/>
        <v>-100756.1409061406</v>
      </c>
      <c r="W64" s="9">
        <f t="shared" si="137"/>
        <v>-22903.675451987743</v>
      </c>
      <c r="X64" s="9">
        <f t="shared" si="137"/>
        <v>28094.334515802104</v>
      </c>
      <c r="Y64" s="9">
        <f t="shared" si="137"/>
        <v>39895.250234829648</v>
      </c>
      <c r="Z64" s="9">
        <f t="shared" si="137"/>
        <v>51859.491479340373</v>
      </c>
      <c r="AA64" s="9">
        <f t="shared" si="137"/>
        <v>74938.751799410413</v>
      </c>
      <c r="AB64" s="9">
        <f t="shared" si="137"/>
        <v>119669.52164246462</v>
      </c>
      <c r="AC64" s="9" t="str">
        <f t="shared" si="137"/>
        <v/>
      </c>
      <c r="AD64" s="9" t="str">
        <f t="shared" si="137"/>
        <v/>
      </c>
      <c r="AE64" s="9" t="str">
        <f t="shared" si="137"/>
        <v/>
      </c>
      <c r="AF64" s="9" t="str">
        <f t="shared" si="137"/>
        <v/>
      </c>
      <c r="AG64" s="9" t="str">
        <f t="shared" si="137"/>
        <v/>
      </c>
      <c r="AH64" s="9" t="str">
        <f t="shared" si="137"/>
        <v/>
      </c>
      <c r="AI64" s="9" t="str">
        <f t="shared" si="137"/>
        <v/>
      </c>
      <c r="AJ64" s="9" t="str">
        <f t="shared" si="137"/>
        <v/>
      </c>
      <c r="AK64" s="9" t="str">
        <f t="shared" si="137"/>
        <v/>
      </c>
      <c r="AL64" s="9" t="str">
        <f t="shared" si="137"/>
        <v/>
      </c>
      <c r="AM64" s="9" t="str">
        <f t="shared" si="137"/>
        <v/>
      </c>
      <c r="AN64" s="9" t="str">
        <f t="shared" si="137"/>
        <v/>
      </c>
      <c r="AO64" s="9" t="str">
        <f t="shared" si="137"/>
        <v/>
      </c>
      <c r="AP64" s="9" t="str">
        <f t="shared" si="137"/>
        <v/>
      </c>
      <c r="AQ64" s="9" t="str">
        <f t="shared" si="137"/>
        <v/>
      </c>
      <c r="AR64" s="9" t="str">
        <f t="shared" si="137"/>
        <v/>
      </c>
      <c r="AS64" s="9" t="str">
        <f t="shared" si="137"/>
        <v/>
      </c>
      <c r="AT64" s="9" t="str">
        <f t="shared" si="137"/>
        <v/>
      </c>
      <c r="AU64" s="9" t="str">
        <f t="shared" si="137"/>
        <v/>
      </c>
      <c r="AV64" s="9" t="str">
        <f t="shared" si="137"/>
        <v/>
      </c>
      <c r="AW64" s="9" t="str">
        <f t="shared" si="137"/>
        <v/>
      </c>
    </row>
    <row r="65" spans="1:49" s="5" customFormat="1" ht="8.25" customHeight="1" outlineLevel="1" x14ac:dyDescent="0.3">
      <c r="A65" s="40"/>
      <c r="B65" s="13"/>
      <c r="C65" s="85"/>
      <c r="D65" s="85"/>
      <c r="E65" s="85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 s="5" customFormat="1" ht="15" customHeight="1" outlineLevel="1" x14ac:dyDescent="0.3">
      <c r="A66" s="132" t="s">
        <v>23</v>
      </c>
      <c r="B66" s="17"/>
      <c r="C66" s="80"/>
      <c r="D66" s="80"/>
      <c r="E66" s="80"/>
      <c r="F66" s="9"/>
      <c r="G66" s="9"/>
      <c r="H66" s="9"/>
      <c r="I66" s="9"/>
      <c r="J66" s="9"/>
      <c r="K66" s="9"/>
      <c r="L66" s="9"/>
      <c r="M66" s="9"/>
      <c r="N66" s="113">
        <f>'MEEIA 3 adjs Nov 19'!L52</f>
        <v>15.680000000000007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s="3" customFormat="1" ht="15" customHeight="1" outlineLevel="1" x14ac:dyDescent="0.3">
      <c r="A67" s="132"/>
      <c r="B67" s="17" t="s">
        <v>27</v>
      </c>
      <c r="C67" s="80"/>
      <c r="D67" s="80"/>
      <c r="E67" s="80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4498.45610981133</v>
      </c>
      <c r="O67" s="22">
        <f>IF('M3 Allocations - TD'!M9="","",'M3 Allocations - TD'!M35)</f>
        <v>2468.5744882877784</v>
      </c>
      <c r="P67" s="22">
        <f>IF('M3 Allocations - TD'!N9="","",'M3 Allocations - TD'!N35)</f>
        <v>6482.3323978120161</v>
      </c>
      <c r="Q67" s="22">
        <f>IF('M3 Allocations - TD'!O9="","",'M3 Allocations - TD'!O35)</f>
        <v>4714.4220035550234</v>
      </c>
      <c r="R67" s="22">
        <f>IF('M3 Allocations - TD'!P9="","",'M3 Allocations - TD'!P35)</f>
        <v>4933.2233077077817</v>
      </c>
      <c r="S67" s="22">
        <f>IF('M3 Allocations - TD'!Q9="","",'M3 Allocations - TD'!Q35)</f>
        <v>4340.5509347173938</v>
      </c>
      <c r="T67" s="22">
        <f>IF('M3 Allocations - TD'!R9="","",'M3 Allocations - TD'!R35)</f>
        <v>11799.946486826884</v>
      </c>
      <c r="U67" s="22">
        <f>IF('M3 Allocations - TD'!S9="","",'M3 Allocations - TD'!S35)</f>
        <v>38257.943252341713</v>
      </c>
      <c r="V67" s="22">
        <f>IF('M3 Allocations - TD'!T9="","",'M3 Allocations - TD'!T35)</f>
        <v>40690.592006909494</v>
      </c>
      <c r="W67" s="22">
        <f>IF('M3 Allocations - TD'!U9="","",'M3 Allocations - TD'!U35)</f>
        <v>41885.585703975645</v>
      </c>
      <c r="X67" s="22">
        <f>IF('M3 Allocations - TD'!V9="","",'M3 Allocations - TD'!V35)</f>
        <v>26780.761635291285</v>
      </c>
      <c r="Y67" s="22">
        <f>IF('M3 Allocations - TD'!W9="","",'M3 Allocations - TD'!W35)</f>
        <v>10597.262650374174</v>
      </c>
      <c r="Z67" s="22">
        <f>IF('M3 Allocations - TD'!X9="","",'M3 Allocations - TD'!X35)</f>
        <v>10033.94766627749</v>
      </c>
      <c r="AA67" s="22">
        <f>IF('M3 Allocations - TD'!Y9="","",'M3 Allocations - TD'!Y35)</f>
        <v>13430.065796875455</v>
      </c>
      <c r="AB67" s="22">
        <f>IF('M3 Allocations - TD'!Z9="","",'M3 Allocations - TD'!Z35)</f>
        <v>16755.646620188079</v>
      </c>
      <c r="AC67" s="22">
        <f>IF('M3 Allocations - TD'!AA9="","",'M3 Allocations - TD'!AA35)</f>
        <v>14518.538612966633</v>
      </c>
      <c r="AD67" s="22">
        <f>IF('M3 Allocations - TD'!AB9="","",'M3 Allocations - TD'!AB35)</f>
        <v>14786.365581064156</v>
      </c>
      <c r="AE67" s="22">
        <f>IF('M3 Allocations - TD'!AC9="","",'M3 Allocations - TD'!AC35)</f>
        <v>17876.197387874992</v>
      </c>
      <c r="AF67" s="22">
        <f>IF('M3 Allocations - TD'!AD9="","",'M3 Allocations - TD'!AD35)</f>
        <v>37102.36002576282</v>
      </c>
      <c r="AG67" s="22">
        <f>IF('M3 Allocations - TD'!AE9="","",'M3 Allocations - TD'!AE35)</f>
        <v>118860.92443488054</v>
      </c>
      <c r="AH67" s="22">
        <f>IF('M3 Allocations - TD'!AF9="","",'M3 Allocations - TD'!AF35)</f>
        <v>125345.37119759108</v>
      </c>
      <c r="AI67" s="22">
        <f>IF('M3 Allocations - TD'!AG9="","",'M3 Allocations - TD'!AG35)</f>
        <v>125041.59366917762</v>
      </c>
      <c r="AJ67" s="22">
        <f>IF('M3 Allocations - TD'!AH9="","",'M3 Allocations - TD'!AH35)</f>
        <v>77417.164096134366</v>
      </c>
      <c r="AK67" s="22">
        <f>IF('M3 Allocations - TD'!AI9="","",'M3 Allocations - TD'!AI35)</f>
        <v>29099.311054405181</v>
      </c>
      <c r="AL67" s="22">
        <f>IF('M3 Allocations - TD'!AJ9="","",'M3 Allocations - TD'!AJ35)</f>
        <v>26304.829791498978</v>
      </c>
      <c r="AM67" s="22">
        <f>IF('M3 Allocations - TD'!AK9="","",'M3 Allocations - TD'!AK35)</f>
        <v>35425.789637286412</v>
      </c>
      <c r="AN67" s="22">
        <f>IF('M3 Allocations - TD'!AL9="","",'M3 Allocations - TD'!AL35)</f>
        <v>44500.348832067168</v>
      </c>
      <c r="AO67" s="22" t="str">
        <f>IF('M3 Allocations - TD'!AM9="","",'M3 Allocations - TD'!AM35)</f>
        <v/>
      </c>
      <c r="AP67" s="22" t="str">
        <f>IF('M3 Allocations - TD'!AN9="","",'M3 Allocations - TD'!AN35)</f>
        <v/>
      </c>
      <c r="AQ67" s="22" t="str">
        <f>IF('M3 Allocations - TD'!AO9="","",'M3 Allocations - TD'!AO35)</f>
        <v/>
      </c>
      <c r="AR67" s="22" t="str">
        <f>IF('M3 Allocations - TD'!AP9="","",'M3 Allocations - TD'!AP35)</f>
        <v/>
      </c>
      <c r="AS67" s="22" t="str">
        <f>IF('M3 Allocations - TD'!AQ9="","",'M3 Allocations - TD'!AQ35)</f>
        <v/>
      </c>
      <c r="AT67" s="22" t="str">
        <f>IF('M3 Allocations - TD'!AR9="","",'M3 Allocations - TD'!AR35)</f>
        <v/>
      </c>
      <c r="AU67" s="22" t="str">
        <f>IF('M3 Allocations - TD'!AS9="","",'M3 Allocations - TD'!AS35)</f>
        <v/>
      </c>
      <c r="AV67" s="22" t="str">
        <f>IF('M3 Allocations - TD'!AT9="","",'M3 Allocations - TD'!AT35)</f>
        <v/>
      </c>
      <c r="AW67" s="22" t="str">
        <f>IF('M3 Allocations - TD'!AU9="","",'M3 Allocations - TD'!AU35)</f>
        <v/>
      </c>
    </row>
    <row r="68" spans="1:49" s="5" customFormat="1" ht="15" customHeight="1" outlineLevel="1" x14ac:dyDescent="0.3">
      <c r="A68" s="132"/>
      <c r="B68" s="18" t="s">
        <v>25</v>
      </c>
      <c r="C68" s="80"/>
      <c r="D68" s="80"/>
      <c r="E68" s="80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6323.5939077382554</v>
      </c>
      <c r="O68" s="22">
        <f>IF('M3 Allocations - TD'!M55="","",'M3 Allocations - TD'!M73)</f>
        <v>5864.7707264215042</v>
      </c>
      <c r="P68" s="22">
        <f>IF('M3 Allocations - TD'!N55="","",'M3 Allocations - TD'!N73)</f>
        <v>6186.9939477675571</v>
      </c>
      <c r="Q68" s="22">
        <f>IF('M3 Allocations - TD'!O55="","",'M3 Allocations - TD'!O73)</f>
        <v>10792.766596240668</v>
      </c>
      <c r="R68" s="22">
        <f>IF('M3 Allocations - TD'!P55="","",'M3 Allocations - TD'!P73)</f>
        <v>19312.38401960209</v>
      </c>
      <c r="S68" s="22">
        <f>IF('M3 Allocations - TD'!Q55="","",'M3 Allocations - TD'!Q73)</f>
        <v>21254.31297935671</v>
      </c>
      <c r="T68" s="22">
        <f>IF('M3 Allocations - TD'!R55="","",'M3 Allocations - TD'!R73)</f>
        <v>21637.663415217026</v>
      </c>
      <c r="U68" s="22">
        <f>IF('M3 Allocations - TD'!S55="","",'M3 Allocations - TD'!S73)</f>
        <v>16834.533975023267</v>
      </c>
      <c r="V68" s="22">
        <f>IF('M3 Allocations - TD'!T55="","",'M3 Allocations - TD'!T73)</f>
        <v>24355.538593432568</v>
      </c>
      <c r="W68" s="22">
        <f>IF('M3 Allocations - TD'!U55="","",'M3 Allocations - TD'!U73)</f>
        <v>25113.656296491379</v>
      </c>
      <c r="X68" s="22">
        <f>IF('M3 Allocations - TD'!V55="","",'M3 Allocations - TD'!V73)</f>
        <v>25507.793919774442</v>
      </c>
      <c r="Y68" s="22">
        <f>IF('M3 Allocations - TD'!W55="","",'M3 Allocations - TD'!W73)</f>
        <v>22463.576853042847</v>
      </c>
      <c r="Z68" s="22">
        <f>IF('M3 Allocations - TD'!X55="","",'M3 Allocations - TD'!X73)</f>
        <v>22147.450407526761</v>
      </c>
      <c r="AA68" s="22">
        <f>IF('M3 Allocations - TD'!Y55="","",'M3 Allocations - TD'!Y73)</f>
        <v>21551.07340361028</v>
      </c>
      <c r="AB68" s="22">
        <f>IF('M3 Allocations - TD'!Z55="","",'M3 Allocations - TD'!Z73)</f>
        <v>23414.829339646843</v>
      </c>
      <c r="AC68" s="22" t="str">
        <f>IF('M3 Allocations - TD'!AA55="","",'M3 Allocations - TD'!AA73)</f>
        <v/>
      </c>
      <c r="AD68" s="22" t="str">
        <f>IF('M3 Allocations - TD'!AB55="","",'M3 Allocations - TD'!AB73)</f>
        <v/>
      </c>
      <c r="AE68" s="22" t="str">
        <f>IF('M3 Allocations - TD'!AC55="","",'M3 Allocations - TD'!AC73)</f>
        <v/>
      </c>
      <c r="AF68" s="22" t="str">
        <f>IF('M3 Allocations - TD'!AD55="","",'M3 Allocations - TD'!AD73)</f>
        <v/>
      </c>
      <c r="AG68" s="22" t="str">
        <f>IF('M3 Allocations - TD'!AE55="","",'M3 Allocations - TD'!AE73)</f>
        <v/>
      </c>
      <c r="AH68" s="22" t="str">
        <f>IF('M3 Allocations - TD'!AF55="","",'M3 Allocations - TD'!AF73)</f>
        <v/>
      </c>
      <c r="AI68" s="22" t="str">
        <f>IF('M3 Allocations - TD'!AG55="","",'M3 Allocations - TD'!AG73)</f>
        <v/>
      </c>
      <c r="AJ68" s="22" t="str">
        <f>IF('M3 Allocations - TD'!AH55="","",'M3 Allocations - TD'!AH73)</f>
        <v/>
      </c>
      <c r="AK68" s="22" t="str">
        <f>IF('M3 Allocations - TD'!AI55="","",'M3 Allocations - TD'!AI73)</f>
        <v/>
      </c>
      <c r="AL68" s="22" t="str">
        <f>IF('M3 Allocations - TD'!AJ55="","",'M3 Allocations - TD'!AJ73)</f>
        <v/>
      </c>
      <c r="AM68" s="22" t="str">
        <f>IF('M3 Allocations - TD'!AK55="","",'M3 Allocations - TD'!AK73)</f>
        <v/>
      </c>
      <c r="AN68" s="22" t="str">
        <f>IF('M3 Allocations - TD'!AL55="","",'M3 Allocations - TD'!AL73)</f>
        <v/>
      </c>
      <c r="AO68" s="22" t="str">
        <f>IF('M3 Allocations - TD'!AM55="","",'M3 Allocations - TD'!AM73)</f>
        <v/>
      </c>
      <c r="AP68" s="22" t="str">
        <f>IF('M3 Allocations - TD'!AN55="","",'M3 Allocations - TD'!AN73)</f>
        <v/>
      </c>
      <c r="AQ68" s="22" t="str">
        <f>IF('M3 Allocations - TD'!AO55="","",'M3 Allocations - TD'!AO73)</f>
        <v/>
      </c>
      <c r="AR68" s="22" t="str">
        <f>IF('M3 Allocations - TD'!AP55="","",'M3 Allocations - TD'!AP73)</f>
        <v/>
      </c>
      <c r="AS68" s="22" t="str">
        <f>IF('M3 Allocations - TD'!AQ55="","",'M3 Allocations - TD'!AQ73)</f>
        <v/>
      </c>
      <c r="AT68" s="22" t="str">
        <f>IF('M3 Allocations - TD'!AR55="","",'M3 Allocations - TD'!AR73)</f>
        <v/>
      </c>
      <c r="AU68" s="22" t="str">
        <f>IF('M3 Allocations - TD'!AS55="","",'M3 Allocations - TD'!AS73)</f>
        <v/>
      </c>
      <c r="AV68" s="22" t="str">
        <f>IF('M3 Allocations - TD'!AT55="","",'M3 Allocations - TD'!AT73)</f>
        <v/>
      </c>
      <c r="AW68" s="22" t="str">
        <f>IF('M3 Allocations - TD'!AU55="","",'M3 Allocations - TD'!AU73)</f>
        <v/>
      </c>
    </row>
    <row r="69" spans="1:49" s="5" customFormat="1" ht="15" customHeight="1" outlineLevel="1" x14ac:dyDescent="0.3">
      <c r="A69" s="132"/>
      <c r="B69" s="18" t="s">
        <v>41</v>
      </c>
      <c r="C69" s="80"/>
      <c r="D69" s="80"/>
      <c r="E69" s="80"/>
      <c r="F69" s="22">
        <f>IF(F68="","",0)</f>
        <v>0</v>
      </c>
      <c r="G69" s="22">
        <f t="shared" ref="G69" si="138">IF(G68="","",0)</f>
        <v>0</v>
      </c>
      <c r="H69" s="22">
        <f t="shared" ref="H69" si="139">IF(H68="","",0)</f>
        <v>0</v>
      </c>
      <c r="I69" s="22">
        <f t="shared" ref="I69" si="140">IF(I68="","",0)</f>
        <v>0</v>
      </c>
      <c r="J69" s="22">
        <f t="shared" ref="J69" si="141">IF(J68="","",0)</f>
        <v>0</v>
      </c>
      <c r="K69" s="22">
        <f t="shared" ref="K69" si="142">IF(K68="","",0)</f>
        <v>0</v>
      </c>
      <c r="L69" s="22">
        <f t="shared" ref="L69" si="143">IF(L68="","",0)</f>
        <v>0</v>
      </c>
      <c r="M69" s="22">
        <f t="shared" ref="M69" si="144">IF(M68="","",0)</f>
        <v>0</v>
      </c>
      <c r="N69" s="22">
        <f t="shared" ref="N69" si="145">IF(N68="","",0)</f>
        <v>0</v>
      </c>
      <c r="O69" s="22">
        <f t="shared" ref="O69" si="146">IF(O68="","",0)</f>
        <v>0</v>
      </c>
      <c r="P69" s="22">
        <f t="shared" ref="P69" si="147">IF(P68="","",0)</f>
        <v>0</v>
      </c>
      <c r="Q69" s="22">
        <f>IF(Q68="","",-'M3 TD amort'!C36)</f>
        <v>1504.68</v>
      </c>
      <c r="R69" s="22">
        <f>IF(R68="","",-'M3 TD amort'!D36)</f>
        <v>2591.88</v>
      </c>
      <c r="S69" s="22">
        <f>IF(S68="","",-'M3 TD amort'!E36)</f>
        <v>2838.35</v>
      </c>
      <c r="T69" s="22">
        <f>IF(T68="","",-'M3 TD amort'!F36)</f>
        <v>2881.77</v>
      </c>
      <c r="U69" s="22">
        <f>IF(U68="","",-'M3 TD amort'!G36)</f>
        <v>2250.5100000000002</v>
      </c>
      <c r="V69" s="22">
        <f>IF(V68="","",-'M3 TD amort'!H36)</f>
        <v>3239.4</v>
      </c>
      <c r="W69" s="22">
        <f>IF(W68="","",-'M3 TD amort'!I36)</f>
        <v>3336.64</v>
      </c>
      <c r="X69" s="22">
        <f>IF(X68="","",-'M3 TD amort'!J36)</f>
        <v>3384.12</v>
      </c>
      <c r="Y69" s="22">
        <f>IF(Y68="","",-'M3 TD amort'!K36)</f>
        <v>2980.87</v>
      </c>
      <c r="Z69" s="22">
        <f>IF(Z68="","",-'M3 TD amort'!L36)</f>
        <v>2948.53</v>
      </c>
      <c r="AA69" s="22">
        <f>IF(AA68="","",-'M3 TD amort'!M36)</f>
        <v>2880.84</v>
      </c>
      <c r="AB69" s="22">
        <f>IF(AB68="","",-'M3 TD amort'!N36)</f>
        <v>3132.86</v>
      </c>
      <c r="AC69" s="22" t="str">
        <f>IF(AC68="","",-'M3 TD amort'!O36)</f>
        <v/>
      </c>
      <c r="AD69" s="22" t="str">
        <f>IF(AD68="","",-'M3 TD amort'!P36)</f>
        <v/>
      </c>
      <c r="AE69" s="22" t="str">
        <f>IF(AE68="","",-'M3 TD amort'!Q36)</f>
        <v/>
      </c>
      <c r="AF69" s="22" t="str">
        <f>IF(AF68="","",-'M3 TD amort'!R36)</f>
        <v/>
      </c>
      <c r="AG69" s="22" t="str">
        <f>IF(AG68="","",-'M3 TD amort'!S36)</f>
        <v/>
      </c>
      <c r="AH69" s="22" t="str">
        <f>IF(AH68="","",-'M3 TD amort'!T36)</f>
        <v/>
      </c>
      <c r="AI69" s="22" t="str">
        <f>IF(AI68="","",-'M3 TD amort'!U36)</f>
        <v/>
      </c>
      <c r="AJ69" s="22" t="str">
        <f>IF(AJ68="","",-'M3 TD amort'!V36)</f>
        <v/>
      </c>
      <c r="AK69" s="22" t="str">
        <f>IF(AK68="","",-'M3 TD amort'!W36)</f>
        <v/>
      </c>
      <c r="AL69" s="22" t="str">
        <f>IF(AL68="","",-'M3 TD amort'!X36)</f>
        <v/>
      </c>
      <c r="AM69" s="22" t="str">
        <f>IF(AM68="","",-'M3 TD amort'!Y36)</f>
        <v/>
      </c>
      <c r="AN69" s="22" t="str">
        <f>IF(AN68="","",-'M3 TD amort'!Z36)</f>
        <v/>
      </c>
      <c r="AO69" s="22" t="str">
        <f>IF(AO68="","",-'M3 TD amort'!AA36)</f>
        <v/>
      </c>
      <c r="AP69" s="22" t="str">
        <f>IF(AP68="","",-'M3 TD amort'!AB36)</f>
        <v/>
      </c>
      <c r="AQ69" s="22" t="str">
        <f>IF(AQ68="","",-'M3 TD amort'!AC36)</f>
        <v/>
      </c>
      <c r="AR69" s="22" t="str">
        <f>IF(AR68="","",-#REF!)</f>
        <v/>
      </c>
      <c r="AS69" s="22" t="str">
        <f>IF(AS68="","",-#REF!)</f>
        <v/>
      </c>
      <c r="AT69" s="22" t="str">
        <f>IF(AT68="","",-#REF!)</f>
        <v/>
      </c>
      <c r="AU69" s="22" t="str">
        <f>IF(AU68="","",-#REF!)</f>
        <v/>
      </c>
      <c r="AV69" s="22" t="str">
        <f>IF(AV68="","",-#REF!)</f>
        <v/>
      </c>
      <c r="AW69" s="22" t="str">
        <f>IF(AW68="","",-#REF!)</f>
        <v/>
      </c>
    </row>
    <row r="70" spans="1:49" s="5" customFormat="1" ht="15" customHeight="1" outlineLevel="1" x14ac:dyDescent="0.3">
      <c r="A70" s="132"/>
      <c r="B70" s="18" t="s">
        <v>42</v>
      </c>
      <c r="C70" s="80"/>
      <c r="D70" s="80"/>
      <c r="E70" s="80"/>
      <c r="F70" s="9">
        <f t="shared" ref="F70:M70" si="148">IF(OR(F69="",F68=""),"",F68+F69)</f>
        <v>0</v>
      </c>
      <c r="G70" s="9">
        <f t="shared" si="148"/>
        <v>0</v>
      </c>
      <c r="H70" s="9">
        <f t="shared" si="148"/>
        <v>-48.583419353926594</v>
      </c>
      <c r="I70" s="9">
        <f t="shared" si="148"/>
        <v>4125.9071778961579</v>
      </c>
      <c r="J70" s="9">
        <f t="shared" si="148"/>
        <v>6806.3797850987785</v>
      </c>
      <c r="K70" s="9">
        <f t="shared" si="148"/>
        <v>7524.9044581782691</v>
      </c>
      <c r="L70" s="9">
        <f t="shared" si="148"/>
        <v>7658.4495072300715</v>
      </c>
      <c r="M70" s="9">
        <f t="shared" si="148"/>
        <v>7241.6490844376849</v>
      </c>
      <c r="N70" s="9">
        <f>IF(OR(N69="",N68=""),"",N68+N69)</f>
        <v>6323.5939077382554</v>
      </c>
      <c r="O70" s="9">
        <f t="shared" ref="O70:Z70" si="149">IF(OR(O69="",O68=""),"",O68+O69)</f>
        <v>5864.7707264215042</v>
      </c>
      <c r="P70" s="9">
        <f t="shared" si="149"/>
        <v>6186.9939477675571</v>
      </c>
      <c r="Q70" s="9">
        <f t="shared" si="149"/>
        <v>12297.446596240668</v>
      </c>
      <c r="R70" s="9">
        <f t="shared" si="149"/>
        <v>21904.264019602091</v>
      </c>
      <c r="S70" s="9">
        <f t="shared" si="149"/>
        <v>24092.662979356708</v>
      </c>
      <c r="T70" s="9">
        <f t="shared" si="149"/>
        <v>24519.433415217027</v>
      </c>
      <c r="U70" s="9">
        <f t="shared" si="149"/>
        <v>19085.043975023269</v>
      </c>
      <c r="V70" s="9">
        <f t="shared" si="149"/>
        <v>27594.938593432569</v>
      </c>
      <c r="W70" s="9">
        <f t="shared" si="149"/>
        <v>28450.296296491379</v>
      </c>
      <c r="X70" s="9">
        <f t="shared" si="149"/>
        <v>28891.913919774441</v>
      </c>
      <c r="Y70" s="9">
        <f t="shared" si="149"/>
        <v>25444.446853042846</v>
      </c>
      <c r="Z70" s="9">
        <f t="shared" si="149"/>
        <v>25095.98040752676</v>
      </c>
      <c r="AA70" s="9">
        <f>IF(OR(AA69="",AA68=""),"",AA68+AA69)</f>
        <v>24431.913403610281</v>
      </c>
      <c r="AB70" s="9">
        <f t="shared" ref="AB70:AW70" si="150">IF(OR(AB69="",AB68=""),"",AB68+AB69)</f>
        <v>26547.689339646844</v>
      </c>
      <c r="AC70" s="9" t="str">
        <f t="shared" si="150"/>
        <v/>
      </c>
      <c r="AD70" s="9" t="str">
        <f t="shared" si="150"/>
        <v/>
      </c>
      <c r="AE70" s="9" t="str">
        <f t="shared" si="150"/>
        <v/>
      </c>
      <c r="AF70" s="9" t="str">
        <f t="shared" si="150"/>
        <v/>
      </c>
      <c r="AG70" s="9" t="str">
        <f t="shared" si="150"/>
        <v/>
      </c>
      <c r="AH70" s="9" t="str">
        <f t="shared" si="150"/>
        <v/>
      </c>
      <c r="AI70" s="9" t="str">
        <f t="shared" si="150"/>
        <v/>
      </c>
      <c r="AJ70" s="9" t="str">
        <f t="shared" si="150"/>
        <v/>
      </c>
      <c r="AK70" s="9" t="str">
        <f t="shared" si="150"/>
        <v/>
      </c>
      <c r="AL70" s="9" t="str">
        <f t="shared" si="150"/>
        <v/>
      </c>
      <c r="AM70" s="9" t="str">
        <f t="shared" si="150"/>
        <v/>
      </c>
      <c r="AN70" s="9" t="str">
        <f t="shared" si="150"/>
        <v/>
      </c>
      <c r="AO70" s="9" t="str">
        <f t="shared" si="150"/>
        <v/>
      </c>
      <c r="AP70" s="9" t="str">
        <f t="shared" si="150"/>
        <v/>
      </c>
      <c r="AQ70" s="9" t="str">
        <f t="shared" si="150"/>
        <v/>
      </c>
      <c r="AR70" s="9" t="str">
        <f t="shared" si="150"/>
        <v/>
      </c>
      <c r="AS70" s="9" t="str">
        <f t="shared" si="150"/>
        <v/>
      </c>
      <c r="AT70" s="9" t="str">
        <f t="shared" si="150"/>
        <v/>
      </c>
      <c r="AU70" s="9" t="str">
        <f t="shared" si="150"/>
        <v/>
      </c>
      <c r="AV70" s="9" t="str">
        <f t="shared" si="150"/>
        <v/>
      </c>
      <c r="AW70" s="9" t="str">
        <f t="shared" si="150"/>
        <v/>
      </c>
    </row>
    <row r="71" spans="1:49" s="5" customFormat="1" outlineLevel="1" x14ac:dyDescent="0.3">
      <c r="A71" s="132"/>
      <c r="B71" s="18" t="s">
        <v>12</v>
      </c>
      <c r="C71" s="80"/>
      <c r="D71" s="80"/>
      <c r="E71" s="80"/>
      <c r="F71" s="9">
        <f t="shared" ref="F71:L71" si="151">IF(OR(F68="",F67=""),"",F67-F68)</f>
        <v>0</v>
      </c>
      <c r="G71" s="9">
        <f t="shared" si="151"/>
        <v>0</v>
      </c>
      <c r="H71" s="9">
        <f t="shared" si="151"/>
        <v>206.95969459981058</v>
      </c>
      <c r="I71" s="9">
        <f t="shared" si="151"/>
        <v>-3528.7340731331474</v>
      </c>
      <c r="J71" s="9">
        <f t="shared" si="151"/>
        <v>-6806.3797850987785</v>
      </c>
      <c r="K71" s="9">
        <f t="shared" si="151"/>
        <v>-7300.5960205780684</v>
      </c>
      <c r="L71" s="9">
        <f t="shared" si="151"/>
        <v>-7080.3370793455424</v>
      </c>
      <c r="M71" s="9">
        <f>IF(OR(M68="",M67=""),"",M67-M68)</f>
        <v>-6687.927317849204</v>
      </c>
      <c r="N71" s="9">
        <f>IF(OR(N70="",N67=""),"",N67-N70)</f>
        <v>-1825.1377979269255</v>
      </c>
      <c r="O71" s="9">
        <f t="shared" ref="O71:AW71" si="152">IF(OR(O70="",O67=""),"",O67-O70)</f>
        <v>-3396.1962381337257</v>
      </c>
      <c r="P71" s="9">
        <f t="shared" si="152"/>
        <v>295.33845004445902</v>
      </c>
      <c r="Q71" s="9">
        <f t="shared" si="152"/>
        <v>-7583.0245926856451</v>
      </c>
      <c r="R71" s="9">
        <f t="shared" si="152"/>
        <v>-16971.040711894311</v>
      </c>
      <c r="S71" s="9">
        <f t="shared" si="152"/>
        <v>-19752.112044639314</v>
      </c>
      <c r="T71" s="9">
        <f t="shared" si="152"/>
        <v>-12719.486928390143</v>
      </c>
      <c r="U71" s="9">
        <f t="shared" si="152"/>
        <v>19172.899277318444</v>
      </c>
      <c r="V71" s="9">
        <f t="shared" si="152"/>
        <v>13095.653413476924</v>
      </c>
      <c r="W71" s="9">
        <f t="shared" si="152"/>
        <v>13435.289407484266</v>
      </c>
      <c r="X71" s="9">
        <f t="shared" si="152"/>
        <v>-2111.1522844831561</v>
      </c>
      <c r="Y71" s="9">
        <f t="shared" si="152"/>
        <v>-14847.184202668672</v>
      </c>
      <c r="Z71" s="9">
        <f t="shared" si="152"/>
        <v>-15062.03274124927</v>
      </c>
      <c r="AA71" s="9">
        <f t="shared" si="152"/>
        <v>-11001.847606734826</v>
      </c>
      <c r="AB71" s="9">
        <f t="shared" si="152"/>
        <v>-9792.0427194587646</v>
      </c>
      <c r="AC71" s="9" t="str">
        <f t="shared" si="152"/>
        <v/>
      </c>
      <c r="AD71" s="9" t="str">
        <f t="shared" si="152"/>
        <v/>
      </c>
      <c r="AE71" s="9" t="str">
        <f t="shared" si="152"/>
        <v/>
      </c>
      <c r="AF71" s="9" t="str">
        <f t="shared" si="152"/>
        <v/>
      </c>
      <c r="AG71" s="9" t="str">
        <f t="shared" si="152"/>
        <v/>
      </c>
      <c r="AH71" s="9" t="str">
        <f t="shared" si="152"/>
        <v/>
      </c>
      <c r="AI71" s="9" t="str">
        <f t="shared" si="152"/>
        <v/>
      </c>
      <c r="AJ71" s="9" t="str">
        <f t="shared" si="152"/>
        <v/>
      </c>
      <c r="AK71" s="9" t="str">
        <f t="shared" si="152"/>
        <v/>
      </c>
      <c r="AL71" s="9" t="str">
        <f t="shared" si="152"/>
        <v/>
      </c>
      <c r="AM71" s="9" t="str">
        <f t="shared" si="152"/>
        <v/>
      </c>
      <c r="AN71" s="9" t="str">
        <f t="shared" si="152"/>
        <v/>
      </c>
      <c r="AO71" s="9" t="str">
        <f t="shared" si="152"/>
        <v/>
      </c>
      <c r="AP71" s="9" t="str">
        <f t="shared" si="152"/>
        <v/>
      </c>
      <c r="AQ71" s="9" t="str">
        <f t="shared" si="152"/>
        <v/>
      </c>
      <c r="AR71" s="9" t="str">
        <f t="shared" si="152"/>
        <v/>
      </c>
      <c r="AS71" s="9" t="str">
        <f t="shared" si="152"/>
        <v/>
      </c>
      <c r="AT71" s="9" t="str">
        <f t="shared" si="152"/>
        <v/>
      </c>
      <c r="AU71" s="9" t="str">
        <f t="shared" si="152"/>
        <v/>
      </c>
      <c r="AV71" s="9" t="str">
        <f t="shared" si="152"/>
        <v/>
      </c>
      <c r="AW71" s="9" t="str">
        <f t="shared" si="152"/>
        <v/>
      </c>
    </row>
    <row r="72" spans="1:49" s="5" customFormat="1" outlineLevel="1" x14ac:dyDescent="0.3">
      <c r="A72" s="132"/>
      <c r="B72" s="19" t="s">
        <v>7</v>
      </c>
      <c r="C72" s="80"/>
      <c r="D72" s="80"/>
      <c r="E72" s="80"/>
      <c r="F72" s="9">
        <f>IF(OR(F9="",F71=""),"",ROUND((F71+E74)*F9/12,2))</f>
        <v>0</v>
      </c>
      <c r="G72" s="9">
        <f t="shared" ref="G72:L72" si="153">IF(OR(G9="",G71=""),"",ROUND((G71+F74)*G9/12,2))</f>
        <v>0</v>
      </c>
      <c r="H72" s="9">
        <f t="shared" si="153"/>
        <v>0.46</v>
      </c>
      <c r="I72" s="9">
        <f t="shared" si="153"/>
        <v>-7.33</v>
      </c>
      <c r="J72" s="9">
        <f t="shared" si="153"/>
        <v>-21.92</v>
      </c>
      <c r="K72" s="9">
        <f t="shared" si="153"/>
        <v>-34.200000000000003</v>
      </c>
      <c r="L72" s="9">
        <f t="shared" si="153"/>
        <v>-45.39</v>
      </c>
      <c r="M72" s="9">
        <f t="shared" ref="M72" si="154">IF(OR(M9="",M71=""),"",ROUND((M71+L74)*M9/12,2))</f>
        <v>-55.15</v>
      </c>
      <c r="N72" s="9">
        <f>IF(OR(N9="",N71=""),"",ROUND((N71+M74)*N9/12,2))+N66</f>
        <v>-34.539999999999992</v>
      </c>
      <c r="O72" s="9">
        <f t="shared" ref="O72" si="155">IF(OR(O9="",O71=""),"",ROUND((O71+N74)*O9/12,2))</f>
        <v>-58.44</v>
      </c>
      <c r="P72" s="9">
        <f t="shared" ref="P72" si="156">IF(OR(P9="",P71=""),"",ROUND((P71+O74)*P9/12,2))</f>
        <v>-57.27</v>
      </c>
      <c r="Q72" s="9">
        <f>IF(OR(Q9="",Q71=""),"",ROUND((Q69+Q71+P74)*Q9/12,2))</f>
        <v>-63.9</v>
      </c>
      <c r="R72" s="9">
        <f t="shared" ref="R72:X72" si="157">IF(OR(R9="",R71=""),"",ROUND((R69+R71+Q74)*R9/12,2))</f>
        <v>-89.64</v>
      </c>
      <c r="S72" s="9">
        <f t="shared" si="157"/>
        <v>-57.84</v>
      </c>
      <c r="T72" s="9">
        <f t="shared" si="157"/>
        <v>-9.02</v>
      </c>
      <c r="U72" s="9">
        <f t="shared" si="157"/>
        <v>-6.54</v>
      </c>
      <c r="V72" s="9">
        <f t="shared" si="157"/>
        <v>-7.44</v>
      </c>
      <c r="W72" s="9">
        <f t="shared" si="157"/>
        <v>-3.34</v>
      </c>
      <c r="X72" s="9">
        <f t="shared" si="157"/>
        <v>-2.9</v>
      </c>
      <c r="Y72" s="9">
        <f>IF(OR(Y9="",Y71=""),"",ROUND((Y69+Y71+X74)*Y9/12,2))</f>
        <v>-6.66</v>
      </c>
      <c r="Z72" s="9">
        <f t="shared" ref="Z72:AW72" si="158">IF(OR(Z9="",Z71=""),"",ROUND((Z69+Z71+Y74)*Z9/12,2))</f>
        <v>-8.68</v>
      </c>
      <c r="AA72" s="9">
        <f t="shared" si="158"/>
        <v>-10.029999999999999</v>
      </c>
      <c r="AB72" s="9">
        <f>IF(OR(AB9="",AB71=""),"",ROUND((AB69+AB71+AA74)*AB9/12,2))</f>
        <v>-11.14</v>
      </c>
      <c r="AC72" s="9" t="str">
        <f t="shared" si="158"/>
        <v/>
      </c>
      <c r="AD72" s="9" t="str">
        <f t="shared" si="158"/>
        <v/>
      </c>
      <c r="AE72" s="9" t="str">
        <f t="shared" si="158"/>
        <v/>
      </c>
      <c r="AF72" s="9" t="str">
        <f t="shared" si="158"/>
        <v/>
      </c>
      <c r="AG72" s="9" t="str">
        <f t="shared" si="158"/>
        <v/>
      </c>
      <c r="AH72" s="9" t="str">
        <f t="shared" si="158"/>
        <v/>
      </c>
      <c r="AI72" s="9" t="str">
        <f t="shared" si="158"/>
        <v/>
      </c>
      <c r="AJ72" s="9" t="str">
        <f t="shared" si="158"/>
        <v/>
      </c>
      <c r="AK72" s="9" t="str">
        <f t="shared" si="158"/>
        <v/>
      </c>
      <c r="AL72" s="9" t="str">
        <f t="shared" si="158"/>
        <v/>
      </c>
      <c r="AM72" s="9" t="str">
        <f t="shared" si="158"/>
        <v/>
      </c>
      <c r="AN72" s="9" t="str">
        <f t="shared" si="158"/>
        <v/>
      </c>
      <c r="AO72" s="9" t="str">
        <f t="shared" si="158"/>
        <v/>
      </c>
      <c r="AP72" s="9" t="str">
        <f t="shared" si="158"/>
        <v/>
      </c>
      <c r="AQ72" s="9" t="str">
        <f t="shared" si="158"/>
        <v/>
      </c>
      <c r="AR72" s="9" t="str">
        <f t="shared" si="158"/>
        <v/>
      </c>
      <c r="AS72" s="9" t="str">
        <f t="shared" si="158"/>
        <v/>
      </c>
      <c r="AT72" s="9" t="str">
        <f t="shared" si="158"/>
        <v/>
      </c>
      <c r="AU72" s="9" t="str">
        <f t="shared" si="158"/>
        <v/>
      </c>
      <c r="AV72" s="9" t="str">
        <f t="shared" si="158"/>
        <v/>
      </c>
      <c r="AW72" s="9" t="str">
        <f t="shared" si="158"/>
        <v/>
      </c>
    </row>
    <row r="73" spans="1:49" s="5" customFormat="1" outlineLevel="1" x14ac:dyDescent="0.3">
      <c r="A73" s="132"/>
      <c r="B73" s="18" t="s">
        <v>13</v>
      </c>
      <c r="C73" s="80"/>
      <c r="D73" s="80"/>
      <c r="E73" s="80"/>
      <c r="F73" s="9">
        <f t="shared" ref="F73:M73" si="159">IF(OR(F71="",F72=""),"",F71+F72)</f>
        <v>0</v>
      </c>
      <c r="G73" s="9">
        <f t="shared" si="159"/>
        <v>0</v>
      </c>
      <c r="H73" s="9">
        <f t="shared" si="159"/>
        <v>207.41969459981058</v>
      </c>
      <c r="I73" s="9">
        <f t="shared" si="159"/>
        <v>-3536.0640731331473</v>
      </c>
      <c r="J73" s="9">
        <f t="shared" si="159"/>
        <v>-6828.2997850987786</v>
      </c>
      <c r="K73" s="9">
        <f t="shared" si="159"/>
        <v>-7334.7960205780682</v>
      </c>
      <c r="L73" s="9">
        <f t="shared" si="159"/>
        <v>-7125.7270793455427</v>
      </c>
      <c r="M73" s="9">
        <f t="shared" si="159"/>
        <v>-6743.0773178492036</v>
      </c>
      <c r="N73" s="9">
        <f>IF(OR(N71="",N72=""),"",N71+N72)</f>
        <v>-1859.6777979269255</v>
      </c>
      <c r="O73" s="9">
        <f t="shared" ref="O73:AW73" si="160">IF(OR(O71="",O72=""),"",O71+O72)</f>
        <v>-3454.6362381337258</v>
      </c>
      <c r="P73" s="9">
        <f t="shared" si="160"/>
        <v>238.06845004445901</v>
      </c>
      <c r="Q73" s="9">
        <f t="shared" si="160"/>
        <v>-7646.9245926856447</v>
      </c>
      <c r="R73" s="9">
        <f t="shared" si="160"/>
        <v>-17060.680711894311</v>
      </c>
      <c r="S73" s="9">
        <f t="shared" si="160"/>
        <v>-19809.952044639314</v>
      </c>
      <c r="T73" s="9">
        <f t="shared" si="160"/>
        <v>-12728.506928390143</v>
      </c>
      <c r="U73" s="9">
        <f t="shared" si="160"/>
        <v>19166.359277318443</v>
      </c>
      <c r="V73" s="9">
        <f t="shared" si="160"/>
        <v>13088.213413476924</v>
      </c>
      <c r="W73" s="9">
        <f t="shared" si="160"/>
        <v>13431.949407484266</v>
      </c>
      <c r="X73" s="9">
        <f t="shared" si="160"/>
        <v>-2114.0522844831562</v>
      </c>
      <c r="Y73" s="9">
        <f t="shared" si="160"/>
        <v>-14853.844202668672</v>
      </c>
      <c r="Z73" s="9">
        <f t="shared" si="160"/>
        <v>-15070.71274124927</v>
      </c>
      <c r="AA73" s="9">
        <f t="shared" si="160"/>
        <v>-11011.877606734826</v>
      </c>
      <c r="AB73" s="9">
        <f t="shared" si="160"/>
        <v>-9803.182719458764</v>
      </c>
      <c r="AC73" s="9" t="str">
        <f t="shared" si="160"/>
        <v/>
      </c>
      <c r="AD73" s="9" t="str">
        <f t="shared" si="160"/>
        <v/>
      </c>
      <c r="AE73" s="9" t="str">
        <f t="shared" si="160"/>
        <v/>
      </c>
      <c r="AF73" s="9" t="str">
        <f t="shared" si="160"/>
        <v/>
      </c>
      <c r="AG73" s="9" t="str">
        <f t="shared" si="160"/>
        <v/>
      </c>
      <c r="AH73" s="9" t="str">
        <f t="shared" si="160"/>
        <v/>
      </c>
      <c r="AI73" s="9" t="str">
        <f t="shared" si="160"/>
        <v/>
      </c>
      <c r="AJ73" s="9" t="str">
        <f t="shared" si="160"/>
        <v/>
      </c>
      <c r="AK73" s="9" t="str">
        <f t="shared" si="160"/>
        <v/>
      </c>
      <c r="AL73" s="9" t="str">
        <f t="shared" si="160"/>
        <v/>
      </c>
      <c r="AM73" s="9" t="str">
        <f t="shared" si="160"/>
        <v/>
      </c>
      <c r="AN73" s="9" t="str">
        <f t="shared" si="160"/>
        <v/>
      </c>
      <c r="AO73" s="9" t="str">
        <f t="shared" si="160"/>
        <v/>
      </c>
      <c r="AP73" s="9" t="str">
        <f t="shared" si="160"/>
        <v/>
      </c>
      <c r="AQ73" s="9" t="str">
        <f t="shared" si="160"/>
        <v/>
      </c>
      <c r="AR73" s="9" t="str">
        <f t="shared" si="160"/>
        <v/>
      </c>
      <c r="AS73" s="9" t="str">
        <f t="shared" si="160"/>
        <v/>
      </c>
      <c r="AT73" s="9" t="str">
        <f t="shared" si="160"/>
        <v/>
      </c>
      <c r="AU73" s="9" t="str">
        <f t="shared" si="160"/>
        <v/>
      </c>
      <c r="AV73" s="9" t="str">
        <f t="shared" si="160"/>
        <v/>
      </c>
      <c r="AW73" s="9" t="str">
        <f t="shared" si="160"/>
        <v/>
      </c>
    </row>
    <row r="74" spans="1:49" s="5" customFormat="1" outlineLevel="1" x14ac:dyDescent="0.3">
      <c r="A74" s="132"/>
      <c r="B74" s="20" t="s">
        <v>18</v>
      </c>
      <c r="C74" s="84"/>
      <c r="D74" s="84"/>
      <c r="E74" s="84"/>
      <c r="F74" s="9">
        <f>IF(OR(F73=""),"",F73)</f>
        <v>0</v>
      </c>
      <c r="G74" s="9">
        <f t="shared" ref="G74:M74" si="161">IF(OR(G73="",F74=""),"",G73+F74)</f>
        <v>0</v>
      </c>
      <c r="H74" s="9">
        <f t="shared" si="161"/>
        <v>207.41969459981058</v>
      </c>
      <c r="I74" s="9">
        <f t="shared" si="161"/>
        <v>-3328.6443785333367</v>
      </c>
      <c r="J74" s="9">
        <f t="shared" si="161"/>
        <v>-10156.944163632115</v>
      </c>
      <c r="K74" s="9">
        <f t="shared" si="161"/>
        <v>-17491.740184210183</v>
      </c>
      <c r="L74" s="9">
        <f t="shared" si="161"/>
        <v>-24617.467263555725</v>
      </c>
      <c r="M74" s="9">
        <f t="shared" si="161"/>
        <v>-31360.544581404931</v>
      </c>
      <c r="N74" s="9">
        <f>IF(OR(N73="",M74=""),"",N73+N69+M74)</f>
        <v>-33220.222379331855</v>
      </c>
      <c r="O74" s="9">
        <f>IF(OR(O73="",N74=""),"",O73+O69+N74+O66)</f>
        <v>-36674.858617465579</v>
      </c>
      <c r="P74" s="9">
        <f t="shared" ref="P74:AW74" si="162">IF(OR(P73="",O74=""),"",P73+P69+O74)</f>
        <v>-36436.790167421117</v>
      </c>
      <c r="Q74" s="9">
        <f t="shared" si="162"/>
        <v>-42579.034760106762</v>
      </c>
      <c r="R74" s="9">
        <f t="shared" si="162"/>
        <v>-57047.835472001068</v>
      </c>
      <c r="S74" s="9">
        <f t="shared" si="162"/>
        <v>-74019.437516640377</v>
      </c>
      <c r="T74" s="9">
        <f t="shared" si="162"/>
        <v>-83866.174445030512</v>
      </c>
      <c r="U74" s="9">
        <f t="shared" si="162"/>
        <v>-62449.305167712067</v>
      </c>
      <c r="V74" s="9">
        <f t="shared" si="162"/>
        <v>-46121.691754235144</v>
      </c>
      <c r="W74" s="9">
        <f t="shared" si="162"/>
        <v>-29353.102346750878</v>
      </c>
      <c r="X74" s="9">
        <f t="shared" si="162"/>
        <v>-28083.034631234033</v>
      </c>
      <c r="Y74" s="9">
        <f t="shared" si="162"/>
        <v>-39956.008833902706</v>
      </c>
      <c r="Z74" s="9">
        <f t="shared" si="162"/>
        <v>-52078.191575151977</v>
      </c>
      <c r="AA74" s="9">
        <f t="shared" si="162"/>
        <v>-60209.229181886803</v>
      </c>
      <c r="AB74" s="9">
        <f t="shared" si="162"/>
        <v>-66879.551901345563</v>
      </c>
      <c r="AC74" s="9" t="str">
        <f t="shared" si="162"/>
        <v/>
      </c>
      <c r="AD74" s="9" t="str">
        <f t="shared" si="162"/>
        <v/>
      </c>
      <c r="AE74" s="9" t="str">
        <f t="shared" si="162"/>
        <v/>
      </c>
      <c r="AF74" s="9" t="str">
        <f t="shared" si="162"/>
        <v/>
      </c>
      <c r="AG74" s="9" t="str">
        <f t="shared" si="162"/>
        <v/>
      </c>
      <c r="AH74" s="9" t="str">
        <f t="shared" si="162"/>
        <v/>
      </c>
      <c r="AI74" s="9" t="str">
        <f t="shared" si="162"/>
        <v/>
      </c>
      <c r="AJ74" s="9" t="str">
        <f t="shared" si="162"/>
        <v/>
      </c>
      <c r="AK74" s="9" t="str">
        <f t="shared" si="162"/>
        <v/>
      </c>
      <c r="AL74" s="9" t="str">
        <f t="shared" si="162"/>
        <v/>
      </c>
      <c r="AM74" s="9" t="str">
        <f t="shared" si="162"/>
        <v/>
      </c>
      <c r="AN74" s="9" t="str">
        <f t="shared" si="162"/>
        <v/>
      </c>
      <c r="AO74" s="9" t="str">
        <f t="shared" si="162"/>
        <v/>
      </c>
      <c r="AP74" s="9" t="str">
        <f t="shared" si="162"/>
        <v/>
      </c>
      <c r="AQ74" s="9" t="str">
        <f t="shared" si="162"/>
        <v/>
      </c>
      <c r="AR74" s="9" t="str">
        <f t="shared" si="162"/>
        <v/>
      </c>
      <c r="AS74" s="9" t="str">
        <f t="shared" si="162"/>
        <v/>
      </c>
      <c r="AT74" s="9" t="str">
        <f t="shared" si="162"/>
        <v/>
      </c>
      <c r="AU74" s="9" t="str">
        <f t="shared" si="162"/>
        <v/>
      </c>
      <c r="AV74" s="9" t="str">
        <f t="shared" si="162"/>
        <v/>
      </c>
      <c r="AW74" s="9" t="str">
        <f t="shared" si="162"/>
        <v/>
      </c>
    </row>
    <row r="75" spans="1:49" s="5" customFormat="1" ht="8.25" customHeight="1" outlineLevel="1" x14ac:dyDescent="0.3">
      <c r="A75" s="40"/>
      <c r="B75" s="13"/>
      <c r="C75" s="85"/>
      <c r="D75" s="85"/>
      <c r="E75" s="85"/>
      <c r="F75" s="8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s="2" customFormat="1" ht="15" customHeight="1" x14ac:dyDescent="0.3">
      <c r="A76" s="133" t="s">
        <v>54</v>
      </c>
      <c r="B76" s="76"/>
      <c r="C76" s="30"/>
      <c r="D76" s="30"/>
      <c r="E76" s="30"/>
      <c r="F76" s="28"/>
      <c r="G76" s="28"/>
      <c r="H76" s="28"/>
      <c r="I76" s="28"/>
      <c r="J76" s="28"/>
      <c r="K76" s="91"/>
      <c r="L76" s="28"/>
      <c r="M76" s="28"/>
      <c r="N76" s="28"/>
      <c r="O76" s="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</row>
    <row r="77" spans="1:49" s="4" customFormat="1" x14ac:dyDescent="0.3">
      <c r="A77" s="133"/>
      <c r="B77" s="76" t="s">
        <v>55</v>
      </c>
      <c r="C77" s="80"/>
      <c r="D77" s="80"/>
      <c r="E77" s="80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4" customFormat="1" x14ac:dyDescent="0.3">
      <c r="A78" s="133"/>
      <c r="B78" s="76" t="s">
        <v>56</v>
      </c>
      <c r="C78" s="80"/>
      <c r="D78" s="80"/>
      <c r="E78" s="80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 t="str">
        <f t="shared" ref="AL78:AW78" si="163">IF(OR(AL77=""),"",AL76-AL77)</f>
        <v/>
      </c>
      <c r="AM78" s="10" t="str">
        <f t="shared" si="163"/>
        <v/>
      </c>
      <c r="AN78" s="10" t="str">
        <f t="shared" si="163"/>
        <v/>
      </c>
      <c r="AO78" s="10" t="str">
        <f t="shared" si="163"/>
        <v/>
      </c>
      <c r="AP78" s="10" t="str">
        <f t="shared" si="163"/>
        <v/>
      </c>
      <c r="AQ78" s="10" t="str">
        <f t="shared" si="163"/>
        <v/>
      </c>
      <c r="AR78" s="10" t="str">
        <f t="shared" si="163"/>
        <v/>
      </c>
      <c r="AS78" s="10" t="str">
        <f t="shared" si="163"/>
        <v/>
      </c>
      <c r="AT78" s="10" t="str">
        <f t="shared" si="163"/>
        <v/>
      </c>
      <c r="AU78" s="10" t="str">
        <f t="shared" si="163"/>
        <v/>
      </c>
      <c r="AV78" s="10" t="str">
        <f t="shared" si="163"/>
        <v/>
      </c>
      <c r="AW78" s="10" t="str">
        <f t="shared" si="163"/>
        <v/>
      </c>
    </row>
    <row r="79" spans="1:49" s="4" customFormat="1" x14ac:dyDescent="0.3">
      <c r="A79" s="133"/>
      <c r="B79" s="77" t="s">
        <v>7</v>
      </c>
      <c r="C79" s="80"/>
      <c r="D79" s="80"/>
      <c r="E79" s="8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W79" si="164">IF(OR(Z9="",Z78=""),"",((Z78+Y82)*Z9)/12)</f>
        <v/>
      </c>
      <c r="AA79" s="10" t="str">
        <f t="shared" si="164"/>
        <v/>
      </c>
      <c r="AB79" s="10" t="str">
        <f t="shared" si="164"/>
        <v/>
      </c>
      <c r="AC79" s="10" t="str">
        <f t="shared" si="164"/>
        <v/>
      </c>
      <c r="AD79" s="10" t="str">
        <f t="shared" si="164"/>
        <v/>
      </c>
      <c r="AE79" s="10" t="str">
        <f t="shared" si="164"/>
        <v/>
      </c>
      <c r="AF79" s="10" t="str">
        <f t="shared" si="164"/>
        <v/>
      </c>
      <c r="AG79" s="10" t="str">
        <f t="shared" si="164"/>
        <v/>
      </c>
      <c r="AH79" s="10" t="str">
        <f t="shared" si="164"/>
        <v/>
      </c>
      <c r="AI79" s="10" t="str">
        <f t="shared" si="164"/>
        <v/>
      </c>
      <c r="AJ79" s="10" t="str">
        <f>IF(OR(AJ9="",AJ78=""),"",((AJ78+AI82)*AJ9)/12)</f>
        <v/>
      </c>
      <c r="AK79" s="10" t="str">
        <f t="shared" si="164"/>
        <v/>
      </c>
      <c r="AL79" s="10" t="str">
        <f t="shared" si="164"/>
        <v/>
      </c>
      <c r="AM79" s="10" t="str">
        <f t="shared" si="164"/>
        <v/>
      </c>
      <c r="AN79" s="10" t="str">
        <f t="shared" si="164"/>
        <v/>
      </c>
      <c r="AO79" s="10" t="str">
        <f t="shared" si="164"/>
        <v/>
      </c>
      <c r="AP79" s="10" t="str">
        <f t="shared" si="164"/>
        <v/>
      </c>
      <c r="AQ79" s="10" t="str">
        <f t="shared" si="164"/>
        <v/>
      </c>
      <c r="AR79" s="10" t="str">
        <f t="shared" si="164"/>
        <v/>
      </c>
      <c r="AS79" s="10" t="str">
        <f t="shared" si="164"/>
        <v/>
      </c>
      <c r="AT79" s="10" t="str">
        <f t="shared" si="164"/>
        <v/>
      </c>
      <c r="AU79" s="10" t="str">
        <f t="shared" si="164"/>
        <v/>
      </c>
      <c r="AV79" s="10" t="str">
        <f t="shared" si="164"/>
        <v/>
      </c>
      <c r="AW79" s="10" t="str">
        <f t="shared" si="164"/>
        <v/>
      </c>
    </row>
    <row r="80" spans="1:49" s="4" customFormat="1" x14ac:dyDescent="0.3">
      <c r="A80" s="133"/>
      <c r="B80" s="77" t="s">
        <v>5</v>
      </c>
      <c r="C80" s="80"/>
      <c r="D80" s="80"/>
      <c r="E80" s="8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W80" si="165">IF(OR(Y80="",Z79=""),"",Y80+Z79)</f>
        <v/>
      </c>
      <c r="AA80" s="10" t="str">
        <f t="shared" si="165"/>
        <v/>
      </c>
      <c r="AB80" s="10" t="str">
        <f t="shared" si="165"/>
        <v/>
      </c>
      <c r="AC80" s="10" t="str">
        <f t="shared" si="165"/>
        <v/>
      </c>
      <c r="AD80" s="10" t="str">
        <f t="shared" si="165"/>
        <v/>
      </c>
      <c r="AE80" s="10" t="str">
        <f t="shared" si="165"/>
        <v/>
      </c>
      <c r="AF80" s="10" t="str">
        <f t="shared" si="165"/>
        <v/>
      </c>
      <c r="AG80" s="10" t="str">
        <f t="shared" si="165"/>
        <v/>
      </c>
      <c r="AH80" s="10" t="str">
        <f t="shared" si="165"/>
        <v/>
      </c>
      <c r="AI80" s="10" t="str">
        <f t="shared" si="165"/>
        <v/>
      </c>
      <c r="AJ80" s="10" t="str">
        <f t="shared" si="165"/>
        <v/>
      </c>
      <c r="AK80" s="10" t="str">
        <f t="shared" si="165"/>
        <v/>
      </c>
      <c r="AL80" s="10" t="str">
        <f t="shared" si="165"/>
        <v/>
      </c>
      <c r="AM80" s="10" t="str">
        <f t="shared" si="165"/>
        <v/>
      </c>
      <c r="AN80" s="10" t="str">
        <f t="shared" si="165"/>
        <v/>
      </c>
      <c r="AO80" s="10" t="str">
        <f t="shared" si="165"/>
        <v/>
      </c>
      <c r="AP80" s="10" t="str">
        <f t="shared" si="165"/>
        <v/>
      </c>
      <c r="AQ80" s="10" t="str">
        <f t="shared" si="165"/>
        <v/>
      </c>
      <c r="AR80" s="10" t="str">
        <f t="shared" si="165"/>
        <v/>
      </c>
      <c r="AS80" s="10" t="str">
        <f t="shared" si="165"/>
        <v/>
      </c>
      <c r="AT80" s="10" t="str">
        <f t="shared" si="165"/>
        <v/>
      </c>
      <c r="AU80" s="10" t="str">
        <f t="shared" si="165"/>
        <v/>
      </c>
      <c r="AV80" s="10" t="str">
        <f t="shared" si="165"/>
        <v/>
      </c>
      <c r="AW80" s="10" t="str">
        <f t="shared" si="165"/>
        <v/>
      </c>
    </row>
    <row r="81" spans="1:49" s="4" customFormat="1" x14ac:dyDescent="0.3">
      <c r="A81" s="133"/>
      <c r="B81" s="76" t="s">
        <v>57</v>
      </c>
      <c r="C81" s="80"/>
      <c r="D81" s="80"/>
      <c r="E81" s="8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:AW81" si="166">IF(OR(AA79="",AA78=""),"",AA78+AA79)</f>
        <v/>
      </c>
      <c r="AB81" s="10" t="str">
        <f t="shared" si="166"/>
        <v/>
      </c>
      <c r="AC81" s="10" t="str">
        <f t="shared" si="166"/>
        <v/>
      </c>
      <c r="AD81" s="10" t="str">
        <f t="shared" si="166"/>
        <v/>
      </c>
      <c r="AE81" s="10" t="str">
        <f t="shared" si="166"/>
        <v/>
      </c>
      <c r="AF81" s="10" t="str">
        <f t="shared" si="166"/>
        <v/>
      </c>
      <c r="AG81" s="10" t="str">
        <f t="shared" si="166"/>
        <v/>
      </c>
      <c r="AH81" s="10" t="str">
        <f t="shared" si="166"/>
        <v/>
      </c>
      <c r="AI81" s="10" t="str">
        <f t="shared" si="166"/>
        <v/>
      </c>
      <c r="AJ81" s="10" t="str">
        <f t="shared" si="166"/>
        <v/>
      </c>
      <c r="AK81" s="10" t="str">
        <f t="shared" si="166"/>
        <v/>
      </c>
      <c r="AL81" s="10" t="str">
        <f t="shared" si="166"/>
        <v/>
      </c>
      <c r="AM81" s="10" t="str">
        <f t="shared" si="166"/>
        <v/>
      </c>
      <c r="AN81" s="10" t="str">
        <f t="shared" si="166"/>
        <v/>
      </c>
      <c r="AO81" s="10" t="str">
        <f t="shared" si="166"/>
        <v/>
      </c>
      <c r="AP81" s="10" t="str">
        <f t="shared" si="166"/>
        <v/>
      </c>
      <c r="AQ81" s="10" t="str">
        <f t="shared" si="166"/>
        <v/>
      </c>
      <c r="AR81" s="10" t="str">
        <f t="shared" si="166"/>
        <v/>
      </c>
      <c r="AS81" s="10" t="str">
        <f t="shared" si="166"/>
        <v/>
      </c>
      <c r="AT81" s="10" t="str">
        <f t="shared" si="166"/>
        <v/>
      </c>
      <c r="AU81" s="10" t="str">
        <f t="shared" si="166"/>
        <v/>
      </c>
      <c r="AV81" s="10" t="str">
        <f t="shared" si="166"/>
        <v/>
      </c>
      <c r="AW81" s="10" t="str">
        <f t="shared" si="166"/>
        <v/>
      </c>
    </row>
    <row r="82" spans="1:49" s="4" customFormat="1" x14ac:dyDescent="0.3">
      <c r="A82" s="133"/>
      <c r="B82" s="78" t="s">
        <v>58</v>
      </c>
      <c r="C82" s="84"/>
      <c r="D82" s="84"/>
      <c r="E82" s="84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:AW82" si="167">IF(OR(Z81="",Y82=""),"",Z81+Y82)</f>
        <v/>
      </c>
      <c r="AA82" s="10" t="str">
        <f t="shared" si="167"/>
        <v/>
      </c>
      <c r="AB82" s="10" t="str">
        <f t="shared" si="167"/>
        <v/>
      </c>
      <c r="AC82" s="10" t="str">
        <f t="shared" si="167"/>
        <v/>
      </c>
      <c r="AD82" s="10" t="str">
        <f t="shared" si="167"/>
        <v/>
      </c>
      <c r="AE82" s="10" t="str">
        <f t="shared" si="167"/>
        <v/>
      </c>
      <c r="AF82" s="10" t="str">
        <f t="shared" si="167"/>
        <v/>
      </c>
      <c r="AG82" s="10" t="str">
        <f t="shared" si="167"/>
        <v/>
      </c>
      <c r="AH82" s="10" t="str">
        <f t="shared" si="167"/>
        <v/>
      </c>
      <c r="AI82" s="10" t="str">
        <f t="shared" si="167"/>
        <v/>
      </c>
      <c r="AJ82" s="10" t="str">
        <f t="shared" si="167"/>
        <v/>
      </c>
      <c r="AK82" s="10" t="str">
        <f t="shared" si="167"/>
        <v/>
      </c>
      <c r="AL82" s="10" t="str">
        <f t="shared" si="167"/>
        <v/>
      </c>
      <c r="AM82" s="10" t="str">
        <f t="shared" si="167"/>
        <v/>
      </c>
      <c r="AN82" s="10" t="str">
        <f t="shared" si="167"/>
        <v/>
      </c>
      <c r="AO82" s="10" t="str">
        <f t="shared" si="167"/>
        <v/>
      </c>
      <c r="AP82" s="10" t="str">
        <f t="shared" si="167"/>
        <v/>
      </c>
      <c r="AQ82" s="10" t="str">
        <f t="shared" si="167"/>
        <v/>
      </c>
      <c r="AR82" s="10" t="str">
        <f t="shared" si="167"/>
        <v/>
      </c>
      <c r="AS82" s="10" t="str">
        <f t="shared" si="167"/>
        <v/>
      </c>
      <c r="AT82" s="10" t="str">
        <f t="shared" si="167"/>
        <v/>
      </c>
      <c r="AU82" s="10" t="str">
        <f t="shared" si="167"/>
        <v/>
      </c>
      <c r="AV82" s="10" t="str">
        <f t="shared" si="167"/>
        <v/>
      </c>
      <c r="AW82" s="10" t="str">
        <f t="shared" si="167"/>
        <v/>
      </c>
    </row>
    <row r="83" spans="1:49" s="5" customFormat="1" ht="8.25" customHeight="1" x14ac:dyDescent="0.3">
      <c r="A83" s="40"/>
      <c r="B83" s="13"/>
      <c r="C83" s="85"/>
      <c r="D83" s="85"/>
      <c r="E83" s="85"/>
      <c r="F83" s="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  <c r="AP83" s="15"/>
      <c r="AQ83" s="15"/>
      <c r="AR83" s="15"/>
      <c r="AS83" s="15"/>
      <c r="AT83" s="15"/>
      <c r="AU83" s="15"/>
      <c r="AV83" s="15"/>
      <c r="AW83" s="15"/>
    </row>
    <row r="84" spans="1:49" s="5" customFormat="1" x14ac:dyDescent="0.3">
      <c r="A84" s="105"/>
      <c r="B84" s="48"/>
      <c r="C84" s="115"/>
      <c r="D84" s="115"/>
      <c r="E84" s="115"/>
      <c r="F84" s="116"/>
      <c r="G84" s="9"/>
      <c r="H84" s="9"/>
      <c r="I84" s="9"/>
      <c r="J84" s="9"/>
      <c r="K84" s="9"/>
      <c r="L84" s="9"/>
      <c r="M84" s="9"/>
      <c r="N84" s="9"/>
      <c r="O84" s="9"/>
      <c r="P84" s="9"/>
      <c r="Q84" s="60">
        <v>0</v>
      </c>
      <c r="R84" s="9"/>
      <c r="S84" s="9"/>
      <c r="T84" s="9"/>
      <c r="U84" s="9"/>
      <c r="V84" s="9"/>
      <c r="W84" s="114">
        <f>6583255-343874</f>
        <v>6239381</v>
      </c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59"/>
      <c r="AP84" s="59"/>
      <c r="AQ84" s="59"/>
      <c r="AR84" s="59"/>
      <c r="AS84" s="59"/>
      <c r="AT84" s="59"/>
      <c r="AU84" s="59"/>
      <c r="AV84" s="59"/>
      <c r="AW84" s="59"/>
    </row>
    <row r="85" spans="1:49" x14ac:dyDescent="0.3">
      <c r="A85" s="134" t="s">
        <v>67</v>
      </c>
      <c r="B85" s="48" t="s">
        <v>60</v>
      </c>
      <c r="C85" s="81"/>
      <c r="D85" s="81"/>
      <c r="E85" s="81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</row>
    <row r="86" spans="1:49" x14ac:dyDescent="0.3">
      <c r="A86" s="134"/>
      <c r="B86" s="48" t="s">
        <v>61</v>
      </c>
      <c r="C86" s="80"/>
      <c r="D86" s="80"/>
      <c r="E86" s="80"/>
      <c r="F86" s="24"/>
      <c r="G86" s="24"/>
      <c r="H86" s="24"/>
      <c r="I86" s="24"/>
      <c r="J86" s="24"/>
      <c r="K86" s="24"/>
      <c r="L86" s="24"/>
      <c r="M86" s="24"/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96">
        <v>0</v>
      </c>
      <c r="AA86" s="96">
        <v>0</v>
      </c>
      <c r="AB86" s="96">
        <v>0</v>
      </c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</row>
    <row r="87" spans="1:49" x14ac:dyDescent="0.3">
      <c r="A87" s="134"/>
      <c r="B87" s="48" t="s">
        <v>62</v>
      </c>
      <c r="C87" s="80"/>
      <c r="D87" s="80"/>
      <c r="E87" s="80"/>
      <c r="F87" s="10"/>
      <c r="G87" s="10"/>
      <c r="H87" s="10"/>
      <c r="I87" s="10"/>
      <c r="J87" s="10"/>
      <c r="K87" s="10"/>
      <c r="L87" s="10"/>
      <c r="M87" s="10"/>
      <c r="N87" s="10" t="str">
        <f>IF(OR(N85="",N86=""),"",N85-N86)</f>
        <v/>
      </c>
      <c r="O87" s="10" t="str">
        <f>IF(OR(O85="",O86=""),"",O85-O86)</f>
        <v/>
      </c>
      <c r="P87" s="10" t="str">
        <f>IF(OR(P85="",P86=""),"",P85-P86)</f>
        <v/>
      </c>
      <c r="Q87" s="10" t="str">
        <f t="shared" ref="Q87:Y87" si="168">IF(OR(Q85="",Q86=""),"",Q85-Q86)</f>
        <v/>
      </c>
      <c r="R87" s="10" t="str">
        <f t="shared" si="168"/>
        <v/>
      </c>
      <c r="S87" s="10" t="str">
        <f t="shared" si="168"/>
        <v/>
      </c>
      <c r="T87" s="10" t="str">
        <f t="shared" si="168"/>
        <v/>
      </c>
      <c r="U87" s="10" t="str">
        <f t="shared" si="168"/>
        <v/>
      </c>
      <c r="V87" s="10" t="str">
        <f t="shared" si="168"/>
        <v/>
      </c>
      <c r="W87" s="10" t="str">
        <f t="shared" si="168"/>
        <v/>
      </c>
      <c r="X87" s="10" t="str">
        <f t="shared" si="168"/>
        <v/>
      </c>
      <c r="Y87" s="10" t="str">
        <f t="shared" si="168"/>
        <v/>
      </c>
      <c r="Z87" s="10" t="str">
        <f t="shared" ref="Z87:AB87" si="169">IF(OR(Z85="",Z86=""),"",Z85-Z86)</f>
        <v/>
      </c>
      <c r="AA87" s="10" t="str">
        <f t="shared" si="169"/>
        <v/>
      </c>
      <c r="AB87" s="10" t="str">
        <f t="shared" si="169"/>
        <v/>
      </c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</row>
    <row r="88" spans="1:49" x14ac:dyDescent="0.3">
      <c r="A88" s="134"/>
      <c r="B88" s="48" t="s">
        <v>3</v>
      </c>
      <c r="C88" s="82"/>
      <c r="D88" s="82"/>
      <c r="E88" s="82"/>
      <c r="F88" s="53"/>
      <c r="G88" s="53"/>
      <c r="H88" s="53"/>
      <c r="I88" s="53"/>
      <c r="J88" s="53"/>
      <c r="K88" s="92"/>
      <c r="L88" s="53"/>
      <c r="M88" s="53"/>
      <c r="N88" s="53"/>
      <c r="O88" s="53" t="str">
        <f t="shared" ref="O88:Y88" si="170">IF(O87="","",O19)</f>
        <v/>
      </c>
      <c r="P88" s="53" t="str">
        <f t="shared" si="170"/>
        <v/>
      </c>
      <c r="Q88" s="53" t="str">
        <f t="shared" si="170"/>
        <v/>
      </c>
      <c r="R88" s="53" t="str">
        <f t="shared" si="170"/>
        <v/>
      </c>
      <c r="S88" s="53" t="str">
        <f t="shared" si="170"/>
        <v/>
      </c>
      <c r="T88" s="53" t="str">
        <f t="shared" si="170"/>
        <v/>
      </c>
      <c r="U88" s="53" t="str">
        <f t="shared" si="170"/>
        <v/>
      </c>
      <c r="V88" s="53" t="str">
        <f t="shared" si="170"/>
        <v/>
      </c>
      <c r="W88" s="53" t="str">
        <f t="shared" si="170"/>
        <v/>
      </c>
      <c r="X88" s="53" t="str">
        <f t="shared" si="170"/>
        <v/>
      </c>
      <c r="Y88" s="53" t="str">
        <f t="shared" si="170"/>
        <v/>
      </c>
      <c r="Z88" s="53" t="str">
        <f t="shared" ref="Z88:AB88" si="171">IF(Z87="","",Z19)</f>
        <v/>
      </c>
      <c r="AA88" s="53" t="str">
        <f t="shared" si="171"/>
        <v/>
      </c>
      <c r="AB88" s="53" t="str">
        <f t="shared" si="171"/>
        <v/>
      </c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</row>
    <row r="89" spans="1:49" x14ac:dyDescent="0.3">
      <c r="A89" s="134"/>
      <c r="B89" s="48" t="s">
        <v>40</v>
      </c>
      <c r="C89" s="80"/>
      <c r="D89" s="80"/>
      <c r="E89" s="80"/>
      <c r="F89" s="10"/>
      <c r="G89" s="10"/>
      <c r="H89" s="10"/>
      <c r="I89" s="10"/>
      <c r="J89" s="10"/>
      <c r="K89" s="10"/>
      <c r="L89" s="10"/>
      <c r="M89" s="10"/>
      <c r="N89" s="10" t="str">
        <f>IF(OR(N88="",N87=""),"",(N87*N88)/12)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x14ac:dyDescent="0.3">
      <c r="A90" s="134"/>
      <c r="B90" s="49" t="s">
        <v>5</v>
      </c>
      <c r="C90" s="80"/>
      <c r="D90" s="80"/>
      <c r="E90" s="80"/>
      <c r="F90" s="10"/>
      <c r="G90" s="10"/>
      <c r="H90" s="10"/>
      <c r="I90" s="10"/>
      <c r="J90" s="10"/>
      <c r="K90" s="10"/>
      <c r="L90" s="10"/>
      <c r="M90" s="10"/>
      <c r="N90" s="10" t="str">
        <f>N89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x14ac:dyDescent="0.3">
      <c r="A91" s="134"/>
      <c r="B91" s="61" t="s">
        <v>63</v>
      </c>
      <c r="C91" s="80"/>
      <c r="D91" s="80"/>
      <c r="E91" s="80"/>
      <c r="F91" s="10"/>
      <c r="G91" s="10"/>
      <c r="H91" s="10"/>
      <c r="I91" s="10"/>
      <c r="J91" s="10"/>
      <c r="K91" s="10"/>
      <c r="L91" s="10"/>
      <c r="M91" s="10"/>
      <c r="N91" s="10" t="str">
        <f>IF(OR(N89="",N87=""),"",N87+N89)</f>
        <v/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x14ac:dyDescent="0.3">
      <c r="A92" s="134"/>
      <c r="B92" s="48" t="s">
        <v>64</v>
      </c>
      <c r="C92" s="80"/>
      <c r="D92" s="80"/>
      <c r="E92" s="8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</row>
    <row r="93" spans="1:49" x14ac:dyDescent="0.3">
      <c r="A93" s="134"/>
      <c r="B93" s="50" t="s">
        <v>65</v>
      </c>
      <c r="C93" s="80"/>
      <c r="D93" s="80"/>
      <c r="E93" s="80"/>
      <c r="F93" s="10"/>
      <c r="G93" s="10"/>
      <c r="H93" s="10"/>
      <c r="I93" s="10"/>
      <c r="J93" s="10"/>
      <c r="K93" s="10"/>
      <c r="L93" s="10"/>
      <c r="M93" s="10"/>
      <c r="N93" s="10"/>
      <c r="O93" s="10">
        <f t="shared" ref="O93:Y93" si="172">IF(O86="","",N93-O86+O89)</f>
        <v>0</v>
      </c>
      <c r="P93" s="10">
        <f t="shared" si="172"/>
        <v>0</v>
      </c>
      <c r="Q93" s="10">
        <f t="shared" si="172"/>
        <v>0</v>
      </c>
      <c r="R93" s="10">
        <f t="shared" si="172"/>
        <v>0</v>
      </c>
      <c r="S93" s="10">
        <f t="shared" si="172"/>
        <v>0</v>
      </c>
      <c r="T93" s="10">
        <f t="shared" si="172"/>
        <v>0</v>
      </c>
      <c r="U93" s="10">
        <f t="shared" si="172"/>
        <v>0</v>
      </c>
      <c r="V93" s="10">
        <f t="shared" si="172"/>
        <v>0</v>
      </c>
      <c r="W93" s="10">
        <f>IF(W86="","",V93-W86+W89+W84)</f>
        <v>6239381</v>
      </c>
      <c r="X93" s="10">
        <f t="shared" si="172"/>
        <v>6239381</v>
      </c>
      <c r="Y93" s="10">
        <f t="shared" si="172"/>
        <v>6239381</v>
      </c>
      <c r="Z93" s="10">
        <f t="shared" ref="Z93:AA93" si="173">IF(Z86="","",Y93-Z86+Z89)</f>
        <v>6239381</v>
      </c>
      <c r="AA93" s="10">
        <f t="shared" si="173"/>
        <v>6239381</v>
      </c>
      <c r="AB93" s="10"/>
      <c r="AC93" s="10" t="str">
        <f>IF(AC86="","",AB93-AC86+AC89)</f>
        <v/>
      </c>
      <c r="AD93" s="10" t="str">
        <f t="shared" ref="AD93:AW93" si="174">IF(AD86="","",AC93-AD86+AD89)</f>
        <v/>
      </c>
      <c r="AE93" s="10" t="str">
        <f t="shared" si="174"/>
        <v/>
      </c>
      <c r="AF93" s="10" t="str">
        <f t="shared" si="174"/>
        <v/>
      </c>
      <c r="AG93" s="10" t="str">
        <f t="shared" si="174"/>
        <v/>
      </c>
      <c r="AH93" s="10" t="str">
        <f t="shared" si="174"/>
        <v/>
      </c>
      <c r="AI93" s="10" t="str">
        <f t="shared" si="174"/>
        <v/>
      </c>
      <c r="AJ93" s="10" t="str">
        <f t="shared" si="174"/>
        <v/>
      </c>
      <c r="AK93" s="10" t="str">
        <f t="shared" si="174"/>
        <v/>
      </c>
      <c r="AL93" s="10" t="str">
        <f t="shared" si="174"/>
        <v/>
      </c>
      <c r="AM93" s="10" t="str">
        <f t="shared" si="174"/>
        <v/>
      </c>
      <c r="AN93" s="10" t="str">
        <f t="shared" si="174"/>
        <v/>
      </c>
      <c r="AO93" s="10" t="str">
        <f t="shared" si="174"/>
        <v/>
      </c>
      <c r="AP93" s="10" t="str">
        <f t="shared" si="174"/>
        <v/>
      </c>
      <c r="AQ93" s="10" t="str">
        <f t="shared" si="174"/>
        <v/>
      </c>
      <c r="AR93" s="10" t="str">
        <f t="shared" si="174"/>
        <v/>
      </c>
      <c r="AS93" s="10" t="str">
        <f t="shared" si="174"/>
        <v/>
      </c>
      <c r="AT93" s="10" t="str">
        <f t="shared" si="174"/>
        <v/>
      </c>
      <c r="AU93" s="10" t="str">
        <f t="shared" si="174"/>
        <v/>
      </c>
      <c r="AV93" s="10" t="str">
        <f t="shared" si="174"/>
        <v/>
      </c>
      <c r="AW93" s="10" t="str">
        <f t="shared" si="174"/>
        <v/>
      </c>
    </row>
    <row r="94" spans="1:49" s="5" customFormat="1" ht="8.25" customHeight="1" x14ac:dyDescent="0.3">
      <c r="A94" s="40"/>
      <c r="B94" s="13"/>
      <c r="C94" s="85"/>
      <c r="D94" s="85"/>
      <c r="E94" s="85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5"/>
      <c r="AP94" s="15"/>
      <c r="AQ94" s="15"/>
      <c r="AR94" s="15"/>
      <c r="AS94" s="15"/>
      <c r="AT94" s="15"/>
      <c r="AU94" s="15"/>
      <c r="AV94" s="15"/>
      <c r="AW94" s="15"/>
    </row>
    <row r="95" spans="1:49" x14ac:dyDescent="0.3">
      <c r="A95" s="36"/>
      <c r="K95" s="39"/>
    </row>
    <row r="96" spans="1:49" x14ac:dyDescent="0.3">
      <c r="A96" s="36"/>
      <c r="K96" s="39"/>
    </row>
    <row r="97" spans="1:11" x14ac:dyDescent="0.3">
      <c r="A97" s="36"/>
      <c r="K97" s="39"/>
    </row>
    <row r="98" spans="1:11" x14ac:dyDescent="0.3">
      <c r="A98" s="36"/>
      <c r="K98" s="39"/>
    </row>
    <row r="99" spans="1:11" x14ac:dyDescent="0.3">
      <c r="A99" s="36"/>
      <c r="K99" s="39"/>
    </row>
    <row r="100" spans="1:11" x14ac:dyDescent="0.3">
      <c r="A100" s="36"/>
      <c r="K100" s="39"/>
    </row>
    <row r="101" spans="1:11" x14ac:dyDescent="0.3">
      <c r="A101" s="36"/>
      <c r="K101" s="39"/>
    </row>
    <row r="102" spans="1:11" x14ac:dyDescent="0.3">
      <c r="A102" s="36"/>
      <c r="K102" s="39"/>
    </row>
    <row r="103" spans="1:11" x14ac:dyDescent="0.3">
      <c r="A103" s="36"/>
      <c r="K103" s="39"/>
    </row>
    <row r="104" spans="1:11" x14ac:dyDescent="0.3">
      <c r="A104" s="36"/>
      <c r="K104" s="39"/>
    </row>
    <row r="105" spans="1:11" x14ac:dyDescent="0.3">
      <c r="A105" s="36"/>
      <c r="K105" s="39"/>
    </row>
    <row r="106" spans="1:11" x14ac:dyDescent="0.3">
      <c r="A106" s="36"/>
      <c r="K106" s="39"/>
    </row>
    <row r="107" spans="1:11" x14ac:dyDescent="0.3">
      <c r="A107" s="36"/>
      <c r="K107" s="39"/>
    </row>
    <row r="108" spans="1:11" x14ac:dyDescent="0.3">
      <c r="A108" s="36"/>
      <c r="K108" s="39"/>
    </row>
    <row r="109" spans="1:11" x14ac:dyDescent="0.3">
      <c r="A109" s="36"/>
      <c r="K109" s="39"/>
    </row>
    <row r="110" spans="1:11" x14ac:dyDescent="0.3">
      <c r="A110" s="36"/>
      <c r="K110" s="39"/>
    </row>
    <row r="111" spans="1:11" x14ac:dyDescent="0.3">
      <c r="A111" s="36"/>
      <c r="K111" s="39"/>
    </row>
    <row r="112" spans="1:11" x14ac:dyDescent="0.3">
      <c r="A112" s="36"/>
      <c r="K112" s="39"/>
    </row>
    <row r="113" spans="1:11" x14ac:dyDescent="0.3">
      <c r="A113" s="36"/>
      <c r="K113" s="39"/>
    </row>
    <row r="114" spans="1:11" x14ac:dyDescent="0.3">
      <c r="A114" s="36"/>
      <c r="K114" s="39"/>
    </row>
    <row r="115" spans="1:11" x14ac:dyDescent="0.3">
      <c r="A115" s="36"/>
      <c r="K115" s="39"/>
    </row>
    <row r="116" spans="1:11" x14ac:dyDescent="0.3">
      <c r="A116" s="36"/>
      <c r="K116" s="39"/>
    </row>
    <row r="117" spans="1:11" x14ac:dyDescent="0.3">
      <c r="A117" s="36"/>
      <c r="K117" s="39"/>
    </row>
    <row r="118" spans="1:11" x14ac:dyDescent="0.3">
      <c r="A118" s="36"/>
      <c r="K118" s="39"/>
    </row>
    <row r="119" spans="1:11" x14ac:dyDescent="0.3">
      <c r="A119" s="36"/>
      <c r="K119" s="39"/>
    </row>
    <row r="120" spans="1:11" x14ac:dyDescent="0.3">
      <c r="A120" s="36"/>
      <c r="K120" s="39"/>
    </row>
    <row r="121" spans="1:11" x14ac:dyDescent="0.3">
      <c r="A121" s="36"/>
      <c r="K121" s="39"/>
    </row>
    <row r="122" spans="1:11" x14ac:dyDescent="0.3">
      <c r="A122" s="36"/>
      <c r="K122" s="39"/>
    </row>
    <row r="123" spans="1:11" x14ac:dyDescent="0.3">
      <c r="A123" s="36"/>
      <c r="K123" s="39"/>
    </row>
    <row r="124" spans="1:11" x14ac:dyDescent="0.3">
      <c r="A124" s="36"/>
      <c r="K124" s="39"/>
    </row>
    <row r="125" spans="1:11" x14ac:dyDescent="0.3">
      <c r="A125" s="36"/>
      <c r="K125" s="39"/>
    </row>
    <row r="126" spans="1:11" x14ac:dyDescent="0.3">
      <c r="A126" s="36"/>
    </row>
    <row r="127" spans="1:11" x14ac:dyDescent="0.3">
      <c r="A127" s="36"/>
    </row>
    <row r="128" spans="1:11" x14ac:dyDescent="0.3">
      <c r="A128" s="36"/>
    </row>
    <row r="129" spans="1:1" x14ac:dyDescent="0.3">
      <c r="A129" s="36"/>
    </row>
    <row r="130" spans="1:1" x14ac:dyDescent="0.3">
      <c r="A130" s="36"/>
    </row>
    <row r="131" spans="1:1" x14ac:dyDescent="0.3">
      <c r="A131" s="36"/>
    </row>
    <row r="132" spans="1:1" x14ac:dyDescent="0.3">
      <c r="A132" s="36"/>
    </row>
    <row r="133" spans="1:1" x14ac:dyDescent="0.3">
      <c r="A133" s="36"/>
    </row>
    <row r="134" spans="1:1" x14ac:dyDescent="0.3">
      <c r="A134" s="36"/>
    </row>
    <row r="135" spans="1:1" x14ac:dyDescent="0.3">
      <c r="A135" s="36"/>
    </row>
    <row r="136" spans="1:1" x14ac:dyDescent="0.3">
      <c r="A136" s="36"/>
    </row>
    <row r="137" spans="1:1" x14ac:dyDescent="0.3">
      <c r="A137" s="36"/>
    </row>
    <row r="138" spans="1:1" x14ac:dyDescent="0.3">
      <c r="A138" s="36"/>
    </row>
    <row r="139" spans="1:1" x14ac:dyDescent="0.3">
      <c r="A139" s="36"/>
    </row>
    <row r="140" spans="1:1" x14ac:dyDescent="0.3">
      <c r="A140" s="36"/>
    </row>
    <row r="141" spans="1:1" x14ac:dyDescent="0.3">
      <c r="A141" s="36"/>
    </row>
    <row r="142" spans="1:1" x14ac:dyDescent="0.3">
      <c r="A142" s="36"/>
    </row>
    <row r="143" spans="1:1" x14ac:dyDescent="0.3">
      <c r="A143" s="36"/>
    </row>
    <row r="144" spans="1:1" x14ac:dyDescent="0.3">
      <c r="A144" s="36"/>
    </row>
    <row r="145" spans="1:1" x14ac:dyDescent="0.3">
      <c r="A145" s="36"/>
    </row>
    <row r="146" spans="1:1" x14ac:dyDescent="0.3">
      <c r="A146" s="36"/>
    </row>
    <row r="147" spans="1:1" x14ac:dyDescent="0.3">
      <c r="A147" s="36"/>
    </row>
    <row r="148" spans="1:1" x14ac:dyDescent="0.3">
      <c r="A148" s="36"/>
    </row>
    <row r="149" spans="1:1" x14ac:dyDescent="0.3">
      <c r="A149" s="36"/>
    </row>
    <row r="150" spans="1:1" x14ac:dyDescent="0.3">
      <c r="A150" s="36"/>
    </row>
    <row r="151" spans="1:1" x14ac:dyDescent="0.3">
      <c r="A151" s="36"/>
    </row>
    <row r="152" spans="1:1" x14ac:dyDescent="0.3">
      <c r="A152" s="36"/>
    </row>
    <row r="153" spans="1:1" x14ac:dyDescent="0.3">
      <c r="A153" s="36"/>
    </row>
    <row r="154" spans="1:1" x14ac:dyDescent="0.3">
      <c r="A154" s="36"/>
    </row>
    <row r="155" spans="1:1" x14ac:dyDescent="0.3">
      <c r="A155" s="36"/>
    </row>
    <row r="156" spans="1:1" x14ac:dyDescent="0.3">
      <c r="A156" s="36"/>
    </row>
    <row r="157" spans="1:1" x14ac:dyDescent="0.3">
      <c r="A157" s="36"/>
    </row>
    <row r="158" spans="1:1" x14ac:dyDescent="0.3">
      <c r="A158" s="36"/>
    </row>
    <row r="159" spans="1:1" x14ac:dyDescent="0.3">
      <c r="A159" s="36"/>
    </row>
    <row r="160" spans="1:1" x14ac:dyDescent="0.3">
      <c r="A160" s="36"/>
    </row>
    <row r="161" spans="1:1" x14ac:dyDescent="0.3">
      <c r="A161" s="36"/>
    </row>
    <row r="162" spans="1:1" x14ac:dyDescent="0.3">
      <c r="A162" s="36"/>
    </row>
    <row r="163" spans="1:1" x14ac:dyDescent="0.3">
      <c r="A163" s="36"/>
    </row>
    <row r="164" spans="1:1" x14ac:dyDescent="0.3">
      <c r="A164" s="36"/>
    </row>
    <row r="165" spans="1:1" x14ac:dyDescent="0.3">
      <c r="A165" s="36"/>
    </row>
    <row r="166" spans="1:1" x14ac:dyDescent="0.3">
      <c r="A166" s="36"/>
    </row>
    <row r="167" spans="1:1" x14ac:dyDescent="0.3">
      <c r="A167" s="36"/>
    </row>
    <row r="168" spans="1:1" x14ac:dyDescent="0.3">
      <c r="A168" s="36"/>
    </row>
    <row r="169" spans="1:1" x14ac:dyDescent="0.3">
      <c r="A169" s="36"/>
    </row>
    <row r="170" spans="1:1" x14ac:dyDescent="0.3">
      <c r="A170" s="36"/>
    </row>
    <row r="171" spans="1:1" x14ac:dyDescent="0.3">
      <c r="A171" s="36"/>
    </row>
    <row r="172" spans="1:1" x14ac:dyDescent="0.3">
      <c r="A172" s="36"/>
    </row>
    <row r="173" spans="1:1" x14ac:dyDescent="0.3">
      <c r="A173" s="36"/>
    </row>
    <row r="174" spans="1:1" x14ac:dyDescent="0.3"/>
    <row r="175" spans="1:1" x14ac:dyDescent="0.3"/>
    <row r="176" spans="1:1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</sheetData>
  <mergeCells count="9">
    <mergeCell ref="A66:A74"/>
    <mergeCell ref="A76:A82"/>
    <mergeCell ref="A85:A93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6" orientation="landscape" cellComments="asDisplayed" r:id="rId1"/>
  <headerFooter>
    <oddHeader>&amp;C&amp;A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A183"/>
  <sheetViews>
    <sheetView zoomScale="85" zoomScaleNormal="85" zoomScaleSheetLayoutView="80" workbookViewId="0">
      <pane xSplit="2" ySplit="4" topLeftCell="Q72" activePane="bottomRight" state="frozen"/>
      <selection pane="topRight"/>
      <selection pane="bottomLeft"/>
      <selection pane="bottomRight" activeCell="AD36" sqref="AD36"/>
    </sheetView>
  </sheetViews>
  <sheetFormatPr defaultColWidth="9.109375" defaultRowHeight="14.4" zeroHeight="1" outlineLevelRow="1" x14ac:dyDescent="0.3"/>
  <cols>
    <col min="1" max="1" width="3.109375" style="1" customWidth="1"/>
    <col min="2" max="2" width="50" style="36" customWidth="1"/>
    <col min="3" max="3" width="14" style="36" hidden="1" customWidth="1"/>
    <col min="4" max="4" width="14.88671875" style="36" hidden="1" customWidth="1"/>
    <col min="5" max="5" width="15.109375" style="36" hidden="1" customWidth="1"/>
    <col min="6" max="13" width="18.6640625" style="36" hidden="1" customWidth="1"/>
    <col min="14" max="14" width="17.88671875" style="36" hidden="1" customWidth="1" collapsed="1"/>
    <col min="15" max="16" width="18.6640625" style="36" hidden="1" customWidth="1"/>
    <col min="17" max="25" width="18.6640625" style="36" customWidth="1"/>
    <col min="26" max="26" width="11.44140625" style="36" bestFit="1" customWidth="1"/>
    <col min="27" max="27" width="18.5546875" style="36" bestFit="1" customWidth="1"/>
    <col min="28" max="16384" width="9.109375" style="36"/>
  </cols>
  <sheetData>
    <row r="1" spans="1:25" s="2" customFormat="1" ht="15.6" x14ac:dyDescent="0.3">
      <c r="A1" s="45"/>
    </row>
    <row r="2" spans="1:25" ht="15.6" x14ac:dyDescent="0.3">
      <c r="A2" s="45"/>
      <c r="B2" s="32" t="s">
        <v>80</v>
      </c>
      <c r="C2" s="90"/>
      <c r="D2" s="47"/>
      <c r="E2" s="47"/>
      <c r="F2" s="47"/>
      <c r="G2" s="47"/>
      <c r="H2" s="47"/>
      <c r="I2" s="47"/>
      <c r="J2" s="47"/>
      <c r="K2" s="47"/>
      <c r="V2" s="39"/>
      <c r="W2" s="39"/>
      <c r="X2" s="39"/>
    </row>
    <row r="3" spans="1:25" x14ac:dyDescent="0.3">
      <c r="A3" s="79"/>
    </row>
    <row r="4" spans="1:25" x14ac:dyDescent="0.3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</row>
    <row r="5" spans="1:25" s="2" customFormat="1" ht="15" hidden="1" customHeight="1" x14ac:dyDescent="0.3">
      <c r="A5" s="135" t="s">
        <v>0</v>
      </c>
      <c r="B5" s="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9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s="4" customFormat="1" ht="15" hidden="1" customHeight="1" x14ac:dyDescent="0.3">
      <c r="A6" s="135"/>
      <c r="B6" s="7" t="s">
        <v>8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23">
        <v>7981786.3300000001</v>
      </c>
      <c r="O6" s="24">
        <v>14289408.219999997</v>
      </c>
      <c r="P6" s="24">
        <v>2300282.3399999994</v>
      </c>
      <c r="Q6" s="23">
        <v>3266635.3100000005</v>
      </c>
      <c r="R6" s="23">
        <v>4668387.1399999997</v>
      </c>
      <c r="S6" s="23">
        <v>3355052.560000001</v>
      </c>
      <c r="T6" s="23">
        <v>3504036.8800000004</v>
      </c>
      <c r="U6" s="23">
        <v>4570550.08</v>
      </c>
      <c r="V6" s="23">
        <v>4337551.2399999993</v>
      </c>
      <c r="W6" s="23">
        <v>5132057.5999999996</v>
      </c>
      <c r="X6" s="23">
        <v>6881005.1299999999</v>
      </c>
      <c r="Y6" s="23">
        <v>5075926.8299999991</v>
      </c>
    </row>
    <row r="7" spans="1:25" s="4" customFormat="1" hidden="1" x14ac:dyDescent="0.3">
      <c r="A7" s="135"/>
      <c r="B7" s="7" t="s">
        <v>9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24">
        <v>5729648.6699999999</v>
      </c>
      <c r="O7" s="23">
        <v>7016994.2000000002</v>
      </c>
      <c r="P7" s="24">
        <v>7580344.1500000004</v>
      </c>
      <c r="Q7" s="24">
        <v>6780583.4199999999</v>
      </c>
      <c r="R7" s="24">
        <v>5258818.8899999997</v>
      </c>
      <c r="S7" s="24">
        <v>4379338.6900000004</v>
      </c>
      <c r="T7" s="24">
        <v>4010923.17</v>
      </c>
      <c r="U7" s="24">
        <v>4897738.25</v>
      </c>
      <c r="V7" s="24">
        <v>6248757.4000000004</v>
      </c>
      <c r="W7" s="24">
        <v>6053644.0300000003</v>
      </c>
      <c r="X7" s="24">
        <v>5708518.8099999996</v>
      </c>
      <c r="Y7" s="24">
        <v>4362797.6900000004</v>
      </c>
    </row>
    <row r="8" spans="1:25" s="4" customFormat="1" hidden="1" x14ac:dyDescent="0.3">
      <c r="A8" s="135"/>
      <c r="B8" s="7" t="s">
        <v>10</v>
      </c>
      <c r="C8" s="9">
        <f t="shared" ref="C8:Y8" si="0">IF(OR(C6="",C7=""),"",C6-C7)</f>
        <v>472906.7</v>
      </c>
      <c r="D8" s="9">
        <f t="shared" si="0"/>
        <v>121950.46</v>
      </c>
      <c r="E8" s="9">
        <f t="shared" si="0"/>
        <v>306057.09999999998</v>
      </c>
      <c r="F8" s="9">
        <f t="shared" si="0"/>
        <v>3254515.75</v>
      </c>
      <c r="G8" s="9">
        <f t="shared" si="0"/>
        <v>1441686.8700000006</v>
      </c>
      <c r="H8" s="9">
        <f>IF(OR(H6="",H7=""),"",H6-H7)</f>
        <v>2193801.7700000005</v>
      </c>
      <c r="I8" s="10">
        <f t="shared" si="0"/>
        <v>-3041386.45</v>
      </c>
      <c r="J8" s="10">
        <f t="shared" si="0"/>
        <v>-3633337.8400000008</v>
      </c>
      <c r="K8" s="10">
        <f t="shared" si="0"/>
        <v>-2120193.1100000003</v>
      </c>
      <c r="L8" s="10">
        <f t="shared" si="0"/>
        <v>-2750489.7899999982</v>
      </c>
      <c r="M8" s="10">
        <f t="shared" si="0"/>
        <v>-1700039.8799999971</v>
      </c>
      <c r="N8" s="10">
        <f t="shared" si="0"/>
        <v>2252137.66</v>
      </c>
      <c r="O8" s="10">
        <f>IF(OR(O6="",O7=""),"",O6-O7)</f>
        <v>7272414.0199999968</v>
      </c>
      <c r="P8" s="10">
        <f t="shared" si="0"/>
        <v>-5280061.8100000005</v>
      </c>
      <c r="Q8" s="10">
        <f t="shared" si="0"/>
        <v>-3513948.1099999994</v>
      </c>
      <c r="R8" s="10">
        <f t="shared" si="0"/>
        <v>-590431.75</v>
      </c>
      <c r="S8" s="10">
        <f t="shared" si="0"/>
        <v>-1024286.1299999994</v>
      </c>
      <c r="T8" s="10">
        <f t="shared" si="0"/>
        <v>-506886.28999999957</v>
      </c>
      <c r="U8" s="10">
        <f t="shared" si="0"/>
        <v>-327188.16999999993</v>
      </c>
      <c r="V8" s="10">
        <f t="shared" si="0"/>
        <v>-1911206.1600000011</v>
      </c>
      <c r="W8" s="10">
        <f>IF(OR(W6="",W7=""),"",W6-W7)</f>
        <v>-921586.43000000063</v>
      </c>
      <c r="X8" s="10">
        <f>IF(OR(X6="",X7=""),"",X6-X7)</f>
        <v>1172486.3200000003</v>
      </c>
      <c r="Y8" s="10">
        <f t="shared" si="0"/>
        <v>713129.13999999873</v>
      </c>
    </row>
    <row r="9" spans="1:25" s="4" customFormat="1" hidden="1" x14ac:dyDescent="0.3">
      <c r="A9" s="135"/>
      <c r="B9" s="7" t="s">
        <v>3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25">
        <v>1.8159890000000001E-2</v>
      </c>
      <c r="O9" s="25">
        <v>1.9151990000000001E-2</v>
      </c>
      <c r="P9" s="25">
        <v>1.8890779999999999E-2</v>
      </c>
      <c r="Q9" s="25">
        <v>1.8035829999999999E-2</v>
      </c>
      <c r="R9" s="25">
        <v>1.888592E-2</v>
      </c>
      <c r="S9" s="25">
        <v>9.3845999999999999E-3</v>
      </c>
      <c r="T9" s="25">
        <v>1.2906700000000001E-3</v>
      </c>
      <c r="U9" s="25">
        <v>1.2563100000000001E-3</v>
      </c>
      <c r="V9" s="25">
        <v>1.9366299999999999E-3</v>
      </c>
      <c r="W9" s="25">
        <v>1.3658500000000001E-3</v>
      </c>
      <c r="X9" s="25">
        <v>1.23916E-3</v>
      </c>
      <c r="Y9" s="25">
        <v>2E-3</v>
      </c>
    </row>
    <row r="10" spans="1:25" s="4" customFormat="1" hidden="1" x14ac:dyDescent="0.3">
      <c r="A10" s="135"/>
      <c r="B10" s="7" t="s">
        <v>4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X10" si="1">IF(OR(E9="",E8="",D13=""),"",ROUND(((D13+E8)*E9)/12,2))</f>
        <v>0</v>
      </c>
      <c r="F10" s="10">
        <f t="shared" si="1"/>
        <v>9653.81</v>
      </c>
      <c r="G10" s="10">
        <f t="shared" si="1"/>
        <v>12438.97</v>
      </c>
      <c r="H10" s="10">
        <f t="shared" si="1"/>
        <v>17431.88</v>
      </c>
      <c r="I10" s="10">
        <f t="shared" si="1"/>
        <v>10576.06</v>
      </c>
      <c r="J10" s="10">
        <f t="shared" si="1"/>
        <v>2521.9899999999998</v>
      </c>
      <c r="K10" s="10">
        <f t="shared" si="1"/>
        <v>-1864.05</v>
      </c>
      <c r="L10" s="10">
        <f t="shared" si="1"/>
        <v>-6842.24</v>
      </c>
      <c r="M10" s="10">
        <f t="shared" si="1"/>
        <v>-9531.39</v>
      </c>
      <c r="N10" s="10">
        <f t="shared" si="1"/>
        <v>-4794.22</v>
      </c>
      <c r="O10" s="10">
        <f t="shared" si="1"/>
        <v>6542.98</v>
      </c>
      <c r="P10" s="10">
        <f t="shared" si="1"/>
        <v>-1848</v>
      </c>
      <c r="Q10" s="10">
        <f t="shared" si="1"/>
        <v>-7048.55</v>
      </c>
      <c r="R10" s="10">
        <f t="shared" si="1"/>
        <v>-8321.11</v>
      </c>
      <c r="S10" s="10">
        <f t="shared" si="1"/>
        <v>-4942.3900000000003</v>
      </c>
      <c r="T10" s="10">
        <f t="shared" si="1"/>
        <v>-734.78</v>
      </c>
      <c r="U10" s="10">
        <f t="shared" si="1"/>
        <v>-749.55</v>
      </c>
      <c r="V10" s="10">
        <f t="shared" si="1"/>
        <v>-1464.01</v>
      </c>
      <c r="W10" s="10">
        <f t="shared" si="1"/>
        <v>-1137.5899999999999</v>
      </c>
      <c r="X10" s="10">
        <f t="shared" si="1"/>
        <v>-911.11</v>
      </c>
      <c r="Y10" s="10">
        <f>IF(OR(Y9="",Y8="",X13=""),"",ROUND(((X13+Y8)*Y9)/12,2))</f>
        <v>-1351.83</v>
      </c>
    </row>
    <row r="11" spans="1:25" s="4" customFormat="1" hidden="1" x14ac:dyDescent="0.3">
      <c r="A11" s="135"/>
      <c r="B11" s="8" t="s">
        <v>5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Y11" si="2">IF(OR(E11="",F10=""),"",E11+F10)</f>
        <v>9653.81</v>
      </c>
      <c r="G11" s="10">
        <f t="shared" si="2"/>
        <v>22092.78</v>
      </c>
      <c r="H11" s="10">
        <f t="shared" si="2"/>
        <v>39524.660000000003</v>
      </c>
      <c r="I11" s="10">
        <f t="shared" si="2"/>
        <v>50100.72</v>
      </c>
      <c r="J11" s="10">
        <f t="shared" si="2"/>
        <v>52622.71</v>
      </c>
      <c r="K11" s="10">
        <f t="shared" si="2"/>
        <v>50758.659999999996</v>
      </c>
      <c r="L11" s="10">
        <f t="shared" si="2"/>
        <v>43916.42</v>
      </c>
      <c r="M11" s="10">
        <f t="shared" si="2"/>
        <v>34385.03</v>
      </c>
      <c r="N11" s="10">
        <f t="shared" si="2"/>
        <v>29590.809999999998</v>
      </c>
      <c r="O11" s="10">
        <f>IF(OR(N11="",O10=""),"",N11+O10)</f>
        <v>36133.789999999994</v>
      </c>
      <c r="P11" s="10">
        <f t="shared" si="2"/>
        <v>34285.789999999994</v>
      </c>
      <c r="Q11" s="10">
        <f t="shared" si="2"/>
        <v>27237.239999999994</v>
      </c>
      <c r="R11" s="10">
        <f t="shared" si="2"/>
        <v>18916.129999999994</v>
      </c>
      <c r="S11" s="10">
        <f t="shared" si="2"/>
        <v>13973.739999999994</v>
      </c>
      <c r="T11" s="10">
        <f t="shared" si="2"/>
        <v>13238.959999999994</v>
      </c>
      <c r="U11" s="10">
        <f t="shared" si="2"/>
        <v>12489.409999999994</v>
      </c>
      <c r="V11" s="10">
        <f t="shared" si="2"/>
        <v>11025.399999999994</v>
      </c>
      <c r="W11" s="10">
        <f t="shared" si="2"/>
        <v>9887.809999999994</v>
      </c>
      <c r="X11" s="10">
        <f>IF(OR(W11="",X10=""),"",W11+X10+X5)</f>
        <v>8976.6999999999935</v>
      </c>
      <c r="Y11" s="10">
        <f t="shared" si="2"/>
        <v>7624.8699999999935</v>
      </c>
    </row>
    <row r="12" spans="1:25" s="4" customFormat="1" hidden="1" x14ac:dyDescent="0.3">
      <c r="A12" s="135"/>
      <c r="B12" s="7" t="s">
        <v>11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3">IF(OR(F10="",F8=""),"",F8+F10)</f>
        <v>3264169.56</v>
      </c>
      <c r="G12" s="10">
        <f>IF(OR(G10="",G8=""),"",G8+G10)</f>
        <v>1454125.8400000005</v>
      </c>
      <c r="H12" s="10">
        <f t="shared" si="3"/>
        <v>2211233.6500000004</v>
      </c>
      <c r="I12" s="10">
        <f>IF(OR(I10="",I8=""),"",I8+I10)</f>
        <v>-3030810.39</v>
      </c>
      <c r="J12" s="10">
        <f t="shared" ref="J12:M12" si="4">IF(OR(J10="",J8=""),"",J8+J10)</f>
        <v>-3630815.8500000006</v>
      </c>
      <c r="K12" s="10">
        <f>IF(OR(K10="",K8=""),"",K8+K10)</f>
        <v>-2122057.16</v>
      </c>
      <c r="L12" s="10">
        <f t="shared" si="4"/>
        <v>-2757332.0299999984</v>
      </c>
      <c r="M12" s="10">
        <f t="shared" si="4"/>
        <v>-1709571.269999997</v>
      </c>
      <c r="N12" s="10">
        <f>IF(OR(N10="",N8=""),"",N8+N10)</f>
        <v>2247343.44</v>
      </c>
      <c r="O12" s="10">
        <f>IF(OR(O10="",O8=""),"",O8+O10)</f>
        <v>7278956.9999999972</v>
      </c>
      <c r="P12" s="10">
        <f t="shared" ref="P12:X12" si="5">IF(OR(P10="",P8=""),"",P8+P10)</f>
        <v>-5281909.8100000005</v>
      </c>
      <c r="Q12" s="10">
        <f t="shared" si="5"/>
        <v>-3520996.6599999992</v>
      </c>
      <c r="R12" s="10">
        <f t="shared" si="5"/>
        <v>-598752.86</v>
      </c>
      <c r="S12" s="10">
        <f t="shared" si="5"/>
        <v>-1029228.5199999994</v>
      </c>
      <c r="T12" s="10">
        <f>IF(OR(T10="",T8=""),"",T8+T10)</f>
        <v>-507621.0699999996</v>
      </c>
      <c r="U12" s="10">
        <f t="shared" si="5"/>
        <v>-327937.71999999991</v>
      </c>
      <c r="V12" s="10">
        <f>IF(OR(V10="",V8=""),"",V8+V10)</f>
        <v>-1912670.1700000011</v>
      </c>
      <c r="W12" s="10">
        <f t="shared" si="5"/>
        <v>-922724.0200000006</v>
      </c>
      <c r="X12" s="10">
        <f t="shared" si="5"/>
        <v>1171575.2100000002</v>
      </c>
      <c r="Y12" s="10">
        <f>IF(OR(Y10="",Y8=""),"",Y8+Y10)</f>
        <v>711777.30999999878</v>
      </c>
    </row>
    <row r="13" spans="1:25" s="4" customFormat="1" hidden="1" x14ac:dyDescent="0.3">
      <c r="A13" s="135"/>
      <c r="B13" s="11" t="s">
        <v>2</v>
      </c>
      <c r="C13" s="86">
        <f>C12</f>
        <v>472906.7</v>
      </c>
      <c r="D13" s="86">
        <f>IF(OR(D12="",C13=""),"",D12+C13)</f>
        <v>594857.16</v>
      </c>
      <c r="E13" s="86">
        <f>IF(OR(E12="",D13=""),"",E12+D13)</f>
        <v>900914.26</v>
      </c>
      <c r="F13" s="10">
        <f>IF(OR(F12="",E13=""),"",F12+E13)</f>
        <v>4165083.8200000003</v>
      </c>
      <c r="G13" s="10">
        <f t="shared" ref="G13:Y13" si="6">IF(OR(G12="",F13=""),"",G12+F13)</f>
        <v>5619209.6600000011</v>
      </c>
      <c r="H13" s="10">
        <f t="shared" si="6"/>
        <v>7830443.3100000015</v>
      </c>
      <c r="I13" s="10">
        <f t="shared" si="6"/>
        <v>4799632.9200000018</v>
      </c>
      <c r="J13" s="10">
        <f t="shared" si="6"/>
        <v>1168817.0700000012</v>
      </c>
      <c r="K13" s="10">
        <f>IF(OR(K12="",J13=""),"",K12+J13)</f>
        <v>-953240.08999999892</v>
      </c>
      <c r="L13" s="10">
        <f t="shared" si="6"/>
        <v>-3710572.1199999973</v>
      </c>
      <c r="M13" s="10">
        <f t="shared" si="6"/>
        <v>-5420143.3899999941</v>
      </c>
      <c r="N13" s="10">
        <f>IF(OR(N12="",M13=""),"",N12+M13)</f>
        <v>-3172799.9499999941</v>
      </c>
      <c r="O13" s="10">
        <f>IF(OR(O12="",N13=""),"",O12+N13+O5)</f>
        <v>4106157.0500000031</v>
      </c>
      <c r="P13" s="10">
        <f t="shared" si="6"/>
        <v>-1175752.7599999974</v>
      </c>
      <c r="Q13" s="10">
        <f t="shared" si="6"/>
        <v>-4696749.4199999962</v>
      </c>
      <c r="R13" s="10">
        <f t="shared" si="6"/>
        <v>-5295502.2799999965</v>
      </c>
      <c r="S13" s="10">
        <f t="shared" si="6"/>
        <v>-6324730.7999999961</v>
      </c>
      <c r="T13" s="10">
        <f t="shared" si="6"/>
        <v>-6832351.8699999955</v>
      </c>
      <c r="U13" s="10">
        <f t="shared" si="6"/>
        <v>-7160289.5899999952</v>
      </c>
      <c r="V13" s="10">
        <f>IF(OR(V12="",U13=""),"",V12+U13)</f>
        <v>-9072959.7599999961</v>
      </c>
      <c r="W13" s="10">
        <f t="shared" si="6"/>
        <v>-9995683.7799999975</v>
      </c>
      <c r="X13" s="10">
        <f>IF(OR(X12="",W13=""),"",X12+W13+X5)</f>
        <v>-8824108.5699999966</v>
      </c>
      <c r="Y13" s="10">
        <f t="shared" si="6"/>
        <v>-8112331.2599999979</v>
      </c>
    </row>
    <row r="14" spans="1:25" s="5" customFormat="1" ht="8.25" hidden="1" customHeight="1" x14ac:dyDescent="0.3">
      <c r="A14" s="40"/>
      <c r="B14" s="13"/>
      <c r="C14" s="85"/>
      <c r="D14" s="85"/>
      <c r="E14" s="85"/>
      <c r="F14" s="8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5" customFormat="1" ht="15" customHeight="1" x14ac:dyDescent="0.3">
      <c r="A15" s="132" t="s">
        <v>24</v>
      </c>
      <c r="B15" s="17"/>
      <c r="C15" s="87"/>
      <c r="D15" s="87"/>
      <c r="E15" s="87"/>
      <c r="F15" s="9"/>
      <c r="G15" s="9"/>
      <c r="H15" s="9"/>
      <c r="I15" s="9"/>
      <c r="J15" s="9"/>
      <c r="K15" s="9"/>
      <c r="L15" s="9"/>
      <c r="M15" s="9"/>
      <c r="N15" s="96">
        <f>N26+N36+N46+N56+N66</f>
        <v>157.77999999999946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s="3" customFormat="1" ht="15" customHeight="1" x14ac:dyDescent="0.3">
      <c r="A16" s="132"/>
      <c r="B16" s="17" t="s">
        <v>27</v>
      </c>
      <c r="C16" s="81"/>
      <c r="D16" s="81"/>
      <c r="E16" s="81"/>
      <c r="F16" s="21">
        <f>IF(F67="","",SUM(F67,F57,F47,F37,F27))</f>
        <v>0.71203150918887492</v>
      </c>
      <c r="G16" s="21">
        <f t="shared" ref="F16:Y21" si="7">IF(G67="","",SUM(G67,G57,G47,G37,G27))</f>
        <v>4695.4207688607348</v>
      </c>
      <c r="H16" s="21">
        <f t="shared" si="7"/>
        <v>39935.570121927383</v>
      </c>
      <c r="I16" s="21">
        <f t="shared" si="7"/>
        <v>291676.37356246018</v>
      </c>
      <c r="J16" s="21">
        <f t="shared" si="7"/>
        <v>544866.33457860805</v>
      </c>
      <c r="K16" s="21">
        <f t="shared" si="7"/>
        <v>663040.94756639062</v>
      </c>
      <c r="L16" s="21">
        <f t="shared" si="7"/>
        <v>547744.67638274864</v>
      </c>
      <c r="M16" s="21">
        <f t="shared" si="7"/>
        <v>270067.89072131994</v>
      </c>
      <c r="N16" s="21">
        <f t="shared" si="7"/>
        <v>449448.83291898982</v>
      </c>
      <c r="O16" s="21">
        <f t="shared" si="7"/>
        <v>672384.11562352558</v>
      </c>
      <c r="P16" s="21">
        <f t="shared" si="7"/>
        <v>860299.05315340089</v>
      </c>
      <c r="Q16" s="21">
        <f t="shared" si="7"/>
        <v>921069.68539476907</v>
      </c>
      <c r="R16" s="21">
        <f t="shared" si="7"/>
        <v>727242.36549864151</v>
      </c>
      <c r="S16" s="21">
        <f t="shared" si="7"/>
        <v>330495.27100759087</v>
      </c>
      <c r="T16" s="21">
        <f t="shared" si="7"/>
        <v>448514.38010054693</v>
      </c>
      <c r="U16" s="21">
        <f t="shared" si="7"/>
        <v>1166466.8526526124</v>
      </c>
      <c r="V16" s="21">
        <f t="shared" si="7"/>
        <v>1596902.1714481553</v>
      </c>
      <c r="W16" s="21">
        <f>IF(W67="","",SUM(W67,W57,W47,W37,W27))</f>
        <v>1748272.4117888492</v>
      </c>
      <c r="X16" s="21">
        <f t="shared" si="7"/>
        <v>1519471.01623757</v>
      </c>
      <c r="Y16" s="21">
        <f t="shared" si="7"/>
        <v>764880.45368540613</v>
      </c>
    </row>
    <row r="17" spans="1:27" s="5" customFormat="1" ht="15" customHeight="1" x14ac:dyDescent="0.3">
      <c r="A17" s="132"/>
      <c r="B17" s="18" t="s">
        <v>25</v>
      </c>
      <c r="C17" s="81"/>
      <c r="D17" s="81"/>
      <c r="E17" s="81"/>
      <c r="F17" s="21">
        <f t="shared" si="7"/>
        <v>0</v>
      </c>
      <c r="G17" s="21">
        <f t="shared" si="7"/>
        <v>0</v>
      </c>
      <c r="H17" s="21">
        <f t="shared" si="7"/>
        <v>42385.43</v>
      </c>
      <c r="I17" s="21">
        <f t="shared" si="7"/>
        <v>557603.83999999997</v>
      </c>
      <c r="J17" s="21">
        <f t="shared" si="7"/>
        <v>676036.05</v>
      </c>
      <c r="K17" s="21">
        <f t="shared" si="7"/>
        <v>706998.16999999993</v>
      </c>
      <c r="L17" s="21">
        <f t="shared" si="7"/>
        <v>670246.85</v>
      </c>
      <c r="M17" s="21">
        <f t="shared" si="7"/>
        <v>574404.17000000004</v>
      </c>
      <c r="N17" s="21">
        <f t="shared" si="7"/>
        <v>514881.99</v>
      </c>
      <c r="O17" s="21">
        <f t="shared" si="7"/>
        <v>639874.60000000009</v>
      </c>
      <c r="P17" s="21">
        <f t="shared" si="7"/>
        <v>693023.25</v>
      </c>
      <c r="Q17" s="21">
        <f t="shared" si="7"/>
        <v>705379.12999999989</v>
      </c>
      <c r="R17" s="21">
        <f t="shared" si="7"/>
        <v>656045.5</v>
      </c>
      <c r="S17" s="21">
        <f t="shared" si="7"/>
        <v>537519.55000000005</v>
      </c>
      <c r="T17" s="21">
        <f t="shared" si="7"/>
        <v>488973.88</v>
      </c>
      <c r="U17" s="21">
        <f t="shared" si="7"/>
        <v>614590.80000000005</v>
      </c>
      <c r="V17" s="21">
        <f t="shared" si="7"/>
        <v>791820.69</v>
      </c>
      <c r="W17" s="21">
        <f t="shared" si="7"/>
        <v>759797.67</v>
      </c>
      <c r="X17" s="21">
        <f t="shared" si="7"/>
        <v>707202.3</v>
      </c>
      <c r="Y17" s="21">
        <f t="shared" si="7"/>
        <v>523078.24999999994</v>
      </c>
    </row>
    <row r="18" spans="1:27" s="5" customFormat="1" ht="15" customHeight="1" x14ac:dyDescent="0.3">
      <c r="A18" s="132"/>
      <c r="B18" s="18" t="s">
        <v>41</v>
      </c>
      <c r="C18" s="81"/>
      <c r="D18" s="81"/>
      <c r="E18" s="81"/>
      <c r="F18" s="21">
        <f t="shared" si="7"/>
        <v>0</v>
      </c>
      <c r="G18" s="21">
        <f t="shared" si="7"/>
        <v>0</v>
      </c>
      <c r="H18" s="21">
        <f t="shared" si="7"/>
        <v>0</v>
      </c>
      <c r="I18" s="21">
        <f t="shared" si="7"/>
        <v>0</v>
      </c>
      <c r="J18" s="21">
        <f t="shared" si="7"/>
        <v>0</v>
      </c>
      <c r="K18" s="21">
        <f t="shared" si="7"/>
        <v>0</v>
      </c>
      <c r="L18" s="21">
        <f t="shared" si="7"/>
        <v>0</v>
      </c>
      <c r="M18" s="21">
        <f t="shared" si="7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7"/>
        <v>0</v>
      </c>
      <c r="Q18" s="21">
        <f t="shared" si="7"/>
        <v>196554.22</v>
      </c>
      <c r="R18" s="21">
        <f t="shared" si="7"/>
        <v>181274.15000000002</v>
      </c>
      <c r="S18" s="21">
        <f t="shared" si="7"/>
        <v>149642.01999999999</v>
      </c>
      <c r="T18" s="21">
        <f t="shared" si="7"/>
        <v>136362.22</v>
      </c>
      <c r="U18" s="21">
        <f t="shared" si="7"/>
        <v>171212.22</v>
      </c>
      <c r="V18" s="21">
        <f t="shared" si="7"/>
        <v>216757.82</v>
      </c>
      <c r="W18" s="21">
        <f t="shared" si="7"/>
        <v>209115.01</v>
      </c>
      <c r="X18" s="21">
        <f t="shared" si="7"/>
        <v>195955.65999999997</v>
      </c>
      <c r="Y18" s="21">
        <f t="shared" si="7"/>
        <v>147507.93</v>
      </c>
    </row>
    <row r="19" spans="1:27" s="5" customFormat="1" ht="15" customHeight="1" x14ac:dyDescent="0.3">
      <c r="A19" s="132"/>
      <c r="B19" s="18" t="s">
        <v>42</v>
      </c>
      <c r="C19" s="81"/>
      <c r="D19" s="81"/>
      <c r="E19" s="81"/>
      <c r="F19" s="21">
        <f t="shared" si="7"/>
        <v>0</v>
      </c>
      <c r="G19" s="21">
        <f>IF(G70="","",SUM(G70,G60,G50,G40,G30))</f>
        <v>0</v>
      </c>
      <c r="H19" s="21">
        <f t="shared" si="7"/>
        <v>42385.43</v>
      </c>
      <c r="I19" s="21">
        <f t="shared" si="7"/>
        <v>557603.83999999997</v>
      </c>
      <c r="J19" s="21">
        <f t="shared" si="7"/>
        <v>676036.05</v>
      </c>
      <c r="K19" s="21">
        <f t="shared" si="7"/>
        <v>706998.16999999993</v>
      </c>
      <c r="L19" s="21">
        <f t="shared" si="7"/>
        <v>670246.85</v>
      </c>
      <c r="M19" s="21">
        <f>IF(M70="","",SUM(M70,M60,M50,M40,M30))</f>
        <v>574404.17000000004</v>
      </c>
      <c r="N19" s="21">
        <f>IF(N70="","",SUM(N70,N60,N50,N40,N30))</f>
        <v>514881.99</v>
      </c>
      <c r="O19" s="21">
        <f>IF(O70="","",SUM(O70,O60,O50,O40,O30))</f>
        <v>639874.60000000009</v>
      </c>
      <c r="P19" s="21">
        <f t="shared" si="7"/>
        <v>693023.25</v>
      </c>
      <c r="Q19" s="21">
        <f t="shared" si="7"/>
        <v>901933.35</v>
      </c>
      <c r="R19" s="21">
        <f t="shared" si="7"/>
        <v>837319.65</v>
      </c>
      <c r="S19" s="21">
        <f t="shared" si="7"/>
        <v>687161.57000000007</v>
      </c>
      <c r="T19" s="21">
        <f t="shared" si="7"/>
        <v>625336.1</v>
      </c>
      <c r="U19" s="21">
        <f t="shared" si="7"/>
        <v>785803.02</v>
      </c>
      <c r="V19" s="21">
        <f t="shared" si="7"/>
        <v>1008578.51</v>
      </c>
      <c r="W19" s="21">
        <f t="shared" si="7"/>
        <v>968912.67999999993</v>
      </c>
      <c r="X19" s="21">
        <f t="shared" si="7"/>
        <v>903157.96</v>
      </c>
      <c r="Y19" s="21">
        <f t="shared" si="7"/>
        <v>670586.17999999993</v>
      </c>
    </row>
    <row r="20" spans="1:27" s="5" customFormat="1" x14ac:dyDescent="0.3">
      <c r="A20" s="132"/>
      <c r="B20" s="18" t="s">
        <v>12</v>
      </c>
      <c r="C20" s="81"/>
      <c r="D20" s="81"/>
      <c r="E20" s="81"/>
      <c r="F20" s="21">
        <f t="shared" si="7"/>
        <v>0.71203150918887492</v>
      </c>
      <c r="G20" s="21">
        <f>IF(G71="","",SUM(G71,G61,G51,G41,G31))</f>
        <v>4695.4207688607348</v>
      </c>
      <c r="H20" s="21">
        <f t="shared" si="7"/>
        <v>-2449.8598780726179</v>
      </c>
      <c r="I20" s="21">
        <f t="shared" si="7"/>
        <v>-265927.46643753978</v>
      </c>
      <c r="J20" s="21">
        <f t="shared" si="7"/>
        <v>-131169.715421392</v>
      </c>
      <c r="K20" s="21">
        <f t="shared" si="7"/>
        <v>-43957.222433609393</v>
      </c>
      <c r="L20" s="21">
        <f t="shared" si="7"/>
        <v>-122502.17361725139</v>
      </c>
      <c r="M20" s="21">
        <f t="shared" si="7"/>
        <v>-304336.2792786801</v>
      </c>
      <c r="N20" s="21">
        <f>IF(N71="","",SUM(N71,N61,N51,N41,N31))</f>
        <v>-65433.157081010191</v>
      </c>
      <c r="O20" s="21">
        <f t="shared" ref="O20:Y21" si="8">IF(O71="","",SUM(O71,O61,O51,O41,O31))</f>
        <v>32509.51562352556</v>
      </c>
      <c r="P20" s="21">
        <f t="shared" si="8"/>
        <v>167275.80315340095</v>
      </c>
      <c r="Q20" s="21">
        <f>IF(Q71="","",SUM(Q71,Q61,Q51,Q41,Q31))</f>
        <v>19136.33539476915</v>
      </c>
      <c r="R20" s="21">
        <f t="shared" si="8"/>
        <v>-110077.28450135858</v>
      </c>
      <c r="S20" s="21">
        <f t="shared" si="8"/>
        <v>-356666.29899240914</v>
      </c>
      <c r="T20" s="21">
        <f t="shared" si="8"/>
        <v>-176821.71989945308</v>
      </c>
      <c r="U20" s="21">
        <f t="shared" si="8"/>
        <v>380663.8326526123</v>
      </c>
      <c r="V20" s="21">
        <f t="shared" si="8"/>
        <v>588323.66144815541</v>
      </c>
      <c r="W20" s="21">
        <f t="shared" si="8"/>
        <v>779359.73178884923</v>
      </c>
      <c r="X20" s="21">
        <f t="shared" si="8"/>
        <v>616313.05623756989</v>
      </c>
      <c r="Y20" s="21">
        <f t="shared" si="8"/>
        <v>94294.273685406195</v>
      </c>
    </row>
    <row r="21" spans="1:27" s="5" customFormat="1" x14ac:dyDescent="0.3">
      <c r="A21" s="132"/>
      <c r="B21" s="19" t="s">
        <v>7</v>
      </c>
      <c r="C21" s="81"/>
      <c r="D21" s="81"/>
      <c r="E21" s="81"/>
      <c r="F21" s="21">
        <f t="shared" si="7"/>
        <v>0</v>
      </c>
      <c r="G21" s="21">
        <f t="shared" si="7"/>
        <v>10.42</v>
      </c>
      <c r="H21" s="21">
        <f t="shared" si="7"/>
        <v>5.0299999999999994</v>
      </c>
      <c r="I21" s="21">
        <f t="shared" si="7"/>
        <v>-582.26</v>
      </c>
      <c r="J21" s="21">
        <f t="shared" si="7"/>
        <v>-855.06</v>
      </c>
      <c r="K21" s="21">
        <f t="shared" si="7"/>
        <v>-862.55</v>
      </c>
      <c r="L21" s="21">
        <f t="shared" si="7"/>
        <v>-1041.1799999999998</v>
      </c>
      <c r="M21" s="21">
        <f t="shared" si="7"/>
        <v>-1530.79</v>
      </c>
      <c r="N21" s="21">
        <f>IF(N72="","",SUM(N72,N62,N52,N42,N32))</f>
        <v>-1258.5900000000006</v>
      </c>
      <c r="O21" s="21">
        <f t="shared" si="8"/>
        <v>-1443.8799999999999</v>
      </c>
      <c r="P21" s="21">
        <f t="shared" si="8"/>
        <v>-1163.1299999999999</v>
      </c>
      <c r="Q21" s="21">
        <f t="shared" si="8"/>
        <v>-788.05</v>
      </c>
      <c r="R21" s="21">
        <f t="shared" si="8"/>
        <v>-714.39</v>
      </c>
      <c r="S21" s="21">
        <f t="shared" si="8"/>
        <v>-517.45000000000005</v>
      </c>
      <c r="T21" s="21">
        <f t="shared" si="8"/>
        <v>-75.570000000000007</v>
      </c>
      <c r="U21" s="21">
        <f t="shared" si="8"/>
        <v>-15.789999999999996</v>
      </c>
      <c r="V21" s="21">
        <f t="shared" si="8"/>
        <v>105.58999999999999</v>
      </c>
      <c r="W21" s="21">
        <f t="shared" si="8"/>
        <v>186.98</v>
      </c>
      <c r="X21" s="21">
        <f t="shared" si="8"/>
        <v>253.54000000000002</v>
      </c>
      <c r="Y21" s="21">
        <f t="shared" si="8"/>
        <v>449.55</v>
      </c>
    </row>
    <row r="22" spans="1:27" s="5" customFormat="1" x14ac:dyDescent="0.3">
      <c r="A22" s="132"/>
      <c r="B22" s="19" t="s">
        <v>26</v>
      </c>
      <c r="C22" s="81"/>
      <c r="D22" s="81"/>
      <c r="E22" s="80"/>
      <c r="F22" s="16">
        <f>IF(F21="","",E22+F21)</f>
        <v>0</v>
      </c>
      <c r="G22" s="16">
        <f>IF(G21="","",F22+G21)</f>
        <v>10.42</v>
      </c>
      <c r="H22" s="16">
        <f t="shared" ref="H22:Y22" si="9">IF(H21="","",G22+H21)</f>
        <v>15.45</v>
      </c>
      <c r="I22" s="16">
        <f t="shared" si="9"/>
        <v>-566.80999999999995</v>
      </c>
      <c r="J22" s="16">
        <f t="shared" si="9"/>
        <v>-1421.87</v>
      </c>
      <c r="K22" s="16">
        <f t="shared" si="9"/>
        <v>-2284.42</v>
      </c>
      <c r="L22" s="16">
        <f t="shared" si="9"/>
        <v>-3325.6</v>
      </c>
      <c r="M22" s="16">
        <f t="shared" si="9"/>
        <v>-4856.3899999999994</v>
      </c>
      <c r="N22" s="16">
        <f t="shared" si="9"/>
        <v>-6114.98</v>
      </c>
      <c r="O22" s="16">
        <f t="shared" si="9"/>
        <v>-7558.86</v>
      </c>
      <c r="P22" s="16">
        <f t="shared" si="9"/>
        <v>-8721.99</v>
      </c>
      <c r="Q22" s="16">
        <f t="shared" si="9"/>
        <v>-9510.0399999999991</v>
      </c>
      <c r="R22" s="16">
        <f t="shared" si="9"/>
        <v>-10224.429999999998</v>
      </c>
      <c r="S22" s="16">
        <f t="shared" si="9"/>
        <v>-10741.88</v>
      </c>
      <c r="T22" s="16">
        <f t="shared" si="9"/>
        <v>-10817.449999999999</v>
      </c>
      <c r="U22" s="16">
        <f t="shared" si="9"/>
        <v>-10833.24</v>
      </c>
      <c r="V22" s="16">
        <f t="shared" si="9"/>
        <v>-10727.65</v>
      </c>
      <c r="W22" s="16">
        <f t="shared" si="9"/>
        <v>-10540.67</v>
      </c>
      <c r="X22" s="16">
        <f t="shared" si="9"/>
        <v>-10287.129999999999</v>
      </c>
      <c r="Y22" s="16">
        <f t="shared" si="9"/>
        <v>-9837.58</v>
      </c>
    </row>
    <row r="23" spans="1:27" s="5" customFormat="1" x14ac:dyDescent="0.3">
      <c r="A23" s="132"/>
      <c r="B23" s="18" t="s">
        <v>13</v>
      </c>
      <c r="C23" s="81"/>
      <c r="D23" s="81"/>
      <c r="E23" s="81"/>
      <c r="F23" s="21">
        <f t="shared" ref="F23:Y24" si="10">IF(F73="","",SUM(F73,F63,F53,F43,F33))</f>
        <v>0.71203150918887492</v>
      </c>
      <c r="G23" s="21">
        <f t="shared" si="10"/>
        <v>4705.8407688607349</v>
      </c>
      <c r="H23" s="21">
        <f t="shared" si="10"/>
        <v>-2444.8298780726182</v>
      </c>
      <c r="I23" s="21">
        <f t="shared" si="10"/>
        <v>-266509.72643753979</v>
      </c>
      <c r="J23" s="21">
        <f t="shared" si="10"/>
        <v>-132024.775421392</v>
      </c>
      <c r="K23" s="21">
        <f t="shared" si="10"/>
        <v>-44819.772433609396</v>
      </c>
      <c r="L23" s="21">
        <f t="shared" si="10"/>
        <v>-123543.3536172514</v>
      </c>
      <c r="M23" s="21">
        <f t="shared" si="10"/>
        <v>-305867.06927868014</v>
      </c>
      <c r="N23" s="21">
        <f t="shared" si="10"/>
        <v>-66691.747081010195</v>
      </c>
      <c r="O23" s="21">
        <f>IF(O73="","",SUM(O73,O63,O53,O43,O33))</f>
        <v>31065.635623525563</v>
      </c>
      <c r="P23" s="21">
        <f t="shared" si="10"/>
        <v>166112.67315340095</v>
      </c>
      <c r="Q23" s="21">
        <f t="shared" si="10"/>
        <v>18348.285394769147</v>
      </c>
      <c r="R23" s="21">
        <f t="shared" si="10"/>
        <v>-110791.67450135859</v>
      </c>
      <c r="S23" s="21">
        <f t="shared" si="10"/>
        <v>-357183.74899240915</v>
      </c>
      <c r="T23" s="21">
        <f t="shared" si="10"/>
        <v>-176897.28989945308</v>
      </c>
      <c r="U23" s="21">
        <f t="shared" si="10"/>
        <v>380648.04265261232</v>
      </c>
      <c r="V23" s="21">
        <f t="shared" si="10"/>
        <v>588429.25144815538</v>
      </c>
      <c r="W23" s="21">
        <f t="shared" si="10"/>
        <v>779546.71178884932</v>
      </c>
      <c r="X23" s="21">
        <f t="shared" si="10"/>
        <v>616566.59623756993</v>
      </c>
      <c r="Y23" s="21">
        <f t="shared" si="10"/>
        <v>94743.823685406212</v>
      </c>
    </row>
    <row r="24" spans="1:27" s="5" customFormat="1" x14ac:dyDescent="0.3">
      <c r="A24" s="132"/>
      <c r="B24" s="20" t="s">
        <v>1</v>
      </c>
      <c r="C24" s="81"/>
      <c r="D24" s="81"/>
      <c r="E24" s="81"/>
      <c r="F24" s="21">
        <f>IF(F74="","",SUM(F74,F64,F54,F44,F34))</f>
        <v>0.71203150918887492</v>
      </c>
      <c r="G24" s="21">
        <f t="shared" si="10"/>
        <v>4706.5528003699237</v>
      </c>
      <c r="H24" s="21">
        <f t="shared" si="10"/>
        <v>2261.7229222973056</v>
      </c>
      <c r="I24" s="21">
        <f t="shared" si="10"/>
        <v>-264248.00351524254</v>
      </c>
      <c r="J24" s="21">
        <f t="shared" si="10"/>
        <v>-396272.77893663448</v>
      </c>
      <c r="K24" s="21">
        <f t="shared" si="10"/>
        <v>-441092.55137024395</v>
      </c>
      <c r="L24" s="21">
        <f t="shared" si="10"/>
        <v>-564635.90498749528</v>
      </c>
      <c r="M24" s="21">
        <f t="shared" si="10"/>
        <v>-870502.97426617541</v>
      </c>
      <c r="N24" s="21">
        <f t="shared" si="10"/>
        <v>-937194.72134718567</v>
      </c>
      <c r="O24" s="21">
        <f>IF(O74="","",SUM(O74,O64,O54,O44,O34))</f>
        <v>-906129.08572366007</v>
      </c>
      <c r="P24" s="21">
        <f t="shared" si="10"/>
        <v>-740016.41257025907</v>
      </c>
      <c r="Q24" s="21">
        <f t="shared" si="10"/>
        <v>-525113.90717548993</v>
      </c>
      <c r="R24" s="21">
        <f t="shared" si="10"/>
        <v>-454631.4316768485</v>
      </c>
      <c r="S24" s="21">
        <f t="shared" si="10"/>
        <v>-662173.16066925763</v>
      </c>
      <c r="T24" s="21">
        <f t="shared" si="10"/>
        <v>-702708.23056871083</v>
      </c>
      <c r="U24" s="21">
        <f t="shared" si="10"/>
        <v>-150847.96791609848</v>
      </c>
      <c r="V24" s="21">
        <f t="shared" si="10"/>
        <v>654339.10353205702</v>
      </c>
      <c r="W24" s="21">
        <f t="shared" si="10"/>
        <v>1643000.8253209062</v>
      </c>
      <c r="X24" s="21">
        <f t="shared" si="10"/>
        <v>2455523.0815584762</v>
      </c>
      <c r="Y24" s="21">
        <f t="shared" si="10"/>
        <v>2697774.8352438826</v>
      </c>
    </row>
    <row r="25" spans="1:27" s="5" customFormat="1" ht="8.25" customHeight="1" x14ac:dyDescent="0.3">
      <c r="A25" s="40"/>
      <c r="B25" s="13"/>
      <c r="C25" s="85"/>
      <c r="D25" s="85"/>
      <c r="E25" s="8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7" s="5" customFormat="1" ht="15" customHeight="1" outlineLevel="1" x14ac:dyDescent="0.3">
      <c r="A26" s="132" t="s">
        <v>19</v>
      </c>
      <c r="B26" s="17"/>
      <c r="C26" s="80"/>
      <c r="D26" s="80"/>
      <c r="E26" s="80"/>
      <c r="F26" s="9"/>
      <c r="G26" s="9"/>
      <c r="H26" s="9"/>
      <c r="I26" s="9"/>
      <c r="J26" s="9"/>
      <c r="K26" s="9"/>
      <c r="L26" s="9"/>
      <c r="M26" s="9"/>
      <c r="N26" s="113">
        <f>'MEEIA 3 adjs Nov 19'!L12</f>
        <v>8.9999999999918145E-2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7" s="3" customFormat="1" ht="15" customHeight="1" outlineLevel="1" x14ac:dyDescent="0.3">
      <c r="A27" s="132"/>
      <c r="B27" s="17" t="s">
        <v>27</v>
      </c>
      <c r="C27" s="80"/>
      <c r="D27" s="80"/>
      <c r="E27" s="80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274809.55657286098</v>
      </c>
      <c r="O27" s="22">
        <f>IF('M3 Allocations - TD'!M5="","",'M3 Allocations - TD'!M31)</f>
        <v>467843.25553902646</v>
      </c>
      <c r="P27" s="22">
        <f>IF('M3 Allocations - TD'!N5="","",'M3 Allocations - TD'!N31)</f>
        <v>544296.07292371744</v>
      </c>
      <c r="Q27" s="22">
        <f>IF('M3 Allocations - TD'!O5="","",'M3 Allocations - TD'!O31)</f>
        <v>676189.22029010952</v>
      </c>
      <c r="R27" s="22">
        <f>IF('M3 Allocations - TD'!P5="","",'M3 Allocations - TD'!P31)</f>
        <v>463090.51540533279</v>
      </c>
      <c r="S27" s="22">
        <f>IF('M3 Allocations - TD'!Q5="","",'M3 Allocations - TD'!Q31)</f>
        <v>212999.83668866704</v>
      </c>
      <c r="T27" s="22">
        <f>IF('M3 Allocations - TD'!R5="","",'M3 Allocations - TD'!R31)</f>
        <v>239315.41925638349</v>
      </c>
      <c r="U27" s="22">
        <f>IF('M3 Allocations - TD'!S5="","",'M3 Allocations - TD'!S31)</f>
        <v>745964.63979628112</v>
      </c>
      <c r="V27" s="22">
        <f>IF('M3 Allocations - TD'!T5="","",'M3 Allocations - TD'!T31)</f>
        <v>1021961.1417325244</v>
      </c>
      <c r="W27" s="22">
        <f>IF('M3 Allocations - TD'!U5="","",'M3 Allocations - TD'!U31)</f>
        <v>1221140.287913003</v>
      </c>
      <c r="X27" s="22">
        <f>IF('M3 Allocations - TD'!V5="","",'M3 Allocations - TD'!V31)</f>
        <v>1038934.5439936385</v>
      </c>
      <c r="Y27" s="22">
        <f>IF('M3 Allocations - TD'!W5="","",'M3 Allocations - TD'!W31)</f>
        <v>456853.18990942289</v>
      </c>
    </row>
    <row r="28" spans="1:27" s="5" customFormat="1" ht="15" customHeight="1" outlineLevel="1" x14ac:dyDescent="0.3">
      <c r="A28" s="132"/>
      <c r="B28" s="18" t="s">
        <v>25</v>
      </c>
      <c r="C28" s="80"/>
      <c r="D28" s="80"/>
      <c r="E28" s="80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315194.78964232601</v>
      </c>
      <c r="O28" s="22">
        <f>IF('M3 Allocations - TD'!M51="","",'M3 Allocations - TD'!M69)</f>
        <v>423499.84124645527</v>
      </c>
      <c r="P28" s="22">
        <f>IF('M3 Allocations - TD'!N51="","",'M3 Allocations - TD'!N69)</f>
        <v>467459.76087976695</v>
      </c>
      <c r="Q28" s="22">
        <f>IF('M3 Allocations - TD'!O51="","",'M3 Allocations - TD'!O69)</f>
        <v>474323.05163473397</v>
      </c>
      <c r="R28" s="22">
        <f>IF('M3 Allocations - TD'!P51="","",'M3 Allocations - TD'!P69)</f>
        <v>428810.25716296653</v>
      </c>
      <c r="S28" s="22">
        <f>IF('M3 Allocations - TD'!Q51="","",'M3 Allocations - TD'!Q69)</f>
        <v>339346.33491655142</v>
      </c>
      <c r="T28" s="22">
        <f>IF('M3 Allocations - TD'!R51="","",'M3 Allocations - TD'!R69)</f>
        <v>302925.05162387801</v>
      </c>
      <c r="U28" s="22">
        <f>IF('M3 Allocations - TD'!S51="","",'M3 Allocations - TD'!S69)</f>
        <v>399589.74786578171</v>
      </c>
      <c r="V28" s="22">
        <f>IF('M3 Allocations - TD'!T51="","",'M3 Allocations - TD'!T69)</f>
        <v>536049.73122413771</v>
      </c>
      <c r="W28" s="22">
        <f>IF('M3 Allocations - TD'!U51="","",'M3 Allocations - TD'!U69)</f>
        <v>503311.04413038632</v>
      </c>
      <c r="X28" s="22">
        <f>IF('M3 Allocations - TD'!V51="","",'M3 Allocations - TD'!V69)</f>
        <v>453730.11803544633</v>
      </c>
      <c r="Y28" s="22">
        <f>IF('M3 Allocations - TD'!W51="","",'M3 Allocations - TD'!W69)</f>
        <v>307694.93026905361</v>
      </c>
    </row>
    <row r="29" spans="1:27" s="5" customFormat="1" ht="15" customHeight="1" outlineLevel="1" x14ac:dyDescent="0.3">
      <c r="A29" s="132"/>
      <c r="B29" s="18" t="s">
        <v>41</v>
      </c>
      <c r="C29" s="80"/>
      <c r="D29" s="80"/>
      <c r="E29" s="80"/>
      <c r="F29" s="22">
        <f>IF(F28="","",0)</f>
        <v>0</v>
      </c>
      <c r="G29" s="22">
        <f t="shared" ref="G29:P29" si="11">IF(G28="","",0)</f>
        <v>0</v>
      </c>
      <c r="H29" s="22">
        <f t="shared" si="11"/>
        <v>0</v>
      </c>
      <c r="I29" s="22">
        <f t="shared" si="11"/>
        <v>0</v>
      </c>
      <c r="J29" s="22">
        <f t="shared" si="11"/>
        <v>0</v>
      </c>
      <c r="K29" s="22">
        <f t="shared" si="11"/>
        <v>0</v>
      </c>
      <c r="L29" s="22">
        <f t="shared" si="11"/>
        <v>0</v>
      </c>
      <c r="M29" s="22">
        <f t="shared" si="11"/>
        <v>0</v>
      </c>
      <c r="N29" s="22">
        <f t="shared" si="11"/>
        <v>0</v>
      </c>
      <c r="O29" s="22">
        <f t="shared" si="11"/>
        <v>0</v>
      </c>
      <c r="P29" s="22">
        <f t="shared" si="11"/>
        <v>0</v>
      </c>
      <c r="Q29" s="22">
        <f>IF(Q28="","",-'M3 TD amort'!C8)</f>
        <v>115732.97</v>
      </c>
      <c r="R29" s="22">
        <f>IF(R28="","",-'M3 TD amort'!D8)</f>
        <v>104574.51</v>
      </c>
      <c r="S29" s="22">
        <f>IF(S28="","",-'M3 TD amort'!E8)</f>
        <v>82818.98</v>
      </c>
      <c r="T29" s="22">
        <f>IF(T28="","",-'M3 TD amort'!F8)</f>
        <v>74005.649999999994</v>
      </c>
      <c r="U29" s="22">
        <f>IF(U28="","",-'M3 TD amort'!G8)</f>
        <v>97941.18</v>
      </c>
      <c r="V29" s="22">
        <f>IF(V28="","",-'M3 TD amort'!H8)</f>
        <v>131594.67000000001</v>
      </c>
      <c r="W29" s="22">
        <f>IF(W28="","",-'M3 TD amort'!I8)</f>
        <v>123527.13</v>
      </c>
      <c r="X29" s="22">
        <f>IF(X28="","",-'M3 TD amort'!J8)</f>
        <v>111322.95</v>
      </c>
      <c r="Y29" s="22">
        <f>IF(Y28="","",-'M3 TD amort'!K8)</f>
        <v>75219.710000000006</v>
      </c>
    </row>
    <row r="30" spans="1:27" s="5" customFormat="1" ht="15" customHeight="1" outlineLevel="1" x14ac:dyDescent="0.3">
      <c r="A30" s="132"/>
      <c r="B30" s="18" t="s">
        <v>42</v>
      </c>
      <c r="C30" s="80"/>
      <c r="D30" s="80"/>
      <c r="E30" s="80"/>
      <c r="F30" s="9">
        <f t="shared" ref="F30:M30" si="12">IF(OR(F29="",F28=""),"",F28+F29)</f>
        <v>0</v>
      </c>
      <c r="G30" s="9">
        <f t="shared" si="12"/>
        <v>0</v>
      </c>
      <c r="H30" s="9">
        <f t="shared" si="12"/>
        <v>28636.335868779192</v>
      </c>
      <c r="I30" s="9">
        <f t="shared" si="12"/>
        <v>344669.92129031231</v>
      </c>
      <c r="J30" s="9">
        <f t="shared" si="12"/>
        <v>437739.69493695599</v>
      </c>
      <c r="K30" s="9">
        <f t="shared" si="12"/>
        <v>461093.89388914994</v>
      </c>
      <c r="L30" s="9">
        <f t="shared" si="12"/>
        <v>425531.99443758972</v>
      </c>
      <c r="M30" s="9">
        <f t="shared" si="12"/>
        <v>350101.97926152864</v>
      </c>
      <c r="N30" s="9">
        <f>IF(OR(N29="",N28=""),"",N28+N29)</f>
        <v>315194.78964232601</v>
      </c>
      <c r="O30" s="9">
        <f>IF(OR(O29="",O28=""),"",O28+O29)</f>
        <v>423499.84124645527</v>
      </c>
      <c r="P30" s="9">
        <f t="shared" ref="P30:Y30" si="13">IF(OR(P29="",P28=""),"",P28+P29)</f>
        <v>467459.76087976695</v>
      </c>
      <c r="Q30" s="9">
        <f t="shared" si="13"/>
        <v>590056.021634734</v>
      </c>
      <c r="R30" s="9">
        <f t="shared" si="13"/>
        <v>533384.76716296654</v>
      </c>
      <c r="S30" s="9">
        <f t="shared" si="13"/>
        <v>422165.3149165514</v>
      </c>
      <c r="T30" s="9">
        <f t="shared" si="13"/>
        <v>376930.70162387798</v>
      </c>
      <c r="U30" s="9">
        <f t="shared" si="13"/>
        <v>497530.9278657817</v>
      </c>
      <c r="V30" s="9">
        <f t="shared" si="13"/>
        <v>667644.40122413775</v>
      </c>
      <c r="W30" s="9">
        <f t="shared" si="13"/>
        <v>626838.17413038632</v>
      </c>
      <c r="X30" s="9">
        <f t="shared" si="13"/>
        <v>565053.06803544634</v>
      </c>
      <c r="Y30" s="9">
        <f t="shared" si="13"/>
        <v>382914.64026905363</v>
      </c>
    </row>
    <row r="31" spans="1:27" s="5" customFormat="1" outlineLevel="1" x14ac:dyDescent="0.3">
      <c r="A31" s="132"/>
      <c r="B31" s="18" t="s">
        <v>12</v>
      </c>
      <c r="C31" s="80"/>
      <c r="D31" s="80"/>
      <c r="E31" s="80"/>
      <c r="F31" s="9">
        <f t="shared" ref="F31:M31" si="14">IF(OR(F28="",F27=""),"",F27-F28)</f>
        <v>0</v>
      </c>
      <c r="G31" s="9">
        <f>IF(OR(G28="",G27=""),"",G27-G28)</f>
        <v>3542.7066619947968</v>
      </c>
      <c r="H31" s="9">
        <f t="shared" si="14"/>
        <v>-2042.587011875763</v>
      </c>
      <c r="I31" s="9">
        <f t="shared" si="14"/>
        <v>-101305.99221352636</v>
      </c>
      <c r="J31" s="9">
        <f t="shared" si="14"/>
        <v>3390.1150170901092</v>
      </c>
      <c r="K31" s="9">
        <f t="shared" si="14"/>
        <v>76961.106998553209</v>
      </c>
      <c r="L31" s="9">
        <f t="shared" si="14"/>
        <v>-50530.984803922765</v>
      </c>
      <c r="M31" s="9">
        <f t="shared" si="14"/>
        <v>-212267.59868433682</v>
      </c>
      <c r="N31" s="9">
        <f>IF(OR(N30="",N27=""),"",N27-N30)</f>
        <v>-40385.23306946503</v>
      </c>
      <c r="O31" s="9">
        <f t="shared" ref="O31:Y31" si="15">IF(OR(O30="",O27=""),"",O27-O30)</f>
        <v>44343.414292571193</v>
      </c>
      <c r="P31" s="9">
        <f t="shared" si="15"/>
        <v>76836.312043950486</v>
      </c>
      <c r="Q31" s="9">
        <f t="shared" si="15"/>
        <v>86133.198655375512</v>
      </c>
      <c r="R31" s="9">
        <f t="shared" si="15"/>
        <v>-70294.251757633756</v>
      </c>
      <c r="S31" s="9">
        <f t="shared" si="15"/>
        <v>-209165.47822788436</v>
      </c>
      <c r="T31" s="9">
        <f t="shared" si="15"/>
        <v>-137615.28236749448</v>
      </c>
      <c r="U31" s="9">
        <f t="shared" si="15"/>
        <v>248433.71193049941</v>
      </c>
      <c r="V31" s="9">
        <f t="shared" si="15"/>
        <v>354316.74050838663</v>
      </c>
      <c r="W31" s="9">
        <f t="shared" si="15"/>
        <v>594302.11378261668</v>
      </c>
      <c r="X31" s="9">
        <f t="shared" si="15"/>
        <v>473881.47595819214</v>
      </c>
      <c r="Y31" s="9">
        <f t="shared" si="15"/>
        <v>73938.549640369252</v>
      </c>
      <c r="Z31" s="88" t="s">
        <v>68</v>
      </c>
      <c r="AA31" s="88" t="s">
        <v>69</v>
      </c>
    </row>
    <row r="32" spans="1:27" s="5" customFormat="1" outlineLevel="1" x14ac:dyDescent="0.3">
      <c r="A32" s="132"/>
      <c r="B32" s="19" t="s">
        <v>7</v>
      </c>
      <c r="C32" s="80"/>
      <c r="D32" s="80"/>
      <c r="E32" s="80"/>
      <c r="F32" s="9">
        <f>IF(OR(F9="",F31=""),"",ROUND((F31+E34)*F9/12,2))</f>
        <v>0</v>
      </c>
      <c r="G32" s="9">
        <f t="shared" ref="G32:M32" si="16">IF(OR(G9="",G31=""),"",ROUND((G31+F34)*G9/12,2))</f>
        <v>7.86</v>
      </c>
      <c r="H32" s="9">
        <f t="shared" si="16"/>
        <v>3.36</v>
      </c>
      <c r="I32" s="9">
        <f t="shared" si="16"/>
        <v>-220.38</v>
      </c>
      <c r="J32" s="9">
        <f t="shared" si="16"/>
        <v>-208.94</v>
      </c>
      <c r="K32" s="9">
        <f t="shared" si="16"/>
        <v>-38.94</v>
      </c>
      <c r="L32" s="9">
        <f t="shared" si="16"/>
        <v>-130.13999999999999</v>
      </c>
      <c r="M32" s="9">
        <f t="shared" si="16"/>
        <v>-498.25</v>
      </c>
      <c r="N32" s="9">
        <f>IF(OR(N9="",N31=""),"",ROUND((N31+M34)*N9/12,2))+N26</f>
        <v>-489.81000000000006</v>
      </c>
      <c r="O32" s="9">
        <f t="shared" ref="O32" si="17">IF(OR(O9="",O31=""),"",ROUND((O31+N34)*O9/12,2))</f>
        <v>-446.67</v>
      </c>
      <c r="P32" s="9">
        <f>IF(OR(P9="",P31=""),"",ROUND((P31+O34)*P9/12,2))</f>
        <v>-320.33</v>
      </c>
      <c r="Q32" s="9">
        <f t="shared" ref="Q32:Y32" si="18">IF(OR(Q9="",Q31=""),"",ROUND((Q29+Q31+P34)*Q9/12,2))</f>
        <v>-2.91</v>
      </c>
      <c r="R32" s="9">
        <f t="shared" si="18"/>
        <v>50.9</v>
      </c>
      <c r="S32" s="9">
        <f t="shared" si="18"/>
        <v>-73.48</v>
      </c>
      <c r="T32" s="9">
        <f t="shared" si="18"/>
        <v>-16.95</v>
      </c>
      <c r="U32" s="9">
        <f t="shared" si="18"/>
        <v>19.760000000000002</v>
      </c>
      <c r="V32" s="9">
        <f t="shared" si="18"/>
        <v>108.88</v>
      </c>
      <c r="W32" s="9">
        <f t="shared" si="18"/>
        <v>158.51</v>
      </c>
      <c r="X32" s="9">
        <f t="shared" si="18"/>
        <v>204.25</v>
      </c>
      <c r="Y32" s="9">
        <f t="shared" si="18"/>
        <v>354.55</v>
      </c>
      <c r="Z32" s="89">
        <v>321.81</v>
      </c>
      <c r="AA32" s="112">
        <f>(SUM(Q32:Y32))-Z32</f>
        <v>481.7</v>
      </c>
    </row>
    <row r="33" spans="1:27" s="5" customFormat="1" outlineLevel="1" x14ac:dyDescent="0.3">
      <c r="A33" s="132"/>
      <c r="B33" s="18" t="s">
        <v>13</v>
      </c>
      <c r="C33" s="80"/>
      <c r="D33" s="80"/>
      <c r="E33" s="80"/>
      <c r="F33" s="9">
        <f t="shared" ref="F33:M33" si="19">IF(OR(F31="",F32=""),"",F31+F32)</f>
        <v>0</v>
      </c>
      <c r="G33" s="9">
        <f>IF(OR(G31="",G32=""),"",G31+G32)</f>
        <v>3550.566661994797</v>
      </c>
      <c r="H33" s="9">
        <f t="shared" si="19"/>
        <v>-2039.2270118757631</v>
      </c>
      <c r="I33" s="9">
        <f t="shared" si="19"/>
        <v>-101526.37221352637</v>
      </c>
      <c r="J33" s="9">
        <f t="shared" si="19"/>
        <v>3181.1750170901091</v>
      </c>
      <c r="K33" s="9">
        <f t="shared" si="19"/>
        <v>76922.166998553206</v>
      </c>
      <c r="L33" s="9">
        <f t="shared" si="19"/>
        <v>-50661.124803922765</v>
      </c>
      <c r="M33" s="9">
        <f t="shared" si="19"/>
        <v>-212765.84868433682</v>
      </c>
      <c r="N33" s="9">
        <f>IF(OR(N31="",N32=""),"",N31+N32)</f>
        <v>-40875.043069465028</v>
      </c>
      <c r="O33" s="9">
        <f>IF(OR(O31="",O32=""),"",O31+O32)</f>
        <v>43896.744292571195</v>
      </c>
      <c r="P33" s="9">
        <f t="shared" ref="P33:Y33" si="20">IF(OR(P31="",P32=""),"",P31+P32)</f>
        <v>76515.982043950484</v>
      </c>
      <c r="Q33" s="9">
        <f>IF(OR(Q31="",Q32=""),"",Q31+Q32)</f>
        <v>86130.288655375509</v>
      </c>
      <c r="R33" s="9">
        <f t="shared" si="20"/>
        <v>-70243.351757633762</v>
      </c>
      <c r="S33" s="9">
        <f t="shared" si="20"/>
        <v>-209238.95822788437</v>
      </c>
      <c r="T33" s="9">
        <f t="shared" si="20"/>
        <v>-137632.23236749449</v>
      </c>
      <c r="U33" s="9">
        <f t="shared" si="20"/>
        <v>248453.47193049942</v>
      </c>
      <c r="V33" s="9">
        <f t="shared" si="20"/>
        <v>354425.62050838664</v>
      </c>
      <c r="W33" s="9">
        <f t="shared" si="20"/>
        <v>594460.62378261669</v>
      </c>
      <c r="X33" s="9">
        <f t="shared" si="20"/>
        <v>474085.72595819214</v>
      </c>
      <c r="Y33" s="9">
        <f t="shared" si="20"/>
        <v>74293.099640369255</v>
      </c>
    </row>
    <row r="34" spans="1:27" s="5" customFormat="1" outlineLevel="1" x14ac:dyDescent="0.3">
      <c r="A34" s="132"/>
      <c r="B34" s="20" t="s">
        <v>14</v>
      </c>
      <c r="C34" s="80"/>
      <c r="D34" s="80"/>
      <c r="E34" s="80"/>
      <c r="F34" s="9">
        <f>IF(OR(F33=""),"",F33)</f>
        <v>0</v>
      </c>
      <c r="G34" s="9">
        <f>IF(OR(G33="",F34=""),"",G33+F34)</f>
        <v>3550.566661994797</v>
      </c>
      <c r="H34" s="9">
        <f t="shared" ref="H34:M34" si="21">IF(OR(H33="",G34=""),"",H33+G34)</f>
        <v>1511.3396501190339</v>
      </c>
      <c r="I34" s="9">
        <f t="shared" si="21"/>
        <v>-100015.03256340734</v>
      </c>
      <c r="J34" s="9">
        <f t="shared" si="21"/>
        <v>-96833.857546317231</v>
      </c>
      <c r="K34" s="9">
        <f t="shared" si="21"/>
        <v>-19911.690547764025</v>
      </c>
      <c r="L34" s="9">
        <f t="shared" si="21"/>
        <v>-70572.81535168679</v>
      </c>
      <c r="M34" s="9">
        <f t="shared" si="21"/>
        <v>-283338.66403602361</v>
      </c>
      <c r="N34" s="9">
        <f>IF(OR(N33="",M34=""),"",N33+N29+M34)</f>
        <v>-324213.70710548863</v>
      </c>
      <c r="O34" s="9">
        <f>IF(OR(O33="",N34=""),"",O33+O29+N34+O26)</f>
        <v>-280316.96281291742</v>
      </c>
      <c r="P34" s="9">
        <f>IF(OR(P33="",O34=""),"",P33+P29+O34)</f>
        <v>-203800.98076896695</v>
      </c>
      <c r="Q34" s="9">
        <f>IF(OR(Q33="",P34=""),"",Q33+Q29+P34)</f>
        <v>-1937.7221135914442</v>
      </c>
      <c r="R34" s="9">
        <f t="shared" ref="R34:Y34" si="22">IF(OR(R33="",Q34=""),"",R33+R29+Q34)</f>
        <v>32393.436128774789</v>
      </c>
      <c r="S34" s="9">
        <f>IF(OR(S33="",R34=""),"",S33+S29+R34)</f>
        <v>-94026.542099109589</v>
      </c>
      <c r="T34" s="9">
        <f t="shared" si="22"/>
        <v>-157653.12446660409</v>
      </c>
      <c r="U34" s="9">
        <f t="shared" si="22"/>
        <v>188741.52746389533</v>
      </c>
      <c r="V34" s="9">
        <f t="shared" si="22"/>
        <v>674761.81797228195</v>
      </c>
      <c r="W34" s="9">
        <f t="shared" si="22"/>
        <v>1392749.5717548986</v>
      </c>
      <c r="X34" s="9">
        <f t="shared" si="22"/>
        <v>1978158.2477130909</v>
      </c>
      <c r="Y34" s="9">
        <f t="shared" si="22"/>
        <v>2127671.0573534602</v>
      </c>
    </row>
    <row r="35" spans="1:27" s="5" customFormat="1" ht="8.25" customHeight="1" outlineLevel="1" x14ac:dyDescent="0.3">
      <c r="A35" s="40"/>
      <c r="B35" s="13"/>
      <c r="C35" s="85"/>
      <c r="D35" s="85"/>
      <c r="E35" s="8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7" s="5" customFormat="1" ht="15" customHeight="1" outlineLevel="1" x14ac:dyDescent="0.3">
      <c r="A36" s="132" t="s">
        <v>20</v>
      </c>
      <c r="B36" s="17"/>
      <c r="C36" s="80"/>
      <c r="D36" s="80"/>
      <c r="E36" s="80"/>
      <c r="F36" s="9"/>
      <c r="G36" s="9"/>
      <c r="H36" s="9"/>
      <c r="I36" s="9"/>
      <c r="J36" s="9"/>
      <c r="K36" s="9"/>
      <c r="L36" s="9"/>
      <c r="M36" s="9"/>
      <c r="N36" s="113">
        <f>'MEEIA 3 adjs Nov 19'!L22</f>
        <v>1.999999999998181E-2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7" s="3" customFormat="1" ht="15" customHeight="1" outlineLevel="1" x14ac:dyDescent="0.3">
      <c r="A37" s="132"/>
      <c r="B37" s="17" t="s">
        <v>27</v>
      </c>
      <c r="C37" s="80"/>
      <c r="D37" s="80"/>
      <c r="E37" s="80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64700.998849587129</v>
      </c>
      <c r="O37" s="22">
        <f>IF('M3 Allocations - TD'!M6="","",'M3 Allocations - TD'!M32)</f>
        <v>81956.189294724609</v>
      </c>
      <c r="P37" s="22">
        <f>IF('M3 Allocations - TD'!N6="","",'M3 Allocations - TD'!N32)</f>
        <v>113990.99327753842</v>
      </c>
      <c r="Q37" s="22">
        <f>IF('M3 Allocations - TD'!O6="","",'M3 Allocations - TD'!O32)</f>
        <v>88043.147483850829</v>
      </c>
      <c r="R37" s="22">
        <f>IF('M3 Allocations - TD'!P6="","",'M3 Allocations - TD'!P32)</f>
        <v>103641.60510926238</v>
      </c>
      <c r="S37" s="22">
        <f>IF('M3 Allocations - TD'!Q6="","",'M3 Allocations - TD'!Q32)</f>
        <v>44495.668454394727</v>
      </c>
      <c r="T37" s="22">
        <f>IF('M3 Allocations - TD'!R6="","",'M3 Allocations - TD'!R32)</f>
        <v>72447.479306892477</v>
      </c>
      <c r="U37" s="22">
        <f>IF('M3 Allocations - TD'!S6="","",'M3 Allocations - TD'!S32)</f>
        <v>100242.14080653639</v>
      </c>
      <c r="V37" s="22">
        <f>IF('M3 Allocations - TD'!T6="","",'M3 Allocations - TD'!T32)</f>
        <v>144814.88878280437</v>
      </c>
      <c r="W37" s="22">
        <f>IF('M3 Allocations - TD'!U6="","",'M3 Allocations - TD'!U32)</f>
        <v>113846.66455304027</v>
      </c>
      <c r="X37" s="22">
        <f>IF('M3 Allocations - TD'!V6="","",'M3 Allocations - TD'!V32)</f>
        <v>127713.0610159208</v>
      </c>
      <c r="Y37" s="22">
        <f>IF('M3 Allocations - TD'!W6="","",'M3 Allocations - TD'!W32)</f>
        <v>102944.20736329375</v>
      </c>
    </row>
    <row r="38" spans="1:27" s="5" customFormat="1" ht="15" customHeight="1" outlineLevel="1" x14ac:dyDescent="0.3">
      <c r="A38" s="132"/>
      <c r="B38" s="18" t="s">
        <v>25</v>
      </c>
      <c r="C38" s="80"/>
      <c r="D38" s="80"/>
      <c r="E38" s="80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55314.675500358826</v>
      </c>
      <c r="O38" s="22">
        <f>IF('M3 Allocations - TD'!M52="","",'M3 Allocations - TD'!M70)</f>
        <v>64772.869833744619</v>
      </c>
      <c r="P38" s="22">
        <f>IF('M3 Allocations - TD'!N52="","",'M3 Allocations - TD'!N70)</f>
        <v>69020.979330338465</v>
      </c>
      <c r="Q38" s="22">
        <f>IF('M3 Allocations - TD'!O52="","",'M3 Allocations - TD'!O70)</f>
        <v>72477.677451482814</v>
      </c>
      <c r="R38" s="22">
        <f>IF('M3 Allocations - TD'!P52="","",'M3 Allocations - TD'!P70)</f>
        <v>71928.028717536567</v>
      </c>
      <c r="S38" s="22">
        <f>IF('M3 Allocations - TD'!Q52="","",'M3 Allocations - TD'!Q70)</f>
        <v>55453.451619799707</v>
      </c>
      <c r="T38" s="22">
        <f>IF('M3 Allocations - TD'!R52="","",'M3 Allocations - TD'!R70)</f>
        <v>50391.746026202469</v>
      </c>
      <c r="U38" s="22">
        <f>IF('M3 Allocations - TD'!S52="","",'M3 Allocations - TD'!S70)</f>
        <v>63389.498728401399</v>
      </c>
      <c r="V38" s="22">
        <f>IF('M3 Allocations - TD'!T52="","",'M3 Allocations - TD'!T70)</f>
        <v>78881.855890584935</v>
      </c>
      <c r="W38" s="22">
        <f>IF('M3 Allocations - TD'!U52="","",'M3 Allocations - TD'!U70)</f>
        <v>76955.02703194521</v>
      </c>
      <c r="X38" s="22">
        <f>IF('M3 Allocations - TD'!V52="","",'M3 Allocations - TD'!V70)</f>
        <v>73755.388306573834</v>
      </c>
      <c r="Y38" s="22">
        <f>IF('M3 Allocations - TD'!W52="","",'M3 Allocations - TD'!W70)</f>
        <v>59772.834718849517</v>
      </c>
    </row>
    <row r="39" spans="1:27" s="5" customFormat="1" ht="15" customHeight="1" outlineLevel="1" x14ac:dyDescent="0.3">
      <c r="A39" s="132"/>
      <c r="B39" s="18" t="s">
        <v>41</v>
      </c>
      <c r="C39" s="80"/>
      <c r="D39" s="80"/>
      <c r="E39" s="80"/>
      <c r="F39" s="22">
        <f>IF(F38="","",0)</f>
        <v>0</v>
      </c>
      <c r="G39" s="22">
        <f t="shared" ref="G39:P39" si="23">IF(G38="","",0)</f>
        <v>0</v>
      </c>
      <c r="H39" s="22">
        <f t="shared" si="23"/>
        <v>0</v>
      </c>
      <c r="I39" s="22">
        <f t="shared" si="23"/>
        <v>0</v>
      </c>
      <c r="J39" s="22">
        <f t="shared" si="23"/>
        <v>0</v>
      </c>
      <c r="K39" s="22">
        <f t="shared" si="23"/>
        <v>0</v>
      </c>
      <c r="L39" s="22">
        <f t="shared" si="23"/>
        <v>0</v>
      </c>
      <c r="M39" s="22">
        <f t="shared" si="23"/>
        <v>0</v>
      </c>
      <c r="N39" s="22">
        <f t="shared" si="23"/>
        <v>0</v>
      </c>
      <c r="O39" s="22">
        <f t="shared" si="23"/>
        <v>0</v>
      </c>
      <c r="P39" s="22">
        <f t="shared" si="23"/>
        <v>0</v>
      </c>
      <c r="Q39" s="22">
        <f>IF(Q38="","",-'M3 TD amort'!C15)</f>
        <v>17996.03</v>
      </c>
      <c r="R39" s="22">
        <f>IF(R38="","",-'M3 TD amort'!D15)</f>
        <v>17828.82</v>
      </c>
      <c r="S39" s="22">
        <f>IF(S38="","",-'M3 TD amort'!E15)</f>
        <v>13698.34</v>
      </c>
      <c r="T39" s="22">
        <f>IF(T38="","",-'M3 TD amort'!F15)</f>
        <v>12419.68</v>
      </c>
      <c r="U39" s="22">
        <f>IF(U38="","",-'M3 TD amort'!G15)</f>
        <v>15595.43</v>
      </c>
      <c r="V39" s="22">
        <f>IF(V38="","",-'M3 TD amort'!H15)</f>
        <v>19419.18</v>
      </c>
      <c r="W39" s="22">
        <f>IF(W38="","",-'M3 TD amort'!I15)</f>
        <v>18927.88</v>
      </c>
      <c r="X39" s="22">
        <f>IF(X38="","",-'M3 TD amort'!J15)</f>
        <v>18118.43</v>
      </c>
      <c r="Y39" s="22">
        <f>IF(Y38="","",-'M3 TD amort'!K15)</f>
        <v>14686.23</v>
      </c>
    </row>
    <row r="40" spans="1:27" s="5" customFormat="1" ht="15" customHeight="1" outlineLevel="1" x14ac:dyDescent="0.3">
      <c r="A40" s="132"/>
      <c r="B40" s="18" t="s">
        <v>42</v>
      </c>
      <c r="C40" s="80"/>
      <c r="D40" s="80"/>
      <c r="E40" s="80"/>
      <c r="F40" s="9">
        <f t="shared" ref="F40:M40" si="24">IF(OR(F39="",F38=""),"",F38+F39)</f>
        <v>0</v>
      </c>
      <c r="G40" s="9">
        <f t="shared" si="24"/>
        <v>0</v>
      </c>
      <c r="H40" s="9">
        <f t="shared" si="24"/>
        <v>4662.874879564878</v>
      </c>
      <c r="I40" s="9">
        <f t="shared" si="24"/>
        <v>60575.806014450071</v>
      </c>
      <c r="J40" s="9">
        <f t="shared" si="24"/>
        <v>69235.226705339766</v>
      </c>
      <c r="K40" s="9">
        <f t="shared" si="24"/>
        <v>71132.268141530934</v>
      </c>
      <c r="L40" s="9">
        <f t="shared" si="24"/>
        <v>68766.003213137257</v>
      </c>
      <c r="M40" s="9">
        <f t="shared" si="24"/>
        <v>61936.863591354115</v>
      </c>
      <c r="N40" s="9">
        <f>IF(OR(N39="",N38=""),"",N38+N39)</f>
        <v>55314.675500358826</v>
      </c>
      <c r="O40" s="9">
        <f t="shared" ref="O40:Y40" si="25">IF(OR(O39="",O38=""),"",O38+O39)</f>
        <v>64772.869833744619</v>
      </c>
      <c r="P40" s="9">
        <f t="shared" si="25"/>
        <v>69020.979330338465</v>
      </c>
      <c r="Q40" s="9">
        <f t="shared" si="25"/>
        <v>90473.707451482813</v>
      </c>
      <c r="R40" s="9">
        <f t="shared" si="25"/>
        <v>89756.848717536574</v>
      </c>
      <c r="S40" s="9">
        <f t="shared" si="25"/>
        <v>69151.791619799711</v>
      </c>
      <c r="T40" s="9">
        <f t="shared" si="25"/>
        <v>62811.426026202469</v>
      </c>
      <c r="U40" s="9">
        <f t="shared" si="25"/>
        <v>78984.928728401399</v>
      </c>
      <c r="V40" s="9">
        <f t="shared" si="25"/>
        <v>98301.035890584928</v>
      </c>
      <c r="W40" s="9">
        <f t="shared" si="25"/>
        <v>95882.907031945215</v>
      </c>
      <c r="X40" s="9">
        <f t="shared" si="25"/>
        <v>91873.818306573841</v>
      </c>
      <c r="Y40" s="9">
        <f t="shared" si="25"/>
        <v>74459.06471884952</v>
      </c>
    </row>
    <row r="41" spans="1:27" s="5" customFormat="1" outlineLevel="1" x14ac:dyDescent="0.3">
      <c r="A41" s="132"/>
      <c r="B41" s="18" t="s">
        <v>12</v>
      </c>
      <c r="C41" s="80"/>
      <c r="D41" s="80"/>
      <c r="E41" s="80"/>
      <c r="F41" s="9">
        <f t="shared" ref="F41:M41" si="26">IF(OR(F38="",F37=""),"",F37-F38)</f>
        <v>0.34412602678174997</v>
      </c>
      <c r="G41" s="9">
        <f t="shared" si="26"/>
        <v>593.85341007321881</v>
      </c>
      <c r="H41" s="9">
        <f t="shared" si="26"/>
        <v>3705.6477164422931</v>
      </c>
      <c r="I41" s="9">
        <f t="shared" si="26"/>
        <v>-36933.991833043365</v>
      </c>
      <c r="J41" s="9">
        <f t="shared" si="26"/>
        <v>-21571.365474004102</v>
      </c>
      <c r="K41" s="9">
        <f t="shared" si="26"/>
        <v>-17718.260509192958</v>
      </c>
      <c r="L41" s="9">
        <f t="shared" si="26"/>
        <v>3197.5668888877699</v>
      </c>
      <c r="M41" s="9">
        <f t="shared" si="26"/>
        <v>28.546596919208241</v>
      </c>
      <c r="N41" s="9">
        <f>IF(OR(N40="",N37=""),"",N37-N40)</f>
        <v>9386.3233492283034</v>
      </c>
      <c r="O41" s="9">
        <f t="shared" ref="O41:Y41" si="27">IF(OR(O40="",O37=""),"",O37-O40)</f>
        <v>17183.31946097999</v>
      </c>
      <c r="P41" s="9">
        <f t="shared" si="27"/>
        <v>44970.013947199957</v>
      </c>
      <c r="Q41" s="9">
        <f>IF(OR(Q40="",Q37=""),"",Q37-Q40)</f>
        <v>-2430.5599676319835</v>
      </c>
      <c r="R41" s="9">
        <f t="shared" si="27"/>
        <v>13884.756391725808</v>
      </c>
      <c r="S41" s="9">
        <f t="shared" si="27"/>
        <v>-24656.123165404984</v>
      </c>
      <c r="T41" s="9">
        <f t="shared" si="27"/>
        <v>9636.0532806900083</v>
      </c>
      <c r="U41" s="9">
        <f t="shared" si="27"/>
        <v>21257.212078134995</v>
      </c>
      <c r="V41" s="9">
        <f t="shared" si="27"/>
        <v>46513.852892219438</v>
      </c>
      <c r="W41" s="9">
        <f t="shared" si="27"/>
        <v>17963.75752109506</v>
      </c>
      <c r="X41" s="9">
        <f t="shared" si="27"/>
        <v>35839.24270934696</v>
      </c>
      <c r="Y41" s="9">
        <f t="shared" si="27"/>
        <v>28485.142644444233</v>
      </c>
      <c r="Z41" s="88" t="s">
        <v>68</v>
      </c>
      <c r="AA41" s="88" t="s">
        <v>78</v>
      </c>
    </row>
    <row r="42" spans="1:27" s="5" customFormat="1" outlineLevel="1" x14ac:dyDescent="0.3">
      <c r="A42" s="132"/>
      <c r="B42" s="19" t="s">
        <v>7</v>
      </c>
      <c r="C42" s="80"/>
      <c r="D42" s="80"/>
      <c r="E42" s="80"/>
      <c r="F42" s="9">
        <f>IF(OR(F9="",F41=""),"",ROUND((F41+E44)*F9/12,2))</f>
        <v>0</v>
      </c>
      <c r="G42" s="9">
        <f t="shared" ref="G42:M42" si="28">IF(OR(G9="",G41=""),"",ROUND((G41+F44)*G9/12,2))</f>
        <v>1.32</v>
      </c>
      <c r="H42" s="9">
        <f t="shared" si="28"/>
        <v>9.6</v>
      </c>
      <c r="I42" s="9">
        <f t="shared" si="28"/>
        <v>-72.040000000000006</v>
      </c>
      <c r="J42" s="9">
        <f t="shared" si="28"/>
        <v>-117.35</v>
      </c>
      <c r="K42" s="9">
        <f t="shared" si="28"/>
        <v>-141.27000000000001</v>
      </c>
      <c r="L42" s="9">
        <f t="shared" si="28"/>
        <v>-127.55</v>
      </c>
      <c r="M42" s="9">
        <f t="shared" si="28"/>
        <v>-121.81</v>
      </c>
      <c r="N42" s="9">
        <f>IF(OR(N9="",N41=""),"",ROUND((N41+M44)*N9/12,2))+N36</f>
        <v>-90.600000000000023</v>
      </c>
      <c r="O42" s="9">
        <f t="shared" ref="O42:P42" si="29">IF(OR(O9="",O41=""),"",ROUND((O41+N44)*O9/12,2))</f>
        <v>-68.290000000000006</v>
      </c>
      <c r="P42" s="9">
        <f t="shared" si="29"/>
        <v>3.33</v>
      </c>
      <c r="Q42" s="9">
        <f>IF(OR(Q9="",Q41=""),"",ROUND((Q39+Q41+P44)*Q9/12,2))</f>
        <v>26.58</v>
      </c>
      <c r="R42" s="9">
        <f t="shared" ref="R42:X42" si="30">IF(OR(R9="",R41=""),"",ROUND((R39+R41+Q44)*R9/12,2))</f>
        <v>77.78</v>
      </c>
      <c r="S42" s="9">
        <f t="shared" si="30"/>
        <v>30.14</v>
      </c>
      <c r="T42" s="9">
        <f t="shared" si="30"/>
        <v>6.52</v>
      </c>
      <c r="U42" s="9">
        <f t="shared" si="30"/>
        <v>10.210000000000001</v>
      </c>
      <c r="V42" s="9">
        <f t="shared" si="30"/>
        <v>26.38</v>
      </c>
      <c r="W42" s="9">
        <f t="shared" si="30"/>
        <v>22.8</v>
      </c>
      <c r="X42" s="9">
        <f t="shared" si="30"/>
        <v>26.26</v>
      </c>
      <c r="Y42" s="9">
        <f>IF(OR(Y9="",Y41=""),"",ROUND((Y39+Y41+X44)*Y9/12,2))</f>
        <v>49.59</v>
      </c>
      <c r="Z42" s="89">
        <v>197.73</v>
      </c>
      <c r="AA42" s="112">
        <f>(SUM(Q42:Y42))-Z42</f>
        <v>78.53</v>
      </c>
    </row>
    <row r="43" spans="1:27" s="5" customFormat="1" outlineLevel="1" x14ac:dyDescent="0.3">
      <c r="A43" s="132"/>
      <c r="B43" s="18" t="s">
        <v>13</v>
      </c>
      <c r="C43" s="80"/>
      <c r="D43" s="80"/>
      <c r="E43" s="80"/>
      <c r="F43" s="9">
        <f t="shared" ref="F43:M43" si="31">IF(OR(F41="",F42=""),"",F41+F42)</f>
        <v>0.34412602678174997</v>
      </c>
      <c r="G43" s="9">
        <f t="shared" si="31"/>
        <v>595.17341007321886</v>
      </c>
      <c r="H43" s="9">
        <f t="shared" si="31"/>
        <v>3715.247716442293</v>
      </c>
      <c r="I43" s="9">
        <f t="shared" si="31"/>
        <v>-37006.031833043366</v>
      </c>
      <c r="J43" s="9">
        <f t="shared" si="31"/>
        <v>-21688.715474004101</v>
      </c>
      <c r="K43" s="9">
        <f t="shared" si="31"/>
        <v>-17859.530509192959</v>
      </c>
      <c r="L43" s="9">
        <f t="shared" si="31"/>
        <v>3070.0168888877697</v>
      </c>
      <c r="M43" s="9">
        <f t="shared" si="31"/>
        <v>-93.263403080791761</v>
      </c>
      <c r="N43" s="9">
        <f>IF(OR(N41="",N42=""),"",N41+N42)</f>
        <v>9295.7233492283031</v>
      </c>
      <c r="O43" s="9">
        <f t="shared" ref="O43:Y43" si="32">IF(OR(O41="",O42=""),"",O41+O42)</f>
        <v>17115.029460979989</v>
      </c>
      <c r="P43" s="9">
        <f t="shared" si="32"/>
        <v>44973.343947199959</v>
      </c>
      <c r="Q43" s="9">
        <f t="shared" si="32"/>
        <v>-2403.9799676319835</v>
      </c>
      <c r="R43" s="9">
        <f t="shared" si="32"/>
        <v>13962.536391725809</v>
      </c>
      <c r="S43" s="9">
        <f t="shared" si="32"/>
        <v>-24625.983165404985</v>
      </c>
      <c r="T43" s="9">
        <f t="shared" si="32"/>
        <v>9642.5732806900087</v>
      </c>
      <c r="U43" s="9">
        <f t="shared" si="32"/>
        <v>21267.422078134994</v>
      </c>
      <c r="V43" s="9">
        <f t="shared" si="32"/>
        <v>46540.232892219436</v>
      </c>
      <c r="W43" s="9">
        <f t="shared" si="32"/>
        <v>17986.557521095059</v>
      </c>
      <c r="X43" s="9">
        <f t="shared" si="32"/>
        <v>35865.502709346962</v>
      </c>
      <c r="Y43" s="9">
        <f t="shared" si="32"/>
        <v>28534.732644444233</v>
      </c>
    </row>
    <row r="44" spans="1:27" s="5" customFormat="1" outlineLevel="1" x14ac:dyDescent="0.3">
      <c r="A44" s="132"/>
      <c r="B44" s="20" t="s">
        <v>15</v>
      </c>
      <c r="C44" s="80"/>
      <c r="D44" s="80"/>
      <c r="E44" s="80"/>
      <c r="F44" s="9">
        <f>IF(OR(F43=""),"",F43)</f>
        <v>0.34412602678174997</v>
      </c>
      <c r="G44" s="9">
        <f t="shared" ref="G44:M44" si="33">IF(OR(G43="",F44=""),"",G43+F44)</f>
        <v>595.5175361000006</v>
      </c>
      <c r="H44" s="9">
        <f t="shared" si="33"/>
        <v>4310.7652525422936</v>
      </c>
      <c r="I44" s="9">
        <f t="shared" si="33"/>
        <v>-32695.266580501073</v>
      </c>
      <c r="J44" s="9">
        <f t="shared" si="33"/>
        <v>-54383.982054505177</v>
      </c>
      <c r="K44" s="9">
        <f t="shared" si="33"/>
        <v>-72243.512563698139</v>
      </c>
      <c r="L44" s="9">
        <f t="shared" si="33"/>
        <v>-69173.495674810372</v>
      </c>
      <c r="M44" s="9">
        <f t="shared" si="33"/>
        <v>-69266.759077891169</v>
      </c>
      <c r="N44" s="9">
        <f>IF(OR(N43="",M44=""),"",N43+N39+M44)</f>
        <v>-59971.035728662864</v>
      </c>
      <c r="O44" s="9">
        <f>IF(OR(O43="",N44=""),"",O43+O39+N44+O36)</f>
        <v>-42856.006267682875</v>
      </c>
      <c r="P44" s="9">
        <f t="shared" ref="P44:Y44" si="34">IF(OR(P43="",O44=""),"",P43+P39+O44)</f>
        <v>2117.3376795170843</v>
      </c>
      <c r="Q44" s="9">
        <f t="shared" si="34"/>
        <v>17709.387711885101</v>
      </c>
      <c r="R44" s="9">
        <f t="shared" si="34"/>
        <v>49500.744103610908</v>
      </c>
      <c r="S44" s="9">
        <f t="shared" si="34"/>
        <v>38573.100938205927</v>
      </c>
      <c r="T44" s="9">
        <f t="shared" si="34"/>
        <v>60635.35421889594</v>
      </c>
      <c r="U44" s="9">
        <f t="shared" si="34"/>
        <v>97498.206297030934</v>
      </c>
      <c r="V44" s="9">
        <f t="shared" si="34"/>
        <v>163457.61918925037</v>
      </c>
      <c r="W44" s="9">
        <f t="shared" si="34"/>
        <v>200372.05671034544</v>
      </c>
      <c r="X44" s="9">
        <f t="shared" si="34"/>
        <v>254355.9894196924</v>
      </c>
      <c r="Y44" s="9">
        <f t="shared" si="34"/>
        <v>297576.95206413663</v>
      </c>
    </row>
    <row r="45" spans="1:27" s="5" customFormat="1" ht="8.25" customHeight="1" outlineLevel="1" x14ac:dyDescent="0.3">
      <c r="A45" s="40"/>
      <c r="B45" s="13"/>
      <c r="C45" s="85"/>
      <c r="D45" s="85"/>
      <c r="E45" s="85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7" s="5" customFormat="1" ht="15" customHeight="1" outlineLevel="1" x14ac:dyDescent="0.3">
      <c r="A46" s="132" t="s">
        <v>21</v>
      </c>
      <c r="B46" s="17"/>
      <c r="C46" s="80"/>
      <c r="D46" s="80"/>
      <c r="E46" s="80"/>
      <c r="F46" s="9"/>
      <c r="G46" s="9"/>
      <c r="H46" s="9"/>
      <c r="I46" s="9"/>
      <c r="J46" s="9"/>
      <c r="K46" s="9"/>
      <c r="L46" s="9"/>
      <c r="M46" s="9"/>
      <c r="N46" s="113">
        <f>'MEEIA 3 adjs Nov 19'!L32</f>
        <v>95.419999999999618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7" s="3" customFormat="1" ht="15" customHeight="1" outlineLevel="1" x14ac:dyDescent="0.3">
      <c r="A47" s="132"/>
      <c r="B47" s="17" t="s">
        <v>27</v>
      </c>
      <c r="C47" s="80"/>
      <c r="D47" s="80"/>
      <c r="E47" s="80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84805.665004540322</v>
      </c>
      <c r="O47" s="22">
        <f>IF('M3 Allocations - TD'!M7="","",'M3 Allocations - TD'!M33)</f>
        <v>101585.96799703788</v>
      </c>
      <c r="P47" s="22">
        <f>IF('M3 Allocations - TD'!N7="","",'M3 Allocations - TD'!N33)</f>
        <v>154209.2659634623</v>
      </c>
      <c r="Q47" s="22">
        <f>IF('M3 Allocations - TD'!O7="","",'M3 Allocations - TD'!O33)</f>
        <v>122696.92137199735</v>
      </c>
      <c r="R47" s="22">
        <f>IF('M3 Allocations - TD'!P7="","",'M3 Allocations - TD'!P33)</f>
        <v>123411.87388052933</v>
      </c>
      <c r="S47" s="22">
        <f>IF('M3 Allocations - TD'!Q7="","",'M3 Allocations - TD'!Q33)</f>
        <v>47446.211556775474</v>
      </c>
      <c r="T47" s="22">
        <f>IF('M3 Allocations - TD'!R7="","",'M3 Allocations - TD'!R33)</f>
        <v>83556.534245541465</v>
      </c>
      <c r="U47" s="22">
        <f>IF('M3 Allocations - TD'!S7="","",'M3 Allocations - TD'!S33)</f>
        <v>189049.36683437167</v>
      </c>
      <c r="V47" s="22">
        <f>IF('M3 Allocations - TD'!T7="","",'M3 Allocations - TD'!T33)</f>
        <v>265484.4397628404</v>
      </c>
      <c r="W47" s="22">
        <f>IF('M3 Allocations - TD'!U7="","",'M3 Allocations - TD'!U33)</f>
        <v>248590.59560852987</v>
      </c>
      <c r="X47" s="22">
        <f>IF('M3 Allocations - TD'!V7="","",'M3 Allocations - TD'!V33)</f>
        <v>229992.78825383674</v>
      </c>
      <c r="Y47" s="22">
        <f>IF('M3 Allocations - TD'!W7="","",'M3 Allocations - TD'!W33)</f>
        <v>142655.78999924072</v>
      </c>
    </row>
    <row r="48" spans="1:27" s="5" customFormat="1" ht="15" customHeight="1" outlineLevel="1" x14ac:dyDescent="0.3">
      <c r="A48" s="132"/>
      <c r="B48" s="18" t="s">
        <v>25</v>
      </c>
      <c r="C48" s="80"/>
      <c r="D48" s="80"/>
      <c r="E48" s="80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96533.881711475129</v>
      </c>
      <c r="O48" s="22">
        <f>IF('M3 Allocations - TD'!M53="","",'M3 Allocations - TD'!M71)</f>
        <v>104142.56971532079</v>
      </c>
      <c r="P48" s="22">
        <f>IF('M3 Allocations - TD'!N53="","",'M3 Allocations - TD'!N71)</f>
        <v>107611.86637282498</v>
      </c>
      <c r="Q48" s="22">
        <f>IF('M3 Allocations - TD'!O53="","",'M3 Allocations - TD'!O71)</f>
        <v>104313.87773241718</v>
      </c>
      <c r="R48" s="22">
        <f>IF('M3 Allocations - TD'!P53="","",'M3 Allocations - TD'!P71)</f>
        <v>98420.974410363575</v>
      </c>
      <c r="S48" s="22">
        <f>IF('M3 Allocations - TD'!Q53="","",'M3 Allocations - TD'!Q71)</f>
        <v>84560.155028366615</v>
      </c>
      <c r="T48" s="22">
        <f>IF('M3 Allocations - TD'!R53="","",'M3 Allocations - TD'!R71)</f>
        <v>79147.524446379844</v>
      </c>
      <c r="U48" s="22">
        <f>IF('M3 Allocations - TD'!S53="","",'M3 Allocations - TD'!S71)</f>
        <v>94049.927973792379</v>
      </c>
      <c r="V48" s="22">
        <f>IF('M3 Allocations - TD'!T53="","",'M3 Allocations - TD'!T71)</f>
        <v>109708.48677351972</v>
      </c>
      <c r="W48" s="22">
        <f>IF('M3 Allocations - TD'!U53="","",'M3 Allocations - TD'!U71)</f>
        <v>109463.73998502946</v>
      </c>
      <c r="X48" s="22">
        <f>IF('M3 Allocations - TD'!V53="","",'M3 Allocations - TD'!V71)</f>
        <v>109154.24836711264</v>
      </c>
      <c r="Y48" s="22">
        <f>IF('M3 Allocations - TD'!W53="","",'M3 Allocations - TD'!W71)</f>
        <v>93111.170115006884</v>
      </c>
    </row>
    <row r="49" spans="1:27" s="5" customFormat="1" ht="15" customHeight="1" outlineLevel="1" x14ac:dyDescent="0.3">
      <c r="A49" s="132"/>
      <c r="B49" s="18" t="s">
        <v>41</v>
      </c>
      <c r="C49" s="80"/>
      <c r="D49" s="80"/>
      <c r="E49" s="80"/>
      <c r="F49" s="22">
        <f>IF(F48="","",0)</f>
        <v>0</v>
      </c>
      <c r="G49" s="22">
        <f t="shared" ref="G49:P49" si="35">IF(G48="","",0)</f>
        <v>0</v>
      </c>
      <c r="H49" s="22">
        <f t="shared" si="35"/>
        <v>0</v>
      </c>
      <c r="I49" s="22">
        <f t="shared" si="35"/>
        <v>0</v>
      </c>
      <c r="J49" s="22">
        <f t="shared" si="35"/>
        <v>0</v>
      </c>
      <c r="K49" s="22">
        <f t="shared" si="35"/>
        <v>0</v>
      </c>
      <c r="L49" s="22">
        <f t="shared" si="35"/>
        <v>0</v>
      </c>
      <c r="M49" s="22">
        <f t="shared" si="35"/>
        <v>0</v>
      </c>
      <c r="N49" s="22">
        <f t="shared" si="35"/>
        <v>0</v>
      </c>
      <c r="O49" s="22">
        <f t="shared" si="35"/>
        <v>0</v>
      </c>
      <c r="P49" s="22">
        <f t="shared" si="35"/>
        <v>0</v>
      </c>
      <c r="Q49" s="22">
        <f>IF(Q48="","",-'M3 TD amort'!C22)</f>
        <v>40612.01</v>
      </c>
      <c r="R49" s="22">
        <f>IF(R48="","",-'M3 TD amort'!D22)</f>
        <v>38351.11</v>
      </c>
      <c r="S49" s="22">
        <f>IF(S48="","",-'M3 TD amort'!E22)</f>
        <v>32774.379999999997</v>
      </c>
      <c r="T49" s="22">
        <f>IF(T48="","",-'M3 TD amort'!F22)</f>
        <v>30569.17</v>
      </c>
      <c r="U49" s="22">
        <f>IF(U48="","",-'M3 TD amort'!G22)</f>
        <v>36225.06</v>
      </c>
      <c r="V49" s="22">
        <f>IF(V48="","",-'M3 TD amort'!H22)</f>
        <v>42295.91</v>
      </c>
      <c r="W49" s="22">
        <f>IF(W48="","",-'M3 TD amort'!I22)</f>
        <v>42141.33</v>
      </c>
      <c r="X49" s="22">
        <f>IF(X48="","",-'M3 TD amort'!J22)</f>
        <v>41942.74</v>
      </c>
      <c r="Y49" s="22">
        <f>IF(Y48="","",-'M3 TD amort'!K22)</f>
        <v>35788.269999999997</v>
      </c>
    </row>
    <row r="50" spans="1:27" s="5" customFormat="1" ht="15" customHeight="1" outlineLevel="1" x14ac:dyDescent="0.3">
      <c r="A50" s="132"/>
      <c r="B50" s="18" t="s">
        <v>42</v>
      </c>
      <c r="C50" s="80"/>
      <c r="D50" s="80"/>
      <c r="E50" s="80"/>
      <c r="F50" s="9">
        <f t="shared" ref="F50:M50" si="36">IF(OR(F49="",F48=""),"",F48+F49)</f>
        <v>0</v>
      </c>
      <c r="G50" s="9">
        <f t="shared" si="36"/>
        <v>0</v>
      </c>
      <c r="H50" s="9">
        <f t="shared" si="36"/>
        <v>6753.6701978728988</v>
      </c>
      <c r="I50" s="9">
        <f t="shared" si="36"/>
        <v>107151.44580605239</v>
      </c>
      <c r="J50" s="9">
        <f t="shared" si="36"/>
        <v>115634.5208649429</v>
      </c>
      <c r="K50" s="9">
        <f t="shared" si="36"/>
        <v>118331.81312804784</v>
      </c>
      <c r="L50" s="9">
        <f t="shared" si="36"/>
        <v>119601.33814288217</v>
      </c>
      <c r="M50" s="9">
        <f t="shared" si="36"/>
        <v>109968.9574924099</v>
      </c>
      <c r="N50" s="9">
        <f>IF(OR(N49="",N48=""),"",N48+N49)</f>
        <v>96533.881711475129</v>
      </c>
      <c r="O50" s="9">
        <f t="shared" ref="O50:Y50" si="37">IF(OR(O49="",O48=""),"",O48+O49)</f>
        <v>104142.56971532079</v>
      </c>
      <c r="P50" s="9">
        <f t="shared" si="37"/>
        <v>107611.86637282498</v>
      </c>
      <c r="Q50" s="9">
        <f t="shared" si="37"/>
        <v>144925.88773241718</v>
      </c>
      <c r="R50" s="9">
        <f t="shared" si="37"/>
        <v>136772.08441036358</v>
      </c>
      <c r="S50" s="9">
        <f t="shared" si="37"/>
        <v>117334.5350283666</v>
      </c>
      <c r="T50" s="9">
        <f t="shared" si="37"/>
        <v>109716.69444637984</v>
      </c>
      <c r="U50" s="9">
        <f t="shared" si="37"/>
        <v>130274.98797379238</v>
      </c>
      <c r="V50" s="9">
        <f t="shared" si="37"/>
        <v>152004.39677351972</v>
      </c>
      <c r="W50" s="9">
        <f t="shared" si="37"/>
        <v>151605.06998502946</v>
      </c>
      <c r="X50" s="9">
        <f t="shared" si="37"/>
        <v>151096.98836711264</v>
      </c>
      <c r="Y50" s="9">
        <f t="shared" si="37"/>
        <v>128899.44011500687</v>
      </c>
    </row>
    <row r="51" spans="1:27" s="5" customFormat="1" outlineLevel="1" x14ac:dyDescent="0.3">
      <c r="A51" s="132"/>
      <c r="B51" s="18" t="s">
        <v>12</v>
      </c>
      <c r="C51" s="80"/>
      <c r="D51" s="80"/>
      <c r="E51" s="80"/>
      <c r="F51" s="9">
        <f t="shared" ref="F51:M51" si="38">IF(OR(F48="",F47=""),"",F47-F48)</f>
        <v>0.36790548240712501</v>
      </c>
      <c r="G51" s="9">
        <f t="shared" si="38"/>
        <v>549.3842450882164</v>
      </c>
      <c r="H51" s="9">
        <f t="shared" si="38"/>
        <v>-2931.1326047334169</v>
      </c>
      <c r="I51" s="9">
        <f t="shared" si="38"/>
        <v>-90370.113443998154</v>
      </c>
      <c r="J51" s="9">
        <f t="shared" si="38"/>
        <v>-75556.802484400338</v>
      </c>
      <c r="K51" s="9">
        <f t="shared" si="38"/>
        <v>-64270.675133255725</v>
      </c>
      <c r="L51" s="9">
        <f t="shared" si="38"/>
        <v>-39992.989537141941</v>
      </c>
      <c r="M51" s="9">
        <f t="shared" si="38"/>
        <v>-53536.042368776616</v>
      </c>
      <c r="N51" s="9">
        <f>IF(OR(N50="",N47=""),"",N47-N50)</f>
        <v>-11728.216706934807</v>
      </c>
      <c r="O51" s="9">
        <f t="shared" ref="O51:Y51" si="39">IF(OR(O50="",O47=""),"",O47-O50)</f>
        <v>-2556.6017182829091</v>
      </c>
      <c r="P51" s="9">
        <f>IF(OR(P50="",P47=""),"",P47-P50)</f>
        <v>46597.399590637317</v>
      </c>
      <c r="Q51" s="9">
        <f t="shared" si="39"/>
        <v>-22228.966360419829</v>
      </c>
      <c r="R51" s="9">
        <f t="shared" si="39"/>
        <v>-13360.21052983425</v>
      </c>
      <c r="S51" s="9">
        <f t="shared" si="39"/>
        <v>-69888.323471591139</v>
      </c>
      <c r="T51" s="9">
        <f t="shared" si="39"/>
        <v>-26160.160200838378</v>
      </c>
      <c r="U51" s="9">
        <f t="shared" si="39"/>
        <v>58774.378860579294</v>
      </c>
      <c r="V51" s="9">
        <f t="shared" si="39"/>
        <v>113480.04298932067</v>
      </c>
      <c r="W51" s="9">
        <f t="shared" si="39"/>
        <v>96985.525623500405</v>
      </c>
      <c r="X51" s="9">
        <f t="shared" si="39"/>
        <v>78895.799886724097</v>
      </c>
      <c r="Y51" s="9">
        <f t="shared" si="39"/>
        <v>13756.349884233845</v>
      </c>
      <c r="Z51" s="88" t="s">
        <v>68</v>
      </c>
      <c r="AA51" s="88" t="s">
        <v>79</v>
      </c>
    </row>
    <row r="52" spans="1:27" s="5" customFormat="1" outlineLevel="1" x14ac:dyDescent="0.3">
      <c r="A52" s="132"/>
      <c r="B52" s="19" t="s">
        <v>7</v>
      </c>
      <c r="C52" s="80"/>
      <c r="D52" s="80"/>
      <c r="E52" s="80"/>
      <c r="F52" s="9">
        <f>IF(OR(F9="",F51=""),"",ROUND((F51+E54)*F9/12,2))</f>
        <v>0</v>
      </c>
      <c r="G52" s="9">
        <f t="shared" ref="G52:M52" si="40">IF(OR(G9="",G51=""),"",ROUND((G51+F54)*G9/12,2))</f>
        <v>1.22</v>
      </c>
      <c r="H52" s="9">
        <f t="shared" si="40"/>
        <v>-5.31</v>
      </c>
      <c r="I52" s="9">
        <f t="shared" si="40"/>
        <v>-204.84</v>
      </c>
      <c r="J52" s="9">
        <f t="shared" si="40"/>
        <v>-364.4</v>
      </c>
      <c r="K52" s="9">
        <f t="shared" si="40"/>
        <v>-456.82</v>
      </c>
      <c r="L52" s="9">
        <f t="shared" si="40"/>
        <v>-505.45</v>
      </c>
      <c r="M52" s="9">
        <f t="shared" si="40"/>
        <v>-577.17999999999995</v>
      </c>
      <c r="N52" s="9">
        <f>IF(OR(N9="",N51=""),"",ROUND((N51+M54)*N9/12,2))+N46</f>
        <v>-419.03000000000043</v>
      </c>
      <c r="O52" s="9">
        <f t="shared" ref="O52" si="41">IF(OR(O9="",O51=""),"",ROUND((O51+N54)*O9/12,2))</f>
        <v>-547.30999999999995</v>
      </c>
      <c r="P52" s="9">
        <f>IF(OR(P9="",P51=""),"",ROUND((P51+O54)*P9/12,2))</f>
        <v>-467.35</v>
      </c>
      <c r="Q52" s="9">
        <f>IF(OR(Q9="",Q51=""),"",ROUND((Q49+Q51+P54)*Q9/12,2))</f>
        <v>-419.27</v>
      </c>
      <c r="R52" s="9">
        <f t="shared" ref="R52:X52" si="42">IF(OR(R9="",R51=""),"",ROUND((R49+R51+Q54)*R9/12,2))</f>
        <v>-400.36</v>
      </c>
      <c r="S52" s="9">
        <f t="shared" si="42"/>
        <v>-228.28</v>
      </c>
      <c r="T52" s="9">
        <f t="shared" si="42"/>
        <v>-30.95</v>
      </c>
      <c r="U52" s="9">
        <f t="shared" si="42"/>
        <v>-20.18</v>
      </c>
      <c r="V52" s="9">
        <f t="shared" si="42"/>
        <v>-5.97</v>
      </c>
      <c r="W52" s="9">
        <f t="shared" si="42"/>
        <v>11.62</v>
      </c>
      <c r="X52" s="9">
        <f t="shared" si="42"/>
        <v>23.03</v>
      </c>
      <c r="Y52" s="9">
        <f>IF(OR(Y9="",Y51=""),"",ROUND((Y49+Y51+X54)*Y9/12,2))</f>
        <v>45.42</v>
      </c>
      <c r="Z52" s="89">
        <v>-1201.2799999999997</v>
      </c>
      <c r="AA52" s="112">
        <f>(SUM(Q52:Y52))-Z52</f>
        <v>176.33999999999946</v>
      </c>
    </row>
    <row r="53" spans="1:27" s="5" customFormat="1" outlineLevel="1" x14ac:dyDescent="0.3">
      <c r="A53" s="132"/>
      <c r="B53" s="18" t="s">
        <v>13</v>
      </c>
      <c r="C53" s="80"/>
      <c r="D53" s="80"/>
      <c r="E53" s="80"/>
      <c r="F53" s="9">
        <f t="shared" ref="F53:M53" si="43">IF(OR(F51="",F52=""),"",F51+F52)</f>
        <v>0.36790548240712501</v>
      </c>
      <c r="G53" s="9">
        <f t="shared" si="43"/>
        <v>550.60424508821643</v>
      </c>
      <c r="H53" s="9">
        <f t="shared" si="43"/>
        <v>-2936.4426047334168</v>
      </c>
      <c r="I53" s="9">
        <f t="shared" si="43"/>
        <v>-90574.953443998151</v>
      </c>
      <c r="J53" s="9">
        <f t="shared" si="43"/>
        <v>-75921.202484400332</v>
      </c>
      <c r="K53" s="9">
        <f t="shared" si="43"/>
        <v>-64727.495133255725</v>
      </c>
      <c r="L53" s="9">
        <f t="shared" si="43"/>
        <v>-40498.439537141938</v>
      </c>
      <c r="M53" s="9">
        <f t="shared" si="43"/>
        <v>-54113.222368776616</v>
      </c>
      <c r="N53" s="9">
        <f>IF(OR(N51="",N52=""),"",N51+N52)</f>
        <v>-12147.246706934808</v>
      </c>
      <c r="O53" s="9">
        <f>IF(OR(O51="",O52=""),"",O51+O52)</f>
        <v>-3103.9117182829091</v>
      </c>
      <c r="P53" s="9">
        <f t="shared" ref="P53:Y53" si="44">IF(OR(P51="",P52=""),"",P51+P52)</f>
        <v>46130.049590637318</v>
      </c>
      <c r="Q53" s="9">
        <f t="shared" si="44"/>
        <v>-22648.236360419829</v>
      </c>
      <c r="R53" s="9">
        <f t="shared" si="44"/>
        <v>-13760.570529834251</v>
      </c>
      <c r="S53" s="9">
        <f t="shared" si="44"/>
        <v>-70116.603471591137</v>
      </c>
      <c r="T53" s="9">
        <f t="shared" si="44"/>
        <v>-26191.110200838379</v>
      </c>
      <c r="U53" s="9">
        <f t="shared" si="44"/>
        <v>58754.198860579294</v>
      </c>
      <c r="V53" s="9">
        <f t="shared" si="44"/>
        <v>113474.07298932067</v>
      </c>
      <c r="W53" s="9">
        <f t="shared" si="44"/>
        <v>96997.145623500401</v>
      </c>
      <c r="X53" s="9">
        <f t="shared" si="44"/>
        <v>78918.829886724096</v>
      </c>
      <c r="Y53" s="9">
        <f t="shared" si="44"/>
        <v>13801.769884233845</v>
      </c>
    </row>
    <row r="54" spans="1:27" s="5" customFormat="1" outlineLevel="1" x14ac:dyDescent="0.3">
      <c r="A54" s="132"/>
      <c r="B54" s="20" t="s">
        <v>16</v>
      </c>
      <c r="C54" s="80"/>
      <c r="D54" s="80"/>
      <c r="E54" s="80"/>
      <c r="F54" s="9">
        <f>IF(OR(F53=""),"",F53)</f>
        <v>0.36790548240712501</v>
      </c>
      <c r="G54" s="9">
        <f t="shared" ref="G54:M54" si="45">IF(OR(G53="",F54=""),"",G53+F54)</f>
        <v>550.97215057062351</v>
      </c>
      <c r="H54" s="9">
        <f t="shared" si="45"/>
        <v>-2385.4704541627934</v>
      </c>
      <c r="I54" s="9">
        <f t="shared" si="45"/>
        <v>-92960.423898160938</v>
      </c>
      <c r="J54" s="9">
        <f t="shared" si="45"/>
        <v>-168881.62638256128</v>
      </c>
      <c r="K54" s="9">
        <f t="shared" si="45"/>
        <v>-233609.12151581701</v>
      </c>
      <c r="L54" s="9">
        <f t="shared" si="45"/>
        <v>-274107.56105295895</v>
      </c>
      <c r="M54" s="9">
        <f t="shared" si="45"/>
        <v>-328220.78342173557</v>
      </c>
      <c r="N54" s="9">
        <f>IF(OR(N53="",M54=""),"",N53+N49+M54)</f>
        <v>-340368.03012867039</v>
      </c>
      <c r="O54" s="9">
        <f>IF(OR(O53="",N54=""),"",O53+O49+N54+O46)</f>
        <v>-343471.9418469533</v>
      </c>
      <c r="P54" s="9">
        <f t="shared" ref="P54:Y54" si="46">IF(OR(P53="",O54=""),"",P53+P49+O54)</f>
        <v>-297341.89225631597</v>
      </c>
      <c r="Q54" s="9">
        <f t="shared" si="46"/>
        <v>-279378.1186167358</v>
      </c>
      <c r="R54" s="9">
        <f t="shared" si="46"/>
        <v>-254787.57914657006</v>
      </c>
      <c r="S54" s="9">
        <f t="shared" si="46"/>
        <v>-292129.80261816119</v>
      </c>
      <c r="T54" s="9">
        <f t="shared" si="46"/>
        <v>-287751.74281899957</v>
      </c>
      <c r="U54" s="9">
        <f t="shared" si="46"/>
        <v>-192772.48395842029</v>
      </c>
      <c r="V54" s="9">
        <f t="shared" si="46"/>
        <v>-37002.500969099608</v>
      </c>
      <c r="W54" s="9">
        <f t="shared" si="46"/>
        <v>102135.97465440081</v>
      </c>
      <c r="X54" s="9">
        <f t="shared" si="46"/>
        <v>222997.54454112489</v>
      </c>
      <c r="Y54" s="9">
        <f t="shared" si="46"/>
        <v>272587.58442535874</v>
      </c>
    </row>
    <row r="55" spans="1:27" s="5" customFormat="1" ht="8.25" customHeight="1" outlineLevel="1" x14ac:dyDescent="0.3">
      <c r="A55" s="40"/>
      <c r="B55" s="13"/>
      <c r="C55" s="85"/>
      <c r="D55" s="85"/>
      <c r="E55" s="85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7" s="5" customFormat="1" ht="15" customHeight="1" outlineLevel="1" x14ac:dyDescent="0.3">
      <c r="A56" s="132" t="s">
        <v>22</v>
      </c>
      <c r="B56" s="17"/>
      <c r="C56" s="80"/>
      <c r="D56" s="80"/>
      <c r="E56" s="80"/>
      <c r="F56" s="9"/>
      <c r="G56" s="9"/>
      <c r="H56" s="9"/>
      <c r="I56" s="9"/>
      <c r="J56" s="9"/>
      <c r="K56" s="9"/>
      <c r="L56" s="9"/>
      <c r="M56" s="9"/>
      <c r="N56" s="113">
        <f>'MEEIA 3 adjs Nov 19'!L42</f>
        <v>46.569999999999936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7" s="3" customFormat="1" ht="15" customHeight="1" outlineLevel="1" x14ac:dyDescent="0.3">
      <c r="A57" s="132"/>
      <c r="B57" s="17" t="s">
        <v>27</v>
      </c>
      <c r="C57" s="80"/>
      <c r="D57" s="80"/>
      <c r="E57" s="80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20634.15638219006</v>
      </c>
      <c r="O57" s="22">
        <f>IF('M3 Allocations - TD'!M8="","",'M3 Allocations - TD'!M34)</f>
        <v>18530.128304448888</v>
      </c>
      <c r="P57" s="22">
        <f>IF('M3 Allocations - TD'!N8="","",'M3 Allocations - TD'!N34)</f>
        <v>41320.38859087076</v>
      </c>
      <c r="Q57" s="22">
        <f>IF('M3 Allocations - TD'!O8="","",'M3 Allocations - TD'!O34)</f>
        <v>29425.974245256413</v>
      </c>
      <c r="R57" s="22">
        <f>IF('M3 Allocations - TD'!P8="","",'M3 Allocations - TD'!P34)</f>
        <v>32165.147795809222</v>
      </c>
      <c r="S57" s="22">
        <f>IF('M3 Allocations - TD'!Q8="","",'M3 Allocations - TD'!Q34)</f>
        <v>21213.003373036219</v>
      </c>
      <c r="T57" s="22">
        <f>IF('M3 Allocations - TD'!R8="","",'M3 Allocations - TD'!R34)</f>
        <v>41395.000804902586</v>
      </c>
      <c r="U57" s="22">
        <f>IF('M3 Allocations - TD'!S8="","",'M3 Allocations - TD'!S34)</f>
        <v>92952.761963081415</v>
      </c>
      <c r="V57" s="22">
        <f>IF('M3 Allocations - TD'!T8="","",'M3 Allocations - TD'!T34)</f>
        <v>123951.10916307675</v>
      </c>
      <c r="W57" s="22">
        <f>IF('M3 Allocations - TD'!U8="","",'M3 Allocations - TD'!U34)</f>
        <v>122809.27801030048</v>
      </c>
      <c r="X57" s="22">
        <f>IF('M3 Allocations - TD'!V8="","",'M3 Allocations - TD'!V34)</f>
        <v>96049.861338882605</v>
      </c>
      <c r="Y57" s="22">
        <f>IF('M3 Allocations - TD'!W8="","",'M3 Allocations - TD'!W34)</f>
        <v>51830.00376307463</v>
      </c>
    </row>
    <row r="58" spans="1:27" s="5" customFormat="1" ht="15" customHeight="1" outlineLevel="1" x14ac:dyDescent="0.3">
      <c r="A58" s="132"/>
      <c r="B58" s="18" t="s">
        <v>25</v>
      </c>
      <c r="C58" s="80"/>
      <c r="D58" s="80"/>
      <c r="E58" s="80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41515.04923810179</v>
      </c>
      <c r="O58" s="22">
        <f>IF('M3 Allocations - TD'!M54="","",'M3 Allocations - TD'!M72)</f>
        <v>41594.548478057877</v>
      </c>
      <c r="P58" s="22">
        <f>IF('M3 Allocations - TD'!N54="","",'M3 Allocations - TD'!N72)</f>
        <v>42743.649469302021</v>
      </c>
      <c r="Q58" s="22">
        <f>IF('M3 Allocations - TD'!O54="","",'M3 Allocations - TD'!O72)</f>
        <v>43471.756585125317</v>
      </c>
      <c r="R58" s="22">
        <f>IF('M3 Allocations - TD'!P54="","",'M3 Allocations - TD'!P72)</f>
        <v>37573.855689531287</v>
      </c>
      <c r="S58" s="22">
        <f>IF('M3 Allocations - TD'!Q54="","",'M3 Allocations - TD'!Q72)</f>
        <v>36905.295455925545</v>
      </c>
      <c r="T58" s="22">
        <f>IF('M3 Allocations - TD'!R54="","",'M3 Allocations - TD'!R72)</f>
        <v>34871.894488322658</v>
      </c>
      <c r="U58" s="22">
        <f>IF('M3 Allocations - TD'!S54="","",'M3 Allocations - TD'!S72)</f>
        <v>40727.091457001268</v>
      </c>
      <c r="V58" s="22">
        <f>IF('M3 Allocations - TD'!T54="","",'M3 Allocations - TD'!T72)</f>
        <v>42825.077518324979</v>
      </c>
      <c r="W58" s="22">
        <f>IF('M3 Allocations - TD'!U54="","",'M3 Allocations - TD'!U72)</f>
        <v>44954.202556147626</v>
      </c>
      <c r="X58" s="22">
        <f>IF('M3 Allocations - TD'!V54="","",'M3 Allocations - TD'!V72)</f>
        <v>45054.75137109276</v>
      </c>
      <c r="Y58" s="22">
        <f>IF('M3 Allocations - TD'!W54="","",'M3 Allocations - TD'!W72)</f>
        <v>40035.738044047088</v>
      </c>
    </row>
    <row r="59" spans="1:27" s="5" customFormat="1" ht="15" customHeight="1" outlineLevel="1" x14ac:dyDescent="0.3">
      <c r="A59" s="132"/>
      <c r="B59" s="18" t="s">
        <v>41</v>
      </c>
      <c r="C59" s="80"/>
      <c r="D59" s="80"/>
      <c r="E59" s="80"/>
      <c r="F59" s="22">
        <f>IF(F58="","",0)</f>
        <v>0</v>
      </c>
      <c r="G59" s="22">
        <f t="shared" ref="G59:P59" si="47">IF(G58="","",0)</f>
        <v>0</v>
      </c>
      <c r="H59" s="22">
        <f t="shared" si="47"/>
        <v>0</v>
      </c>
      <c r="I59" s="22">
        <f t="shared" si="47"/>
        <v>0</v>
      </c>
      <c r="J59" s="22">
        <f t="shared" si="47"/>
        <v>0</v>
      </c>
      <c r="K59" s="22">
        <f t="shared" si="47"/>
        <v>0</v>
      </c>
      <c r="L59" s="22">
        <f t="shared" si="47"/>
        <v>0</v>
      </c>
      <c r="M59" s="22">
        <f t="shared" si="47"/>
        <v>0</v>
      </c>
      <c r="N59" s="22">
        <f t="shared" si="47"/>
        <v>0</v>
      </c>
      <c r="O59" s="22">
        <f t="shared" si="47"/>
        <v>0</v>
      </c>
      <c r="P59" s="22">
        <f t="shared" si="47"/>
        <v>0</v>
      </c>
      <c r="Q59" s="22">
        <f>IF(Q58="","",-'M3 TD amort'!C29)</f>
        <v>20708.53</v>
      </c>
      <c r="R59" s="22">
        <f>IF(R58="","",-'M3 TD amort'!D29)</f>
        <v>17927.830000000002</v>
      </c>
      <c r="S59" s="22">
        <f>IF(S58="","",-'M3 TD amort'!E29)</f>
        <v>17511.97</v>
      </c>
      <c r="T59" s="22">
        <f>IF(T58="","",-'M3 TD amort'!F29)</f>
        <v>16485.95</v>
      </c>
      <c r="U59" s="22">
        <f>IF(U58="","",-'M3 TD amort'!G29)</f>
        <v>19200.04</v>
      </c>
      <c r="V59" s="22">
        <f>IF(V58="","",-'M3 TD amort'!H29)</f>
        <v>20208.66</v>
      </c>
      <c r="W59" s="22">
        <f>IF(W58="","",-'M3 TD amort'!I29)</f>
        <v>21182.03</v>
      </c>
      <c r="X59" s="22">
        <f>IF(X58="","",-'M3 TD amort'!J29)</f>
        <v>21187.42</v>
      </c>
      <c r="Y59" s="22">
        <f>IF(Y58="","",-'M3 TD amort'!K29)</f>
        <v>18832.849999999999</v>
      </c>
    </row>
    <row r="60" spans="1:27" s="5" customFormat="1" ht="15" customHeight="1" outlineLevel="1" x14ac:dyDescent="0.3">
      <c r="A60" s="132"/>
      <c r="B60" s="18" t="s">
        <v>42</v>
      </c>
      <c r="C60" s="80"/>
      <c r="D60" s="80"/>
      <c r="E60" s="80"/>
      <c r="F60" s="9">
        <f t="shared" ref="F60:M60" si="48">IF(OR(F59="",F58=""),"",F58+F59)</f>
        <v>0</v>
      </c>
      <c r="G60" s="9">
        <f t="shared" si="48"/>
        <v>0</v>
      </c>
      <c r="H60" s="9">
        <f t="shared" si="48"/>
        <v>2381.1324731369587</v>
      </c>
      <c r="I60" s="9">
        <f t="shared" si="48"/>
        <v>41080.759711289073</v>
      </c>
      <c r="J60" s="9">
        <f t="shared" si="48"/>
        <v>46620.227707662583</v>
      </c>
      <c r="K60" s="9">
        <f t="shared" si="48"/>
        <v>48915.290383093015</v>
      </c>
      <c r="L60" s="9">
        <f t="shared" si="48"/>
        <v>48689.064699160743</v>
      </c>
      <c r="M60" s="9">
        <f t="shared" si="48"/>
        <v>45154.720570269681</v>
      </c>
      <c r="N60" s="9">
        <f>IF(OR(N59="",N58=""),"",N58+N59)</f>
        <v>41515.04923810179</v>
      </c>
      <c r="O60" s="9">
        <f t="shared" ref="O60:Y60" si="49">IF(OR(O59="",O58=""),"",O58+O59)</f>
        <v>41594.548478057877</v>
      </c>
      <c r="P60" s="9">
        <f t="shared" si="49"/>
        <v>42743.649469302021</v>
      </c>
      <c r="Q60" s="9">
        <f t="shared" si="49"/>
        <v>64180.286585125315</v>
      </c>
      <c r="R60" s="9">
        <f t="shared" si="49"/>
        <v>55501.685689531289</v>
      </c>
      <c r="S60" s="9">
        <f t="shared" si="49"/>
        <v>54417.265455925546</v>
      </c>
      <c r="T60" s="9">
        <f t="shared" si="49"/>
        <v>51357.844488322662</v>
      </c>
      <c r="U60" s="9">
        <f t="shared" si="49"/>
        <v>59927.131457001269</v>
      </c>
      <c r="V60" s="9">
        <f t="shared" si="49"/>
        <v>63033.737518324982</v>
      </c>
      <c r="W60" s="9">
        <f t="shared" si="49"/>
        <v>66136.232556147617</v>
      </c>
      <c r="X60" s="9">
        <f t="shared" si="49"/>
        <v>66242.171371092758</v>
      </c>
      <c r="Y60" s="9">
        <f t="shared" si="49"/>
        <v>58868.588044047086</v>
      </c>
    </row>
    <row r="61" spans="1:27" s="5" customFormat="1" outlineLevel="1" x14ac:dyDescent="0.3">
      <c r="A61" s="132"/>
      <c r="B61" s="18" t="s">
        <v>12</v>
      </c>
      <c r="C61" s="80"/>
      <c r="D61" s="80"/>
      <c r="E61" s="80"/>
      <c r="F61" s="9">
        <f t="shared" ref="F61:M61" si="50">IF(OR(F58="",F57=""),"",F57-F58)</f>
        <v>0</v>
      </c>
      <c r="G61" s="9">
        <f t="shared" si="50"/>
        <v>9.4764517045030008</v>
      </c>
      <c r="H61" s="9">
        <f t="shared" si="50"/>
        <v>-1388.7476725055421</v>
      </c>
      <c r="I61" s="9">
        <f t="shared" si="50"/>
        <v>-33788.634873838782</v>
      </c>
      <c r="J61" s="9">
        <f t="shared" si="50"/>
        <v>-30625.282694978901</v>
      </c>
      <c r="K61" s="9">
        <f t="shared" si="50"/>
        <v>-31628.79776913585</v>
      </c>
      <c r="L61" s="9">
        <f t="shared" si="50"/>
        <v>-28095.429085728912</v>
      </c>
      <c r="M61" s="9">
        <f t="shared" si="50"/>
        <v>-31873.257504636691</v>
      </c>
      <c r="N61" s="9">
        <f>IF(OR(N60="",N57=""),"",N57-N60)</f>
        <v>-20880.89285591173</v>
      </c>
      <c r="O61" s="9">
        <f t="shared" ref="O61:Y61" si="51">IF(OR(O60="",O57=""),"",O57-O60)</f>
        <v>-23064.420173608989</v>
      </c>
      <c r="P61" s="9">
        <f t="shared" si="51"/>
        <v>-1423.2608784312615</v>
      </c>
      <c r="Q61" s="9">
        <f t="shared" si="51"/>
        <v>-34754.312339868906</v>
      </c>
      <c r="R61" s="9">
        <f t="shared" si="51"/>
        <v>-23336.537893722067</v>
      </c>
      <c r="S61" s="9">
        <f t="shared" si="51"/>
        <v>-33204.262082889327</v>
      </c>
      <c r="T61" s="9">
        <f t="shared" si="51"/>
        <v>-9962.8436834200766</v>
      </c>
      <c r="U61" s="9">
        <f t="shared" si="51"/>
        <v>33025.630506080146</v>
      </c>
      <c r="V61" s="9">
        <f t="shared" si="51"/>
        <v>60917.371644751765</v>
      </c>
      <c r="W61" s="9">
        <f t="shared" si="51"/>
        <v>56673.04545415286</v>
      </c>
      <c r="X61" s="9">
        <f t="shared" si="51"/>
        <v>29807.689967789847</v>
      </c>
      <c r="Y61" s="9">
        <f t="shared" si="51"/>
        <v>-7038.5842809724563</v>
      </c>
      <c r="Z61" s="88" t="s">
        <v>68</v>
      </c>
      <c r="AA61" s="88" t="s">
        <v>79</v>
      </c>
    </row>
    <row r="62" spans="1:27" s="5" customFormat="1" outlineLevel="1" x14ac:dyDescent="0.3">
      <c r="A62" s="132"/>
      <c r="B62" s="19" t="s">
        <v>7</v>
      </c>
      <c r="C62" s="80"/>
      <c r="D62" s="80"/>
      <c r="E62" s="80"/>
      <c r="F62" s="9">
        <f>IF(OR(F9="",F61=""),"",ROUND((F61+E64)*F9/12,2))</f>
        <v>0</v>
      </c>
      <c r="G62" s="9">
        <f t="shared" ref="G62:M62" si="52">IF(OR(G9="",G61=""),"",ROUND((G61+F64)*G9/12,2))</f>
        <v>0.02</v>
      </c>
      <c r="H62" s="9">
        <f t="shared" si="52"/>
        <v>-3.08</v>
      </c>
      <c r="I62" s="9">
        <f t="shared" si="52"/>
        <v>-77.67</v>
      </c>
      <c r="J62" s="9">
        <f t="shared" si="52"/>
        <v>-142.44999999999999</v>
      </c>
      <c r="K62" s="9">
        <f t="shared" si="52"/>
        <v>-191.32</v>
      </c>
      <c r="L62" s="9">
        <f t="shared" si="52"/>
        <v>-232.65</v>
      </c>
      <c r="M62" s="9">
        <f t="shared" si="52"/>
        <v>-278.39999999999998</v>
      </c>
      <c r="N62" s="9">
        <f>IF(OR(N9="",N61=""),"",ROUND((N61+M64)*N9/12,2))+N56</f>
        <v>-224.61000000000007</v>
      </c>
      <c r="O62" s="9">
        <f t="shared" ref="O62:P62" si="53">IF(OR(O9="",O61=""),"",ROUND((O61+N64)*O9/12,2))</f>
        <v>-323.17</v>
      </c>
      <c r="P62" s="9">
        <f t="shared" si="53"/>
        <v>-321.51</v>
      </c>
      <c r="Q62" s="9">
        <f>IF(OR(Q9="",Q61=""),"",ROUND((Q59+Q61+P64)*Q9/12,2))</f>
        <v>-328.55</v>
      </c>
      <c r="R62" s="9">
        <f t="shared" ref="R62:X62" si="54">IF(OR(R9="",R61=""),"",ROUND((R59+R61+Q64)*R9/12,2))</f>
        <v>-353.07</v>
      </c>
      <c r="S62" s="9">
        <f t="shared" si="54"/>
        <v>-187.99</v>
      </c>
      <c r="T62" s="9">
        <f t="shared" si="54"/>
        <v>-25.17</v>
      </c>
      <c r="U62" s="9">
        <f t="shared" si="54"/>
        <v>-19.04</v>
      </c>
      <c r="V62" s="9">
        <f t="shared" si="54"/>
        <v>-16.260000000000002</v>
      </c>
      <c r="W62" s="9">
        <f t="shared" si="54"/>
        <v>-2.61</v>
      </c>
      <c r="X62" s="9">
        <f t="shared" si="54"/>
        <v>2.9</v>
      </c>
      <c r="Y62" s="9">
        <f>IF(OR(Y9="",Y61=""),"",ROUND((Y59+Y61+X64)*Y9/12,2))</f>
        <v>6.65</v>
      </c>
      <c r="Z62" s="89">
        <v>-1011.1099999999999</v>
      </c>
      <c r="AA62" s="112">
        <f>(SUM(Q62:Y62))-Z62</f>
        <v>87.969999999999914</v>
      </c>
    </row>
    <row r="63" spans="1:27" s="5" customFormat="1" outlineLevel="1" x14ac:dyDescent="0.3">
      <c r="A63" s="132"/>
      <c r="B63" s="18" t="s">
        <v>13</v>
      </c>
      <c r="C63" s="80"/>
      <c r="D63" s="80"/>
      <c r="E63" s="80"/>
      <c r="F63" s="9">
        <f t="shared" ref="F63:M63" si="55">IF(OR(F61="",F62=""),"",F61+F62)</f>
        <v>0</v>
      </c>
      <c r="G63" s="9">
        <f t="shared" si="55"/>
        <v>9.4964517045030004</v>
      </c>
      <c r="H63" s="9">
        <f t="shared" si="55"/>
        <v>-1391.8276725055421</v>
      </c>
      <c r="I63" s="9">
        <f t="shared" si="55"/>
        <v>-33866.304873838781</v>
      </c>
      <c r="J63" s="9">
        <f t="shared" si="55"/>
        <v>-30767.732694978902</v>
      </c>
      <c r="K63" s="9">
        <f t="shared" si="55"/>
        <v>-31820.11776913585</v>
      </c>
      <c r="L63" s="9">
        <f t="shared" si="55"/>
        <v>-28328.079085728914</v>
      </c>
      <c r="M63" s="9">
        <f t="shared" si="55"/>
        <v>-32151.657504636692</v>
      </c>
      <c r="N63" s="9">
        <f>IF(OR(N61="",N62=""),"",N61+N62)</f>
        <v>-21105.502855911731</v>
      </c>
      <c r="O63" s="9">
        <f t="shared" ref="O63:Y63" si="56">IF(OR(O61="",O62=""),"",O61+O62)</f>
        <v>-23387.590173608987</v>
      </c>
      <c r="P63" s="9">
        <f t="shared" si="56"/>
        <v>-1744.7708784312615</v>
      </c>
      <c r="Q63" s="9">
        <f t="shared" si="56"/>
        <v>-35082.862339868909</v>
      </c>
      <c r="R63" s="9">
        <f t="shared" si="56"/>
        <v>-23689.607893722066</v>
      </c>
      <c r="S63" s="9">
        <f t="shared" si="56"/>
        <v>-33392.252082889325</v>
      </c>
      <c r="T63" s="9">
        <f t="shared" si="56"/>
        <v>-9988.0136834200766</v>
      </c>
      <c r="U63" s="9">
        <f t="shared" si="56"/>
        <v>33006.590506080145</v>
      </c>
      <c r="V63" s="9">
        <f t="shared" si="56"/>
        <v>60901.111644751763</v>
      </c>
      <c r="W63" s="9">
        <f t="shared" si="56"/>
        <v>56670.435454152859</v>
      </c>
      <c r="X63" s="9">
        <f t="shared" si="56"/>
        <v>29810.589967789849</v>
      </c>
      <c r="Y63" s="9">
        <f t="shared" si="56"/>
        <v>-7031.9342809724567</v>
      </c>
    </row>
    <row r="64" spans="1:27" s="5" customFormat="1" outlineLevel="1" x14ac:dyDescent="0.3">
      <c r="A64" s="132"/>
      <c r="B64" s="20" t="s">
        <v>17</v>
      </c>
      <c r="C64" s="80"/>
      <c r="D64" s="80"/>
      <c r="E64" s="80"/>
      <c r="F64" s="9">
        <f>IF(OR(F63=""),"",F63)</f>
        <v>0</v>
      </c>
      <c r="G64" s="9">
        <f t="shared" ref="G64:M64" si="57">IF(OR(G63="",F64=""),"",G63+F64)</f>
        <v>9.4964517045030004</v>
      </c>
      <c r="H64" s="9">
        <f t="shared" si="57"/>
        <v>-1382.3312208010391</v>
      </c>
      <c r="I64" s="9">
        <f t="shared" si="57"/>
        <v>-35248.63609463982</v>
      </c>
      <c r="J64" s="9">
        <f t="shared" si="57"/>
        <v>-66016.368789618718</v>
      </c>
      <c r="K64" s="9">
        <f t="shared" si="57"/>
        <v>-97836.486558754565</v>
      </c>
      <c r="L64" s="9">
        <f t="shared" si="57"/>
        <v>-126164.56564448347</v>
      </c>
      <c r="M64" s="9">
        <f t="shared" si="57"/>
        <v>-158316.22314912017</v>
      </c>
      <c r="N64" s="9">
        <f>IF(OR(N63="",M64=""),"",N63+N59+M64)</f>
        <v>-179421.7260050319</v>
      </c>
      <c r="O64" s="9">
        <f>IF(OR(O63="",N64=""),"",O63+O59+N64+O56)</f>
        <v>-202809.31617864087</v>
      </c>
      <c r="P64" s="9">
        <f t="shared" ref="P64:Y64" si="58">IF(OR(P63="",O64=""),"",P63+P59+O64)</f>
        <v>-204554.08705707215</v>
      </c>
      <c r="Q64" s="9">
        <f t="shared" si="58"/>
        <v>-218928.41939694106</v>
      </c>
      <c r="R64" s="9">
        <f t="shared" si="58"/>
        <v>-224690.19729066311</v>
      </c>
      <c r="S64" s="9">
        <f t="shared" si="58"/>
        <v>-240570.47937355243</v>
      </c>
      <c r="T64" s="9">
        <f t="shared" si="58"/>
        <v>-234072.5430569725</v>
      </c>
      <c r="U64" s="9">
        <f t="shared" si="58"/>
        <v>-181865.91255089236</v>
      </c>
      <c r="V64" s="9">
        <f t="shared" si="58"/>
        <v>-100756.1409061406</v>
      </c>
      <c r="W64" s="9">
        <f t="shared" si="58"/>
        <v>-22903.675451987743</v>
      </c>
      <c r="X64" s="9">
        <f t="shared" si="58"/>
        <v>28094.334515802104</v>
      </c>
      <c r="Y64" s="9">
        <f t="shared" si="58"/>
        <v>39895.250234829648</v>
      </c>
    </row>
    <row r="65" spans="1:27" s="5" customFormat="1" ht="8.25" customHeight="1" outlineLevel="1" x14ac:dyDescent="0.3">
      <c r="A65" s="40"/>
      <c r="B65" s="13"/>
      <c r="C65" s="85"/>
      <c r="D65" s="85"/>
      <c r="E65" s="85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7" s="5" customFormat="1" ht="15" customHeight="1" outlineLevel="1" x14ac:dyDescent="0.3">
      <c r="A66" s="132" t="s">
        <v>23</v>
      </c>
      <c r="B66" s="17"/>
      <c r="C66" s="80"/>
      <c r="D66" s="80"/>
      <c r="E66" s="80"/>
      <c r="F66" s="9"/>
      <c r="G66" s="9"/>
      <c r="H66" s="9"/>
      <c r="I66" s="9"/>
      <c r="J66" s="9"/>
      <c r="K66" s="9"/>
      <c r="L66" s="9"/>
      <c r="M66" s="9"/>
      <c r="N66" s="113">
        <f>'MEEIA 3 adjs Nov 19'!L52</f>
        <v>15.680000000000007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7" s="3" customFormat="1" ht="15" customHeight="1" outlineLevel="1" x14ac:dyDescent="0.3">
      <c r="A67" s="132"/>
      <c r="B67" s="17" t="s">
        <v>27</v>
      </c>
      <c r="C67" s="80"/>
      <c r="D67" s="80"/>
      <c r="E67" s="80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4498.45610981133</v>
      </c>
      <c r="O67" s="22">
        <f>IF('M3 Allocations - TD'!M9="","",'M3 Allocations - TD'!M35)</f>
        <v>2468.5744882877784</v>
      </c>
      <c r="P67" s="22">
        <f>IF('M3 Allocations - TD'!N9="","",'M3 Allocations - TD'!N35)</f>
        <v>6482.3323978120161</v>
      </c>
      <c r="Q67" s="22">
        <f>IF('M3 Allocations - TD'!O9="","",'M3 Allocations - TD'!O35)</f>
        <v>4714.4220035550234</v>
      </c>
      <c r="R67" s="22">
        <f>IF('M3 Allocations - TD'!P9="","",'M3 Allocations - TD'!P35)</f>
        <v>4933.2233077077817</v>
      </c>
      <c r="S67" s="22">
        <f>IF('M3 Allocations - TD'!Q9="","",'M3 Allocations - TD'!Q35)</f>
        <v>4340.5509347173938</v>
      </c>
      <c r="T67" s="22">
        <f>IF('M3 Allocations - TD'!R9="","",'M3 Allocations - TD'!R35)</f>
        <v>11799.946486826884</v>
      </c>
      <c r="U67" s="22">
        <f>IF('M3 Allocations - TD'!S9="","",'M3 Allocations - TD'!S35)</f>
        <v>38257.943252341713</v>
      </c>
      <c r="V67" s="22">
        <f>IF('M3 Allocations - TD'!T9="","",'M3 Allocations - TD'!T35)</f>
        <v>40690.592006909494</v>
      </c>
      <c r="W67" s="22">
        <f>IF('M3 Allocations - TD'!U9="","",'M3 Allocations - TD'!U35)</f>
        <v>41885.585703975645</v>
      </c>
      <c r="X67" s="22">
        <f>IF('M3 Allocations - TD'!V9="","",'M3 Allocations - TD'!V35)</f>
        <v>26780.761635291285</v>
      </c>
      <c r="Y67" s="22">
        <f>IF('M3 Allocations - TD'!W9="","",'M3 Allocations - TD'!W35)</f>
        <v>10597.262650374174</v>
      </c>
    </row>
    <row r="68" spans="1:27" s="5" customFormat="1" ht="15" customHeight="1" outlineLevel="1" x14ac:dyDescent="0.3">
      <c r="A68" s="132"/>
      <c r="B68" s="18" t="s">
        <v>25</v>
      </c>
      <c r="C68" s="80"/>
      <c r="D68" s="80"/>
      <c r="E68" s="80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6323.5939077382554</v>
      </c>
      <c r="O68" s="22">
        <f>IF('M3 Allocations - TD'!M55="","",'M3 Allocations - TD'!M73)</f>
        <v>5864.7707264215042</v>
      </c>
      <c r="P68" s="22">
        <f>IF('M3 Allocations - TD'!N55="","",'M3 Allocations - TD'!N73)</f>
        <v>6186.9939477675571</v>
      </c>
      <c r="Q68" s="22">
        <f>IF('M3 Allocations - TD'!O55="","",'M3 Allocations - TD'!O73)</f>
        <v>10792.766596240668</v>
      </c>
      <c r="R68" s="22">
        <f>IF('M3 Allocations - TD'!P55="","",'M3 Allocations - TD'!P73)</f>
        <v>19312.38401960209</v>
      </c>
      <c r="S68" s="22">
        <f>IF('M3 Allocations - TD'!Q55="","",'M3 Allocations - TD'!Q73)</f>
        <v>21254.31297935671</v>
      </c>
      <c r="T68" s="22">
        <f>IF('M3 Allocations - TD'!R55="","",'M3 Allocations - TD'!R73)</f>
        <v>21637.663415217026</v>
      </c>
      <c r="U68" s="22">
        <f>IF('M3 Allocations - TD'!S55="","",'M3 Allocations - TD'!S73)</f>
        <v>16834.533975023267</v>
      </c>
      <c r="V68" s="22">
        <f>IF('M3 Allocations - TD'!T55="","",'M3 Allocations - TD'!T73)</f>
        <v>24355.538593432568</v>
      </c>
      <c r="W68" s="22">
        <f>IF('M3 Allocations - TD'!U55="","",'M3 Allocations - TD'!U73)</f>
        <v>25113.656296491379</v>
      </c>
      <c r="X68" s="22">
        <f>IF('M3 Allocations - TD'!V55="","",'M3 Allocations - TD'!V73)</f>
        <v>25507.793919774442</v>
      </c>
      <c r="Y68" s="22">
        <f>IF('M3 Allocations - TD'!W55="","",'M3 Allocations - TD'!W73)</f>
        <v>22463.576853042847</v>
      </c>
    </row>
    <row r="69" spans="1:27" s="5" customFormat="1" ht="15" customHeight="1" outlineLevel="1" x14ac:dyDescent="0.3">
      <c r="A69" s="132"/>
      <c r="B69" s="18" t="s">
        <v>41</v>
      </c>
      <c r="C69" s="80"/>
      <c r="D69" s="80"/>
      <c r="E69" s="80"/>
      <c r="F69" s="22">
        <f>IF(F68="","",0)</f>
        <v>0</v>
      </c>
      <c r="G69" s="22">
        <f t="shared" ref="G69:P69" si="59">IF(G68="","",0)</f>
        <v>0</v>
      </c>
      <c r="H69" s="22">
        <f t="shared" si="59"/>
        <v>0</v>
      </c>
      <c r="I69" s="22">
        <f t="shared" si="59"/>
        <v>0</v>
      </c>
      <c r="J69" s="22">
        <f t="shared" si="59"/>
        <v>0</v>
      </c>
      <c r="K69" s="22">
        <f t="shared" si="59"/>
        <v>0</v>
      </c>
      <c r="L69" s="22">
        <f t="shared" si="59"/>
        <v>0</v>
      </c>
      <c r="M69" s="22">
        <f t="shared" si="59"/>
        <v>0</v>
      </c>
      <c r="N69" s="22">
        <f t="shared" si="59"/>
        <v>0</v>
      </c>
      <c r="O69" s="22">
        <f t="shared" si="59"/>
        <v>0</v>
      </c>
      <c r="P69" s="22">
        <f t="shared" si="59"/>
        <v>0</v>
      </c>
      <c r="Q69" s="22">
        <f>IF(Q68="","",-'M3 TD amort'!C36)</f>
        <v>1504.68</v>
      </c>
      <c r="R69" s="22">
        <f>IF(R68="","",-'M3 TD amort'!D36)</f>
        <v>2591.88</v>
      </c>
      <c r="S69" s="22">
        <f>IF(S68="","",-'M3 TD amort'!E36)</f>
        <v>2838.35</v>
      </c>
      <c r="T69" s="22">
        <f>IF(T68="","",-'M3 TD amort'!F36)</f>
        <v>2881.77</v>
      </c>
      <c r="U69" s="22">
        <f>IF(U68="","",-'M3 TD amort'!G36)</f>
        <v>2250.5100000000002</v>
      </c>
      <c r="V69" s="22">
        <f>IF(V68="","",-'M3 TD amort'!H36)</f>
        <v>3239.4</v>
      </c>
      <c r="W69" s="22">
        <f>IF(W68="","",-'M3 TD amort'!I36)</f>
        <v>3336.64</v>
      </c>
      <c r="X69" s="22">
        <f>IF(X68="","",-'M3 TD amort'!J36)</f>
        <v>3384.12</v>
      </c>
      <c r="Y69" s="22">
        <f>IF(Y68="","",-'M3 TD amort'!K36)</f>
        <v>2980.87</v>
      </c>
    </row>
    <row r="70" spans="1:27" s="5" customFormat="1" ht="15" customHeight="1" outlineLevel="1" x14ac:dyDescent="0.3">
      <c r="A70" s="132"/>
      <c r="B70" s="18" t="s">
        <v>42</v>
      </c>
      <c r="C70" s="80"/>
      <c r="D70" s="80"/>
      <c r="E70" s="80"/>
      <c r="F70" s="9">
        <f t="shared" ref="F70:M70" si="60">IF(OR(F69="",F68=""),"",F68+F69)</f>
        <v>0</v>
      </c>
      <c r="G70" s="9">
        <f t="shared" si="60"/>
        <v>0</v>
      </c>
      <c r="H70" s="9">
        <f t="shared" si="60"/>
        <v>-48.583419353926594</v>
      </c>
      <c r="I70" s="9">
        <f t="shared" si="60"/>
        <v>4125.9071778961579</v>
      </c>
      <c r="J70" s="9">
        <f t="shared" si="60"/>
        <v>6806.3797850987785</v>
      </c>
      <c r="K70" s="9">
        <f t="shared" si="60"/>
        <v>7524.9044581782691</v>
      </c>
      <c r="L70" s="9">
        <f t="shared" si="60"/>
        <v>7658.4495072300715</v>
      </c>
      <c r="M70" s="9">
        <f t="shared" si="60"/>
        <v>7241.6490844376849</v>
      </c>
      <c r="N70" s="9">
        <f>IF(OR(N69="",N68=""),"",N68+N69)</f>
        <v>6323.5939077382554</v>
      </c>
      <c r="O70" s="9">
        <f t="shared" ref="O70:Y70" si="61">IF(OR(O69="",O68=""),"",O68+O69)</f>
        <v>5864.7707264215042</v>
      </c>
      <c r="P70" s="9">
        <f t="shared" si="61"/>
        <v>6186.9939477675571</v>
      </c>
      <c r="Q70" s="9">
        <f t="shared" si="61"/>
        <v>12297.446596240668</v>
      </c>
      <c r="R70" s="9">
        <f t="shared" si="61"/>
        <v>21904.264019602091</v>
      </c>
      <c r="S70" s="9">
        <f t="shared" si="61"/>
        <v>24092.662979356708</v>
      </c>
      <c r="T70" s="9">
        <f t="shared" si="61"/>
        <v>24519.433415217027</v>
      </c>
      <c r="U70" s="9">
        <f t="shared" si="61"/>
        <v>19085.043975023269</v>
      </c>
      <c r="V70" s="9">
        <f t="shared" si="61"/>
        <v>27594.938593432569</v>
      </c>
      <c r="W70" s="9">
        <f t="shared" si="61"/>
        <v>28450.296296491379</v>
      </c>
      <c r="X70" s="9">
        <f t="shared" si="61"/>
        <v>28891.913919774441</v>
      </c>
      <c r="Y70" s="9">
        <f t="shared" si="61"/>
        <v>25444.446853042846</v>
      </c>
    </row>
    <row r="71" spans="1:27" s="5" customFormat="1" outlineLevel="1" x14ac:dyDescent="0.3">
      <c r="A71" s="132"/>
      <c r="B71" s="18" t="s">
        <v>12</v>
      </c>
      <c r="C71" s="80"/>
      <c r="D71" s="80"/>
      <c r="E71" s="80"/>
      <c r="F71" s="9">
        <f t="shared" ref="F71:L71" si="62">IF(OR(F68="",F67=""),"",F67-F68)</f>
        <v>0</v>
      </c>
      <c r="G71" s="9">
        <f t="shared" si="62"/>
        <v>0</v>
      </c>
      <c r="H71" s="9">
        <f t="shared" si="62"/>
        <v>206.95969459981058</v>
      </c>
      <c r="I71" s="9">
        <f t="shared" si="62"/>
        <v>-3528.7340731331474</v>
      </c>
      <c r="J71" s="9">
        <f t="shared" si="62"/>
        <v>-6806.3797850987785</v>
      </c>
      <c r="K71" s="9">
        <f t="shared" si="62"/>
        <v>-7300.5960205780684</v>
      </c>
      <c r="L71" s="9">
        <f t="shared" si="62"/>
        <v>-7080.3370793455424</v>
      </c>
      <c r="M71" s="9">
        <f>IF(OR(M68="",M67=""),"",M67-M68)</f>
        <v>-6687.927317849204</v>
      </c>
      <c r="N71" s="9">
        <f>IF(OR(N70="",N67=""),"",N67-N70)</f>
        <v>-1825.1377979269255</v>
      </c>
      <c r="O71" s="9">
        <f t="shared" ref="O71:Y71" si="63">IF(OR(O70="",O67=""),"",O67-O70)</f>
        <v>-3396.1962381337257</v>
      </c>
      <c r="P71" s="9">
        <f t="shared" si="63"/>
        <v>295.33845004445902</v>
      </c>
      <c r="Q71" s="9">
        <f t="shared" si="63"/>
        <v>-7583.0245926856451</v>
      </c>
      <c r="R71" s="9">
        <f t="shared" si="63"/>
        <v>-16971.040711894311</v>
      </c>
      <c r="S71" s="9">
        <f t="shared" si="63"/>
        <v>-19752.112044639314</v>
      </c>
      <c r="T71" s="9">
        <f t="shared" si="63"/>
        <v>-12719.486928390143</v>
      </c>
      <c r="U71" s="9">
        <f t="shared" si="63"/>
        <v>19172.899277318444</v>
      </c>
      <c r="V71" s="9">
        <f t="shared" si="63"/>
        <v>13095.653413476924</v>
      </c>
      <c r="W71" s="9">
        <f t="shared" si="63"/>
        <v>13435.289407484266</v>
      </c>
      <c r="X71" s="9">
        <f t="shared" si="63"/>
        <v>-2111.1522844831561</v>
      </c>
      <c r="Y71" s="9">
        <f t="shared" si="63"/>
        <v>-14847.184202668672</v>
      </c>
      <c r="Z71" s="88" t="s">
        <v>68</v>
      </c>
      <c r="AA71" s="88" t="s">
        <v>79</v>
      </c>
    </row>
    <row r="72" spans="1:27" s="5" customFormat="1" outlineLevel="1" x14ac:dyDescent="0.3">
      <c r="A72" s="132"/>
      <c r="B72" s="19" t="s">
        <v>7</v>
      </c>
      <c r="C72" s="80"/>
      <c r="D72" s="80"/>
      <c r="E72" s="80"/>
      <c r="F72" s="9">
        <f>IF(OR(F9="",F71=""),"",ROUND((F71+E74)*F9/12,2))</f>
        <v>0</v>
      </c>
      <c r="G72" s="9">
        <f t="shared" ref="G72:M72" si="64">IF(OR(G9="",G71=""),"",ROUND((G71+F74)*G9/12,2))</f>
        <v>0</v>
      </c>
      <c r="H72" s="9">
        <f t="shared" si="64"/>
        <v>0.46</v>
      </c>
      <c r="I72" s="9">
        <f t="shared" si="64"/>
        <v>-7.33</v>
      </c>
      <c r="J72" s="9">
        <f t="shared" si="64"/>
        <v>-21.92</v>
      </c>
      <c r="K72" s="9">
        <f t="shared" si="64"/>
        <v>-34.200000000000003</v>
      </c>
      <c r="L72" s="9">
        <f t="shared" si="64"/>
        <v>-45.39</v>
      </c>
      <c r="M72" s="9">
        <f t="shared" si="64"/>
        <v>-55.15</v>
      </c>
      <c r="N72" s="9">
        <f>IF(OR(N9="",N71=""),"",ROUND((N71+M74)*N9/12,2))+N66</f>
        <v>-34.539999999999992</v>
      </c>
      <c r="O72" s="9">
        <f t="shared" ref="O72:P72" si="65">IF(OR(O9="",O71=""),"",ROUND((O71+N74)*O9/12,2))</f>
        <v>-58.44</v>
      </c>
      <c r="P72" s="9">
        <f t="shared" si="65"/>
        <v>-57.27</v>
      </c>
      <c r="Q72" s="9">
        <f>IF(OR(Q9="",Q71=""),"",ROUND((Q69+Q71+P74)*Q9/12,2))</f>
        <v>-63.9</v>
      </c>
      <c r="R72" s="9">
        <f t="shared" ref="R72:X72" si="66">IF(OR(R9="",R71=""),"",ROUND((R69+R71+Q74)*R9/12,2))</f>
        <v>-89.64</v>
      </c>
      <c r="S72" s="9">
        <f t="shared" si="66"/>
        <v>-57.84</v>
      </c>
      <c r="T72" s="9">
        <f t="shared" si="66"/>
        <v>-9.02</v>
      </c>
      <c r="U72" s="9">
        <f t="shared" si="66"/>
        <v>-6.54</v>
      </c>
      <c r="V72" s="9">
        <f t="shared" si="66"/>
        <v>-7.44</v>
      </c>
      <c r="W72" s="9">
        <f t="shared" si="66"/>
        <v>-3.34</v>
      </c>
      <c r="X72" s="9">
        <f t="shared" si="66"/>
        <v>-2.9</v>
      </c>
      <c r="Y72" s="9">
        <f>IF(OR(Y9="",Y71=""),"",ROUND((Y69+Y71+X74)*Y9/12,2))</f>
        <v>-6.66</v>
      </c>
      <c r="Z72" s="89">
        <v>-258.16000000000003</v>
      </c>
      <c r="AA72" s="112">
        <f>(SUM(Q72:Y72))-Z72</f>
        <v>10.880000000000024</v>
      </c>
    </row>
    <row r="73" spans="1:27" s="5" customFormat="1" outlineLevel="1" x14ac:dyDescent="0.3">
      <c r="A73" s="132"/>
      <c r="B73" s="18" t="s">
        <v>13</v>
      </c>
      <c r="C73" s="80"/>
      <c r="D73" s="80"/>
      <c r="E73" s="80"/>
      <c r="F73" s="9">
        <f t="shared" ref="F73:M73" si="67">IF(OR(F71="",F72=""),"",F71+F72)</f>
        <v>0</v>
      </c>
      <c r="G73" s="9">
        <f t="shared" si="67"/>
        <v>0</v>
      </c>
      <c r="H73" s="9">
        <f t="shared" si="67"/>
        <v>207.41969459981058</v>
      </c>
      <c r="I73" s="9">
        <f t="shared" si="67"/>
        <v>-3536.0640731331473</v>
      </c>
      <c r="J73" s="9">
        <f t="shared" si="67"/>
        <v>-6828.2997850987786</v>
      </c>
      <c r="K73" s="9">
        <f t="shared" si="67"/>
        <v>-7334.7960205780682</v>
      </c>
      <c r="L73" s="9">
        <f t="shared" si="67"/>
        <v>-7125.7270793455427</v>
      </c>
      <c r="M73" s="9">
        <f t="shared" si="67"/>
        <v>-6743.0773178492036</v>
      </c>
      <c r="N73" s="9">
        <f>IF(OR(N71="",N72=""),"",N71+N72)</f>
        <v>-1859.6777979269255</v>
      </c>
      <c r="O73" s="9">
        <f t="shared" ref="O73:Y73" si="68">IF(OR(O71="",O72=""),"",O71+O72)</f>
        <v>-3454.6362381337258</v>
      </c>
      <c r="P73" s="9">
        <f t="shared" si="68"/>
        <v>238.06845004445901</v>
      </c>
      <c r="Q73" s="9">
        <f t="shared" si="68"/>
        <v>-7646.9245926856447</v>
      </c>
      <c r="R73" s="9">
        <f t="shared" si="68"/>
        <v>-17060.680711894311</v>
      </c>
      <c r="S73" s="9">
        <f t="shared" si="68"/>
        <v>-19809.952044639314</v>
      </c>
      <c r="T73" s="9">
        <f t="shared" si="68"/>
        <v>-12728.506928390143</v>
      </c>
      <c r="U73" s="9">
        <f t="shared" si="68"/>
        <v>19166.359277318443</v>
      </c>
      <c r="V73" s="9">
        <f t="shared" si="68"/>
        <v>13088.213413476924</v>
      </c>
      <c r="W73" s="9">
        <f t="shared" si="68"/>
        <v>13431.949407484266</v>
      </c>
      <c r="X73" s="9">
        <f t="shared" si="68"/>
        <v>-2114.0522844831562</v>
      </c>
      <c r="Y73" s="9">
        <f t="shared" si="68"/>
        <v>-14853.844202668672</v>
      </c>
    </row>
    <row r="74" spans="1:27" s="5" customFormat="1" outlineLevel="1" x14ac:dyDescent="0.3">
      <c r="A74" s="132"/>
      <c r="B74" s="20" t="s">
        <v>18</v>
      </c>
      <c r="C74" s="84"/>
      <c r="D74" s="84"/>
      <c r="E74" s="84"/>
      <c r="F74" s="9">
        <f>IF(OR(F73=""),"",F73)</f>
        <v>0</v>
      </c>
      <c r="G74" s="9">
        <f t="shared" ref="G74:M74" si="69">IF(OR(G73="",F74=""),"",G73+F74)</f>
        <v>0</v>
      </c>
      <c r="H74" s="9">
        <f t="shared" si="69"/>
        <v>207.41969459981058</v>
      </c>
      <c r="I74" s="9">
        <f t="shared" si="69"/>
        <v>-3328.6443785333367</v>
      </c>
      <c r="J74" s="9">
        <f t="shared" si="69"/>
        <v>-10156.944163632115</v>
      </c>
      <c r="K74" s="9">
        <f t="shared" si="69"/>
        <v>-17491.740184210183</v>
      </c>
      <c r="L74" s="9">
        <f t="shared" si="69"/>
        <v>-24617.467263555725</v>
      </c>
      <c r="M74" s="9">
        <f t="shared" si="69"/>
        <v>-31360.544581404931</v>
      </c>
      <c r="N74" s="9">
        <f>IF(OR(N73="",M74=""),"",N73+N69+M74)</f>
        <v>-33220.222379331855</v>
      </c>
      <c r="O74" s="9">
        <f>IF(OR(O73="",N74=""),"",O73+O69+N74+O66)</f>
        <v>-36674.858617465579</v>
      </c>
      <c r="P74" s="9">
        <f t="shared" ref="P74:Y74" si="70">IF(OR(P73="",O74=""),"",P73+P69+O74)</f>
        <v>-36436.790167421117</v>
      </c>
      <c r="Q74" s="9">
        <f t="shared" si="70"/>
        <v>-42579.034760106762</v>
      </c>
      <c r="R74" s="9">
        <f t="shared" si="70"/>
        <v>-57047.835472001068</v>
      </c>
      <c r="S74" s="9">
        <f t="shared" si="70"/>
        <v>-74019.437516640377</v>
      </c>
      <c r="T74" s="9">
        <f t="shared" si="70"/>
        <v>-83866.174445030512</v>
      </c>
      <c r="U74" s="9">
        <f t="shared" si="70"/>
        <v>-62449.305167712067</v>
      </c>
      <c r="V74" s="9">
        <f t="shared" si="70"/>
        <v>-46121.691754235144</v>
      </c>
      <c r="W74" s="9">
        <f t="shared" si="70"/>
        <v>-29353.102346750878</v>
      </c>
      <c r="X74" s="9">
        <f t="shared" si="70"/>
        <v>-28083.034631234033</v>
      </c>
      <c r="Y74" s="9">
        <f t="shared" si="70"/>
        <v>-39956.008833902706</v>
      </c>
    </row>
    <row r="75" spans="1:27" s="5" customFormat="1" ht="8.25" customHeight="1" outlineLevel="1" x14ac:dyDescent="0.3">
      <c r="A75" s="40"/>
      <c r="B75" s="13"/>
      <c r="C75" s="85"/>
      <c r="D75" s="85"/>
      <c r="E75" s="85"/>
      <c r="F75" s="8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7" s="2" customFormat="1" ht="15" customHeight="1" x14ac:dyDescent="0.3">
      <c r="A76" s="133" t="s">
        <v>54</v>
      </c>
      <c r="B76" s="76"/>
      <c r="C76" s="30"/>
      <c r="D76" s="30"/>
      <c r="E76" s="30"/>
      <c r="F76" s="28"/>
      <c r="G76" s="28"/>
      <c r="H76" s="28"/>
      <c r="I76" s="28"/>
      <c r="J76" s="28"/>
      <c r="K76" s="91"/>
      <c r="L76" s="28"/>
      <c r="M76" s="28"/>
      <c r="N76" s="28"/>
      <c r="O76" s="9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7" s="4" customFormat="1" x14ac:dyDescent="0.3">
      <c r="A77" s="133"/>
      <c r="B77" s="76" t="s">
        <v>55</v>
      </c>
      <c r="C77" s="80"/>
      <c r="D77" s="80"/>
      <c r="E77" s="80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1:27" s="4" customFormat="1" x14ac:dyDescent="0.3">
      <c r="A78" s="133"/>
      <c r="B78" s="76" t="s">
        <v>56</v>
      </c>
      <c r="C78" s="80"/>
      <c r="D78" s="80"/>
      <c r="E78" s="80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7" s="4" customFormat="1" x14ac:dyDescent="0.3">
      <c r="A79" s="133"/>
      <c r="B79" s="77" t="s">
        <v>7</v>
      </c>
      <c r="C79" s="80"/>
      <c r="D79" s="80"/>
      <c r="E79" s="8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</row>
    <row r="80" spans="1:27" s="4" customFormat="1" x14ac:dyDescent="0.3">
      <c r="A80" s="133"/>
      <c r="B80" s="77" t="s">
        <v>5</v>
      </c>
      <c r="C80" s="80"/>
      <c r="D80" s="80"/>
      <c r="E80" s="8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</row>
    <row r="81" spans="1:25" s="4" customFormat="1" x14ac:dyDescent="0.3">
      <c r="A81" s="133"/>
      <c r="B81" s="76" t="s">
        <v>57</v>
      </c>
      <c r="C81" s="80"/>
      <c r="D81" s="80"/>
      <c r="E81" s="8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</row>
    <row r="82" spans="1:25" s="4" customFormat="1" x14ac:dyDescent="0.3">
      <c r="A82" s="133"/>
      <c r="B82" s="78" t="s">
        <v>58</v>
      </c>
      <c r="C82" s="84"/>
      <c r="D82" s="84"/>
      <c r="E82" s="84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</row>
    <row r="83" spans="1:25" s="5" customFormat="1" ht="8.25" customHeight="1" x14ac:dyDescent="0.3">
      <c r="A83" s="40"/>
      <c r="B83" s="13"/>
      <c r="C83" s="85"/>
      <c r="D83" s="85"/>
      <c r="E83" s="85"/>
      <c r="F83" s="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s="5" customFormat="1" x14ac:dyDescent="0.3">
      <c r="A84" s="130"/>
      <c r="B84" s="48"/>
      <c r="C84" s="115"/>
      <c r="D84" s="115"/>
      <c r="E84" s="115"/>
      <c r="F84" s="116"/>
      <c r="G84" s="9"/>
      <c r="H84" s="9"/>
      <c r="I84" s="9"/>
      <c r="J84" s="9"/>
      <c r="K84" s="9"/>
      <c r="L84" s="9"/>
      <c r="M84" s="9"/>
      <c r="N84" s="9"/>
      <c r="O84" s="9"/>
      <c r="P84" s="9"/>
      <c r="Q84" s="60">
        <v>0</v>
      </c>
      <c r="R84" s="9"/>
      <c r="S84" s="9"/>
      <c r="T84" s="9"/>
      <c r="U84" s="9"/>
      <c r="V84" s="9"/>
      <c r="W84" s="114">
        <f>6583255-343874</f>
        <v>6239381</v>
      </c>
      <c r="X84" s="9"/>
      <c r="Y84" s="9"/>
    </row>
    <row r="85" spans="1:25" x14ac:dyDescent="0.3">
      <c r="A85" s="134" t="s">
        <v>67</v>
      </c>
      <c r="B85" s="48" t="s">
        <v>60</v>
      </c>
      <c r="C85" s="81"/>
      <c r="D85" s="81"/>
      <c r="E85" s="81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</row>
    <row r="86" spans="1:25" x14ac:dyDescent="0.3">
      <c r="A86" s="134"/>
      <c r="B86" s="48" t="s">
        <v>61</v>
      </c>
      <c r="C86" s="80"/>
      <c r="D86" s="80"/>
      <c r="E86" s="80"/>
      <c r="F86" s="24"/>
      <c r="G86" s="24"/>
      <c r="H86" s="24"/>
      <c r="I86" s="24"/>
      <c r="J86" s="24"/>
      <c r="K86" s="24"/>
      <c r="L86" s="24"/>
      <c r="M86" s="24"/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</row>
    <row r="87" spans="1:25" x14ac:dyDescent="0.3">
      <c r="A87" s="134"/>
      <c r="B87" s="48" t="s">
        <v>62</v>
      </c>
      <c r="C87" s="80"/>
      <c r="D87" s="80"/>
      <c r="E87" s="80"/>
      <c r="F87" s="10"/>
      <c r="G87" s="10"/>
      <c r="H87" s="10"/>
      <c r="I87" s="10"/>
      <c r="J87" s="10"/>
      <c r="K87" s="10"/>
      <c r="L87" s="10"/>
      <c r="M87" s="10"/>
      <c r="N87" s="10" t="str">
        <f>IF(OR(N85="",N86=""),"",N85-N86)</f>
        <v/>
      </c>
      <c r="O87" s="10" t="str">
        <f>IF(OR(O85="",O86=""),"",O85-O86)</f>
        <v/>
      </c>
      <c r="P87" s="10" t="str">
        <f>IF(OR(P85="",P86=""),"",P85-P86)</f>
        <v/>
      </c>
      <c r="Q87" s="10" t="str">
        <f t="shared" ref="Q87:Y87" si="71">IF(OR(Q85="",Q86=""),"",Q85-Q86)</f>
        <v/>
      </c>
      <c r="R87" s="10" t="str">
        <f t="shared" si="71"/>
        <v/>
      </c>
      <c r="S87" s="10" t="str">
        <f t="shared" si="71"/>
        <v/>
      </c>
      <c r="T87" s="10" t="str">
        <f t="shared" si="71"/>
        <v/>
      </c>
      <c r="U87" s="10" t="str">
        <f t="shared" si="71"/>
        <v/>
      </c>
      <c r="V87" s="10" t="str">
        <f t="shared" si="71"/>
        <v/>
      </c>
      <c r="W87" s="10" t="str">
        <f t="shared" si="71"/>
        <v/>
      </c>
      <c r="X87" s="10" t="str">
        <f t="shared" si="71"/>
        <v/>
      </c>
      <c r="Y87" s="10" t="str">
        <f t="shared" si="71"/>
        <v/>
      </c>
    </row>
    <row r="88" spans="1:25" x14ac:dyDescent="0.3">
      <c r="A88" s="134"/>
      <c r="B88" s="48" t="s">
        <v>3</v>
      </c>
      <c r="C88" s="82"/>
      <c r="D88" s="82"/>
      <c r="E88" s="82"/>
      <c r="F88" s="53"/>
      <c r="G88" s="53"/>
      <c r="H88" s="53"/>
      <c r="I88" s="53"/>
      <c r="J88" s="53"/>
      <c r="K88" s="92"/>
      <c r="L88" s="53"/>
      <c r="M88" s="53"/>
      <c r="N88" s="53"/>
      <c r="O88" s="53" t="str">
        <f t="shared" ref="O88:Y88" si="72">IF(O87="","",O19)</f>
        <v/>
      </c>
      <c r="P88" s="53" t="str">
        <f t="shared" si="72"/>
        <v/>
      </c>
      <c r="Q88" s="53" t="str">
        <f t="shared" si="72"/>
        <v/>
      </c>
      <c r="R88" s="53" t="str">
        <f t="shared" si="72"/>
        <v/>
      </c>
      <c r="S88" s="53" t="str">
        <f t="shared" si="72"/>
        <v/>
      </c>
      <c r="T88" s="53" t="str">
        <f t="shared" si="72"/>
        <v/>
      </c>
      <c r="U88" s="53" t="str">
        <f t="shared" si="72"/>
        <v/>
      </c>
      <c r="V88" s="53" t="str">
        <f t="shared" si="72"/>
        <v/>
      </c>
      <c r="W88" s="53" t="str">
        <f t="shared" si="72"/>
        <v/>
      </c>
      <c r="X88" s="53" t="str">
        <f t="shared" si="72"/>
        <v/>
      </c>
      <c r="Y88" s="53" t="str">
        <f t="shared" si="72"/>
        <v/>
      </c>
    </row>
    <row r="89" spans="1:25" x14ac:dyDescent="0.3">
      <c r="A89" s="134"/>
      <c r="B89" s="48" t="s">
        <v>40</v>
      </c>
      <c r="C89" s="80"/>
      <c r="D89" s="80"/>
      <c r="E89" s="80"/>
      <c r="F89" s="10"/>
      <c r="G89" s="10"/>
      <c r="H89" s="10"/>
      <c r="I89" s="10"/>
      <c r="J89" s="10"/>
      <c r="K89" s="10"/>
      <c r="L89" s="10"/>
      <c r="M89" s="10"/>
      <c r="N89" s="10" t="str">
        <f>IF(OR(N88="",N87=""),"",(N87*N88)/12)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x14ac:dyDescent="0.3">
      <c r="A90" s="134"/>
      <c r="B90" s="49" t="s">
        <v>5</v>
      </c>
      <c r="C90" s="80"/>
      <c r="D90" s="80"/>
      <c r="E90" s="80"/>
      <c r="F90" s="10"/>
      <c r="G90" s="10"/>
      <c r="H90" s="10"/>
      <c r="I90" s="10"/>
      <c r="J90" s="10"/>
      <c r="K90" s="10"/>
      <c r="L90" s="10"/>
      <c r="M90" s="10"/>
      <c r="N90" s="10" t="str">
        <f>N89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x14ac:dyDescent="0.3">
      <c r="A91" s="134"/>
      <c r="B91" s="61" t="s">
        <v>63</v>
      </c>
      <c r="C91" s="80"/>
      <c r="D91" s="80"/>
      <c r="E91" s="80"/>
      <c r="F91" s="10"/>
      <c r="G91" s="10"/>
      <c r="H91" s="10"/>
      <c r="I91" s="10"/>
      <c r="J91" s="10"/>
      <c r="K91" s="10"/>
      <c r="L91" s="10"/>
      <c r="M91" s="10"/>
      <c r="N91" s="10" t="str">
        <f>IF(OR(N89="",N87=""),"",N87+N89)</f>
        <v/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x14ac:dyDescent="0.3">
      <c r="A92" s="134"/>
      <c r="B92" s="48" t="s">
        <v>64</v>
      </c>
      <c r="C92" s="80"/>
      <c r="D92" s="80"/>
      <c r="E92" s="8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x14ac:dyDescent="0.3">
      <c r="A93" s="134"/>
      <c r="B93" s="50" t="s">
        <v>65</v>
      </c>
      <c r="C93" s="80"/>
      <c r="D93" s="80"/>
      <c r="E93" s="80"/>
      <c r="F93" s="10"/>
      <c r="G93" s="10"/>
      <c r="H93" s="10"/>
      <c r="I93" s="10"/>
      <c r="J93" s="10"/>
      <c r="K93" s="10"/>
      <c r="L93" s="10"/>
      <c r="M93" s="10"/>
      <c r="N93" s="10"/>
      <c r="O93" s="10">
        <f t="shared" ref="O93:Y93" si="73">IF(O86="","",N93-O86+O89)</f>
        <v>0</v>
      </c>
      <c r="P93" s="10">
        <f t="shared" si="73"/>
        <v>0</v>
      </c>
      <c r="Q93" s="10">
        <f t="shared" si="73"/>
        <v>0</v>
      </c>
      <c r="R93" s="10">
        <f t="shared" si="73"/>
        <v>0</v>
      </c>
      <c r="S93" s="10">
        <f t="shared" si="73"/>
        <v>0</v>
      </c>
      <c r="T93" s="10">
        <f t="shared" si="73"/>
        <v>0</v>
      </c>
      <c r="U93" s="10">
        <f t="shared" si="73"/>
        <v>0</v>
      </c>
      <c r="V93" s="10">
        <f t="shared" si="73"/>
        <v>0</v>
      </c>
      <c r="W93" s="10">
        <f>IF(W86="","",V93-W86+W89+W84)</f>
        <v>6239381</v>
      </c>
      <c r="X93" s="10">
        <f t="shared" si="73"/>
        <v>6239381</v>
      </c>
      <c r="Y93" s="10">
        <f t="shared" si="73"/>
        <v>6239381</v>
      </c>
    </row>
    <row r="94" spans="1:25" s="5" customFormat="1" ht="8.25" customHeight="1" x14ac:dyDescent="0.3">
      <c r="A94" s="40"/>
      <c r="B94" s="13"/>
      <c r="C94" s="85"/>
      <c r="D94" s="85"/>
      <c r="E94" s="85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x14ac:dyDescent="0.3">
      <c r="A95" s="36"/>
      <c r="K95" s="39"/>
    </row>
    <row r="96" spans="1:25" x14ac:dyDescent="0.3">
      <c r="A96" s="36"/>
      <c r="K96" s="39"/>
    </row>
    <row r="97" spans="1:11" x14ac:dyDescent="0.3">
      <c r="A97" s="36"/>
      <c r="K97" s="39"/>
    </row>
    <row r="98" spans="1:11" x14ac:dyDescent="0.3">
      <c r="A98" s="36"/>
      <c r="K98" s="39"/>
    </row>
    <row r="99" spans="1:11" x14ac:dyDescent="0.3">
      <c r="A99" s="36"/>
      <c r="K99" s="39"/>
    </row>
    <row r="100" spans="1:11" x14ac:dyDescent="0.3">
      <c r="A100" s="36"/>
      <c r="K100" s="39"/>
    </row>
    <row r="101" spans="1:11" x14ac:dyDescent="0.3">
      <c r="A101" s="36"/>
      <c r="K101" s="39"/>
    </row>
    <row r="102" spans="1:11" x14ac:dyDescent="0.3">
      <c r="A102" s="36"/>
      <c r="K102" s="39"/>
    </row>
    <row r="103" spans="1:11" x14ac:dyDescent="0.3">
      <c r="A103" s="36"/>
      <c r="K103" s="39"/>
    </row>
    <row r="104" spans="1:11" x14ac:dyDescent="0.3">
      <c r="A104" s="36"/>
      <c r="K104" s="39"/>
    </row>
    <row r="105" spans="1:11" x14ac:dyDescent="0.3">
      <c r="A105" s="36"/>
      <c r="K105" s="39"/>
    </row>
    <row r="106" spans="1:11" x14ac:dyDescent="0.3">
      <c r="A106" s="36"/>
      <c r="K106" s="39"/>
    </row>
    <row r="107" spans="1:11" x14ac:dyDescent="0.3">
      <c r="A107" s="36"/>
      <c r="K107" s="39"/>
    </row>
    <row r="108" spans="1:11" x14ac:dyDescent="0.3">
      <c r="A108" s="36"/>
      <c r="K108" s="39"/>
    </row>
    <row r="109" spans="1:11" x14ac:dyDescent="0.3">
      <c r="A109" s="36"/>
      <c r="K109" s="39"/>
    </row>
    <row r="110" spans="1:11" x14ac:dyDescent="0.3">
      <c r="A110" s="36"/>
      <c r="K110" s="39"/>
    </row>
    <row r="111" spans="1:11" x14ac:dyDescent="0.3">
      <c r="A111" s="36"/>
      <c r="K111" s="39"/>
    </row>
    <row r="112" spans="1:11" x14ac:dyDescent="0.3">
      <c r="A112" s="36"/>
      <c r="K112" s="39"/>
    </row>
    <row r="113" spans="1:11" x14ac:dyDescent="0.3">
      <c r="A113" s="36"/>
      <c r="K113" s="39"/>
    </row>
    <row r="114" spans="1:11" x14ac:dyDescent="0.3">
      <c r="A114" s="36"/>
      <c r="K114" s="39"/>
    </row>
    <row r="115" spans="1:11" x14ac:dyDescent="0.3">
      <c r="A115" s="36"/>
      <c r="K115" s="39"/>
    </row>
    <row r="116" spans="1:11" x14ac:dyDescent="0.3">
      <c r="A116" s="36"/>
      <c r="K116" s="39"/>
    </row>
    <row r="117" spans="1:11" x14ac:dyDescent="0.3">
      <c r="A117" s="36"/>
      <c r="K117" s="39"/>
    </row>
    <row r="118" spans="1:11" x14ac:dyDescent="0.3">
      <c r="A118" s="36"/>
      <c r="K118" s="39"/>
    </row>
    <row r="119" spans="1:11" x14ac:dyDescent="0.3">
      <c r="A119" s="36"/>
      <c r="K119" s="39"/>
    </row>
    <row r="120" spans="1:11" x14ac:dyDescent="0.3">
      <c r="A120" s="36"/>
      <c r="K120" s="39"/>
    </row>
    <row r="121" spans="1:11" x14ac:dyDescent="0.3">
      <c r="A121" s="36"/>
      <c r="K121" s="39"/>
    </row>
    <row r="122" spans="1:11" x14ac:dyDescent="0.3">
      <c r="A122" s="36"/>
      <c r="K122" s="39"/>
    </row>
    <row r="123" spans="1:11" x14ac:dyDescent="0.3">
      <c r="A123" s="36"/>
      <c r="K123" s="39"/>
    </row>
    <row r="124" spans="1:11" x14ac:dyDescent="0.3">
      <c r="A124" s="36"/>
      <c r="K124" s="39"/>
    </row>
    <row r="125" spans="1:11" x14ac:dyDescent="0.3">
      <c r="A125" s="36"/>
      <c r="K125" s="39"/>
    </row>
    <row r="126" spans="1:11" x14ac:dyDescent="0.3">
      <c r="A126" s="36"/>
    </row>
    <row r="127" spans="1:11" x14ac:dyDescent="0.3">
      <c r="A127" s="36"/>
    </row>
    <row r="128" spans="1:11" x14ac:dyDescent="0.3">
      <c r="A128" s="36"/>
    </row>
    <row r="129" spans="1:1" x14ac:dyDescent="0.3">
      <c r="A129" s="36"/>
    </row>
    <row r="130" spans="1:1" x14ac:dyDescent="0.3">
      <c r="A130" s="36"/>
    </row>
    <row r="131" spans="1:1" x14ac:dyDescent="0.3">
      <c r="A131" s="36"/>
    </row>
    <row r="132" spans="1:1" x14ac:dyDescent="0.3">
      <c r="A132" s="36"/>
    </row>
    <row r="133" spans="1:1" x14ac:dyDescent="0.3">
      <c r="A133" s="36"/>
    </row>
    <row r="134" spans="1:1" x14ac:dyDescent="0.3">
      <c r="A134" s="36"/>
    </row>
    <row r="135" spans="1:1" x14ac:dyDescent="0.3">
      <c r="A135" s="36"/>
    </row>
    <row r="136" spans="1:1" x14ac:dyDescent="0.3">
      <c r="A136" s="36"/>
    </row>
    <row r="137" spans="1:1" x14ac:dyDescent="0.3">
      <c r="A137" s="36"/>
    </row>
    <row r="138" spans="1:1" x14ac:dyDescent="0.3">
      <c r="A138" s="36"/>
    </row>
    <row r="139" spans="1:1" x14ac:dyDescent="0.3">
      <c r="A139" s="36"/>
    </row>
    <row r="140" spans="1:1" x14ac:dyDescent="0.3">
      <c r="A140" s="36"/>
    </row>
    <row r="141" spans="1:1" x14ac:dyDescent="0.3">
      <c r="A141" s="36"/>
    </row>
    <row r="142" spans="1:1" x14ac:dyDescent="0.3">
      <c r="A142" s="36"/>
    </row>
    <row r="143" spans="1:1" x14ac:dyDescent="0.3">
      <c r="A143" s="36"/>
    </row>
    <row r="144" spans="1:1" x14ac:dyDescent="0.3">
      <c r="A144" s="36"/>
    </row>
    <row r="145" spans="1:1" x14ac:dyDescent="0.3">
      <c r="A145" s="36"/>
    </row>
    <row r="146" spans="1:1" x14ac:dyDescent="0.3">
      <c r="A146" s="36"/>
    </row>
    <row r="147" spans="1:1" x14ac:dyDescent="0.3">
      <c r="A147" s="36"/>
    </row>
    <row r="148" spans="1:1" x14ac:dyDescent="0.3">
      <c r="A148" s="36"/>
    </row>
    <row r="149" spans="1:1" x14ac:dyDescent="0.3">
      <c r="A149" s="36"/>
    </row>
    <row r="150" spans="1:1" x14ac:dyDescent="0.3">
      <c r="A150" s="36"/>
    </row>
    <row r="151" spans="1:1" x14ac:dyDescent="0.3">
      <c r="A151" s="36"/>
    </row>
    <row r="152" spans="1:1" x14ac:dyDescent="0.3">
      <c r="A152" s="36"/>
    </row>
    <row r="153" spans="1:1" x14ac:dyDescent="0.3">
      <c r="A153" s="36"/>
    </row>
    <row r="154" spans="1:1" x14ac:dyDescent="0.3">
      <c r="A154" s="36"/>
    </row>
    <row r="155" spans="1:1" x14ac:dyDescent="0.3">
      <c r="A155" s="36"/>
    </row>
    <row r="156" spans="1:1" x14ac:dyDescent="0.3">
      <c r="A156" s="36"/>
    </row>
    <row r="157" spans="1:1" x14ac:dyDescent="0.3">
      <c r="A157" s="36"/>
    </row>
    <row r="158" spans="1:1" x14ac:dyDescent="0.3">
      <c r="A158" s="36"/>
    </row>
    <row r="159" spans="1:1" x14ac:dyDescent="0.3">
      <c r="A159" s="36"/>
    </row>
    <row r="160" spans="1:1" x14ac:dyDescent="0.3">
      <c r="A160" s="36"/>
    </row>
    <row r="161" spans="1:1" x14ac:dyDescent="0.3">
      <c r="A161" s="36"/>
    </row>
    <row r="162" spans="1:1" x14ac:dyDescent="0.3">
      <c r="A162" s="36"/>
    </row>
    <row r="163" spans="1:1" x14ac:dyDescent="0.3">
      <c r="A163" s="36"/>
    </row>
    <row r="164" spans="1:1" x14ac:dyDescent="0.3">
      <c r="A164" s="36"/>
    </row>
    <row r="165" spans="1:1" x14ac:dyDescent="0.3">
      <c r="A165" s="36"/>
    </row>
    <row r="166" spans="1:1" x14ac:dyDescent="0.3">
      <c r="A166" s="36"/>
    </row>
    <row r="167" spans="1:1" x14ac:dyDescent="0.3">
      <c r="A167" s="36"/>
    </row>
    <row r="168" spans="1:1" x14ac:dyDescent="0.3">
      <c r="A168" s="36"/>
    </row>
    <row r="169" spans="1:1" x14ac:dyDescent="0.3">
      <c r="A169" s="36"/>
    </row>
    <row r="170" spans="1:1" x14ac:dyDescent="0.3">
      <c r="A170" s="36"/>
    </row>
    <row r="171" spans="1:1" x14ac:dyDescent="0.3">
      <c r="A171" s="36"/>
    </row>
    <row r="172" spans="1:1" x14ac:dyDescent="0.3">
      <c r="A172" s="36"/>
    </row>
    <row r="173" spans="1:1" x14ac:dyDescent="0.3">
      <c r="A173" s="36"/>
    </row>
    <row r="174" spans="1:1" x14ac:dyDescent="0.3"/>
    <row r="175" spans="1:1" x14ac:dyDescent="0.3"/>
    <row r="176" spans="1:1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</sheetData>
  <mergeCells count="9">
    <mergeCell ref="A66:A74"/>
    <mergeCell ref="A76:A82"/>
    <mergeCell ref="A85:A93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6" orientation="landscape" cellComments="asDisplayed" r:id="rId1"/>
  <headerFooter>
    <oddHeader>&amp;C&amp;A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79998168889431442"/>
    <pageSetUpPr fitToPage="1"/>
  </sheetPr>
  <dimension ref="A1:P270"/>
  <sheetViews>
    <sheetView topLeftCell="A78" zoomScale="85" zoomScaleNormal="85" zoomScaleSheetLayoutView="80" workbookViewId="0">
      <selection activeCell="K102" sqref="K102"/>
    </sheetView>
  </sheetViews>
  <sheetFormatPr defaultColWidth="9.109375" defaultRowHeight="15" customHeight="1" zeroHeight="1" outlineLevelRow="1" x14ac:dyDescent="0.3"/>
  <cols>
    <col min="1" max="1" width="3.109375" style="1" customWidth="1"/>
    <col min="2" max="2" width="50" style="36" customWidth="1"/>
    <col min="3" max="10" width="15.33203125" style="36" bestFit="1" customWidth="1"/>
    <col min="11" max="11" width="14" style="36" bestFit="1" customWidth="1"/>
    <col min="12" max="12" width="18.5546875" style="36" bestFit="1" customWidth="1"/>
    <col min="13" max="16384" width="9.109375" style="36"/>
  </cols>
  <sheetData>
    <row r="1" spans="1:12" s="2" customFormat="1" ht="15.6" x14ac:dyDescent="0.3">
      <c r="A1" s="45" t="s">
        <v>66</v>
      </c>
    </row>
    <row r="2" spans="1:12" ht="15.6" x14ac:dyDescent="0.3">
      <c r="A2" s="45" t="s">
        <v>53</v>
      </c>
      <c r="B2" s="32"/>
    </row>
    <row r="3" spans="1:12" ht="14.4" x14ac:dyDescent="0.3"/>
    <row r="4" spans="1:12" ht="14.4" x14ac:dyDescent="0.3">
      <c r="A4" s="75" t="s">
        <v>77</v>
      </c>
    </row>
    <row r="5" spans="1:12" ht="14.4" x14ac:dyDescent="0.3">
      <c r="A5" s="6"/>
      <c r="C5" s="12">
        <v>43525</v>
      </c>
      <c r="D5" s="12">
        <v>43556</v>
      </c>
      <c r="E5" s="12">
        <v>43586</v>
      </c>
      <c r="F5" s="12">
        <v>43617</v>
      </c>
      <c r="G5" s="12">
        <v>43677</v>
      </c>
      <c r="H5" s="12">
        <v>43708</v>
      </c>
      <c r="I5" s="12">
        <v>43738</v>
      </c>
      <c r="J5" s="12">
        <v>43769</v>
      </c>
    </row>
    <row r="6" spans="1:12" s="5" customFormat="1" ht="15" customHeight="1" outlineLevel="1" x14ac:dyDescent="0.3">
      <c r="A6" s="132" t="s">
        <v>19</v>
      </c>
      <c r="B6" s="17"/>
      <c r="C6" s="9"/>
      <c r="D6" s="9"/>
      <c r="E6" s="9"/>
      <c r="F6" s="9"/>
      <c r="G6" s="9"/>
      <c r="H6" s="9"/>
      <c r="I6" s="9"/>
      <c r="J6" s="9"/>
    </row>
    <row r="7" spans="1:12" s="3" customFormat="1" ht="15" customHeight="1" outlineLevel="1" x14ac:dyDescent="0.3">
      <c r="A7" s="132"/>
      <c r="B7" s="17" t="s">
        <v>27</v>
      </c>
      <c r="C7" s="22">
        <f>C87</f>
        <v>0</v>
      </c>
      <c r="D7" s="22">
        <f t="shared" ref="D7:J7" si="0">D87</f>
        <v>3542.7066619947968</v>
      </c>
      <c r="E7" s="22">
        <f t="shared" si="0"/>
        <v>26593.748856903429</v>
      </c>
      <c r="F7" s="22">
        <f t="shared" si="0"/>
        <v>243363.92907678595</v>
      </c>
      <c r="G7" s="22">
        <f t="shared" si="0"/>
        <v>441129.8099540461</v>
      </c>
      <c r="H7" s="22">
        <f t="shared" si="0"/>
        <v>538094.32023088727</v>
      </c>
      <c r="I7" s="22">
        <f t="shared" si="0"/>
        <v>374963.26089269412</v>
      </c>
      <c r="J7" s="22">
        <f t="shared" si="0"/>
        <v>137835.66546242539</v>
      </c>
    </row>
    <row r="8" spans="1:12" s="5" customFormat="1" ht="15" customHeight="1" outlineLevel="1" x14ac:dyDescent="0.3">
      <c r="A8" s="132"/>
      <c r="B8" s="18" t="s">
        <v>25</v>
      </c>
      <c r="C8" s="22">
        <v>0</v>
      </c>
      <c r="D8" s="22">
        <v>0</v>
      </c>
      <c r="E8" s="22">
        <v>28636.335868779192</v>
      </c>
      <c r="F8" s="22">
        <v>344669.92129031231</v>
      </c>
      <c r="G8" s="22">
        <v>437739.69493695599</v>
      </c>
      <c r="H8" s="22">
        <v>461093.89388914994</v>
      </c>
      <c r="I8" s="22">
        <v>425531.99443758972</v>
      </c>
      <c r="J8" s="22">
        <v>350101.97926152864</v>
      </c>
    </row>
    <row r="9" spans="1:12" s="5" customFormat="1" ht="15" customHeight="1" outlineLevel="1" x14ac:dyDescent="0.3">
      <c r="A9" s="132"/>
      <c r="B9" s="18" t="s">
        <v>41</v>
      </c>
      <c r="C9" s="22">
        <f>IF(C8="","",0)</f>
        <v>0</v>
      </c>
      <c r="D9" s="22">
        <f t="shared" ref="D9:J9" si="1">IF(D8="","",0)</f>
        <v>0</v>
      </c>
      <c r="E9" s="22">
        <f t="shared" si="1"/>
        <v>0</v>
      </c>
      <c r="F9" s="22">
        <f t="shared" si="1"/>
        <v>0</v>
      </c>
      <c r="G9" s="22">
        <f t="shared" si="1"/>
        <v>0</v>
      </c>
      <c r="H9" s="22">
        <f t="shared" si="1"/>
        <v>0</v>
      </c>
      <c r="I9" s="22">
        <f t="shared" si="1"/>
        <v>0</v>
      </c>
      <c r="J9" s="22">
        <f t="shared" si="1"/>
        <v>0</v>
      </c>
    </row>
    <row r="10" spans="1:12" s="5" customFormat="1" ht="15" customHeight="1" outlineLevel="1" x14ac:dyDescent="0.3">
      <c r="A10" s="132"/>
      <c r="B10" s="18" t="s">
        <v>42</v>
      </c>
      <c r="C10" s="9">
        <f>IF(OR(C9="",C8=""),"",C8+C9)</f>
        <v>0</v>
      </c>
      <c r="D10" s="9">
        <f t="shared" ref="D10:I10" si="2">IF(OR(D9="",D8=""),"",D8+D9)</f>
        <v>0</v>
      </c>
      <c r="E10" s="9">
        <f t="shared" si="2"/>
        <v>28636.335868779192</v>
      </c>
      <c r="F10" s="9">
        <f t="shared" si="2"/>
        <v>344669.92129031231</v>
      </c>
      <c r="G10" s="9">
        <f t="shared" si="2"/>
        <v>437739.69493695599</v>
      </c>
      <c r="H10" s="9">
        <f t="shared" si="2"/>
        <v>461093.89388914994</v>
      </c>
      <c r="I10" s="9">
        <f t="shared" si="2"/>
        <v>425531.99443758972</v>
      </c>
      <c r="J10" s="9">
        <f>IF(OR(J9="",J8=""),"",J8+J9)</f>
        <v>350101.97926152864</v>
      </c>
    </row>
    <row r="11" spans="1:12" s="5" customFormat="1" ht="14.4" outlineLevel="1" x14ac:dyDescent="0.3">
      <c r="A11" s="132"/>
      <c r="B11" s="18" t="s">
        <v>12</v>
      </c>
      <c r="C11" s="9">
        <f>IF(OR(C8="",C7=""),"",C7-C8)</f>
        <v>0</v>
      </c>
      <c r="D11" s="9">
        <f>IF(OR(D8="",D7=""),"",D7-D8)</f>
        <v>3542.7066619947968</v>
      </c>
      <c r="E11" s="9">
        <f t="shared" ref="E11:I11" si="3">IF(OR(E8="",E7=""),"",E7-E8)</f>
        <v>-2042.587011875763</v>
      </c>
      <c r="F11" s="9">
        <f t="shared" si="3"/>
        <v>-101305.99221352636</v>
      </c>
      <c r="G11" s="9">
        <f t="shared" si="3"/>
        <v>3390.1150170901092</v>
      </c>
      <c r="H11" s="9">
        <f t="shared" si="3"/>
        <v>77000.426341737329</v>
      </c>
      <c r="I11" s="9">
        <f t="shared" si="3"/>
        <v>-50568.7335448956</v>
      </c>
      <c r="J11" s="9">
        <f>IF(OR(J8="",J7=""),"",J7-J8)</f>
        <v>-212266.31379910326</v>
      </c>
      <c r="K11" s="88" t="s">
        <v>68</v>
      </c>
      <c r="L11" s="88" t="s">
        <v>69</v>
      </c>
    </row>
    <row r="12" spans="1:12" s="5" customFormat="1" ht="14.4" outlineLevel="1" x14ac:dyDescent="0.3">
      <c r="A12" s="132"/>
      <c r="B12" s="19" t="s">
        <v>7</v>
      </c>
      <c r="C12" s="9">
        <v>0</v>
      </c>
      <c r="D12" s="9">
        <v>7.86</v>
      </c>
      <c r="E12" s="9">
        <v>3.36</v>
      </c>
      <c r="F12" s="9">
        <v>-220.38</v>
      </c>
      <c r="G12" s="9">
        <v>-208.94</v>
      </c>
      <c r="H12" s="9">
        <v>-38.86</v>
      </c>
      <c r="I12" s="9">
        <v>-130.13</v>
      </c>
      <c r="J12" s="9">
        <v>-498.25</v>
      </c>
      <c r="K12" s="89">
        <v>-1085.43</v>
      </c>
      <c r="L12" s="112">
        <f>SUM(C12:J12)-K12</f>
        <v>8.9999999999918145E-2</v>
      </c>
    </row>
    <row r="13" spans="1:12" s="5" customFormat="1" ht="14.4" outlineLevel="1" x14ac:dyDescent="0.3">
      <c r="A13" s="132"/>
      <c r="B13" s="18" t="s">
        <v>13</v>
      </c>
      <c r="C13" s="9">
        <f>IF(OR(C11="",C12=""),"",C11+C12)</f>
        <v>0</v>
      </c>
      <c r="D13" s="9">
        <f>IF(OR(D11="",D12=""),"",D11+D12)</f>
        <v>3550.566661994797</v>
      </c>
      <c r="E13" s="9">
        <f t="shared" ref="E13:I13" si="4">IF(OR(E11="",E12=""),"",E11+E12)</f>
        <v>-2039.2270118757631</v>
      </c>
      <c r="F13" s="9">
        <f t="shared" si="4"/>
        <v>-101526.37221352637</v>
      </c>
      <c r="G13" s="9">
        <f t="shared" si="4"/>
        <v>3181.1750170901091</v>
      </c>
      <c r="H13" s="9">
        <f t="shared" si="4"/>
        <v>76961.566341737329</v>
      </c>
      <c r="I13" s="9">
        <f t="shared" si="4"/>
        <v>-50698.863544895597</v>
      </c>
      <c r="J13" s="9">
        <f>IF(OR(J11="",J12=""),"",J11+J12)</f>
        <v>-212764.56379910326</v>
      </c>
    </row>
    <row r="14" spans="1:12" s="5" customFormat="1" ht="14.4" outlineLevel="1" x14ac:dyDescent="0.3">
      <c r="A14" s="132"/>
      <c r="B14" s="20" t="s">
        <v>14</v>
      </c>
      <c r="C14" s="9">
        <f>IF(OR(C13=""),"",C13)</f>
        <v>0</v>
      </c>
      <c r="D14" s="9">
        <f>IF(OR(D13="",C14=""),"",D13+C14)</f>
        <v>3550.566661994797</v>
      </c>
      <c r="E14" s="9">
        <f t="shared" ref="E14:J14" si="5">IF(OR(E13="",D14=""),"",E13+D14)</f>
        <v>1511.3396501190339</v>
      </c>
      <c r="F14" s="9">
        <f t="shared" si="5"/>
        <v>-100015.03256340734</v>
      </c>
      <c r="G14" s="9">
        <f t="shared" si="5"/>
        <v>-96833.857546317231</v>
      </c>
      <c r="H14" s="9">
        <f t="shared" si="5"/>
        <v>-19872.291204579902</v>
      </c>
      <c r="I14" s="9">
        <f t="shared" si="5"/>
        <v>-70571.154749475507</v>
      </c>
      <c r="J14" s="9">
        <f t="shared" si="5"/>
        <v>-283335.71854857879</v>
      </c>
    </row>
    <row r="15" spans="1:12" s="5" customFormat="1" ht="8.25" customHeight="1" outlineLevel="1" x14ac:dyDescent="0.3">
      <c r="A15" s="40"/>
      <c r="B15" s="13"/>
      <c r="C15" s="14"/>
      <c r="D15" s="14"/>
      <c r="E15" s="14"/>
      <c r="F15" s="14"/>
      <c r="G15" s="14"/>
      <c r="H15" s="14"/>
      <c r="I15" s="14"/>
      <c r="J15" s="14"/>
    </row>
    <row r="16" spans="1:12" s="5" customFormat="1" ht="15" customHeight="1" outlineLevel="1" x14ac:dyDescent="0.3">
      <c r="A16" s="132" t="s">
        <v>20</v>
      </c>
      <c r="B16" s="17"/>
      <c r="C16" s="9"/>
      <c r="D16" s="9"/>
      <c r="E16" s="9"/>
      <c r="F16" s="9"/>
      <c r="G16" s="9"/>
      <c r="H16" s="9"/>
      <c r="I16" s="9"/>
      <c r="J16" s="9"/>
    </row>
    <row r="17" spans="1:12" s="3" customFormat="1" ht="15" customHeight="1" outlineLevel="1" x14ac:dyDescent="0.3">
      <c r="A17" s="132"/>
      <c r="B17" s="17" t="s">
        <v>27</v>
      </c>
      <c r="C17" s="22">
        <f>C88</f>
        <v>0.34412602678174997</v>
      </c>
      <c r="D17" s="22">
        <f t="shared" ref="D17:J17" si="6">D88</f>
        <v>593.85341007321881</v>
      </c>
      <c r="E17" s="22">
        <f t="shared" si="6"/>
        <v>8368.5225960071712</v>
      </c>
      <c r="F17" s="22">
        <f t="shared" si="6"/>
        <v>23641.814181406706</v>
      </c>
      <c r="G17" s="22">
        <f t="shared" si="6"/>
        <v>47663.861231335664</v>
      </c>
      <c r="H17" s="22">
        <f t="shared" si="6"/>
        <v>53423.137293371561</v>
      </c>
      <c r="I17" s="22">
        <f t="shared" si="6"/>
        <v>71954.397236201956</v>
      </c>
      <c r="J17" s="22">
        <f t="shared" si="6"/>
        <v>61965.752554031846</v>
      </c>
    </row>
    <row r="18" spans="1:12" s="5" customFormat="1" ht="15" customHeight="1" outlineLevel="1" x14ac:dyDescent="0.3">
      <c r="A18" s="132"/>
      <c r="B18" s="18" t="s">
        <v>25</v>
      </c>
      <c r="C18" s="22">
        <v>0</v>
      </c>
      <c r="D18" s="22">
        <v>0</v>
      </c>
      <c r="E18" s="22">
        <v>4662.874879564878</v>
      </c>
      <c r="F18" s="22">
        <v>60575.806014450071</v>
      </c>
      <c r="G18" s="22">
        <v>69235.226705339766</v>
      </c>
      <c r="H18" s="22">
        <v>71132.268141530934</v>
      </c>
      <c r="I18" s="22">
        <v>68766.003213137257</v>
      </c>
      <c r="J18" s="22">
        <v>61936.863591354115</v>
      </c>
    </row>
    <row r="19" spans="1:12" s="5" customFormat="1" ht="15" customHeight="1" outlineLevel="1" x14ac:dyDescent="0.3">
      <c r="A19" s="132"/>
      <c r="B19" s="18" t="s">
        <v>41</v>
      </c>
      <c r="C19" s="22">
        <f>IF(C18="","",0)</f>
        <v>0</v>
      </c>
      <c r="D19" s="22">
        <f t="shared" ref="D19:J19" si="7">IF(D18="","",0)</f>
        <v>0</v>
      </c>
      <c r="E19" s="22">
        <f t="shared" si="7"/>
        <v>0</v>
      </c>
      <c r="F19" s="22">
        <f t="shared" si="7"/>
        <v>0</v>
      </c>
      <c r="G19" s="22">
        <f t="shared" si="7"/>
        <v>0</v>
      </c>
      <c r="H19" s="22">
        <f t="shared" si="7"/>
        <v>0</v>
      </c>
      <c r="I19" s="22">
        <f t="shared" si="7"/>
        <v>0</v>
      </c>
      <c r="J19" s="22">
        <f t="shared" si="7"/>
        <v>0</v>
      </c>
    </row>
    <row r="20" spans="1:12" s="5" customFormat="1" ht="15" customHeight="1" outlineLevel="1" x14ac:dyDescent="0.3">
      <c r="A20" s="132"/>
      <c r="B20" s="18" t="s">
        <v>42</v>
      </c>
      <c r="C20" s="9">
        <f t="shared" ref="C20:I20" si="8">IF(OR(C19="",C18=""),"",C18+C19)</f>
        <v>0</v>
      </c>
      <c r="D20" s="9">
        <f t="shared" si="8"/>
        <v>0</v>
      </c>
      <c r="E20" s="9">
        <f t="shared" si="8"/>
        <v>4662.874879564878</v>
      </c>
      <c r="F20" s="9">
        <f t="shared" si="8"/>
        <v>60575.806014450071</v>
      </c>
      <c r="G20" s="9">
        <f t="shared" si="8"/>
        <v>69235.226705339766</v>
      </c>
      <c r="H20" s="9">
        <f t="shared" si="8"/>
        <v>71132.268141530934</v>
      </c>
      <c r="I20" s="9">
        <f t="shared" si="8"/>
        <v>68766.003213137257</v>
      </c>
      <c r="J20" s="9">
        <f>IF(OR(J19="",J18=""),"",J18+J19)</f>
        <v>61936.863591354115</v>
      </c>
    </row>
    <row r="21" spans="1:12" s="5" customFormat="1" ht="14.4" outlineLevel="1" x14ac:dyDescent="0.3">
      <c r="A21" s="132"/>
      <c r="B21" s="18" t="s">
        <v>12</v>
      </c>
      <c r="C21" s="9">
        <f t="shared" ref="C21:I21" si="9">IF(OR(C18="",C17=""),"",C17-C18)</f>
        <v>0.34412602678174997</v>
      </c>
      <c r="D21" s="9">
        <f t="shared" si="9"/>
        <v>593.85341007321881</v>
      </c>
      <c r="E21" s="9">
        <f t="shared" si="9"/>
        <v>3705.6477164422931</v>
      </c>
      <c r="F21" s="9">
        <f t="shared" si="9"/>
        <v>-36933.991833043365</v>
      </c>
      <c r="G21" s="9">
        <f t="shared" si="9"/>
        <v>-21571.365474004102</v>
      </c>
      <c r="H21" s="9">
        <f t="shared" si="9"/>
        <v>-17709.130848159373</v>
      </c>
      <c r="I21" s="9">
        <f t="shared" si="9"/>
        <v>3188.3940230646986</v>
      </c>
      <c r="J21" s="9">
        <f>IF(OR(J18="",J17=""),"",J17-J18)</f>
        <v>28.888962677730888</v>
      </c>
      <c r="K21" s="88" t="s">
        <v>68</v>
      </c>
      <c r="L21" s="88" t="s">
        <v>78</v>
      </c>
    </row>
    <row r="22" spans="1:12" s="5" customFormat="1" ht="14.4" outlineLevel="1" x14ac:dyDescent="0.3">
      <c r="A22" s="132"/>
      <c r="B22" s="19" t="s">
        <v>7</v>
      </c>
      <c r="C22" s="9">
        <v>0</v>
      </c>
      <c r="D22" s="9">
        <v>1.32</v>
      </c>
      <c r="E22" s="9">
        <v>9.6</v>
      </c>
      <c r="F22" s="9">
        <v>-72.040000000000006</v>
      </c>
      <c r="G22" s="9">
        <v>-117.35</v>
      </c>
      <c r="H22" s="9">
        <v>-141.25</v>
      </c>
      <c r="I22" s="9">
        <v>-127.55</v>
      </c>
      <c r="J22" s="9">
        <v>-121.81</v>
      </c>
      <c r="K22" s="89">
        <v>-569.1</v>
      </c>
      <c r="L22" s="112">
        <f>SUM(C22:J22)-K22</f>
        <v>1.999999999998181E-2</v>
      </c>
    </row>
    <row r="23" spans="1:12" s="5" customFormat="1" ht="14.4" outlineLevel="1" x14ac:dyDescent="0.3">
      <c r="A23" s="132"/>
      <c r="B23" s="18" t="s">
        <v>13</v>
      </c>
      <c r="C23" s="9">
        <f t="shared" ref="C23:J23" si="10">IF(OR(C21="",C22=""),"",C21+C22)</f>
        <v>0.34412602678174997</v>
      </c>
      <c r="D23" s="9">
        <f t="shared" si="10"/>
        <v>595.17341007321886</v>
      </c>
      <c r="E23" s="9">
        <f t="shared" si="10"/>
        <v>3715.247716442293</v>
      </c>
      <c r="F23" s="9">
        <f t="shared" si="10"/>
        <v>-37006.031833043366</v>
      </c>
      <c r="G23" s="9">
        <f t="shared" si="10"/>
        <v>-21688.715474004101</v>
      </c>
      <c r="H23" s="9">
        <f t="shared" si="10"/>
        <v>-17850.380848159373</v>
      </c>
      <c r="I23" s="9">
        <f t="shared" si="10"/>
        <v>3060.8440230646984</v>
      </c>
      <c r="J23" s="9">
        <f t="shared" si="10"/>
        <v>-92.921037322269115</v>
      </c>
    </row>
    <row r="24" spans="1:12" s="5" customFormat="1" ht="14.4" outlineLevel="1" x14ac:dyDescent="0.3">
      <c r="A24" s="132"/>
      <c r="B24" s="20" t="s">
        <v>15</v>
      </c>
      <c r="C24" s="9">
        <f>IF(OR(C23=""),"",C23)</f>
        <v>0.34412602678174997</v>
      </c>
      <c r="D24" s="9">
        <f t="shared" ref="D24:J24" si="11">IF(OR(D23="",C24=""),"",D23+C24)</f>
        <v>595.5175361000006</v>
      </c>
      <c r="E24" s="9">
        <f t="shared" si="11"/>
        <v>4310.7652525422936</v>
      </c>
      <c r="F24" s="9">
        <f t="shared" si="11"/>
        <v>-32695.266580501073</v>
      </c>
      <c r="G24" s="9">
        <f t="shared" si="11"/>
        <v>-54383.982054505177</v>
      </c>
      <c r="H24" s="9">
        <f t="shared" si="11"/>
        <v>-72234.36290266455</v>
      </c>
      <c r="I24" s="9">
        <f t="shared" si="11"/>
        <v>-69173.518879599855</v>
      </c>
      <c r="J24" s="9">
        <f t="shared" si="11"/>
        <v>-69266.439916922129</v>
      </c>
    </row>
    <row r="25" spans="1:12" s="5" customFormat="1" ht="8.25" customHeight="1" outlineLevel="1" x14ac:dyDescent="0.3">
      <c r="A25" s="40"/>
      <c r="B25" s="13"/>
      <c r="C25" s="14"/>
      <c r="D25" s="14"/>
      <c r="E25" s="14"/>
      <c r="F25" s="14"/>
      <c r="G25" s="14"/>
      <c r="H25" s="14"/>
      <c r="I25" s="14"/>
      <c r="J25" s="14"/>
    </row>
    <row r="26" spans="1:12" s="5" customFormat="1" ht="15" customHeight="1" outlineLevel="1" x14ac:dyDescent="0.3">
      <c r="A26" s="132" t="s">
        <v>21</v>
      </c>
      <c r="B26" s="17"/>
      <c r="C26" s="9"/>
      <c r="D26" s="9"/>
      <c r="E26" s="9"/>
      <c r="F26" s="9"/>
      <c r="G26" s="9"/>
      <c r="H26" s="9"/>
      <c r="I26" s="9"/>
      <c r="J26" s="9"/>
    </row>
    <row r="27" spans="1:12" s="3" customFormat="1" ht="15" customHeight="1" outlineLevel="1" x14ac:dyDescent="0.3">
      <c r="A27" s="132"/>
      <c r="B27" s="17" t="s">
        <v>27</v>
      </c>
      <c r="C27" s="22">
        <f>C89</f>
        <v>0.38250960519337501</v>
      </c>
      <c r="D27" s="22">
        <f t="shared" ref="D27:J27" si="12">D89</f>
        <v>592.84700439506275</v>
      </c>
      <c r="E27" s="22">
        <f t="shared" si="12"/>
        <v>3788.6582603776305</v>
      </c>
      <c r="F27" s="22">
        <f t="shared" si="12"/>
        <v>18535.810544392894</v>
      </c>
      <c r="G27" s="22">
        <f t="shared" si="12"/>
        <v>43757.113824202133</v>
      </c>
      <c r="H27" s="22">
        <f t="shared" si="12"/>
        <v>59086.939884825857</v>
      </c>
      <c r="I27" s="22">
        <f t="shared" si="12"/>
        <v>83744.849905232913</v>
      </c>
      <c r="J27" s="22">
        <f t="shared" si="12"/>
        <v>59946.023885732408</v>
      </c>
    </row>
    <row r="28" spans="1:12" s="5" customFormat="1" ht="15" customHeight="1" outlineLevel="1" x14ac:dyDescent="0.3">
      <c r="A28" s="132"/>
      <c r="B28" s="18" t="s">
        <v>25</v>
      </c>
      <c r="C28" s="22">
        <v>0</v>
      </c>
      <c r="D28" s="22">
        <v>0</v>
      </c>
      <c r="E28" s="22">
        <v>6753.6701978728988</v>
      </c>
      <c r="F28" s="22">
        <v>107151.44580605239</v>
      </c>
      <c r="G28" s="22">
        <v>115634.5208649429</v>
      </c>
      <c r="H28" s="22">
        <v>118331.81312804784</v>
      </c>
      <c r="I28" s="22">
        <v>119601.33814288217</v>
      </c>
      <c r="J28" s="22">
        <v>109968.9574924099</v>
      </c>
    </row>
    <row r="29" spans="1:12" s="5" customFormat="1" ht="15" customHeight="1" outlineLevel="1" x14ac:dyDescent="0.3">
      <c r="A29" s="132"/>
      <c r="B29" s="18" t="s">
        <v>41</v>
      </c>
      <c r="C29" s="22">
        <f>IF(C28="","",0)</f>
        <v>0</v>
      </c>
      <c r="D29" s="22">
        <f t="shared" ref="D29:I29" si="13">IF(D28="","",0)</f>
        <v>0</v>
      </c>
      <c r="E29" s="22">
        <f t="shared" si="13"/>
        <v>0</v>
      </c>
      <c r="F29" s="22">
        <f t="shared" si="13"/>
        <v>0</v>
      </c>
      <c r="G29" s="22">
        <f t="shared" si="13"/>
        <v>0</v>
      </c>
      <c r="H29" s="22">
        <f t="shared" si="13"/>
        <v>0</v>
      </c>
      <c r="I29" s="22">
        <f t="shared" si="13"/>
        <v>0</v>
      </c>
      <c r="J29" s="22">
        <f>IF(J28="","",0)</f>
        <v>0</v>
      </c>
    </row>
    <row r="30" spans="1:12" s="5" customFormat="1" ht="15" customHeight="1" outlineLevel="1" x14ac:dyDescent="0.3">
      <c r="A30" s="132"/>
      <c r="B30" s="18" t="s">
        <v>42</v>
      </c>
      <c r="C30" s="9">
        <f t="shared" ref="C30:I30" si="14">IF(OR(C29="",C28=""),"",C28+C29)</f>
        <v>0</v>
      </c>
      <c r="D30" s="9">
        <f t="shared" si="14"/>
        <v>0</v>
      </c>
      <c r="E30" s="9">
        <f t="shared" si="14"/>
        <v>6753.6701978728988</v>
      </c>
      <c r="F30" s="9">
        <f t="shared" si="14"/>
        <v>107151.44580605239</v>
      </c>
      <c r="G30" s="9">
        <f t="shared" si="14"/>
        <v>115634.5208649429</v>
      </c>
      <c r="H30" s="9">
        <f t="shared" si="14"/>
        <v>118331.81312804784</v>
      </c>
      <c r="I30" s="9">
        <f t="shared" si="14"/>
        <v>119601.33814288217</v>
      </c>
      <c r="J30" s="9">
        <f>IF(OR(J29="",J28=""),"",J28+J29)</f>
        <v>109968.9574924099</v>
      </c>
    </row>
    <row r="31" spans="1:12" s="5" customFormat="1" ht="14.4" outlineLevel="1" x14ac:dyDescent="0.3">
      <c r="A31" s="132"/>
      <c r="B31" s="18" t="s">
        <v>12</v>
      </c>
      <c r="C31" s="9">
        <f t="shared" ref="C31:I31" si="15">IF(OR(C28="",C27=""),"",C27-C28)</f>
        <v>0.38250960519337501</v>
      </c>
      <c r="D31" s="9">
        <f t="shared" si="15"/>
        <v>592.84700439506275</v>
      </c>
      <c r="E31" s="9">
        <f t="shared" si="15"/>
        <v>-2965.0119374952683</v>
      </c>
      <c r="F31" s="9">
        <f t="shared" si="15"/>
        <v>-88615.635261659496</v>
      </c>
      <c r="G31" s="9">
        <f t="shared" si="15"/>
        <v>-71877.407040740771</v>
      </c>
      <c r="H31" s="9">
        <f t="shared" si="15"/>
        <v>-59244.873243221984</v>
      </c>
      <c r="I31" s="9">
        <f t="shared" si="15"/>
        <v>-35856.488237649261</v>
      </c>
      <c r="J31" s="9">
        <f>IF(OR(J28="",J27=""),"",J27-J28)</f>
        <v>-50022.933606677492</v>
      </c>
      <c r="K31" s="88" t="s">
        <v>68</v>
      </c>
      <c r="L31" s="88" t="s">
        <v>79</v>
      </c>
    </row>
    <row r="32" spans="1:12" s="5" customFormat="1" ht="14.4" outlineLevel="1" x14ac:dyDescent="0.3">
      <c r="A32" s="132"/>
      <c r="B32" s="19" t="s">
        <v>7</v>
      </c>
      <c r="C32" s="9">
        <v>0</v>
      </c>
      <c r="D32" s="9">
        <v>1.32</v>
      </c>
      <c r="E32" s="9">
        <v>-5.29</v>
      </c>
      <c r="F32" s="9">
        <v>-200.94</v>
      </c>
      <c r="G32" s="9">
        <v>-352.62</v>
      </c>
      <c r="H32" s="9">
        <v>-436.28</v>
      </c>
      <c r="I32" s="9">
        <v>-478.4</v>
      </c>
      <c r="J32" s="9">
        <v>-545.15</v>
      </c>
      <c r="K32" s="89">
        <v>-2112.7799999999997</v>
      </c>
      <c r="L32" s="112">
        <f>SUM(C32:J32)-K32</f>
        <v>95.419999999999618</v>
      </c>
    </row>
    <row r="33" spans="1:12" s="5" customFormat="1" ht="14.4" outlineLevel="1" x14ac:dyDescent="0.3">
      <c r="A33" s="132"/>
      <c r="B33" s="18" t="s">
        <v>13</v>
      </c>
      <c r="C33" s="9">
        <f t="shared" ref="C33:J33" si="16">IF(OR(C31="",C32=""),"",C31+C32)</f>
        <v>0.38250960519337501</v>
      </c>
      <c r="D33" s="9">
        <f t="shared" si="16"/>
        <v>594.1670043950628</v>
      </c>
      <c r="E33" s="9">
        <f t="shared" si="16"/>
        <v>-2970.3019374952682</v>
      </c>
      <c r="F33" s="9">
        <f t="shared" si="16"/>
        <v>-88816.575261659498</v>
      </c>
      <c r="G33" s="9">
        <f t="shared" si="16"/>
        <v>-72230.027040740766</v>
      </c>
      <c r="H33" s="9">
        <f t="shared" si="16"/>
        <v>-59681.153243221983</v>
      </c>
      <c r="I33" s="9">
        <f t="shared" si="16"/>
        <v>-36334.888237649262</v>
      </c>
      <c r="J33" s="9">
        <f t="shared" si="16"/>
        <v>-50568.083606677494</v>
      </c>
    </row>
    <row r="34" spans="1:12" s="5" customFormat="1" ht="14.4" outlineLevel="1" x14ac:dyDescent="0.3">
      <c r="A34" s="132"/>
      <c r="B34" s="20" t="s">
        <v>16</v>
      </c>
      <c r="C34" s="9">
        <f>IF(OR(C33=""),"",C33)</f>
        <v>0.38250960519337501</v>
      </c>
      <c r="D34" s="9">
        <f t="shared" ref="D34:J34" si="17">IF(OR(D33="",C34=""),"",D33+C34)</f>
        <v>594.54951400025618</v>
      </c>
      <c r="E34" s="9">
        <f t="shared" si="17"/>
        <v>-2375.752423495012</v>
      </c>
      <c r="F34" s="9">
        <f t="shared" si="17"/>
        <v>-91192.327685154509</v>
      </c>
      <c r="G34" s="9">
        <f t="shared" si="17"/>
        <v>-163422.35472589527</v>
      </c>
      <c r="H34" s="9">
        <f t="shared" si="17"/>
        <v>-223103.50796911726</v>
      </c>
      <c r="I34" s="9">
        <f t="shared" si="17"/>
        <v>-259438.39620676651</v>
      </c>
      <c r="J34" s="9">
        <f t="shared" si="17"/>
        <v>-310006.47981344402</v>
      </c>
    </row>
    <row r="35" spans="1:12" s="5" customFormat="1" ht="8.25" customHeight="1" outlineLevel="1" x14ac:dyDescent="0.3">
      <c r="A35" s="40"/>
      <c r="B35" s="13"/>
      <c r="C35" s="14"/>
      <c r="D35" s="14"/>
      <c r="E35" s="14"/>
      <c r="F35" s="14"/>
      <c r="G35" s="14"/>
      <c r="H35" s="14"/>
      <c r="I35" s="14"/>
      <c r="J35" s="14"/>
    </row>
    <row r="36" spans="1:12" s="5" customFormat="1" ht="15" customHeight="1" outlineLevel="1" x14ac:dyDescent="0.3">
      <c r="A36" s="132" t="s">
        <v>22</v>
      </c>
      <c r="B36" s="17"/>
      <c r="C36" s="9"/>
      <c r="D36" s="9"/>
      <c r="E36" s="9"/>
      <c r="F36" s="9"/>
      <c r="G36" s="9"/>
      <c r="H36" s="9"/>
      <c r="I36" s="9"/>
      <c r="J36" s="9"/>
    </row>
    <row r="37" spans="1:12" s="3" customFormat="1" ht="15" customHeight="1" outlineLevel="1" x14ac:dyDescent="0.3">
      <c r="A37" s="132"/>
      <c r="B37" s="17" t="s">
        <v>27</v>
      </c>
      <c r="C37" s="22">
        <f>C90</f>
        <v>0</v>
      </c>
      <c r="D37" s="22">
        <f t="shared" ref="D37:J37" si="18">D90</f>
        <v>10.498979963866001</v>
      </c>
      <c r="E37" s="22">
        <f t="shared" si="18"/>
        <v>1076.2976856366847</v>
      </c>
      <c r="F37" s="22">
        <f t="shared" si="18"/>
        <v>8208.8465748072213</v>
      </c>
      <c r="G37" s="22">
        <f t="shared" si="18"/>
        <v>17844.087336984448</v>
      </c>
      <c r="H37" s="22">
        <f t="shared" si="18"/>
        <v>19824.195520493558</v>
      </c>
      <c r="I37" s="22">
        <f t="shared" si="18"/>
        <v>22243.951069283008</v>
      </c>
      <c r="J37" s="22">
        <f t="shared" si="18"/>
        <v>14376.331615218623</v>
      </c>
    </row>
    <row r="38" spans="1:12" s="5" customFormat="1" ht="15" customHeight="1" outlineLevel="1" x14ac:dyDescent="0.3">
      <c r="A38" s="132"/>
      <c r="B38" s="18" t="s">
        <v>25</v>
      </c>
      <c r="C38" s="22">
        <v>0</v>
      </c>
      <c r="D38" s="22">
        <v>0</v>
      </c>
      <c r="E38" s="22">
        <v>2381.1324731369587</v>
      </c>
      <c r="F38" s="22">
        <v>41080.759711289073</v>
      </c>
      <c r="G38" s="22">
        <v>46620.227707662583</v>
      </c>
      <c r="H38" s="22">
        <v>48915.290383093015</v>
      </c>
      <c r="I38" s="22">
        <v>48689.064699160743</v>
      </c>
      <c r="J38" s="22">
        <v>45154.720570269681</v>
      </c>
    </row>
    <row r="39" spans="1:12" s="5" customFormat="1" ht="15" customHeight="1" outlineLevel="1" x14ac:dyDescent="0.3">
      <c r="A39" s="132"/>
      <c r="B39" s="18" t="s">
        <v>41</v>
      </c>
      <c r="C39" s="22">
        <f>IF(C38="","",0)</f>
        <v>0</v>
      </c>
      <c r="D39" s="22">
        <f t="shared" ref="D39:I39" si="19">IF(D38="","",0)</f>
        <v>0</v>
      </c>
      <c r="E39" s="22">
        <f t="shared" si="19"/>
        <v>0</v>
      </c>
      <c r="F39" s="22">
        <f t="shared" si="19"/>
        <v>0</v>
      </c>
      <c r="G39" s="22">
        <f t="shared" si="19"/>
        <v>0</v>
      </c>
      <c r="H39" s="22">
        <f t="shared" si="19"/>
        <v>0</v>
      </c>
      <c r="I39" s="22">
        <f t="shared" si="19"/>
        <v>0</v>
      </c>
      <c r="J39" s="22">
        <f>IF(J38="","",0)</f>
        <v>0</v>
      </c>
    </row>
    <row r="40" spans="1:12" s="5" customFormat="1" ht="15" customHeight="1" outlineLevel="1" x14ac:dyDescent="0.3">
      <c r="A40" s="132"/>
      <c r="B40" s="18" t="s">
        <v>42</v>
      </c>
      <c r="C40" s="9">
        <f t="shared" ref="C40:I40" si="20">IF(OR(C39="",C38=""),"",C38+C39)</f>
        <v>0</v>
      </c>
      <c r="D40" s="9">
        <f t="shared" si="20"/>
        <v>0</v>
      </c>
      <c r="E40" s="9">
        <f t="shared" si="20"/>
        <v>2381.1324731369587</v>
      </c>
      <c r="F40" s="9">
        <f t="shared" si="20"/>
        <v>41080.759711289073</v>
      </c>
      <c r="G40" s="9">
        <f t="shared" si="20"/>
        <v>46620.227707662583</v>
      </c>
      <c r="H40" s="9">
        <f t="shared" si="20"/>
        <v>48915.290383093015</v>
      </c>
      <c r="I40" s="9">
        <f t="shared" si="20"/>
        <v>48689.064699160743</v>
      </c>
      <c r="J40" s="9">
        <f>IF(OR(J39="",J38=""),"",J38+J39)</f>
        <v>45154.720570269681</v>
      </c>
    </row>
    <row r="41" spans="1:12" s="5" customFormat="1" ht="14.4" outlineLevel="1" x14ac:dyDescent="0.3">
      <c r="A41" s="132"/>
      <c r="B41" s="18" t="s">
        <v>12</v>
      </c>
      <c r="C41" s="9">
        <f t="shared" ref="C41:I41" si="21">IF(OR(C38="",C37=""),"",C37-C38)</f>
        <v>0</v>
      </c>
      <c r="D41" s="9">
        <f t="shared" si="21"/>
        <v>10.498979963866001</v>
      </c>
      <c r="E41" s="9">
        <f t="shared" si="21"/>
        <v>-1304.8347875002739</v>
      </c>
      <c r="F41" s="9">
        <f t="shared" si="21"/>
        <v>-32871.913136481853</v>
      </c>
      <c r="G41" s="9">
        <f t="shared" si="21"/>
        <v>-28776.140370678135</v>
      </c>
      <c r="H41" s="9">
        <f t="shared" si="21"/>
        <v>-29091.094862599457</v>
      </c>
      <c r="I41" s="9">
        <f t="shared" si="21"/>
        <v>-26445.113629877735</v>
      </c>
      <c r="J41" s="9">
        <f>IF(OR(J38="",J37=""),"",J37-J38)</f>
        <v>-30778.388955051058</v>
      </c>
      <c r="K41" s="88" t="s">
        <v>68</v>
      </c>
      <c r="L41" s="88" t="s">
        <v>79</v>
      </c>
    </row>
    <row r="42" spans="1:12" s="5" customFormat="1" ht="14.4" outlineLevel="1" x14ac:dyDescent="0.3">
      <c r="A42" s="132"/>
      <c r="B42" s="19" t="s">
        <v>7</v>
      </c>
      <c r="C42" s="9">
        <v>0</v>
      </c>
      <c r="D42" s="9">
        <v>0.02</v>
      </c>
      <c r="E42" s="9">
        <v>-2.89</v>
      </c>
      <c r="F42" s="9">
        <v>-75.459999999999994</v>
      </c>
      <c r="G42" s="9">
        <v>-136.28</v>
      </c>
      <c r="H42" s="9">
        <v>-180.74</v>
      </c>
      <c r="I42" s="9">
        <v>-219.61</v>
      </c>
      <c r="J42" s="9">
        <v>-264.02</v>
      </c>
      <c r="K42" s="89">
        <v>-925.55</v>
      </c>
      <c r="L42" s="112">
        <f>SUM(C42:J42)-K42</f>
        <v>46.569999999999936</v>
      </c>
    </row>
    <row r="43" spans="1:12" s="5" customFormat="1" ht="14.4" outlineLevel="1" x14ac:dyDescent="0.3">
      <c r="A43" s="132"/>
      <c r="B43" s="18" t="s">
        <v>13</v>
      </c>
      <c r="C43" s="9">
        <f t="shared" ref="C43:J43" si="22">IF(OR(C41="",C42=""),"",C41+C42)</f>
        <v>0</v>
      </c>
      <c r="D43" s="9">
        <f t="shared" si="22"/>
        <v>10.518979963866</v>
      </c>
      <c r="E43" s="9">
        <f t="shared" si="22"/>
        <v>-1307.724787500274</v>
      </c>
      <c r="F43" s="9">
        <f t="shared" si="22"/>
        <v>-32947.373136481852</v>
      </c>
      <c r="G43" s="9">
        <f t="shared" si="22"/>
        <v>-28912.420370678134</v>
      </c>
      <c r="H43" s="9">
        <f t="shared" si="22"/>
        <v>-29271.834862599459</v>
      </c>
      <c r="I43" s="9">
        <f t="shared" si="22"/>
        <v>-26664.723629877735</v>
      </c>
      <c r="J43" s="9">
        <f t="shared" si="22"/>
        <v>-31042.408955051058</v>
      </c>
    </row>
    <row r="44" spans="1:12" s="5" customFormat="1" ht="14.4" outlineLevel="1" x14ac:dyDescent="0.3">
      <c r="A44" s="132"/>
      <c r="B44" s="20" t="s">
        <v>17</v>
      </c>
      <c r="C44" s="9">
        <f>IF(OR(C43=""),"",C43)</f>
        <v>0</v>
      </c>
      <c r="D44" s="9">
        <f t="shared" ref="D44:J44" si="23">IF(OR(D43="",C44=""),"",D43+C44)</f>
        <v>10.518979963866</v>
      </c>
      <c r="E44" s="9">
        <f t="shared" si="23"/>
        <v>-1297.205807536408</v>
      </c>
      <c r="F44" s="9">
        <f t="shared" si="23"/>
        <v>-34244.578944018263</v>
      </c>
      <c r="G44" s="9">
        <f t="shared" si="23"/>
        <v>-63156.999314696397</v>
      </c>
      <c r="H44" s="9">
        <f t="shared" si="23"/>
        <v>-92428.834177295852</v>
      </c>
      <c r="I44" s="9">
        <f t="shared" si="23"/>
        <v>-119093.55780717358</v>
      </c>
      <c r="J44" s="9">
        <f t="shared" si="23"/>
        <v>-150135.96676222465</v>
      </c>
    </row>
    <row r="45" spans="1:12" s="5" customFormat="1" ht="8.25" customHeight="1" outlineLevel="1" x14ac:dyDescent="0.3">
      <c r="A45" s="40"/>
      <c r="B45" s="13"/>
      <c r="C45" s="14"/>
      <c r="D45" s="14"/>
      <c r="E45" s="14"/>
      <c r="F45" s="14"/>
      <c r="G45" s="14"/>
      <c r="H45" s="14"/>
      <c r="I45" s="14"/>
      <c r="J45" s="14"/>
    </row>
    <row r="46" spans="1:12" s="5" customFormat="1" ht="15" customHeight="1" outlineLevel="1" x14ac:dyDescent="0.3">
      <c r="A46" s="132" t="s">
        <v>23</v>
      </c>
      <c r="B46" s="17"/>
      <c r="C46" s="9"/>
      <c r="D46" s="9"/>
      <c r="E46" s="9"/>
      <c r="F46" s="9"/>
      <c r="G46" s="9"/>
      <c r="H46" s="9"/>
      <c r="I46" s="9"/>
      <c r="J46" s="9"/>
    </row>
    <row r="47" spans="1:12" s="3" customFormat="1" ht="15" customHeight="1" outlineLevel="1" x14ac:dyDescent="0.3">
      <c r="A47" s="132"/>
      <c r="B47" s="17" t="s">
        <v>27</v>
      </c>
      <c r="C47" s="22">
        <f>C91</f>
        <v>0</v>
      </c>
      <c r="D47" s="22">
        <f t="shared" ref="D47:J47" si="24">D91</f>
        <v>0</v>
      </c>
      <c r="E47" s="22">
        <f t="shared" si="24"/>
        <v>178.04544936482247</v>
      </c>
      <c r="F47" s="22">
        <f t="shared" si="24"/>
        <v>661.15950808601849</v>
      </c>
      <c r="G47" s="22">
        <f t="shared" si="24"/>
        <v>877.99265710747466</v>
      </c>
      <c r="H47" s="22">
        <f t="shared" si="24"/>
        <v>967.48184726463296</v>
      </c>
      <c r="I47" s="22">
        <f t="shared" si="24"/>
        <v>1381.2114306574015</v>
      </c>
      <c r="J47" s="22">
        <f t="shared" si="24"/>
        <v>1095.1994877590121</v>
      </c>
    </row>
    <row r="48" spans="1:12" s="5" customFormat="1" ht="15" customHeight="1" outlineLevel="1" x14ac:dyDescent="0.3">
      <c r="A48" s="132"/>
      <c r="B48" s="18" t="s">
        <v>25</v>
      </c>
      <c r="C48" s="22">
        <v>0</v>
      </c>
      <c r="D48" s="22">
        <v>0</v>
      </c>
      <c r="E48" s="22">
        <v>-48.583419353926594</v>
      </c>
      <c r="F48" s="22">
        <v>4125.9071778961579</v>
      </c>
      <c r="G48" s="22">
        <v>6806.3797850987785</v>
      </c>
      <c r="H48" s="22">
        <v>7524.9044581782691</v>
      </c>
      <c r="I48" s="22">
        <v>7658.4495072300715</v>
      </c>
      <c r="J48" s="22">
        <v>7241.6490844376849</v>
      </c>
    </row>
    <row r="49" spans="1:16" s="5" customFormat="1" ht="15" customHeight="1" outlineLevel="1" x14ac:dyDescent="0.3">
      <c r="A49" s="132"/>
      <c r="B49" s="18" t="s">
        <v>41</v>
      </c>
      <c r="C49" s="22">
        <f>IF(C48="","",0)</f>
        <v>0</v>
      </c>
      <c r="D49" s="22">
        <f t="shared" ref="D49:I49" si="25">IF(D48="","",0)</f>
        <v>0</v>
      </c>
      <c r="E49" s="22">
        <f t="shared" si="25"/>
        <v>0</v>
      </c>
      <c r="F49" s="22">
        <f t="shared" si="25"/>
        <v>0</v>
      </c>
      <c r="G49" s="22">
        <f t="shared" si="25"/>
        <v>0</v>
      </c>
      <c r="H49" s="22">
        <f t="shared" si="25"/>
        <v>0</v>
      </c>
      <c r="I49" s="22">
        <f t="shared" si="25"/>
        <v>0</v>
      </c>
      <c r="J49" s="22">
        <f>IF(J48="","",0)</f>
        <v>0</v>
      </c>
    </row>
    <row r="50" spans="1:16" s="5" customFormat="1" ht="15" customHeight="1" outlineLevel="1" x14ac:dyDescent="0.3">
      <c r="A50" s="132"/>
      <c r="B50" s="18" t="s">
        <v>42</v>
      </c>
      <c r="C50" s="9">
        <f t="shared" ref="C50:I50" si="26">IF(OR(C49="",C48=""),"",C48+C49)</f>
        <v>0</v>
      </c>
      <c r="D50" s="9">
        <f t="shared" si="26"/>
        <v>0</v>
      </c>
      <c r="E50" s="9">
        <f t="shared" si="26"/>
        <v>-48.583419353926594</v>
      </c>
      <c r="F50" s="9">
        <f t="shared" si="26"/>
        <v>4125.9071778961579</v>
      </c>
      <c r="G50" s="9">
        <f t="shared" si="26"/>
        <v>6806.3797850987785</v>
      </c>
      <c r="H50" s="9">
        <f t="shared" si="26"/>
        <v>7524.9044581782691</v>
      </c>
      <c r="I50" s="9">
        <f t="shared" si="26"/>
        <v>7658.4495072300715</v>
      </c>
      <c r="J50" s="9">
        <f>IF(OR(J49="",J48=""),"",J48+J49)</f>
        <v>7241.6490844376849</v>
      </c>
    </row>
    <row r="51" spans="1:16" s="5" customFormat="1" ht="14.4" outlineLevel="1" x14ac:dyDescent="0.3">
      <c r="A51" s="132"/>
      <c r="B51" s="18" t="s">
        <v>12</v>
      </c>
      <c r="C51" s="9">
        <f t="shared" ref="C51:I51" si="27">IF(OR(C48="",C47=""),"",C47-C48)</f>
        <v>0</v>
      </c>
      <c r="D51" s="9">
        <f t="shared" si="27"/>
        <v>0</v>
      </c>
      <c r="E51" s="9">
        <f t="shared" si="27"/>
        <v>226.62886871874906</v>
      </c>
      <c r="F51" s="9">
        <f t="shared" si="27"/>
        <v>-3464.7476698101395</v>
      </c>
      <c r="G51" s="9">
        <f t="shared" si="27"/>
        <v>-5928.3871279913037</v>
      </c>
      <c r="H51" s="9">
        <f t="shared" si="27"/>
        <v>-6557.4226109136362</v>
      </c>
      <c r="I51" s="9">
        <f t="shared" si="27"/>
        <v>-6277.2380765726703</v>
      </c>
      <c r="J51" s="9">
        <f>IF(OR(J48="",J47=""),"",J47-J48)</f>
        <v>-6146.4495966786726</v>
      </c>
      <c r="K51" s="88" t="s">
        <v>68</v>
      </c>
      <c r="L51" s="88" t="s">
        <v>79</v>
      </c>
    </row>
    <row r="52" spans="1:16" s="5" customFormat="1" ht="14.4" outlineLevel="1" x14ac:dyDescent="0.3">
      <c r="A52" s="132"/>
      <c r="B52" s="19" t="s">
        <v>7</v>
      </c>
      <c r="C52" s="9">
        <v>0</v>
      </c>
      <c r="D52" s="9">
        <v>0</v>
      </c>
      <c r="E52" s="9">
        <v>0.51</v>
      </c>
      <c r="F52" s="9">
        <v>-7.15</v>
      </c>
      <c r="G52" s="9">
        <v>-19.84</v>
      </c>
      <c r="H52" s="9">
        <v>-30.86</v>
      </c>
      <c r="I52" s="9">
        <v>-40.75</v>
      </c>
      <c r="J52" s="9">
        <v>-49.76</v>
      </c>
      <c r="K52" s="89">
        <v>-163.53</v>
      </c>
      <c r="L52" s="112">
        <f>SUM(C52:J52)-K52</f>
        <v>15.680000000000007</v>
      </c>
    </row>
    <row r="53" spans="1:16" s="5" customFormat="1" ht="14.4" outlineLevel="1" x14ac:dyDescent="0.3">
      <c r="A53" s="132"/>
      <c r="B53" s="18" t="s">
        <v>13</v>
      </c>
      <c r="C53" s="9">
        <f t="shared" ref="C53:J53" si="28">IF(OR(C51="",C52=""),"",C51+C52)</f>
        <v>0</v>
      </c>
      <c r="D53" s="9">
        <f t="shared" si="28"/>
        <v>0</v>
      </c>
      <c r="E53" s="9">
        <f t="shared" si="28"/>
        <v>227.13886871874905</v>
      </c>
      <c r="F53" s="9">
        <f t="shared" si="28"/>
        <v>-3471.8976698101396</v>
      </c>
      <c r="G53" s="9">
        <f t="shared" si="28"/>
        <v>-5948.2271279913039</v>
      </c>
      <c r="H53" s="9">
        <f t="shared" si="28"/>
        <v>-6588.2826109136358</v>
      </c>
      <c r="I53" s="9">
        <f t="shared" si="28"/>
        <v>-6317.9880765726703</v>
      </c>
      <c r="J53" s="9">
        <f t="shared" si="28"/>
        <v>-6196.2095966786728</v>
      </c>
    </row>
    <row r="54" spans="1:16" s="5" customFormat="1" ht="14.4" outlineLevel="1" x14ac:dyDescent="0.3">
      <c r="A54" s="132"/>
      <c r="B54" s="20" t="s">
        <v>18</v>
      </c>
      <c r="C54" s="9">
        <f>IF(OR(C53=""),"",C53)</f>
        <v>0</v>
      </c>
      <c r="D54" s="9">
        <f t="shared" ref="D54:J54" si="29">IF(OR(D53="",C54=""),"",D53+C54)</f>
        <v>0</v>
      </c>
      <c r="E54" s="9">
        <f t="shared" si="29"/>
        <v>227.13886871874905</v>
      </c>
      <c r="F54" s="9">
        <f t="shared" si="29"/>
        <v>-3244.7588010913905</v>
      </c>
      <c r="G54" s="9">
        <f t="shared" si="29"/>
        <v>-9192.9859290826935</v>
      </c>
      <c r="H54" s="9">
        <f t="shared" si="29"/>
        <v>-15781.26853999633</v>
      </c>
      <c r="I54" s="9">
        <f t="shared" si="29"/>
        <v>-22099.256616569</v>
      </c>
      <c r="J54" s="9">
        <f t="shared" si="29"/>
        <v>-28295.466213247673</v>
      </c>
    </row>
    <row r="55" spans="1:16" s="5" customFormat="1" ht="8.25" customHeight="1" outlineLevel="1" x14ac:dyDescent="0.3">
      <c r="A55" s="40"/>
      <c r="B55" s="13"/>
      <c r="C55" s="83"/>
      <c r="D55" s="14"/>
      <c r="E55" s="14"/>
      <c r="F55" s="14"/>
      <c r="G55" s="14"/>
      <c r="H55" s="14"/>
      <c r="I55" s="14"/>
      <c r="J55" s="14"/>
    </row>
    <row r="56" spans="1:16" ht="14.4" x14ac:dyDescent="0.3"/>
    <row r="57" spans="1:16" ht="14.4" x14ac:dyDescent="0.3"/>
    <row r="58" spans="1:16" s="1" customFormat="1" ht="14.4" x14ac:dyDescent="0.3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6" ht="14.4" x14ac:dyDescent="0.3">
      <c r="C59" s="12">
        <v>43525</v>
      </c>
      <c r="D59" s="12">
        <v>43556</v>
      </c>
      <c r="E59" s="12">
        <v>43586</v>
      </c>
      <c r="F59" s="12">
        <v>43617</v>
      </c>
      <c r="G59" s="12">
        <v>43677</v>
      </c>
      <c r="H59" s="12">
        <v>43708</v>
      </c>
      <c r="I59" s="12">
        <v>43738</v>
      </c>
      <c r="J59" s="12">
        <v>43769</v>
      </c>
    </row>
    <row r="60" spans="1:16" ht="14.4" hidden="1" x14ac:dyDescent="0.3">
      <c r="B60" s="35" t="s">
        <v>37</v>
      </c>
      <c r="C60" s="28"/>
      <c r="D60" s="28"/>
      <c r="E60" s="28"/>
      <c r="F60" s="28"/>
      <c r="G60" s="28"/>
      <c r="H60" s="28"/>
      <c r="I60" s="28"/>
      <c r="J60" s="28"/>
    </row>
    <row r="61" spans="1:16" ht="14.4" hidden="1" x14ac:dyDescent="0.3">
      <c r="B61" s="36" t="s">
        <v>32</v>
      </c>
      <c r="C61" s="41">
        <v>0</v>
      </c>
      <c r="D61" s="41">
        <v>3542.7066619947968</v>
      </c>
      <c r="E61" s="41">
        <v>30136.455518898227</v>
      </c>
      <c r="F61" s="41">
        <v>273500.38459568418</v>
      </c>
      <c r="G61" s="41">
        <v>714630.19454973028</v>
      </c>
      <c r="H61" s="41">
        <v>1252115.2720556506</v>
      </c>
      <c r="I61" s="41">
        <v>1625934.6179925092</v>
      </c>
      <c r="J61" s="41">
        <v>1762960.5580065004</v>
      </c>
    </row>
    <row r="62" spans="1:16" ht="14.4" hidden="1" x14ac:dyDescent="0.3">
      <c r="B62" s="36" t="s">
        <v>33</v>
      </c>
      <c r="C62" s="41">
        <v>0.34412602678174997</v>
      </c>
      <c r="D62" s="41">
        <v>594.19753610000055</v>
      </c>
      <c r="E62" s="41">
        <v>8962.7201321071716</v>
      </c>
      <c r="F62" s="41">
        <v>32604.534313513876</v>
      </c>
      <c r="G62" s="41">
        <v>80268.39554484954</v>
      </c>
      <c r="H62" s="41">
        <v>133550.07117798761</v>
      </c>
      <c r="I62" s="41">
        <v>205226.49945065699</v>
      </c>
      <c r="J62" s="41">
        <v>266976.49556192581</v>
      </c>
    </row>
    <row r="63" spans="1:16" ht="14.4" hidden="1" x14ac:dyDescent="0.3">
      <c r="B63" s="36" t="s">
        <v>34</v>
      </c>
      <c r="C63" s="41">
        <v>0.38250960519337501</v>
      </c>
      <c r="D63" s="41">
        <v>592.84700439506275</v>
      </c>
      <c r="E63" s="41">
        <v>3788.6582603776305</v>
      </c>
      <c r="F63" s="41">
        <v>18535.810544392894</v>
      </c>
      <c r="G63" s="41">
        <v>43757.113824202133</v>
      </c>
      <c r="H63" s="41">
        <v>58774.468786924044</v>
      </c>
      <c r="I63" s="41">
        <v>83102.627859122615</v>
      </c>
      <c r="J63" s="41">
        <v>59438.654651636796</v>
      </c>
    </row>
    <row r="64" spans="1:16" ht="14.4" hidden="1" x14ac:dyDescent="0.3">
      <c r="B64" s="36" t="s">
        <v>35</v>
      </c>
      <c r="C64" s="41">
        <v>0</v>
      </c>
      <c r="D64" s="41">
        <v>10.498979963866001</v>
      </c>
      <c r="E64" s="41">
        <v>1076.2976856366847</v>
      </c>
      <c r="F64" s="41">
        <v>8208.8465748072213</v>
      </c>
      <c r="G64" s="41">
        <v>17844.087336984448</v>
      </c>
      <c r="H64" s="41">
        <v>19693.510444666666</v>
      </c>
      <c r="I64" s="41">
        <v>21979.473223835281</v>
      </c>
      <c r="J64" s="41">
        <v>14165.40710660777</v>
      </c>
    </row>
    <row r="65" spans="2:10" ht="14.4" hidden="1" x14ac:dyDescent="0.3">
      <c r="B65" s="36" t="s">
        <v>36</v>
      </c>
      <c r="C65" s="41">
        <v>0</v>
      </c>
      <c r="D65" s="41">
        <v>0</v>
      </c>
      <c r="E65" s="41">
        <v>178.04544936482247</v>
      </c>
      <c r="F65" s="41">
        <v>661.15950808601849</v>
      </c>
      <c r="G65" s="41">
        <v>877.99265710747466</v>
      </c>
      <c r="H65" s="41">
        <v>909.22642550037904</v>
      </c>
      <c r="I65" s="41">
        <v>1261.0041997151543</v>
      </c>
      <c r="J65" s="41">
        <v>997.60306748635742</v>
      </c>
    </row>
    <row r="66" spans="2:10" ht="14.4" hidden="1" x14ac:dyDescent="0.3">
      <c r="B66" s="36" t="s">
        <v>28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1171.3068451326408</v>
      </c>
      <c r="I66" s="41">
        <v>3700.907022561827</v>
      </c>
      <c r="J66" s="41">
        <v>5539.3571582453487</v>
      </c>
    </row>
    <row r="67" spans="2:10" ht="14.4" hidden="1" x14ac:dyDescent="0.3">
      <c r="B67" s="31" t="s">
        <v>30</v>
      </c>
      <c r="C67" s="43">
        <f>SUM(C61:C66)</f>
        <v>0.72663563197512504</v>
      </c>
      <c r="D67" s="43">
        <f t="shared" ref="D67:J67" si="30">SUM(D61:D66)</f>
        <v>4740.2501824537267</v>
      </c>
      <c r="E67" s="43">
        <f t="shared" si="30"/>
        <v>44142.177046384539</v>
      </c>
      <c r="F67" s="43">
        <f t="shared" si="30"/>
        <v>333510.73553648428</v>
      </c>
      <c r="G67" s="43">
        <f t="shared" si="30"/>
        <v>857377.78391287383</v>
      </c>
      <c r="H67" s="43">
        <f t="shared" si="30"/>
        <v>1466213.8557358622</v>
      </c>
      <c r="I67" s="43">
        <f t="shared" si="30"/>
        <v>1941205.129748401</v>
      </c>
      <c r="J67" s="43">
        <f t="shared" si="30"/>
        <v>2110078.0755524025</v>
      </c>
    </row>
    <row r="68" spans="2:10" ht="14.4" x14ac:dyDescent="0.3">
      <c r="C68" s="44"/>
      <c r="D68" s="44"/>
      <c r="E68" s="44"/>
      <c r="F68" s="44"/>
      <c r="G68" s="44"/>
      <c r="H68" s="44"/>
      <c r="I68" s="44"/>
      <c r="J68" s="44"/>
    </row>
    <row r="69" spans="2:10" ht="14.4" x14ac:dyDescent="0.3">
      <c r="B69" s="35" t="s">
        <v>38</v>
      </c>
      <c r="C69" s="44"/>
      <c r="D69" s="44"/>
      <c r="E69" s="44"/>
      <c r="F69" s="44"/>
      <c r="G69" s="44"/>
      <c r="H69" s="44"/>
      <c r="I69" s="44"/>
      <c r="J69" s="44"/>
    </row>
    <row r="70" spans="2:10" ht="14.4" x14ac:dyDescent="0.3">
      <c r="B70" s="38" t="s">
        <v>32</v>
      </c>
      <c r="C70" s="44">
        <v>0</v>
      </c>
      <c r="D70" s="44">
        <v>3542.7066619947968</v>
      </c>
      <c r="E70" s="44">
        <v>26593.748856903429</v>
      </c>
      <c r="F70" s="44">
        <v>243363.92907678595</v>
      </c>
      <c r="G70" s="44">
        <v>441129.8099540461</v>
      </c>
      <c r="H70" s="44">
        <v>537485.07750592032</v>
      </c>
      <c r="I70" s="44">
        <v>373819.34593685856</v>
      </c>
      <c r="J70" s="44">
        <v>137025.9400139912</v>
      </c>
    </row>
    <row r="71" spans="2:10" ht="14.4" x14ac:dyDescent="0.3">
      <c r="B71" s="38" t="s">
        <v>33</v>
      </c>
      <c r="C71" s="44">
        <v>0.34412602678174997</v>
      </c>
      <c r="D71" s="44">
        <v>593.85341007321881</v>
      </c>
      <c r="E71" s="44">
        <v>8368.5225960071712</v>
      </c>
      <c r="F71" s="44">
        <v>23641.814181406706</v>
      </c>
      <c r="G71" s="44">
        <v>47663.861231335664</v>
      </c>
      <c r="H71" s="44">
        <v>53281.675633138075</v>
      </c>
      <c r="I71" s="44">
        <v>71676.428272669378</v>
      </c>
      <c r="J71" s="44">
        <v>61749.996111268818</v>
      </c>
    </row>
    <row r="72" spans="2:10" ht="14.4" x14ac:dyDescent="0.3">
      <c r="B72" s="38" t="s">
        <v>34</v>
      </c>
      <c r="C72" s="44">
        <v>0.38250960519337501</v>
      </c>
      <c r="D72" s="44">
        <v>592.84700439506275</v>
      </c>
      <c r="E72" s="44">
        <v>3788.6582603776305</v>
      </c>
      <c r="F72" s="44">
        <v>18535.810544392894</v>
      </c>
      <c r="G72" s="44">
        <v>43757.113824202133</v>
      </c>
      <c r="H72" s="44">
        <v>58774.468786924044</v>
      </c>
      <c r="I72" s="44">
        <v>83102.627859122615</v>
      </c>
      <c r="J72" s="44">
        <v>59438.654651636796</v>
      </c>
    </row>
    <row r="73" spans="2:10" ht="14.4" x14ac:dyDescent="0.3">
      <c r="B73" s="38" t="s">
        <v>34</v>
      </c>
      <c r="C73" s="44">
        <v>0</v>
      </c>
      <c r="D73" s="44">
        <v>10.498979963866001</v>
      </c>
      <c r="E73" s="44">
        <v>1076.2976856366847</v>
      </c>
      <c r="F73" s="44">
        <v>8208.8465748072213</v>
      </c>
      <c r="G73" s="44">
        <v>17844.087336984448</v>
      </c>
      <c r="H73" s="44">
        <v>19693.510444666666</v>
      </c>
      <c r="I73" s="44">
        <v>21979.473223835281</v>
      </c>
      <c r="J73" s="44">
        <v>14165.40710660777</v>
      </c>
    </row>
    <row r="74" spans="2:10" ht="14.4" x14ac:dyDescent="0.3">
      <c r="B74" s="38" t="s">
        <v>34</v>
      </c>
      <c r="C74" s="44">
        <v>0</v>
      </c>
      <c r="D74" s="44">
        <v>0</v>
      </c>
      <c r="E74" s="44">
        <v>178.04544936482247</v>
      </c>
      <c r="F74" s="44">
        <v>661.15950808601849</v>
      </c>
      <c r="G74" s="44">
        <v>877.99265710747466</v>
      </c>
      <c r="H74" s="44">
        <v>909.22642550037904</v>
      </c>
      <c r="I74" s="44">
        <v>1261.0041997151543</v>
      </c>
      <c r="J74" s="44">
        <v>997.60306748635742</v>
      </c>
    </row>
    <row r="75" spans="2:10" ht="14.4" x14ac:dyDescent="0.3">
      <c r="B75" s="38" t="s">
        <v>34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1252.115980693439</v>
      </c>
      <c r="I75" s="44">
        <v>2448.7910418683878</v>
      </c>
      <c r="J75" s="44">
        <v>1841.3720541763271</v>
      </c>
    </row>
    <row r="76" spans="2:10" ht="14.4" x14ac:dyDescent="0.3">
      <c r="B76" s="34" t="s">
        <v>30</v>
      </c>
      <c r="C76" s="43">
        <f>SUM(C70:C75)</f>
        <v>0.72663563197512504</v>
      </c>
      <c r="D76" s="43">
        <f t="shared" ref="D76:J76" si="31">SUM(D70:D75)</f>
        <v>4739.9060564269448</v>
      </c>
      <c r="E76" s="43">
        <f t="shared" si="31"/>
        <v>40005.272848289744</v>
      </c>
      <c r="F76" s="43">
        <f t="shared" si="31"/>
        <v>294411.55988547887</v>
      </c>
      <c r="G76" s="43">
        <f t="shared" si="31"/>
        <v>551272.8650036758</v>
      </c>
      <c r="H76" s="43">
        <f t="shared" si="31"/>
        <v>671396.07477684284</v>
      </c>
      <c r="I76" s="43">
        <f t="shared" si="31"/>
        <v>554287.6705340693</v>
      </c>
      <c r="J76" s="43">
        <f t="shared" si="31"/>
        <v>275218.97300516727</v>
      </c>
    </row>
    <row r="77" spans="2:10" ht="14.4" x14ac:dyDescent="0.3">
      <c r="B77" s="34"/>
    </row>
    <row r="78" spans="2:10" ht="14.4" x14ac:dyDescent="0.3">
      <c r="B78" s="27" t="s">
        <v>31</v>
      </c>
    </row>
    <row r="79" spans="2:10" ht="14.4" x14ac:dyDescent="0.3">
      <c r="B79" s="36" t="s">
        <v>32</v>
      </c>
      <c r="C79" s="42">
        <v>1268128455</v>
      </c>
      <c r="D79" s="42">
        <v>872933544</v>
      </c>
      <c r="E79" s="42">
        <v>738196558</v>
      </c>
      <c r="F79" s="42">
        <v>978975302</v>
      </c>
      <c r="G79" s="42">
        <v>1243909773</v>
      </c>
      <c r="H79" s="42">
        <v>1310015315</v>
      </c>
      <c r="I79" s="42">
        <v>1208033233</v>
      </c>
      <c r="J79" s="93">
        <v>993546162</v>
      </c>
    </row>
    <row r="80" spans="2:10" ht="14.4" x14ac:dyDescent="0.3">
      <c r="B80" s="36" t="s">
        <v>33</v>
      </c>
      <c r="C80" s="42">
        <v>290178959</v>
      </c>
      <c r="D80" s="42">
        <v>235096003</v>
      </c>
      <c r="E80" s="42">
        <v>221772499</v>
      </c>
      <c r="F80" s="42">
        <v>258735845</v>
      </c>
      <c r="G80" s="42">
        <v>295975497</v>
      </c>
      <c r="H80" s="42">
        <v>304175879</v>
      </c>
      <c r="I80" s="42">
        <v>293549572</v>
      </c>
      <c r="J80" s="93">
        <v>264736629</v>
      </c>
    </row>
    <row r="81" spans="2:16" ht="14.4" x14ac:dyDescent="0.3">
      <c r="B81" s="36" t="s">
        <v>34</v>
      </c>
      <c r="C81" s="42">
        <v>599641261</v>
      </c>
      <c r="D81" s="42">
        <v>546450417</v>
      </c>
      <c r="E81" s="42">
        <v>548775486</v>
      </c>
      <c r="F81" s="42">
        <v>609609142</v>
      </c>
      <c r="G81" s="42">
        <v>656813642</v>
      </c>
      <c r="H81" s="42">
        <v>671886437</v>
      </c>
      <c r="I81" s="42">
        <v>678219627</v>
      </c>
      <c r="J81" s="93">
        <v>622550219</v>
      </c>
    </row>
    <row r="82" spans="2:16" ht="14.4" x14ac:dyDescent="0.3">
      <c r="B82" s="36" t="s">
        <v>35</v>
      </c>
      <c r="C82" s="42">
        <v>242499726</v>
      </c>
      <c r="D82" s="42">
        <v>232539680</v>
      </c>
      <c r="E82" s="42">
        <v>229224298</v>
      </c>
      <c r="F82" s="42">
        <v>266349220</v>
      </c>
      <c r="G82" s="42">
        <v>267674678</v>
      </c>
      <c r="H82" s="42">
        <v>281003685</v>
      </c>
      <c r="I82" s="42">
        <v>279302255</v>
      </c>
      <c r="J82" s="93">
        <v>258807768</v>
      </c>
    </row>
    <row r="83" spans="2:16" ht="14.4" x14ac:dyDescent="0.3">
      <c r="B83" s="36" t="s">
        <v>36</v>
      </c>
      <c r="C83" s="42">
        <v>99309923</v>
      </c>
      <c r="D83" s="42">
        <v>98876748</v>
      </c>
      <c r="E83" s="42">
        <v>96480454</v>
      </c>
      <c r="F83" s="42">
        <v>121526151</v>
      </c>
      <c r="G83" s="42">
        <v>113123855</v>
      </c>
      <c r="H83" s="42">
        <v>125262874</v>
      </c>
      <c r="I83" s="42">
        <v>126945040</v>
      </c>
      <c r="J83" s="93">
        <v>119752379</v>
      </c>
    </row>
    <row r="84" spans="2:16" s="1" customFormat="1" ht="14.4" x14ac:dyDescent="0.3">
      <c r="B84" s="31" t="s">
        <v>30</v>
      </c>
      <c r="C84" s="33">
        <f>SUM(C79:C83)</f>
        <v>2499758324</v>
      </c>
      <c r="D84" s="33">
        <f t="shared" ref="D84:J84" si="32">SUM(D79:D83)</f>
        <v>1985896392</v>
      </c>
      <c r="E84" s="33">
        <f t="shared" si="32"/>
        <v>1834449295</v>
      </c>
      <c r="F84" s="33">
        <f t="shared" si="32"/>
        <v>2235195660</v>
      </c>
      <c r="G84" s="33">
        <f t="shared" si="32"/>
        <v>2577497445</v>
      </c>
      <c r="H84" s="33">
        <f t="shared" si="32"/>
        <v>2692344190</v>
      </c>
      <c r="I84" s="33">
        <f t="shared" si="32"/>
        <v>2586049727</v>
      </c>
      <c r="J84" s="33">
        <f t="shared" si="32"/>
        <v>2259393157</v>
      </c>
      <c r="K84" s="36"/>
      <c r="L84" s="36"/>
      <c r="M84" s="36"/>
      <c r="N84" s="36"/>
      <c r="O84" s="36"/>
      <c r="P84" s="36"/>
    </row>
    <row r="85" spans="2:16" s="1" customFormat="1" ht="14.4" x14ac:dyDescent="0.3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2:16" s="1" customFormat="1" ht="14.4" x14ac:dyDescent="0.3">
      <c r="B86" s="27" t="s">
        <v>39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 s="1" customFormat="1" ht="14.4" x14ac:dyDescent="0.3">
      <c r="B87" s="36" t="s">
        <v>32</v>
      </c>
      <c r="C87" s="44">
        <f t="shared" ref="C87:J91" si="33">C70+(C$75*(C79/C$84))</f>
        <v>0</v>
      </c>
      <c r="D87" s="44">
        <f t="shared" si="33"/>
        <v>3542.7066619947968</v>
      </c>
      <c r="E87" s="44">
        <f t="shared" si="33"/>
        <v>26593.748856903429</v>
      </c>
      <c r="F87" s="44">
        <f t="shared" si="33"/>
        <v>243363.92907678595</v>
      </c>
      <c r="G87" s="44">
        <f t="shared" si="33"/>
        <v>441129.8099540461</v>
      </c>
      <c r="H87" s="44">
        <f t="shared" si="33"/>
        <v>538094.32023088727</v>
      </c>
      <c r="I87" s="44">
        <f t="shared" si="33"/>
        <v>374963.26089269412</v>
      </c>
      <c r="J87" s="44">
        <f t="shared" si="33"/>
        <v>137835.66546242539</v>
      </c>
      <c r="K87" s="36"/>
      <c r="L87" s="36"/>
      <c r="M87" s="36"/>
      <c r="N87" s="36"/>
      <c r="O87" s="36"/>
      <c r="P87" s="36"/>
    </row>
    <row r="88" spans="2:16" s="1" customFormat="1" ht="14.4" x14ac:dyDescent="0.3">
      <c r="B88" s="36" t="s">
        <v>33</v>
      </c>
      <c r="C88" s="44">
        <f t="shared" si="33"/>
        <v>0.34412602678174997</v>
      </c>
      <c r="D88" s="44">
        <f t="shared" si="33"/>
        <v>593.85341007321881</v>
      </c>
      <c r="E88" s="44">
        <f t="shared" si="33"/>
        <v>8368.5225960071712</v>
      </c>
      <c r="F88" s="44">
        <f t="shared" si="33"/>
        <v>23641.814181406706</v>
      </c>
      <c r="G88" s="44">
        <f t="shared" si="33"/>
        <v>47663.861231335664</v>
      </c>
      <c r="H88" s="44">
        <f t="shared" si="33"/>
        <v>53423.137293371561</v>
      </c>
      <c r="I88" s="44">
        <f t="shared" si="33"/>
        <v>71954.397236201956</v>
      </c>
      <c r="J88" s="44">
        <f t="shared" si="33"/>
        <v>61965.752554031846</v>
      </c>
      <c r="K88" s="36"/>
      <c r="L88" s="36"/>
      <c r="M88" s="36"/>
      <c r="N88" s="36"/>
      <c r="O88" s="36"/>
      <c r="P88" s="36"/>
    </row>
    <row r="89" spans="2:16" s="1" customFormat="1" ht="14.4" x14ac:dyDescent="0.3">
      <c r="B89" s="36" t="s">
        <v>34</v>
      </c>
      <c r="C89" s="44">
        <f>C72+(C$75*(C81/C$84))</f>
        <v>0.38250960519337501</v>
      </c>
      <c r="D89" s="44">
        <f t="shared" si="33"/>
        <v>592.84700439506275</v>
      </c>
      <c r="E89" s="44">
        <f t="shared" si="33"/>
        <v>3788.6582603776305</v>
      </c>
      <c r="F89" s="44">
        <f t="shared" si="33"/>
        <v>18535.810544392894</v>
      </c>
      <c r="G89" s="44">
        <f>G72+(G$75*(G81/G$84))</f>
        <v>43757.113824202133</v>
      </c>
      <c r="H89" s="44">
        <f t="shared" si="33"/>
        <v>59086.939884825857</v>
      </c>
      <c r="I89" s="44">
        <f t="shared" si="33"/>
        <v>83744.849905232913</v>
      </c>
      <c r="J89" s="44">
        <f t="shared" si="33"/>
        <v>59946.023885732408</v>
      </c>
      <c r="K89" s="36"/>
      <c r="L89" s="36"/>
      <c r="M89" s="36"/>
      <c r="N89" s="36"/>
      <c r="O89" s="36"/>
      <c r="P89" s="36"/>
    </row>
    <row r="90" spans="2:16" s="1" customFormat="1" ht="14.4" x14ac:dyDescent="0.3">
      <c r="B90" s="36" t="s">
        <v>35</v>
      </c>
      <c r="C90" s="44">
        <f t="shared" si="33"/>
        <v>0</v>
      </c>
      <c r="D90" s="44">
        <f t="shared" si="33"/>
        <v>10.498979963866001</v>
      </c>
      <c r="E90" s="44">
        <f t="shared" si="33"/>
        <v>1076.2976856366847</v>
      </c>
      <c r="F90" s="44">
        <f t="shared" si="33"/>
        <v>8208.8465748072213</v>
      </c>
      <c r="G90" s="44">
        <f t="shared" si="33"/>
        <v>17844.087336984448</v>
      </c>
      <c r="H90" s="44">
        <f t="shared" si="33"/>
        <v>19824.195520493558</v>
      </c>
      <c r="I90" s="44">
        <f t="shared" si="33"/>
        <v>22243.951069283008</v>
      </c>
      <c r="J90" s="44">
        <f t="shared" si="33"/>
        <v>14376.331615218623</v>
      </c>
      <c r="K90" s="36"/>
      <c r="L90" s="36"/>
      <c r="M90" s="36"/>
      <c r="N90" s="36"/>
      <c r="O90" s="36"/>
      <c r="P90" s="36"/>
    </row>
    <row r="91" spans="2:16" s="1" customFormat="1" ht="14.4" x14ac:dyDescent="0.3">
      <c r="B91" s="36" t="s">
        <v>36</v>
      </c>
      <c r="C91" s="44">
        <f t="shared" si="33"/>
        <v>0</v>
      </c>
      <c r="D91" s="44">
        <f t="shared" si="33"/>
        <v>0</v>
      </c>
      <c r="E91" s="44">
        <f t="shared" si="33"/>
        <v>178.04544936482247</v>
      </c>
      <c r="F91" s="44">
        <f t="shared" si="33"/>
        <v>661.15950808601849</v>
      </c>
      <c r="G91" s="44">
        <f t="shared" si="33"/>
        <v>877.99265710747466</v>
      </c>
      <c r="H91" s="44">
        <f t="shared" si="33"/>
        <v>967.48184726463296</v>
      </c>
      <c r="I91" s="44">
        <f t="shared" si="33"/>
        <v>1381.2114306574015</v>
      </c>
      <c r="J91" s="44">
        <f t="shared" si="33"/>
        <v>1095.1994877590121</v>
      </c>
      <c r="K91" s="36"/>
      <c r="L91" s="36"/>
      <c r="M91" s="36"/>
      <c r="N91" s="36"/>
      <c r="O91" s="36"/>
      <c r="P91" s="36"/>
    </row>
    <row r="92" spans="2:16" s="1" customFormat="1" ht="14.4" x14ac:dyDescent="0.3">
      <c r="B92" s="31" t="s">
        <v>30</v>
      </c>
      <c r="C92" s="43">
        <f>SUM(C87:C91)</f>
        <v>0.72663563197512504</v>
      </c>
      <c r="D92" s="43">
        <f t="shared" ref="D92:J92" si="34">SUM(D87:D91)</f>
        <v>4739.9060564269448</v>
      </c>
      <c r="E92" s="43">
        <f t="shared" si="34"/>
        <v>40005.272848289744</v>
      </c>
      <c r="F92" s="43">
        <f t="shared" si="34"/>
        <v>294411.55988547887</v>
      </c>
      <c r="G92" s="43">
        <f t="shared" si="34"/>
        <v>551272.8650036758</v>
      </c>
      <c r="H92" s="43">
        <f t="shared" si="34"/>
        <v>671396.07477684296</v>
      </c>
      <c r="I92" s="43">
        <f t="shared" si="34"/>
        <v>554287.67053406942</v>
      </c>
      <c r="J92" s="43">
        <f t="shared" si="34"/>
        <v>275218.97300516727</v>
      </c>
      <c r="K92" s="36"/>
      <c r="L92" s="36"/>
      <c r="M92" s="36"/>
      <c r="N92" s="36"/>
      <c r="O92" s="36"/>
      <c r="P92" s="36"/>
    </row>
    <row r="93" spans="2:16" s="1" customFormat="1" ht="14.4" x14ac:dyDescent="0.3">
      <c r="B93" s="31"/>
      <c r="C93" s="70"/>
      <c r="D93" s="70"/>
      <c r="E93" s="70"/>
      <c r="F93" s="70"/>
      <c r="G93" s="70"/>
      <c r="H93" s="70"/>
      <c r="I93" s="70"/>
      <c r="J93" s="70"/>
      <c r="K93" s="36"/>
      <c r="L93" s="36"/>
      <c r="M93" s="36"/>
      <c r="N93" s="36"/>
      <c r="O93" s="36"/>
      <c r="P93" s="36"/>
    </row>
    <row r="94" spans="2:16" ht="15" customHeight="1" x14ac:dyDescent="0.3"/>
    <row r="95" spans="2:16" ht="15" customHeight="1" x14ac:dyDescent="0.3"/>
    <row r="96" spans="2:1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</sheetData>
  <mergeCells count="5">
    <mergeCell ref="A6:A14"/>
    <mergeCell ref="A16:A24"/>
    <mergeCell ref="A26:A34"/>
    <mergeCell ref="A36:A44"/>
    <mergeCell ref="A46:A5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6" tint="0.79998168889431442"/>
  </sheetPr>
  <dimension ref="A1:AW74"/>
  <sheetViews>
    <sheetView workbookViewId="0">
      <pane xSplit="1" ySplit="3" topLeftCell="AI431" activePane="bottomRight" state="frozen"/>
      <selection activeCell="AL26" sqref="AL26"/>
      <selection pane="topRight" activeCell="AL26" sqref="AL26"/>
      <selection pane="bottomLeft" activeCell="AL26" sqref="AL26"/>
      <selection pane="bottomRight" activeCell="AN446" sqref="AN446"/>
    </sheetView>
  </sheetViews>
  <sheetFormatPr defaultColWidth="9.109375" defaultRowHeight="14.4" x14ac:dyDescent="0.3"/>
  <cols>
    <col min="1" max="1" width="39.109375" style="36" customWidth="1"/>
    <col min="2" max="3" width="11" style="36" customWidth="1"/>
    <col min="4" max="4" width="16" style="36" customWidth="1"/>
    <col min="5" max="18" width="14.109375" style="36" customWidth="1"/>
    <col min="19" max="19" width="15" style="36" bestFit="1" customWidth="1"/>
    <col min="20" max="20" width="14.109375" style="36" customWidth="1"/>
    <col min="21" max="21" width="15" style="36" customWidth="1"/>
    <col min="22" max="37" width="15.33203125" style="36" bestFit="1" customWidth="1"/>
    <col min="38" max="38" width="15" style="36" bestFit="1" customWidth="1"/>
    <col min="39" max="39" width="15.33203125" style="36" bestFit="1" customWidth="1"/>
    <col min="40" max="49" width="14.109375" style="36" customWidth="1"/>
    <col min="50" max="16384" width="9.109375" style="36"/>
  </cols>
  <sheetData>
    <row r="1" spans="1:49" x14ac:dyDescent="0.3">
      <c r="A1" s="31" t="s">
        <v>29</v>
      </c>
    </row>
    <row r="2" spans="1:49" x14ac:dyDescent="0.3">
      <c r="A2" s="26"/>
    </row>
    <row r="3" spans="1:49" x14ac:dyDescent="0.3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</row>
    <row r="4" spans="1:49" s="2" customFormat="1" x14ac:dyDescent="0.3">
      <c r="A4" s="35" t="s">
        <v>37</v>
      </c>
      <c r="B4" s="30"/>
      <c r="C4" s="30"/>
      <c r="D4" s="28"/>
      <c r="E4" s="28"/>
      <c r="F4" s="28"/>
      <c r="G4" s="28"/>
      <c r="H4" s="28"/>
      <c r="I4" s="28"/>
      <c r="J4" s="28"/>
      <c r="K4" s="28"/>
      <c r="L4" s="9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9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spans="1:49" x14ac:dyDescent="0.3">
      <c r="A5" s="36" t="s">
        <v>32</v>
      </c>
      <c r="B5" s="37"/>
      <c r="C5" s="37"/>
      <c r="D5" s="41">
        <v>0</v>
      </c>
      <c r="E5" s="41">
        <v>3542.7066619947968</v>
      </c>
      <c r="F5" s="41">
        <v>30136.455518898227</v>
      </c>
      <c r="G5" s="41">
        <v>273500.38459568418</v>
      </c>
      <c r="H5" s="41">
        <v>714630.19454973028</v>
      </c>
      <c r="I5" s="41">
        <v>1252115.2720556506</v>
      </c>
      <c r="J5" s="41">
        <v>1625934.6179925092</v>
      </c>
      <c r="K5" s="41">
        <v>1762960.5580065004</v>
      </c>
      <c r="L5" s="41">
        <v>2036259.811498007</v>
      </c>
      <c r="M5" s="41">
        <v>2499434.2156662</v>
      </c>
      <c r="N5" s="41">
        <f>3024353.08836572+6554.1</f>
        <v>3030907.1883657202</v>
      </c>
      <c r="O5" s="41">
        <f>3505159.86672899+192583.941016507</f>
        <v>3697743.8077454967</v>
      </c>
      <c r="P5" s="41">
        <f>3914603.11678053+237854.1</f>
        <v>4152457.2167805303</v>
      </c>
      <c r="Q5" s="41">
        <f>4070172.11038659+291838.588071724</f>
        <v>4362010.6984583139</v>
      </c>
      <c r="R5" s="41">
        <f>4229610.15303022+367485.985727049</f>
        <v>4597096.1387572698</v>
      </c>
      <c r="S5" s="41">
        <f>4592560.83505275+739295.933491184</f>
        <v>5331856.7685439344</v>
      </c>
      <c r="T5" s="41">
        <f>4990515.09833128+1344897.95339866</f>
        <v>6335413.0517299399</v>
      </c>
      <c r="U5" s="41">
        <f>5418265.12134377+2113348.33467618</f>
        <v>7531613.4560199501</v>
      </c>
      <c r="V5" s="41">
        <f>5789061.85817861+2752702.49586261</f>
        <v>8541764.3540412206</v>
      </c>
      <c r="W5" s="41">
        <f>5952563.39140542+3033444.35764041</f>
        <v>8986007.7490458302</v>
      </c>
      <c r="X5" s="126">
        <f>W5+X14</f>
        <v>9581801.7633659448</v>
      </c>
      <c r="Y5" s="126">
        <f t="shared" ref="Y5:AL10" si="0">X5+Y14</f>
        <v>10365649.307906846</v>
      </c>
      <c r="Z5" s="126">
        <f t="shared" si="0"/>
        <v>11205676.376953838</v>
      </c>
      <c r="AA5" s="126">
        <f t="shared" si="0"/>
        <v>11962237.956131443</v>
      </c>
      <c r="AB5" s="126">
        <f t="shared" si="0"/>
        <v>12734963.060079824</v>
      </c>
      <c r="AC5" s="126">
        <f t="shared" si="0"/>
        <v>13396321.31277764</v>
      </c>
      <c r="AD5" s="126">
        <f t="shared" si="0"/>
        <v>14107006.470766123</v>
      </c>
      <c r="AE5" s="126">
        <f t="shared" si="0"/>
        <v>16089607.199742712</v>
      </c>
      <c r="AF5" s="126">
        <f t="shared" si="0"/>
        <v>18494767.322261624</v>
      </c>
      <c r="AG5" s="126">
        <f t="shared" si="0"/>
        <v>20973110.834852394</v>
      </c>
      <c r="AH5" s="126">
        <f t="shared" si="0"/>
        <v>22842522.413320914</v>
      </c>
      <c r="AI5" s="126">
        <f t="shared" si="0"/>
        <v>23588411.601433441</v>
      </c>
      <c r="AJ5" s="126">
        <f t="shared" si="0"/>
        <v>24537047.153186295</v>
      </c>
      <c r="AK5" s="126">
        <f t="shared" si="0"/>
        <v>25756189.444371689</v>
      </c>
      <c r="AL5" s="126">
        <f t="shared" si="0"/>
        <v>26976329.551395908</v>
      </c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x14ac:dyDescent="0.3">
      <c r="A6" s="36" t="s">
        <v>33</v>
      </c>
      <c r="B6" s="37"/>
      <c r="C6" s="37"/>
      <c r="D6" s="41">
        <v>0.34412602678174997</v>
      </c>
      <c r="E6" s="41">
        <v>594.19753610000055</v>
      </c>
      <c r="F6" s="41">
        <v>8962.7201321071716</v>
      </c>
      <c r="G6" s="41">
        <v>32604.534313513876</v>
      </c>
      <c r="H6" s="41">
        <v>80268.39554484954</v>
      </c>
      <c r="I6" s="41">
        <v>133550.07117798761</v>
      </c>
      <c r="J6" s="41">
        <v>205226.49945065699</v>
      </c>
      <c r="K6" s="41">
        <v>266976.49556192581</v>
      </c>
      <c r="L6" s="41">
        <v>331278.27644167107</v>
      </c>
      <c r="M6" s="41">
        <v>412157.92982770345</v>
      </c>
      <c r="N6" s="41">
        <f>521623.159550585+1670.75143089162</f>
        <v>523293.91098147666</v>
      </c>
      <c r="O6" s="41">
        <f>603271.52828092+5976.78656574626</f>
        <v>609248.3148466663</v>
      </c>
      <c r="P6" s="41">
        <f>696199.317917802+14714.26</f>
        <v>710913.57791780203</v>
      </c>
      <c r="Q6" s="41">
        <f>723200.088718607+31418.0762713889</f>
        <v>754618.16498999589</v>
      </c>
      <c r="R6" s="41">
        <f>760016.621421969+66060.9194407934</f>
        <v>826077.54086276237</v>
      </c>
      <c r="S6" s="41">
        <f>804930.798867774+118900.240162753</f>
        <v>923831.039030527</v>
      </c>
      <c r="T6" s="41">
        <f>863286.796642103+201559.391010265</f>
        <v>1064846.1876523681</v>
      </c>
      <c r="U6" s="41">
        <f>893954.349070289+279384.341901059</f>
        <v>1173338.690971348</v>
      </c>
      <c r="V6" s="41">
        <f>925829.706887215+369147.536894573</f>
        <v>1294977.243781788</v>
      </c>
      <c r="W6" s="41">
        <f>949608.155526296+444877.201813712</f>
        <v>1394485.357340008</v>
      </c>
      <c r="X6" s="126">
        <f t="shared" ref="X6:AL10" si="1">W6+X15</f>
        <v>1487321.759357051</v>
      </c>
      <c r="Y6" s="126">
        <f t="shared" si="1"/>
        <v>1605213.5360285018</v>
      </c>
      <c r="Z6" s="126">
        <f t="shared" si="1"/>
        <v>1750527.4696271908</v>
      </c>
      <c r="AA6" s="126">
        <f t="shared" si="1"/>
        <v>1872950.5011659171</v>
      </c>
      <c r="AB6" s="126">
        <f t="shared" si="1"/>
        <v>2018900.05948431</v>
      </c>
      <c r="AC6" s="126">
        <f t="shared" si="1"/>
        <v>2177341.133288925</v>
      </c>
      <c r="AD6" s="126">
        <f t="shared" si="1"/>
        <v>2410160.5330878184</v>
      </c>
      <c r="AE6" s="126">
        <f t="shared" si="1"/>
        <v>2729274.5463116583</v>
      </c>
      <c r="AF6" s="126">
        <f t="shared" si="1"/>
        <v>3171438.7738722484</v>
      </c>
      <c r="AG6" s="126">
        <f t="shared" si="1"/>
        <v>3560084.9852076792</v>
      </c>
      <c r="AH6" s="126">
        <f t="shared" si="1"/>
        <v>3985297.563574214</v>
      </c>
      <c r="AI6" s="126">
        <f t="shared" si="1"/>
        <v>4324379.9263734454</v>
      </c>
      <c r="AJ6" s="126">
        <f t="shared" si="1"/>
        <v>4635949.6476150211</v>
      </c>
      <c r="AK6" s="126">
        <f t="shared" si="1"/>
        <v>5004378.7736509424</v>
      </c>
      <c r="AL6" s="126">
        <f t="shared" si="1"/>
        <v>5425526.5877589546</v>
      </c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 x14ac:dyDescent="0.3">
      <c r="A7" s="36" t="s">
        <v>34</v>
      </c>
      <c r="B7" s="37"/>
      <c r="C7" s="37"/>
      <c r="D7" s="41">
        <v>0.36790548240712501</v>
      </c>
      <c r="E7" s="41">
        <v>549.75215057062348</v>
      </c>
      <c r="F7" s="41">
        <v>4372.2897437101055</v>
      </c>
      <c r="G7" s="41">
        <v>21153.622105764334</v>
      </c>
      <c r="H7" s="41">
        <v>61231.340486306894</v>
      </c>
      <c r="I7" s="41">
        <v>115000.17366148013</v>
      </c>
      <c r="J7" s="41">
        <v>193945.10714767221</v>
      </c>
      <c r="K7" s="41">
        <v>249871.45813878858</v>
      </c>
      <c r="L7" s="41">
        <v>333751.90722352377</v>
      </c>
      <c r="M7" s="41">
        <v>433032.97939606744</v>
      </c>
      <c r="N7" s="41">
        <f>579533.27131616+1779.61011819965</f>
        <v>581312.88143435959</v>
      </c>
      <c r="O7" s="41">
        <f>692712.313764346+6993.22536134082</f>
        <v>699705.53912568674</v>
      </c>
      <c r="P7" s="41">
        <f>802057.022470645+16835.3</f>
        <v>818892.32247064507</v>
      </c>
      <c r="Q7" s="41">
        <f>830485.556909839+33972.3172811836</f>
        <v>864457.87419102259</v>
      </c>
      <c r="R7" s="41">
        <f>873501.622596128+72093.2191642493</f>
        <v>945594.84176037728</v>
      </c>
      <c r="S7" s="41">
        <f>959608.626292992+169282.073851875</f>
        <v>1128890.7001448669</v>
      </c>
      <c r="T7" s="41">
        <f>1063968.34972717+322181.463908298</f>
        <v>1386149.813635468</v>
      </c>
      <c r="U7" s="41">
        <f>1132109.73254343+490797.70403803</f>
        <v>1622907.4365814601</v>
      </c>
      <c r="V7" s="41">
        <f>1180839.16663709+658085.33680828</f>
        <v>1838924.5034453701</v>
      </c>
      <c r="W7" s="41">
        <f>1205402.21221795+767856.843398324</f>
        <v>1973259.055616274</v>
      </c>
      <c r="X7" s="126">
        <f t="shared" si="1"/>
        <v>2104135.9193531154</v>
      </c>
      <c r="Y7" s="126">
        <f t="shared" si="0"/>
        <v>2288797.9062756868</v>
      </c>
      <c r="Z7" s="126">
        <f t="shared" si="0"/>
        <v>2532950.6276020957</v>
      </c>
      <c r="AA7" s="126">
        <f t="shared" si="0"/>
        <v>2738910.0934818792</v>
      </c>
      <c r="AB7" s="126">
        <f t="shared" si="0"/>
        <v>2972831.2335608462</v>
      </c>
      <c r="AC7" s="126">
        <f t="shared" si="0"/>
        <v>3203098.7547580991</v>
      </c>
      <c r="AD7" s="126">
        <f t="shared" si="0"/>
        <v>3535646.9684546352</v>
      </c>
      <c r="AE7" s="126">
        <f t="shared" si="0"/>
        <v>4233549.2912456943</v>
      </c>
      <c r="AF7" s="126">
        <f t="shared" si="0"/>
        <v>5138215.1304356307</v>
      </c>
      <c r="AG7" s="126">
        <f t="shared" si="0"/>
        <v>6001664.7024775799</v>
      </c>
      <c r="AH7" s="126">
        <f t="shared" si="0"/>
        <v>6737858.6100129886</v>
      </c>
      <c r="AI7" s="126">
        <f t="shared" si="0"/>
        <v>7176072.8573653195</v>
      </c>
      <c r="AJ7" s="126">
        <f t="shared" si="0"/>
        <v>7596588.0847663265</v>
      </c>
      <c r="AK7" s="126">
        <f t="shared" si="0"/>
        <v>8128130.1659323201</v>
      </c>
      <c r="AL7" s="126">
        <f t="shared" si="0"/>
        <v>8773771.4570810255</v>
      </c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x14ac:dyDescent="0.3">
      <c r="A8" s="36" t="s">
        <v>35</v>
      </c>
      <c r="B8" s="37"/>
      <c r="C8" s="37"/>
      <c r="D8" s="41">
        <v>0</v>
      </c>
      <c r="E8" s="41">
        <v>9.4764517045030008</v>
      </c>
      <c r="F8" s="41">
        <v>1001.8612523359196</v>
      </c>
      <c r="G8" s="41">
        <v>8293.9860897862109</v>
      </c>
      <c r="H8" s="41">
        <v>24288.931102469891</v>
      </c>
      <c r="I8" s="41">
        <v>41453.172801788984</v>
      </c>
      <c r="J8" s="41">
        <v>61773.602905509295</v>
      </c>
      <c r="K8" s="41">
        <v>74844.476160899911</v>
      </c>
      <c r="L8" s="41">
        <v>95075.729248894699</v>
      </c>
      <c r="M8" s="41">
        <v>112674.42131148028</v>
      </c>
      <c r="N8" s="41">
        <f>149116.898347914+2495.31522954858</f>
        <v>151612.21357746256</v>
      </c>
      <c r="O8" s="41">
        <f>172665.632653367+6538.78485075769</f>
        <v>179204.41750412469</v>
      </c>
      <c r="P8" s="41">
        <f>198999.065865354+10691.96</f>
        <v>209691.02586535399</v>
      </c>
      <c r="Q8" s="41">
        <f>214433.573100532+15615.411023237</f>
        <v>230048.98412376898</v>
      </c>
      <c r="R8" s="41">
        <f>242343.682470679+27991.6814994831</f>
        <v>270335.36397016211</v>
      </c>
      <c r="S8" s="41">
        <f>297369.307609895+63323.2565301678</f>
        <v>360692.56414006278</v>
      </c>
      <c r="T8" s="41">
        <f>362730.224368532+118569.426249392</f>
        <v>481299.650617924</v>
      </c>
      <c r="U8" s="41">
        <f>412752.536562742+186293.939799171</f>
        <v>599046.47636191302</v>
      </c>
      <c r="V8" s="41">
        <f>448555.758987872+240533.431923752</f>
        <v>689089.190911624</v>
      </c>
      <c r="W8" s="41">
        <f>466039.889115418+271152.510747429</f>
        <v>737192.39986284706</v>
      </c>
      <c r="X8" s="126">
        <f t="shared" si="1"/>
        <v>781147.03488012857</v>
      </c>
      <c r="Y8" s="126">
        <f t="shared" si="0"/>
        <v>835738.93802609097</v>
      </c>
      <c r="Z8" s="126">
        <f t="shared" si="0"/>
        <v>917420.17383713112</v>
      </c>
      <c r="AA8" s="126">
        <f t="shared" si="0"/>
        <v>989110.82892511389</v>
      </c>
      <c r="AB8" s="126">
        <f t="shared" si="0"/>
        <v>1067116.4302216007</v>
      </c>
      <c r="AC8" s="126">
        <f t="shared" si="0"/>
        <v>1148254.1277029265</v>
      </c>
      <c r="AD8" s="126">
        <f t="shared" si="0"/>
        <v>1276286.185996453</v>
      </c>
      <c r="AE8" s="126">
        <f t="shared" si="0"/>
        <v>1607424.1912184486</v>
      </c>
      <c r="AF8" s="126">
        <f t="shared" si="0"/>
        <v>2027285.5562817736</v>
      </c>
      <c r="AG8" s="126">
        <f t="shared" si="0"/>
        <v>2437927.0247159475</v>
      </c>
      <c r="AH8" s="126">
        <f t="shared" si="0"/>
        <v>2716043.2559515773</v>
      </c>
      <c r="AI8" s="126">
        <f t="shared" si="0"/>
        <v>2850402.0286791255</v>
      </c>
      <c r="AJ8" s="126">
        <f t="shared" si="0"/>
        <v>2964530.3992796121</v>
      </c>
      <c r="AK8" s="126">
        <f t="shared" si="0"/>
        <v>3093844.4840915534</v>
      </c>
      <c r="AL8" s="126">
        <f t="shared" si="0"/>
        <v>3270462.4573768601</v>
      </c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</row>
    <row r="9" spans="1:49" x14ac:dyDescent="0.3">
      <c r="A9" s="36" t="s">
        <v>36</v>
      </c>
      <c r="B9" s="37"/>
      <c r="C9" s="37"/>
      <c r="D9" s="41">
        <v>0</v>
      </c>
      <c r="E9" s="41">
        <v>0</v>
      </c>
      <c r="F9" s="41">
        <v>158.37627524588399</v>
      </c>
      <c r="G9" s="41">
        <v>755.54938000889456</v>
      </c>
      <c r="H9" s="41">
        <v>755.54938000889456</v>
      </c>
      <c r="I9" s="41">
        <v>925.36208771611018</v>
      </c>
      <c r="J9" s="41">
        <v>1379.3004935951622</v>
      </c>
      <c r="K9" s="41">
        <v>1835.58070746455</v>
      </c>
      <c r="L9" s="41">
        <v>6155.0061088806679</v>
      </c>
      <c r="M9" s="41">
        <v>8236.874151785245</v>
      </c>
      <c r="N9" s="41">
        <f>13562.7597608119+138.626164131286</f>
        <v>13701.385924943186</v>
      </c>
      <c r="O9" s="41">
        <f>17263.8824571859+353.550591382716</f>
        <v>17617.433048568615</v>
      </c>
      <c r="P9" s="41">
        <f>21317.282792059+586.93</f>
        <v>21904.212792058999</v>
      </c>
      <c r="Q9" s="41">
        <f>24168.0082624545+1718.74950926182</f>
        <v>25886.757771716319</v>
      </c>
      <c r="R9" s="41">
        <f>32203.5396191439+4982.55613938445</f>
        <v>37186.095758528347</v>
      </c>
      <c r="S9" s="41">
        <f>64792.9795908073+9659.39721839115</f>
        <v>74452.376809198453</v>
      </c>
      <c r="T9" s="41">
        <f>98806.2177037551+14952.0147372461</f>
        <v>113758.23244100119</v>
      </c>
      <c r="U9" s="41">
        <f>131838.40615304+21745.3743989093</f>
        <v>153583.78055194931</v>
      </c>
      <c r="V9" s="41">
        <f>149160.350157108+28725.5832532046</f>
        <v>177885.9334103126</v>
      </c>
      <c r="W9" s="41">
        <f>152614.128399062+34345.9926874673</f>
        <v>186960.12108652928</v>
      </c>
      <c r="X9" s="126">
        <f t="shared" si="1"/>
        <v>194927.94619842974</v>
      </c>
      <c r="Y9" s="126">
        <f t="shared" si="0"/>
        <v>206075.46901865344</v>
      </c>
      <c r="Z9" s="126">
        <f t="shared" si="0"/>
        <v>220634.62549952781</v>
      </c>
      <c r="AA9" s="126">
        <f t="shared" si="0"/>
        <v>233136.55970171696</v>
      </c>
      <c r="AB9" s="126">
        <f t="shared" si="0"/>
        <v>245816.60015172936</v>
      </c>
      <c r="AC9" s="126">
        <f t="shared" si="0"/>
        <v>261392.47226900703</v>
      </c>
      <c r="AD9" s="126">
        <f t="shared" si="0"/>
        <v>295548.31131811882</v>
      </c>
      <c r="AE9" s="126">
        <f t="shared" si="0"/>
        <v>408505.82273933571</v>
      </c>
      <c r="AF9" s="126">
        <f t="shared" si="0"/>
        <v>527999.43600814743</v>
      </c>
      <c r="AG9" s="126">
        <f t="shared" si="0"/>
        <v>647306.89749322436</v>
      </c>
      <c r="AH9" s="126">
        <f t="shared" si="0"/>
        <v>719653.13539153733</v>
      </c>
      <c r="AI9" s="126">
        <f t="shared" si="0"/>
        <v>745631.03402003797</v>
      </c>
      <c r="AJ9" s="126">
        <f t="shared" si="0"/>
        <v>768064.06503633119</v>
      </c>
      <c r="AK9" s="126">
        <f t="shared" si="0"/>
        <v>798512.6341926204</v>
      </c>
      <c r="AL9" s="126">
        <f t="shared" si="0"/>
        <v>837870.11003319221</v>
      </c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</row>
    <row r="10" spans="1:49" x14ac:dyDescent="0.3">
      <c r="A10" s="36" t="s">
        <v>28</v>
      </c>
      <c r="B10" s="37"/>
      <c r="C10" s="37"/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1171.3068451326408</v>
      </c>
      <c r="J10" s="41">
        <v>3700.907022561827</v>
      </c>
      <c r="K10" s="41">
        <v>5539.3571582453487</v>
      </c>
      <c r="L10" s="41">
        <v>8956.0281318371599</v>
      </c>
      <c r="M10" s="41">
        <v>18324.45392310356</v>
      </c>
      <c r="N10" s="41">
        <f>43332.3471457788+0</f>
        <v>43332.347145778796</v>
      </c>
      <c r="O10" s="41">
        <f>61312.2701812421+397.830372724897</f>
        <v>61710.100553967</v>
      </c>
      <c r="P10" s="41">
        <f>77306.9724967612+1306.65</f>
        <v>78613.622496761192</v>
      </c>
      <c r="Q10" s="41">
        <f>82025.5913960804+3919.1783998443</f>
        <v>85944.769795924702</v>
      </c>
      <c r="R10" s="41">
        <f>86341.6270464909+8850.02127569848</f>
        <v>95191.648322189387</v>
      </c>
      <c r="S10" s="41">
        <f>93970.6450995064+24254.3883158056</f>
        <v>118225.03341531199</v>
      </c>
      <c r="T10" s="41">
        <f>102742.311172409+50641.4062829469</f>
        <v>153383.71745535589</v>
      </c>
      <c r="U10" s="41">
        <f>108938.808668724+93694.416165562</f>
        <v>202633.224834286</v>
      </c>
      <c r="V10" s="41">
        <f>114763.827420578+145189.028547583</f>
        <v>259952.85596816102</v>
      </c>
      <c r="W10" s="41">
        <f>118480.956904006+171088.895388388</f>
        <v>289569.85229239397</v>
      </c>
      <c r="X10" s="126">
        <f t="shared" si="1"/>
        <v>330050.30561268039</v>
      </c>
      <c r="Y10" s="126">
        <f t="shared" si="0"/>
        <v>386478.26185260131</v>
      </c>
      <c r="Z10" s="126">
        <f t="shared" si="0"/>
        <v>446649.59400929528</v>
      </c>
      <c r="AA10" s="126">
        <f t="shared" si="0"/>
        <v>499480.92359103693</v>
      </c>
      <c r="AB10" s="126">
        <f t="shared" si="0"/>
        <v>551342.95855612739</v>
      </c>
      <c r="AC10" s="126">
        <f t="shared" si="0"/>
        <v>596862.24523608806</v>
      </c>
      <c r="AD10" s="126">
        <f t="shared" si="0"/>
        <v>648565.77608271479</v>
      </c>
      <c r="AE10" s="126">
        <f t="shared" si="0"/>
        <v>761246.83258064848</v>
      </c>
      <c r="AF10" s="126">
        <f t="shared" si="0"/>
        <v>891991.48310182802</v>
      </c>
      <c r="AG10" s="126">
        <f t="shared" si="0"/>
        <v>1018412.3514255774</v>
      </c>
      <c r="AH10" s="126">
        <f t="shared" si="0"/>
        <v>1124767.8814488058</v>
      </c>
      <c r="AI10" s="126">
        <f t="shared" si="0"/>
        <v>1180220.2026329068</v>
      </c>
      <c r="AJ10" s="126">
        <f t="shared" si="0"/>
        <v>1248030.6167581137</v>
      </c>
      <c r="AK10" s="126">
        <f t="shared" si="0"/>
        <v>1359652.2731406875</v>
      </c>
      <c r="AL10" s="126">
        <f t="shared" si="0"/>
        <v>1498708.6851151753</v>
      </c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</row>
    <row r="11" spans="1:49" x14ac:dyDescent="0.3">
      <c r="A11" s="31" t="s">
        <v>30</v>
      </c>
      <c r="B11" s="29"/>
      <c r="C11" s="29"/>
      <c r="D11" s="43">
        <f>SUM(D5:D10)</f>
        <v>0.71203150918887492</v>
      </c>
      <c r="E11" s="43">
        <f t="shared" ref="E11:AW11" si="2">SUM(E5:E10)</f>
        <v>4696.1328003699246</v>
      </c>
      <c r="F11" s="43">
        <f t="shared" si="2"/>
        <v>44631.702922297307</v>
      </c>
      <c r="G11" s="43">
        <f t="shared" si="2"/>
        <v>336308.07648475753</v>
      </c>
      <c r="H11" s="43">
        <f t="shared" si="2"/>
        <v>881174.41106336564</v>
      </c>
      <c r="I11" s="43">
        <f t="shared" si="2"/>
        <v>1544215.3586297561</v>
      </c>
      <c r="J11" s="43">
        <f t="shared" si="2"/>
        <v>2091960.0350125048</v>
      </c>
      <c r="K11" s="43">
        <f>SUM(K5:K10)</f>
        <v>2362027.9257338243</v>
      </c>
      <c r="L11" s="43">
        <f t="shared" si="2"/>
        <v>2811476.7586528142</v>
      </c>
      <c r="M11" s="43">
        <f t="shared" si="2"/>
        <v>3483860.8742763405</v>
      </c>
      <c r="N11" s="43">
        <f t="shared" si="2"/>
        <v>4344159.9274297412</v>
      </c>
      <c r="O11" s="43">
        <f t="shared" si="2"/>
        <v>5265229.6128245099</v>
      </c>
      <c r="P11" s="43">
        <f t="shared" si="2"/>
        <v>5992471.9783231523</v>
      </c>
      <c r="Q11" s="43">
        <f t="shared" si="2"/>
        <v>6322967.2493307423</v>
      </c>
      <c r="R11" s="43">
        <f t="shared" si="2"/>
        <v>6771481.6294312896</v>
      </c>
      <c r="S11" s="43">
        <f t="shared" si="2"/>
        <v>7937948.4820839018</v>
      </c>
      <c r="T11" s="43">
        <f t="shared" si="2"/>
        <v>9534850.6535320561</v>
      </c>
      <c r="U11" s="43">
        <f t="shared" si="2"/>
        <v>11283123.065320907</v>
      </c>
      <c r="V11" s="43">
        <f t="shared" si="2"/>
        <v>12802594.081558477</v>
      </c>
      <c r="W11" s="43">
        <f t="shared" si="2"/>
        <v>13567474.535243882</v>
      </c>
      <c r="X11" s="43">
        <f t="shared" si="2"/>
        <v>14479384.72876735</v>
      </c>
      <c r="Y11" s="43">
        <f t="shared" si="2"/>
        <v>15687953.41910838</v>
      </c>
      <c r="Z11" s="43">
        <f t="shared" si="2"/>
        <v>17073858.867529079</v>
      </c>
      <c r="AA11" s="43">
        <f t="shared" si="2"/>
        <v>18295826.862997107</v>
      </c>
      <c r="AB11" s="43">
        <f t="shared" si="2"/>
        <v>19590970.342054438</v>
      </c>
      <c r="AC11" s="43">
        <f t="shared" si="2"/>
        <v>20783270.046032682</v>
      </c>
      <c r="AD11" s="43">
        <f t="shared" si="2"/>
        <v>22273214.245705862</v>
      </c>
      <c r="AE11" s="43">
        <f t="shared" si="2"/>
        <v>25829607.883838497</v>
      </c>
      <c r="AF11" s="43">
        <f t="shared" si="2"/>
        <v>30251697.701961257</v>
      </c>
      <c r="AG11" s="43">
        <f t="shared" si="2"/>
        <v>34638506.79617241</v>
      </c>
      <c r="AH11" s="43">
        <f t="shared" si="2"/>
        <v>38126142.859700039</v>
      </c>
      <c r="AI11" s="43">
        <f t="shared" si="2"/>
        <v>39865117.650504269</v>
      </c>
      <c r="AJ11" s="43">
        <f t="shared" si="2"/>
        <v>41750209.966641702</v>
      </c>
      <c r="AK11" s="43">
        <f t="shared" si="2"/>
        <v>44140707.775379807</v>
      </c>
      <c r="AL11" s="43">
        <f t="shared" si="2"/>
        <v>46782668.848761111</v>
      </c>
      <c r="AM11" s="43">
        <f t="shared" si="2"/>
        <v>0</v>
      </c>
      <c r="AN11" s="43">
        <f t="shared" si="2"/>
        <v>0</v>
      </c>
      <c r="AO11" s="43">
        <f t="shared" si="2"/>
        <v>0</v>
      </c>
      <c r="AP11" s="43">
        <f t="shared" si="2"/>
        <v>0</v>
      </c>
      <c r="AQ11" s="43">
        <f t="shared" si="2"/>
        <v>0</v>
      </c>
      <c r="AR11" s="43">
        <f t="shared" si="2"/>
        <v>0</v>
      </c>
      <c r="AS11" s="43">
        <f t="shared" si="2"/>
        <v>0</v>
      </c>
      <c r="AT11" s="43">
        <f t="shared" si="2"/>
        <v>0</v>
      </c>
      <c r="AU11" s="43">
        <f t="shared" si="2"/>
        <v>0</v>
      </c>
      <c r="AV11" s="43">
        <f t="shared" si="2"/>
        <v>0</v>
      </c>
      <c r="AW11" s="43">
        <f t="shared" si="2"/>
        <v>0</v>
      </c>
    </row>
    <row r="12" spans="1:49" x14ac:dyDescent="0.3">
      <c r="B12" s="37"/>
      <c r="C12" s="37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</row>
    <row r="13" spans="1:49" x14ac:dyDescent="0.3">
      <c r="A13" s="35" t="s">
        <v>38</v>
      </c>
      <c r="B13" s="37"/>
      <c r="C13" s="3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98" t="s">
        <v>70</v>
      </c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</row>
    <row r="14" spans="1:49" x14ac:dyDescent="0.3">
      <c r="A14" s="38" t="s">
        <v>32</v>
      </c>
      <c r="B14" s="37"/>
      <c r="C14" s="37"/>
      <c r="D14" s="44">
        <f>D5-C5</f>
        <v>0</v>
      </c>
      <c r="E14" s="44">
        <f>IF(E5="","",E5-D5)</f>
        <v>3542.7066619947968</v>
      </c>
      <c r="F14" s="44">
        <f>IF(F5="","",F5-E5)</f>
        <v>26593.748856903429</v>
      </c>
      <c r="G14" s="44">
        <f t="shared" ref="G14:W19" si="3">IF(G5="","",G5-F5)</f>
        <v>243363.92907678595</v>
      </c>
      <c r="H14" s="44">
        <f t="shared" si="3"/>
        <v>441129.8099540461</v>
      </c>
      <c r="I14" s="44">
        <f t="shared" si="3"/>
        <v>537485.07750592032</v>
      </c>
      <c r="J14" s="44">
        <f t="shared" si="3"/>
        <v>373819.34593685856</v>
      </c>
      <c r="K14" s="44">
        <f t="shared" si="3"/>
        <v>137025.9400139912</v>
      </c>
      <c r="L14" s="44">
        <f t="shared" si="3"/>
        <v>273299.25349150668</v>
      </c>
      <c r="M14" s="44">
        <f t="shared" si="3"/>
        <v>463174.404168193</v>
      </c>
      <c r="N14" s="44">
        <f t="shared" si="3"/>
        <v>531472.97269952018</v>
      </c>
      <c r="O14" s="44">
        <f t="shared" si="3"/>
        <v>666836.61937977653</v>
      </c>
      <c r="P14" s="44">
        <f t="shared" si="3"/>
        <v>454713.40903503355</v>
      </c>
      <c r="Q14" s="44">
        <f t="shared" si="3"/>
        <v>209553.48167778365</v>
      </c>
      <c r="R14" s="44">
        <f t="shared" si="3"/>
        <v>235085.44029895589</v>
      </c>
      <c r="S14" s="44">
        <f t="shared" si="3"/>
        <v>734760.62978666462</v>
      </c>
      <c r="T14" s="44">
        <f t="shared" si="3"/>
        <v>1003556.2831860054</v>
      </c>
      <c r="U14" s="44">
        <f t="shared" si="3"/>
        <v>1196200.4042900102</v>
      </c>
      <c r="V14" s="44">
        <f t="shared" si="3"/>
        <v>1010150.8980212705</v>
      </c>
      <c r="W14" s="44">
        <f t="shared" si="3"/>
        <v>444243.3950046096</v>
      </c>
      <c r="X14" s="131">
        <v>595794.01432011439</v>
      </c>
      <c r="Y14" s="131">
        <v>783847.54454090132</v>
      </c>
      <c r="Z14" s="131">
        <v>840027.06904699327</v>
      </c>
      <c r="AA14" s="131">
        <v>756561.57917760441</v>
      </c>
      <c r="AB14" s="131">
        <v>772725.10394838173</v>
      </c>
      <c r="AC14" s="131">
        <v>661358.25269781658</v>
      </c>
      <c r="AD14" s="131">
        <v>710685.15798848378</v>
      </c>
      <c r="AE14" s="131">
        <v>1982600.7289765882</v>
      </c>
      <c r="AF14" s="131">
        <v>2405160.1225189129</v>
      </c>
      <c r="AG14" s="131">
        <v>2478343.5125907683</v>
      </c>
      <c r="AH14" s="131">
        <v>1869411.5784685193</v>
      </c>
      <c r="AI14" s="131">
        <v>745889.18811252783</v>
      </c>
      <c r="AJ14" s="131">
        <v>948635.55175285274</v>
      </c>
      <c r="AK14" s="131">
        <v>1219142.2911853953</v>
      </c>
      <c r="AL14" s="131">
        <v>1220140.107024217</v>
      </c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</row>
    <row r="15" spans="1:49" x14ac:dyDescent="0.3">
      <c r="A15" s="38" t="s">
        <v>33</v>
      </c>
      <c r="B15" s="37"/>
      <c r="C15" s="37"/>
      <c r="D15" s="44">
        <f t="shared" ref="D15:D19" si="4">D6-C6</f>
        <v>0.34412602678174997</v>
      </c>
      <c r="E15" s="44">
        <f t="shared" ref="E15:T19" si="5">IF(E6="","",E6-D6)</f>
        <v>593.85341007321881</v>
      </c>
      <c r="F15" s="44">
        <f t="shared" si="5"/>
        <v>8368.5225960071712</v>
      </c>
      <c r="G15" s="44">
        <f t="shared" si="5"/>
        <v>23641.814181406706</v>
      </c>
      <c r="H15" s="44">
        <f t="shared" si="5"/>
        <v>47663.861231335664</v>
      </c>
      <c r="I15" s="44">
        <f t="shared" si="5"/>
        <v>53281.675633138075</v>
      </c>
      <c r="J15" s="44">
        <f t="shared" si="5"/>
        <v>71676.428272669378</v>
      </c>
      <c r="K15" s="44">
        <f t="shared" si="5"/>
        <v>61749.996111268818</v>
      </c>
      <c r="L15" s="44">
        <f t="shared" si="5"/>
        <v>64301.78087974526</v>
      </c>
      <c r="M15" s="44">
        <f t="shared" si="5"/>
        <v>80879.653386032383</v>
      </c>
      <c r="N15" s="44">
        <f t="shared" si="5"/>
        <v>111135.9811537732</v>
      </c>
      <c r="O15" s="44">
        <f t="shared" si="5"/>
        <v>85954.403865189641</v>
      </c>
      <c r="P15" s="44">
        <f t="shared" si="5"/>
        <v>101665.26307113573</v>
      </c>
      <c r="Q15" s="44">
        <f t="shared" si="5"/>
        <v>43704.587072193855</v>
      </c>
      <c r="R15" s="44">
        <f t="shared" si="5"/>
        <v>71459.375872766483</v>
      </c>
      <c r="S15" s="44">
        <f t="shared" si="5"/>
        <v>97753.498167764628</v>
      </c>
      <c r="T15" s="44">
        <f t="shared" si="5"/>
        <v>141015.1486218411</v>
      </c>
      <c r="U15" s="44">
        <f t="shared" si="3"/>
        <v>108492.50331897987</v>
      </c>
      <c r="V15" s="44">
        <f t="shared" si="3"/>
        <v>121638.55281044007</v>
      </c>
      <c r="W15" s="44">
        <f t="shared" si="3"/>
        <v>99508.113558219979</v>
      </c>
      <c r="X15" s="131">
        <v>92836.40201704287</v>
      </c>
      <c r="Y15" s="131">
        <v>117891.77667145075</v>
      </c>
      <c r="Z15" s="131">
        <v>145313.93359868909</v>
      </c>
      <c r="AA15" s="131">
        <v>122423.03153872641</v>
      </c>
      <c r="AB15" s="131">
        <v>145949.55831839287</v>
      </c>
      <c r="AC15" s="131">
        <v>158441.07380461492</v>
      </c>
      <c r="AD15" s="131">
        <v>232819.39979889343</v>
      </c>
      <c r="AE15" s="131">
        <v>319114.01322383992</v>
      </c>
      <c r="AF15" s="131">
        <v>442164.22756059002</v>
      </c>
      <c r="AG15" s="131">
        <v>388646.21133543091</v>
      </c>
      <c r="AH15" s="131">
        <v>425212.57836653478</v>
      </c>
      <c r="AI15" s="131">
        <v>339082.36279923131</v>
      </c>
      <c r="AJ15" s="131">
        <v>311569.7212415759</v>
      </c>
      <c r="AK15" s="131">
        <v>368429.12603592157</v>
      </c>
      <c r="AL15" s="131">
        <v>421147.81410801242</v>
      </c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</row>
    <row r="16" spans="1:49" x14ac:dyDescent="0.3">
      <c r="A16" s="38" t="s">
        <v>34</v>
      </c>
      <c r="B16" s="37"/>
      <c r="C16" s="37"/>
      <c r="D16" s="44">
        <f t="shared" si="4"/>
        <v>0.36790548240712501</v>
      </c>
      <c r="E16" s="44">
        <f t="shared" si="5"/>
        <v>549.3842450882164</v>
      </c>
      <c r="F16" s="44">
        <f t="shared" si="5"/>
        <v>3822.5375931394819</v>
      </c>
      <c r="G16" s="44">
        <f t="shared" si="5"/>
        <v>16781.332362054229</v>
      </c>
      <c r="H16" s="44">
        <f t="shared" si="5"/>
        <v>40077.718380542559</v>
      </c>
      <c r="I16" s="44">
        <f t="shared" si="5"/>
        <v>53768.83317517324</v>
      </c>
      <c r="J16" s="44">
        <f t="shared" si="5"/>
        <v>78944.93348619208</v>
      </c>
      <c r="K16" s="44">
        <f t="shared" si="5"/>
        <v>55926.350991116371</v>
      </c>
      <c r="L16" s="44">
        <f t="shared" si="5"/>
        <v>83880.449084735184</v>
      </c>
      <c r="M16" s="44">
        <f t="shared" si="5"/>
        <v>99281.072172543674</v>
      </c>
      <c r="N16" s="44">
        <f t="shared" si="5"/>
        <v>148279.90203829214</v>
      </c>
      <c r="O16" s="44">
        <f t="shared" si="5"/>
        <v>118392.65769132716</v>
      </c>
      <c r="P16" s="44">
        <f t="shared" si="5"/>
        <v>119186.78334495833</v>
      </c>
      <c r="Q16" s="44">
        <f t="shared" si="5"/>
        <v>45565.551720377523</v>
      </c>
      <c r="R16" s="44">
        <f t="shared" si="5"/>
        <v>81136.967569354689</v>
      </c>
      <c r="S16" s="44">
        <f t="shared" si="5"/>
        <v>183295.85838448966</v>
      </c>
      <c r="T16" s="44">
        <f t="shared" si="5"/>
        <v>257259.11349060107</v>
      </c>
      <c r="U16" s="44">
        <f t="shared" si="3"/>
        <v>236757.62294599204</v>
      </c>
      <c r="V16" s="44">
        <f t="shared" si="3"/>
        <v>216017.06686391006</v>
      </c>
      <c r="W16" s="44">
        <f t="shared" si="3"/>
        <v>134334.55217090389</v>
      </c>
      <c r="X16" s="131">
        <v>130876.86373684159</v>
      </c>
      <c r="Y16" s="131">
        <v>184661.98692257132</v>
      </c>
      <c r="Z16" s="131">
        <v>244152.72132640888</v>
      </c>
      <c r="AA16" s="131">
        <v>205959.46587978362</v>
      </c>
      <c r="AB16" s="131">
        <v>233921.14007896703</v>
      </c>
      <c r="AC16" s="131">
        <v>230267.5211972527</v>
      </c>
      <c r="AD16" s="131">
        <v>332548.21369653597</v>
      </c>
      <c r="AE16" s="131">
        <v>697902.32279105927</v>
      </c>
      <c r="AF16" s="131">
        <v>904665.83918993664</v>
      </c>
      <c r="AG16" s="131">
        <v>863449.57204194879</v>
      </c>
      <c r="AH16" s="131">
        <v>736193.90753540886</v>
      </c>
      <c r="AI16" s="131">
        <v>438214.24735233071</v>
      </c>
      <c r="AJ16" s="131">
        <v>420515.22740100673</v>
      </c>
      <c r="AK16" s="131">
        <v>531542.08116599359</v>
      </c>
      <c r="AL16" s="131">
        <v>645641.29114870552</v>
      </c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</row>
    <row r="17" spans="1:49" x14ac:dyDescent="0.3">
      <c r="A17" s="38" t="s">
        <v>35</v>
      </c>
      <c r="B17" s="37"/>
      <c r="C17" s="37"/>
      <c r="D17" s="44">
        <f t="shared" si="4"/>
        <v>0</v>
      </c>
      <c r="E17" s="44">
        <f t="shared" si="5"/>
        <v>9.4764517045030008</v>
      </c>
      <c r="F17" s="44">
        <f t="shared" si="5"/>
        <v>992.38480063141662</v>
      </c>
      <c r="G17" s="44">
        <f t="shared" si="5"/>
        <v>7292.1248374502911</v>
      </c>
      <c r="H17" s="44">
        <f t="shared" si="5"/>
        <v>15994.94501268368</v>
      </c>
      <c r="I17" s="44">
        <f t="shared" si="5"/>
        <v>17164.241699319093</v>
      </c>
      <c r="J17" s="44">
        <f t="shared" si="5"/>
        <v>20320.430103720311</v>
      </c>
      <c r="K17" s="44">
        <f t="shared" si="5"/>
        <v>13070.873255390616</v>
      </c>
      <c r="L17" s="44">
        <f t="shared" si="5"/>
        <v>20231.253087994788</v>
      </c>
      <c r="M17" s="44">
        <f t="shared" si="5"/>
        <v>17598.692062585586</v>
      </c>
      <c r="N17" s="44">
        <f t="shared" si="5"/>
        <v>38937.79226598228</v>
      </c>
      <c r="O17" s="44">
        <f t="shared" si="5"/>
        <v>27592.203926662129</v>
      </c>
      <c r="P17" s="44">
        <f t="shared" si="5"/>
        <v>30486.6083612293</v>
      </c>
      <c r="Q17" s="44">
        <f t="shared" si="5"/>
        <v>20357.95825841499</v>
      </c>
      <c r="R17" s="44">
        <f t="shared" si="5"/>
        <v>40286.379846393131</v>
      </c>
      <c r="S17" s="44">
        <f t="shared" si="5"/>
        <v>90357.200169900665</v>
      </c>
      <c r="T17" s="44">
        <f t="shared" si="5"/>
        <v>120607.08647786122</v>
      </c>
      <c r="U17" s="44">
        <f t="shared" si="3"/>
        <v>117746.82574398903</v>
      </c>
      <c r="V17" s="44">
        <f t="shared" si="3"/>
        <v>90042.714549710974</v>
      </c>
      <c r="W17" s="44">
        <f t="shared" si="3"/>
        <v>48103.20895122306</v>
      </c>
      <c r="X17" s="131">
        <v>43954.635017281464</v>
      </c>
      <c r="Y17" s="131">
        <v>54591.903145962366</v>
      </c>
      <c r="Z17" s="131">
        <v>81681.235811040155</v>
      </c>
      <c r="AA17" s="131">
        <v>71690.655087982726</v>
      </c>
      <c r="AB17" s="131">
        <v>78005.601296486871</v>
      </c>
      <c r="AC17" s="131">
        <v>81137.697481325798</v>
      </c>
      <c r="AD17" s="131">
        <v>128032.05829352645</v>
      </c>
      <c r="AE17" s="131">
        <v>331138.00522199547</v>
      </c>
      <c r="AF17" s="131">
        <v>419861.36506332498</v>
      </c>
      <c r="AG17" s="131">
        <v>410641.46843417396</v>
      </c>
      <c r="AH17" s="131">
        <v>278116.23123562994</v>
      </c>
      <c r="AI17" s="131">
        <v>134358.77272754797</v>
      </c>
      <c r="AJ17" s="131">
        <v>114128.37060048642</v>
      </c>
      <c r="AK17" s="131">
        <v>129314.08481194143</v>
      </c>
      <c r="AL17" s="131">
        <v>176617.9732853068</v>
      </c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</row>
    <row r="18" spans="1:49" x14ac:dyDescent="0.3">
      <c r="A18" s="38" t="s">
        <v>36</v>
      </c>
      <c r="B18" s="37"/>
      <c r="C18" s="37"/>
      <c r="D18" s="44">
        <f t="shared" si="4"/>
        <v>0</v>
      </c>
      <c r="E18" s="44">
        <f t="shared" si="5"/>
        <v>0</v>
      </c>
      <c r="F18" s="44">
        <f t="shared" si="5"/>
        <v>158.37627524588399</v>
      </c>
      <c r="G18" s="44">
        <f t="shared" si="5"/>
        <v>597.17310476301054</v>
      </c>
      <c r="H18" s="44">
        <f t="shared" si="5"/>
        <v>0</v>
      </c>
      <c r="I18" s="44">
        <f t="shared" si="5"/>
        <v>169.81270770721562</v>
      </c>
      <c r="J18" s="44">
        <f t="shared" si="5"/>
        <v>453.93840587905197</v>
      </c>
      <c r="K18" s="44">
        <f t="shared" si="5"/>
        <v>456.28021386938781</v>
      </c>
      <c r="L18" s="44">
        <f t="shared" si="5"/>
        <v>4319.4254014161179</v>
      </c>
      <c r="M18" s="44">
        <f t="shared" si="5"/>
        <v>2081.8680429045771</v>
      </c>
      <c r="N18" s="44">
        <f t="shared" si="5"/>
        <v>5464.5117731579412</v>
      </c>
      <c r="O18" s="44">
        <f t="shared" si="5"/>
        <v>3916.0471236254289</v>
      </c>
      <c r="P18" s="44">
        <f t="shared" si="5"/>
        <v>4286.7797434903841</v>
      </c>
      <c r="Q18" s="44">
        <f t="shared" si="5"/>
        <v>3982.5449796573193</v>
      </c>
      <c r="R18" s="44">
        <f t="shared" si="5"/>
        <v>11299.337986812028</v>
      </c>
      <c r="S18" s="44">
        <f t="shared" si="5"/>
        <v>37266.281050670106</v>
      </c>
      <c r="T18" s="44">
        <f t="shared" si="5"/>
        <v>39305.85563180274</v>
      </c>
      <c r="U18" s="44">
        <f t="shared" si="3"/>
        <v>39825.548110948119</v>
      </c>
      <c r="V18" s="44">
        <f t="shared" si="3"/>
        <v>24302.15285836329</v>
      </c>
      <c r="W18" s="44">
        <f t="shared" si="3"/>
        <v>9074.1876762166794</v>
      </c>
      <c r="X18" s="131">
        <v>7967.8251119004435</v>
      </c>
      <c r="Y18" s="131">
        <v>11147.522820223701</v>
      </c>
      <c r="Z18" s="131">
        <v>14559.156480874361</v>
      </c>
      <c r="AA18" s="131">
        <v>12501.934202189157</v>
      </c>
      <c r="AB18" s="131">
        <v>12680.040450012395</v>
      </c>
      <c r="AC18" s="131">
        <v>15575.872117277675</v>
      </c>
      <c r="AD18" s="131">
        <v>34155.839049111804</v>
      </c>
      <c r="AE18" s="131">
        <v>112957.5114212169</v>
      </c>
      <c r="AF18" s="131">
        <v>119493.61326881172</v>
      </c>
      <c r="AG18" s="131">
        <v>119307.46148507687</v>
      </c>
      <c r="AH18" s="131">
        <v>72346.237898312931</v>
      </c>
      <c r="AI18" s="131">
        <v>25977.898628500589</v>
      </c>
      <c r="AJ18" s="131">
        <v>22433.031016293258</v>
      </c>
      <c r="AK18" s="131">
        <v>30448.569156289275</v>
      </c>
      <c r="AL18" s="131">
        <v>39357.475840571773</v>
      </c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</row>
    <row r="19" spans="1:49" x14ac:dyDescent="0.3">
      <c r="A19" s="38" t="s">
        <v>28</v>
      </c>
      <c r="B19" s="37"/>
      <c r="C19" s="37"/>
      <c r="D19" s="44">
        <f t="shared" si="4"/>
        <v>0</v>
      </c>
      <c r="E19" s="44">
        <f t="shared" si="5"/>
        <v>0</v>
      </c>
      <c r="F19" s="44">
        <f t="shared" si="5"/>
        <v>0</v>
      </c>
      <c r="G19" s="44">
        <f t="shared" si="5"/>
        <v>0</v>
      </c>
      <c r="H19" s="44">
        <f t="shared" si="5"/>
        <v>0</v>
      </c>
      <c r="I19" s="44">
        <f t="shared" si="5"/>
        <v>1171.3068451326408</v>
      </c>
      <c r="J19" s="44">
        <f t="shared" si="5"/>
        <v>2529.6001774291863</v>
      </c>
      <c r="K19" s="44">
        <f t="shared" si="5"/>
        <v>1838.4501356835217</v>
      </c>
      <c r="L19" s="44">
        <f t="shared" si="5"/>
        <v>3416.6709735918112</v>
      </c>
      <c r="M19" s="44">
        <f t="shared" si="5"/>
        <v>9368.4257912663998</v>
      </c>
      <c r="N19" s="44">
        <f t="shared" si="5"/>
        <v>25007.893222675237</v>
      </c>
      <c r="O19" s="44">
        <f t="shared" si="5"/>
        <v>18377.753408188204</v>
      </c>
      <c r="P19" s="44">
        <f t="shared" si="5"/>
        <v>16903.521942794192</v>
      </c>
      <c r="Q19" s="44">
        <f t="shared" si="5"/>
        <v>7331.1472991635092</v>
      </c>
      <c r="R19" s="44">
        <f t="shared" si="5"/>
        <v>9246.8785262646852</v>
      </c>
      <c r="S19" s="44">
        <f t="shared" si="5"/>
        <v>23033.385093122604</v>
      </c>
      <c r="T19" s="44">
        <f t="shared" si="5"/>
        <v>35158.684040043896</v>
      </c>
      <c r="U19" s="44">
        <f t="shared" si="3"/>
        <v>49249.50737893011</v>
      </c>
      <c r="V19" s="44">
        <f t="shared" si="3"/>
        <v>57319.631133875024</v>
      </c>
      <c r="W19" s="44">
        <f t="shared" si="3"/>
        <v>29616.996324232954</v>
      </c>
      <c r="X19" s="131">
        <v>40480.453320286389</v>
      </c>
      <c r="Y19" s="131">
        <v>56427.956239920954</v>
      </c>
      <c r="Z19" s="131">
        <v>60171.332156693985</v>
      </c>
      <c r="AA19" s="131">
        <v>52831.329581741637</v>
      </c>
      <c r="AB19" s="131">
        <v>51862.034965090497</v>
      </c>
      <c r="AC19" s="131">
        <v>45519.286679960635</v>
      </c>
      <c r="AD19" s="131">
        <v>51703.530846626774</v>
      </c>
      <c r="AE19" s="131">
        <v>112681.05649793369</v>
      </c>
      <c r="AF19" s="131">
        <v>130744.65052117949</v>
      </c>
      <c r="AG19" s="131">
        <v>126420.86832374934</v>
      </c>
      <c r="AH19" s="131">
        <v>106355.53002322832</v>
      </c>
      <c r="AI19" s="131">
        <v>55452.321184100991</v>
      </c>
      <c r="AJ19" s="131">
        <v>67810.414125206909</v>
      </c>
      <c r="AK19" s="131">
        <v>111621.65638257374</v>
      </c>
      <c r="AL19" s="131">
        <v>139056.41197448783</v>
      </c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</row>
    <row r="20" spans="1:49" x14ac:dyDescent="0.3">
      <c r="A20" s="34" t="s">
        <v>30</v>
      </c>
      <c r="B20" s="37"/>
      <c r="C20" s="37"/>
      <c r="D20" s="43">
        <f>SUM(D14:D19)</f>
        <v>0.71203150918887492</v>
      </c>
      <c r="E20" s="43">
        <f t="shared" ref="E20:AW20" si="6">SUM(E14:E19)</f>
        <v>4695.4207688607357</v>
      </c>
      <c r="F20" s="43">
        <f t="shared" si="6"/>
        <v>39935.570121927383</v>
      </c>
      <c r="G20" s="43">
        <f t="shared" si="6"/>
        <v>291676.37356246018</v>
      </c>
      <c r="H20" s="43">
        <f t="shared" si="6"/>
        <v>544866.33457860793</v>
      </c>
      <c r="I20" s="43">
        <f t="shared" si="6"/>
        <v>663040.9475663905</v>
      </c>
      <c r="J20" s="43">
        <f t="shared" si="6"/>
        <v>547744.67638274853</v>
      </c>
      <c r="K20" s="43">
        <f t="shared" si="6"/>
        <v>270067.89072131994</v>
      </c>
      <c r="L20" s="43">
        <f t="shared" si="6"/>
        <v>449448.83291898988</v>
      </c>
      <c r="M20" s="43">
        <f t="shared" si="6"/>
        <v>672384.11562352569</v>
      </c>
      <c r="N20" s="43">
        <f t="shared" si="6"/>
        <v>860299.05315340089</v>
      </c>
      <c r="O20" s="43">
        <f t="shared" si="6"/>
        <v>921069.68539476907</v>
      </c>
      <c r="P20" s="43">
        <f t="shared" si="6"/>
        <v>727242.36549864151</v>
      </c>
      <c r="Q20" s="43">
        <f t="shared" si="6"/>
        <v>330495.27100759087</v>
      </c>
      <c r="R20" s="43">
        <f t="shared" si="6"/>
        <v>448514.38010054693</v>
      </c>
      <c r="S20" s="43">
        <f t="shared" si="6"/>
        <v>1166466.8526526121</v>
      </c>
      <c r="T20" s="43">
        <f t="shared" si="6"/>
        <v>1596902.1714481555</v>
      </c>
      <c r="U20" s="43">
        <f t="shared" si="6"/>
        <v>1748272.4117888496</v>
      </c>
      <c r="V20" s="43">
        <f t="shared" si="6"/>
        <v>1519471.01623757</v>
      </c>
      <c r="W20" s="43">
        <f t="shared" si="6"/>
        <v>764880.45368540613</v>
      </c>
      <c r="X20" s="43">
        <f t="shared" si="6"/>
        <v>911910.19352346717</v>
      </c>
      <c r="Y20" s="43">
        <f t="shared" si="6"/>
        <v>1208568.6903410302</v>
      </c>
      <c r="Z20" s="43">
        <f t="shared" si="6"/>
        <v>1385905.4484206997</v>
      </c>
      <c r="AA20" s="43">
        <f t="shared" si="6"/>
        <v>1221967.9954680279</v>
      </c>
      <c r="AB20" s="43">
        <f t="shared" si="6"/>
        <v>1295143.4790573311</v>
      </c>
      <c r="AC20" s="43">
        <f t="shared" si="6"/>
        <v>1192299.7039782484</v>
      </c>
      <c r="AD20" s="43">
        <f t="shared" si="6"/>
        <v>1489944.1996731781</v>
      </c>
      <c r="AE20" s="43">
        <f t="shared" si="6"/>
        <v>3556393.6381326336</v>
      </c>
      <c r="AF20" s="43">
        <f t="shared" si="6"/>
        <v>4422089.8181227557</v>
      </c>
      <c r="AG20" s="43">
        <f t="shared" si="6"/>
        <v>4386809.0942111481</v>
      </c>
      <c r="AH20" s="43">
        <f t="shared" si="6"/>
        <v>3487636.0635276339</v>
      </c>
      <c r="AI20" s="43">
        <f t="shared" si="6"/>
        <v>1738974.7908042392</v>
      </c>
      <c r="AJ20" s="43">
        <f t="shared" si="6"/>
        <v>1885092.3161374219</v>
      </c>
      <c r="AK20" s="43">
        <f t="shared" si="6"/>
        <v>2390497.8087381148</v>
      </c>
      <c r="AL20" s="43">
        <f t="shared" si="6"/>
        <v>2641961.0733813015</v>
      </c>
      <c r="AM20" s="43">
        <f t="shared" si="6"/>
        <v>0</v>
      </c>
      <c r="AN20" s="43">
        <f t="shared" si="6"/>
        <v>0</v>
      </c>
      <c r="AO20" s="43">
        <f t="shared" si="6"/>
        <v>0</v>
      </c>
      <c r="AP20" s="43">
        <f t="shared" si="6"/>
        <v>0</v>
      </c>
      <c r="AQ20" s="43">
        <f t="shared" si="6"/>
        <v>0</v>
      </c>
      <c r="AR20" s="43">
        <f t="shared" si="6"/>
        <v>0</v>
      </c>
      <c r="AS20" s="43">
        <f t="shared" si="6"/>
        <v>0</v>
      </c>
      <c r="AT20" s="43">
        <f t="shared" si="6"/>
        <v>0</v>
      </c>
      <c r="AU20" s="43">
        <f t="shared" si="6"/>
        <v>0</v>
      </c>
      <c r="AV20" s="43">
        <f t="shared" si="6"/>
        <v>0</v>
      </c>
      <c r="AW20" s="43">
        <f t="shared" si="6"/>
        <v>0</v>
      </c>
    </row>
    <row r="21" spans="1:49" x14ac:dyDescent="0.3">
      <c r="A21" s="34"/>
      <c r="B21" s="37"/>
      <c r="C21" s="37"/>
    </row>
    <row r="22" spans="1:49" x14ac:dyDescent="0.3">
      <c r="A22" s="27" t="s">
        <v>31</v>
      </c>
      <c r="B22" s="37"/>
      <c r="C22" s="37"/>
      <c r="L22" s="98"/>
      <c r="X22" s="123" t="s">
        <v>71</v>
      </c>
      <c r="Y22" s="124"/>
    </row>
    <row r="23" spans="1:49" x14ac:dyDescent="0.3">
      <c r="A23" s="36" t="s">
        <v>32</v>
      </c>
      <c r="B23" s="37"/>
      <c r="C23" s="37"/>
      <c r="D23" s="42">
        <v>1268128455</v>
      </c>
      <c r="E23" s="42">
        <v>872933544</v>
      </c>
      <c r="F23" s="42">
        <v>738196558</v>
      </c>
      <c r="G23" s="42">
        <v>978975302</v>
      </c>
      <c r="H23" s="42">
        <v>1243909773</v>
      </c>
      <c r="I23" s="42">
        <v>1310015315</v>
      </c>
      <c r="J23" s="42">
        <v>1208033233</v>
      </c>
      <c r="K23" s="93">
        <v>993546162</v>
      </c>
      <c r="L23" s="42">
        <v>897156231</v>
      </c>
      <c r="M23" s="42">
        <v>1208147189</v>
      </c>
      <c r="N23" s="42">
        <v>1334184680</v>
      </c>
      <c r="O23" s="42">
        <v>1302694951</v>
      </c>
      <c r="P23" s="42">
        <v>1123586700</v>
      </c>
      <c r="Q23" s="42">
        <v>886578697</v>
      </c>
      <c r="R23" s="42">
        <v>790098101</v>
      </c>
      <c r="S23" s="42">
        <v>1041013964</v>
      </c>
      <c r="T23" s="42">
        <v>1397050553</v>
      </c>
      <c r="U23" s="42">
        <v>1310723723</v>
      </c>
      <c r="V23" s="42">
        <v>1275164339</v>
      </c>
      <c r="W23" s="42">
        <v>800796996</v>
      </c>
      <c r="X23" s="125">
        <v>843046412.65697241</v>
      </c>
      <c r="Y23" s="125">
        <v>1216732697.4216664</v>
      </c>
      <c r="Z23" s="125">
        <v>1514533864.5076404</v>
      </c>
      <c r="AA23" s="125">
        <v>1353000873.8219242</v>
      </c>
      <c r="AB23" s="125">
        <v>1143228220.4744561</v>
      </c>
      <c r="AC23" s="125">
        <v>889539619.41139734</v>
      </c>
      <c r="AD23" s="125">
        <v>773031246.93266892</v>
      </c>
      <c r="AE23" s="125">
        <v>953174706.39011753</v>
      </c>
      <c r="AF23" s="125">
        <v>1258128071.0229247</v>
      </c>
      <c r="AG23" s="125">
        <v>1284830134.8869648</v>
      </c>
      <c r="AH23" s="125">
        <v>1176106448.7170825</v>
      </c>
      <c r="AI23" s="125">
        <v>819337484.22890031</v>
      </c>
      <c r="AJ23" s="125">
        <v>809843305.99914408</v>
      </c>
      <c r="AK23" s="125">
        <v>1138403654.3865542</v>
      </c>
      <c r="AL23" s="125">
        <v>1470304010.0884442</v>
      </c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</row>
    <row r="24" spans="1:49" x14ac:dyDescent="0.3">
      <c r="A24" s="36" t="s">
        <v>33</v>
      </c>
      <c r="B24" s="37"/>
      <c r="C24" s="37"/>
      <c r="D24" s="42">
        <v>290178959</v>
      </c>
      <c r="E24" s="42">
        <v>235096003</v>
      </c>
      <c r="F24" s="42">
        <v>221772499</v>
      </c>
      <c r="G24" s="42">
        <v>258735845</v>
      </c>
      <c r="H24" s="42">
        <v>295975497</v>
      </c>
      <c r="I24" s="42">
        <v>304175879</v>
      </c>
      <c r="J24" s="42">
        <v>293549572</v>
      </c>
      <c r="K24" s="93">
        <v>264736629</v>
      </c>
      <c r="L24" s="42">
        <v>237145043</v>
      </c>
      <c r="M24" s="42">
        <v>278572550</v>
      </c>
      <c r="N24" s="42">
        <v>297050898</v>
      </c>
      <c r="O24" s="42">
        <v>290934660</v>
      </c>
      <c r="P24" s="42">
        <v>265078600</v>
      </c>
      <c r="Q24" s="42">
        <v>203506574</v>
      </c>
      <c r="R24" s="42">
        <v>184563246</v>
      </c>
      <c r="S24" s="42">
        <v>231230759</v>
      </c>
      <c r="T24" s="42">
        <v>288425422</v>
      </c>
      <c r="U24" s="42">
        <v>281389691</v>
      </c>
      <c r="V24" s="42">
        <v>269111017</v>
      </c>
      <c r="W24" s="42">
        <v>218212399</v>
      </c>
      <c r="X24" s="125">
        <v>212506850.43729073</v>
      </c>
      <c r="Y24" s="125">
        <v>247333671.47152999</v>
      </c>
      <c r="Z24" s="125">
        <v>296505448.15133965</v>
      </c>
      <c r="AA24" s="125">
        <v>267928488.40673864</v>
      </c>
      <c r="AB24" s="125">
        <v>237479388.34307319</v>
      </c>
      <c r="AC24" s="125">
        <v>210208840.1250765</v>
      </c>
      <c r="AD24" s="125">
        <v>209200072.86682042</v>
      </c>
      <c r="AE24" s="125">
        <v>242171240.11685324</v>
      </c>
      <c r="AF24" s="125">
        <v>272128853.54232121</v>
      </c>
      <c r="AG24" s="125">
        <v>273155952.8100279</v>
      </c>
      <c r="AH24" s="125">
        <v>265585160.79652685</v>
      </c>
      <c r="AI24" s="125">
        <v>219300861.03337801</v>
      </c>
      <c r="AJ24" s="125">
        <v>207766768.06504351</v>
      </c>
      <c r="AK24" s="125">
        <v>244978163.87717152</v>
      </c>
      <c r="AL24" s="125">
        <v>290619422.45461601</v>
      </c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</row>
    <row r="25" spans="1:49" x14ac:dyDescent="0.3">
      <c r="A25" s="36" t="s">
        <v>34</v>
      </c>
      <c r="B25" s="37"/>
      <c r="C25" s="37"/>
      <c r="D25" s="42">
        <v>599641261</v>
      </c>
      <c r="E25" s="42">
        <v>546450417</v>
      </c>
      <c r="F25" s="42">
        <v>548775486</v>
      </c>
      <c r="G25" s="42">
        <v>609609142</v>
      </c>
      <c r="H25" s="42">
        <v>656813642</v>
      </c>
      <c r="I25" s="42">
        <v>671886437</v>
      </c>
      <c r="J25" s="42">
        <v>678219627</v>
      </c>
      <c r="K25" s="93">
        <v>622550219</v>
      </c>
      <c r="L25" s="42">
        <v>549600433</v>
      </c>
      <c r="M25" s="42">
        <v>596432225</v>
      </c>
      <c r="N25" s="42">
        <v>616923082</v>
      </c>
      <c r="O25" s="42">
        <v>599527620</v>
      </c>
      <c r="P25" s="42">
        <v>566693954</v>
      </c>
      <c r="Q25" s="42">
        <v>483801855</v>
      </c>
      <c r="R25" s="42">
        <v>451939609</v>
      </c>
      <c r="S25" s="42">
        <v>534583835</v>
      </c>
      <c r="T25" s="42">
        <v>624356693</v>
      </c>
      <c r="U25" s="42">
        <v>621885740</v>
      </c>
      <c r="V25" s="42">
        <v>619148163</v>
      </c>
      <c r="W25" s="42">
        <v>528448107.69999999</v>
      </c>
      <c r="X25" s="125">
        <v>505406155.39879215</v>
      </c>
      <c r="Y25" s="125">
        <v>533082643.85671055</v>
      </c>
      <c r="Z25" s="125">
        <v>618354607.53746903</v>
      </c>
      <c r="AA25" s="125">
        <v>559378115.5239253</v>
      </c>
      <c r="AB25" s="125">
        <v>527146471.64428455</v>
      </c>
      <c r="AC25" s="125">
        <v>501270304.12016547</v>
      </c>
      <c r="AD25" s="125">
        <v>509534305.5644049</v>
      </c>
      <c r="AE25" s="125">
        <v>558716568.95594716</v>
      </c>
      <c r="AF25" s="125">
        <v>621113000.81686854</v>
      </c>
      <c r="AG25" s="125">
        <v>621544135.20726073</v>
      </c>
      <c r="AH25" s="125">
        <v>626961782.85580015</v>
      </c>
      <c r="AI25" s="125">
        <v>528577738.54045397</v>
      </c>
      <c r="AJ25" s="125">
        <v>503778993.32592851</v>
      </c>
      <c r="AK25" s="125">
        <v>543135974.91191447</v>
      </c>
      <c r="AL25" s="125">
        <v>629518588.98358393</v>
      </c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</row>
    <row r="26" spans="1:49" x14ac:dyDescent="0.3">
      <c r="A26" s="36" t="s">
        <v>35</v>
      </c>
      <c r="B26" s="37"/>
      <c r="C26" s="37"/>
      <c r="D26" s="42">
        <v>242499726</v>
      </c>
      <c r="E26" s="42">
        <v>232539680</v>
      </c>
      <c r="F26" s="42">
        <v>229224298</v>
      </c>
      <c r="G26" s="42">
        <v>266349220</v>
      </c>
      <c r="H26" s="42">
        <v>267674678</v>
      </c>
      <c r="I26" s="42">
        <v>281003685</v>
      </c>
      <c r="J26" s="42">
        <v>279302255</v>
      </c>
      <c r="K26" s="93">
        <v>258807768</v>
      </c>
      <c r="L26" s="42">
        <v>239334214</v>
      </c>
      <c r="M26" s="42">
        <v>241025466</v>
      </c>
      <c r="N26" s="42">
        <v>247898204</v>
      </c>
      <c r="O26" s="42">
        <v>255420215</v>
      </c>
      <c r="P26" s="42">
        <v>225135566</v>
      </c>
      <c r="Q26" s="42">
        <v>219961316</v>
      </c>
      <c r="R26" s="42">
        <v>207074154</v>
      </c>
      <c r="S26" s="42">
        <v>241165089</v>
      </c>
      <c r="T26" s="42">
        <v>253833450</v>
      </c>
      <c r="U26" s="42">
        <v>266058831</v>
      </c>
      <c r="V26" s="42">
        <v>266126792</v>
      </c>
      <c r="W26" s="42">
        <v>236673642.40000001</v>
      </c>
      <c r="X26" s="125">
        <v>217834796.02862665</v>
      </c>
      <c r="Y26" s="125">
        <v>220250790.93781009</v>
      </c>
      <c r="Z26" s="125">
        <v>253688796.86089924</v>
      </c>
      <c r="AA26" s="125">
        <v>240319737.83394691</v>
      </c>
      <c r="AB26" s="125">
        <v>228618541.09901899</v>
      </c>
      <c r="AC26" s="125">
        <v>228826327.37617189</v>
      </c>
      <c r="AD26" s="125">
        <v>234375632.83568332</v>
      </c>
      <c r="AE26" s="125">
        <v>254020203.02489942</v>
      </c>
      <c r="AF26" s="125">
        <v>265873032.35078281</v>
      </c>
      <c r="AG26" s="125">
        <v>264416532.08463261</v>
      </c>
      <c r="AH26" s="125">
        <v>266918305.4792347</v>
      </c>
      <c r="AI26" s="125">
        <v>243196539.92347443</v>
      </c>
      <c r="AJ26" s="125">
        <v>229299456.65709269</v>
      </c>
      <c r="AK26" s="125">
        <v>237217567.36649111</v>
      </c>
      <c r="AL26" s="125">
        <v>251956122.11895767</v>
      </c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</row>
    <row r="27" spans="1:49" x14ac:dyDescent="0.3">
      <c r="A27" s="36" t="s">
        <v>36</v>
      </c>
      <c r="B27" s="37"/>
      <c r="C27" s="37"/>
      <c r="D27" s="42">
        <v>99309923</v>
      </c>
      <c r="E27" s="42">
        <v>98876748</v>
      </c>
      <c r="F27" s="42">
        <v>96480454</v>
      </c>
      <c r="G27" s="42">
        <v>121526151</v>
      </c>
      <c r="H27" s="42">
        <v>113123855</v>
      </c>
      <c r="I27" s="42">
        <v>125262874</v>
      </c>
      <c r="J27" s="42">
        <v>126945040</v>
      </c>
      <c r="K27" s="93">
        <v>119752379</v>
      </c>
      <c r="L27" s="42">
        <v>106348532</v>
      </c>
      <c r="M27" s="42">
        <v>100067076</v>
      </c>
      <c r="N27" s="42">
        <v>105899561</v>
      </c>
      <c r="O27" s="42">
        <v>111203176</v>
      </c>
      <c r="P27" s="42">
        <v>86704807</v>
      </c>
      <c r="Q27" s="42">
        <v>92097434</v>
      </c>
      <c r="R27" s="42">
        <v>93506334</v>
      </c>
      <c r="S27" s="42">
        <v>92139707</v>
      </c>
      <c r="T27" s="42">
        <v>105110654</v>
      </c>
      <c r="U27" s="42">
        <v>108265948</v>
      </c>
      <c r="V27" s="42">
        <v>109806573</v>
      </c>
      <c r="W27" s="42">
        <v>96724322.099999994</v>
      </c>
      <c r="X27" s="125">
        <v>95672806.813029289</v>
      </c>
      <c r="Y27" s="125">
        <v>93476252.987985492</v>
      </c>
      <c r="Z27" s="125">
        <v>101653829.93562543</v>
      </c>
      <c r="AA27" s="125">
        <v>96063641.068142533</v>
      </c>
      <c r="AB27" s="125">
        <v>90444011.141792998</v>
      </c>
      <c r="AC27" s="125">
        <v>97393337.713786483</v>
      </c>
      <c r="AD27" s="125">
        <v>104315491.03424051</v>
      </c>
      <c r="AE27" s="125">
        <v>111020821.08208716</v>
      </c>
      <c r="AF27" s="125">
        <v>113258011.32546045</v>
      </c>
      <c r="AG27" s="125">
        <v>116118093.77125421</v>
      </c>
      <c r="AH27" s="125">
        <v>116932991.41423991</v>
      </c>
      <c r="AI27" s="125">
        <v>107986744.23609008</v>
      </c>
      <c r="AJ27" s="125">
        <v>106012831.93369259</v>
      </c>
      <c r="AK27" s="125">
        <v>100984058.48278123</v>
      </c>
      <c r="AL27" s="125">
        <v>101479791.72933705</v>
      </c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</row>
    <row r="28" spans="1:49" x14ac:dyDescent="0.3">
      <c r="A28" s="31" t="s">
        <v>30</v>
      </c>
      <c r="B28" s="29"/>
      <c r="C28" s="29"/>
      <c r="D28" s="33">
        <f>SUM(D23:D27)</f>
        <v>2499758324</v>
      </c>
      <c r="E28" s="33">
        <f t="shared" ref="E28:AW28" si="7">SUM(E23:E27)</f>
        <v>1985896392</v>
      </c>
      <c r="F28" s="33">
        <f t="shared" si="7"/>
        <v>1834449295</v>
      </c>
      <c r="G28" s="33">
        <f t="shared" si="7"/>
        <v>2235195660</v>
      </c>
      <c r="H28" s="33">
        <f t="shared" si="7"/>
        <v>2577497445</v>
      </c>
      <c r="I28" s="33">
        <f t="shared" si="7"/>
        <v>2692344190</v>
      </c>
      <c r="J28" s="33">
        <f t="shared" si="7"/>
        <v>2586049727</v>
      </c>
      <c r="K28" s="33">
        <f t="shared" si="7"/>
        <v>2259393157</v>
      </c>
      <c r="L28" s="33">
        <f t="shared" si="7"/>
        <v>2029584453</v>
      </c>
      <c r="M28" s="33">
        <f t="shared" si="7"/>
        <v>2424244506</v>
      </c>
      <c r="N28" s="33">
        <f t="shared" si="7"/>
        <v>2601956425</v>
      </c>
      <c r="O28" s="33">
        <f t="shared" si="7"/>
        <v>2559780622</v>
      </c>
      <c r="P28" s="33">
        <f t="shared" si="7"/>
        <v>2267199627</v>
      </c>
      <c r="Q28" s="33">
        <f t="shared" si="7"/>
        <v>1885945876</v>
      </c>
      <c r="R28" s="33">
        <f t="shared" si="7"/>
        <v>1727181444</v>
      </c>
      <c r="S28" s="33">
        <f t="shared" si="7"/>
        <v>2140133354</v>
      </c>
      <c r="T28" s="33">
        <f t="shared" si="7"/>
        <v>2668776772</v>
      </c>
      <c r="U28" s="33">
        <f t="shared" si="7"/>
        <v>2588323933</v>
      </c>
      <c r="V28" s="33">
        <f t="shared" si="7"/>
        <v>2539356884</v>
      </c>
      <c r="W28" s="33">
        <f t="shared" si="7"/>
        <v>1880855467.2</v>
      </c>
      <c r="X28" s="33">
        <f t="shared" si="7"/>
        <v>1874467021.3347113</v>
      </c>
      <c r="Y28" s="33">
        <f t="shared" si="7"/>
        <v>2310876056.6757026</v>
      </c>
      <c r="Z28" s="33">
        <f t="shared" si="7"/>
        <v>2784736546.9929738</v>
      </c>
      <c r="AA28" s="33">
        <f t="shared" si="7"/>
        <v>2516690856.6546774</v>
      </c>
      <c r="AB28" s="33">
        <f t="shared" si="7"/>
        <v>2226916632.7026258</v>
      </c>
      <c r="AC28" s="33">
        <f t="shared" si="7"/>
        <v>1927238428.7465973</v>
      </c>
      <c r="AD28" s="33">
        <f t="shared" si="7"/>
        <v>1830456749.2338181</v>
      </c>
      <c r="AE28" s="33">
        <f t="shared" si="7"/>
        <v>2119103539.5699048</v>
      </c>
      <c r="AF28" s="33">
        <f t="shared" si="7"/>
        <v>2530500969.0583577</v>
      </c>
      <c r="AG28" s="33">
        <f t="shared" si="7"/>
        <v>2560064848.7601399</v>
      </c>
      <c r="AH28" s="33">
        <f t="shared" si="7"/>
        <v>2452504689.2628841</v>
      </c>
      <c r="AI28" s="33">
        <f t="shared" si="7"/>
        <v>1918399367.962297</v>
      </c>
      <c r="AJ28" s="33">
        <f t="shared" si="7"/>
        <v>1856701355.9809015</v>
      </c>
      <c r="AK28" s="33">
        <f t="shared" si="7"/>
        <v>2264719419.0249128</v>
      </c>
      <c r="AL28" s="33">
        <f t="shared" si="7"/>
        <v>2743877935.374939</v>
      </c>
      <c r="AM28" s="33">
        <f t="shared" si="7"/>
        <v>0</v>
      </c>
      <c r="AN28" s="33">
        <f t="shared" si="7"/>
        <v>0</v>
      </c>
      <c r="AO28" s="33">
        <f t="shared" si="7"/>
        <v>0</v>
      </c>
      <c r="AP28" s="33">
        <f t="shared" si="7"/>
        <v>0</v>
      </c>
      <c r="AQ28" s="33">
        <f t="shared" si="7"/>
        <v>0</v>
      </c>
      <c r="AR28" s="33">
        <f t="shared" si="7"/>
        <v>0</v>
      </c>
      <c r="AS28" s="33">
        <f t="shared" si="7"/>
        <v>0</v>
      </c>
      <c r="AT28" s="33">
        <f t="shared" si="7"/>
        <v>0</v>
      </c>
      <c r="AU28" s="33">
        <f t="shared" si="7"/>
        <v>0</v>
      </c>
      <c r="AV28" s="33">
        <f t="shared" si="7"/>
        <v>0</v>
      </c>
      <c r="AW28" s="33">
        <f t="shared" si="7"/>
        <v>0</v>
      </c>
    </row>
    <row r="29" spans="1:49" x14ac:dyDescent="0.3">
      <c r="B29" s="37"/>
      <c r="C29" s="37"/>
    </row>
    <row r="30" spans="1:49" x14ac:dyDescent="0.3">
      <c r="A30" s="27" t="s">
        <v>39</v>
      </c>
      <c r="B30" s="37"/>
      <c r="C30" s="37"/>
    </row>
    <row r="31" spans="1:49" x14ac:dyDescent="0.3">
      <c r="A31" s="36" t="s">
        <v>32</v>
      </c>
      <c r="B31" s="37"/>
      <c r="C31" s="37"/>
      <c r="D31" s="99">
        <f>D14+(D$19*(D23/D$28))</f>
        <v>0</v>
      </c>
      <c r="E31" s="100">
        <f>IF(E14="","",E14+(E$19*(E23/E$28)))</f>
        <v>3542.7066619947968</v>
      </c>
      <c r="F31" s="100">
        <f t="shared" ref="E31:AW35" si="8">IF(F14="","",F14+(F$19*(F23/F$28)))</f>
        <v>26593.748856903429</v>
      </c>
      <c r="G31" s="99">
        <f t="shared" si="8"/>
        <v>243363.92907678595</v>
      </c>
      <c r="H31" s="99">
        <f t="shared" si="8"/>
        <v>441129.8099540461</v>
      </c>
      <c r="I31" s="100">
        <f t="shared" si="8"/>
        <v>538055.00088770315</v>
      </c>
      <c r="J31" s="99">
        <f>IF(J14="","",J14+(J$19*(J23/J$28)))</f>
        <v>375001.00963366695</v>
      </c>
      <c r="K31" s="99">
        <f t="shared" si="8"/>
        <v>137834.38057719183</v>
      </c>
      <c r="L31" s="99">
        <f t="shared" si="8"/>
        <v>274809.55657286098</v>
      </c>
      <c r="M31" s="99">
        <f t="shared" si="8"/>
        <v>467843.25553902646</v>
      </c>
      <c r="N31" s="99">
        <f t="shared" si="8"/>
        <v>544296.07292371744</v>
      </c>
      <c r="O31" s="99">
        <f t="shared" si="8"/>
        <v>676189.22029010952</v>
      </c>
      <c r="P31" s="99">
        <f t="shared" si="8"/>
        <v>463090.51540533279</v>
      </c>
      <c r="Q31" s="99">
        <f>IF(Q14="","",Q14+(Q$19*(Q23/Q$28)))</f>
        <v>212999.83668866704</v>
      </c>
      <c r="R31" s="99">
        <f t="shared" si="8"/>
        <v>239315.41925638349</v>
      </c>
      <c r="S31" s="99">
        <f t="shared" si="8"/>
        <v>745964.63979628112</v>
      </c>
      <c r="T31" s="99">
        <f t="shared" si="8"/>
        <v>1021961.1417325244</v>
      </c>
      <c r="U31" s="99">
        <f t="shared" si="8"/>
        <v>1221140.287913003</v>
      </c>
      <c r="V31" s="99">
        <f t="shared" si="8"/>
        <v>1038934.5439936385</v>
      </c>
      <c r="W31" s="99">
        <f t="shared" si="8"/>
        <v>456853.18990942289</v>
      </c>
      <c r="X31" s="103">
        <f t="shared" ref="X31:Z31" si="9">IF(X14="","",X14+(X$19*(X23/X$28)))</f>
        <v>614000.20336797263</v>
      </c>
      <c r="Y31" s="103">
        <f t="shared" si="9"/>
        <v>813558.24200883822</v>
      </c>
      <c r="Z31" s="103">
        <f t="shared" si="9"/>
        <v>872752.43415280792</v>
      </c>
      <c r="AA31" s="102">
        <f t="shared" si="8"/>
        <v>784964.28700334299</v>
      </c>
      <c r="AB31" s="102">
        <f t="shared" si="8"/>
        <v>799349.42435294436</v>
      </c>
      <c r="AC31" s="102">
        <f t="shared" si="8"/>
        <v>682368.21614873444</v>
      </c>
      <c r="AD31" s="102">
        <f t="shared" si="8"/>
        <v>732520.38842368498</v>
      </c>
      <c r="AE31" s="102">
        <f t="shared" si="8"/>
        <v>2033284.7710432373</v>
      </c>
      <c r="AF31" s="102">
        <f t="shared" si="8"/>
        <v>2470164.4505030229</v>
      </c>
      <c r="AG31" s="102">
        <f t="shared" si="8"/>
        <v>2541790.8668168131</v>
      </c>
      <c r="AH31" s="102">
        <f t="shared" si="8"/>
        <v>1920414.7122299627</v>
      </c>
      <c r="AI31" s="102">
        <f t="shared" si="8"/>
        <v>769572.55982980167</v>
      </c>
      <c r="AJ31" s="102">
        <f t="shared" si="8"/>
        <v>978212.63466897758</v>
      </c>
      <c r="AK31" s="102">
        <f t="shared" si="8"/>
        <v>1275251.0084362559</v>
      </c>
      <c r="AL31" s="102">
        <f t="shared" si="8"/>
        <v>1294653.3342777691</v>
      </c>
      <c r="AM31" s="44" t="str">
        <f t="shared" si="8"/>
        <v/>
      </c>
      <c r="AN31" s="44" t="str">
        <f t="shared" si="8"/>
        <v/>
      </c>
      <c r="AO31" s="44" t="str">
        <f t="shared" si="8"/>
        <v/>
      </c>
      <c r="AP31" s="44" t="str">
        <f t="shared" si="8"/>
        <v/>
      </c>
      <c r="AQ31" s="44" t="str">
        <f t="shared" si="8"/>
        <v/>
      </c>
      <c r="AR31" s="44" t="str">
        <f t="shared" si="8"/>
        <v/>
      </c>
      <c r="AS31" s="44" t="str">
        <f t="shared" si="8"/>
        <v/>
      </c>
      <c r="AT31" s="44" t="str">
        <f t="shared" si="8"/>
        <v/>
      </c>
      <c r="AU31" s="44" t="str">
        <f t="shared" si="8"/>
        <v/>
      </c>
      <c r="AV31" s="44" t="str">
        <f t="shared" si="8"/>
        <v/>
      </c>
      <c r="AW31" s="44" t="str">
        <f t="shared" si="8"/>
        <v/>
      </c>
    </row>
    <row r="32" spans="1:49" x14ac:dyDescent="0.3">
      <c r="A32" s="36" t="s">
        <v>33</v>
      </c>
      <c r="B32" s="37"/>
      <c r="C32" s="37"/>
      <c r="D32" s="99">
        <f>D15+(D$19*(D24/D$28))</f>
        <v>0.34412602678174997</v>
      </c>
      <c r="E32" s="99">
        <f t="shared" si="8"/>
        <v>593.85341007321881</v>
      </c>
      <c r="F32" s="99">
        <f t="shared" si="8"/>
        <v>8368.5225960071712</v>
      </c>
      <c r="G32" s="99">
        <f t="shared" si="8"/>
        <v>23641.814181406706</v>
      </c>
      <c r="H32" s="99">
        <f t="shared" si="8"/>
        <v>47663.861231335664</v>
      </c>
      <c r="I32" s="100">
        <f t="shared" si="8"/>
        <v>53414.007632337976</v>
      </c>
      <c r="J32" s="99">
        <f t="shared" si="8"/>
        <v>71963.570102025027</v>
      </c>
      <c r="K32" s="99">
        <f t="shared" si="8"/>
        <v>61965.410188273323</v>
      </c>
      <c r="L32" s="99">
        <f t="shared" si="8"/>
        <v>64700.998849587129</v>
      </c>
      <c r="M32" s="99">
        <f t="shared" si="8"/>
        <v>81956.189294724609</v>
      </c>
      <c r="N32" s="99">
        <f t="shared" si="8"/>
        <v>113990.99327753842</v>
      </c>
      <c r="O32" s="99">
        <f t="shared" si="8"/>
        <v>88043.147483850829</v>
      </c>
      <c r="P32" s="99">
        <f t="shared" si="8"/>
        <v>103641.60510926238</v>
      </c>
      <c r="Q32" s="99">
        <f t="shared" si="8"/>
        <v>44495.668454394727</v>
      </c>
      <c r="R32" s="99">
        <f t="shared" si="8"/>
        <v>72447.479306892477</v>
      </c>
      <c r="S32" s="99">
        <f t="shared" si="8"/>
        <v>100242.14080653639</v>
      </c>
      <c r="T32" s="99">
        <f t="shared" si="8"/>
        <v>144814.88878280437</v>
      </c>
      <c r="U32" s="99">
        <f t="shared" si="8"/>
        <v>113846.66455304027</v>
      </c>
      <c r="V32" s="99">
        <f t="shared" si="8"/>
        <v>127713.0610159208</v>
      </c>
      <c r="W32" s="99">
        <f t="shared" si="8"/>
        <v>102944.20736329375</v>
      </c>
      <c r="X32" s="103">
        <f t="shared" ref="X32:Z32" si="10">IF(X15="","",X15+(X$19*(X24/X$28)))</f>
        <v>97425.639139626393</v>
      </c>
      <c r="Y32" s="103">
        <f t="shared" si="10"/>
        <v>123931.27565285936</v>
      </c>
      <c r="Z32" s="103">
        <f t="shared" si="10"/>
        <v>151720.68967988784</v>
      </c>
      <c r="AA32" s="102">
        <f t="shared" si="8"/>
        <v>128047.48804991264</v>
      </c>
      <c r="AB32" s="102">
        <f t="shared" si="8"/>
        <v>151480.14898392203</v>
      </c>
      <c r="AC32" s="102">
        <f t="shared" si="8"/>
        <v>163405.97919130255</v>
      </c>
      <c r="AD32" s="102">
        <f t="shared" si="8"/>
        <v>238728.51643063777</v>
      </c>
      <c r="AE32" s="102">
        <f t="shared" si="8"/>
        <v>331991.20901924698</v>
      </c>
      <c r="AF32" s="102">
        <f t="shared" si="8"/>
        <v>456224.44420866336</v>
      </c>
      <c r="AG32" s="102">
        <f t="shared" si="8"/>
        <v>402135.17149156495</v>
      </c>
      <c r="AH32" s="102">
        <f t="shared" si="8"/>
        <v>436729.96737153135</v>
      </c>
      <c r="AI32" s="102">
        <f t="shared" si="8"/>
        <v>345421.36706761247</v>
      </c>
      <c r="AJ32" s="102">
        <f t="shared" si="8"/>
        <v>319157.77547472599</v>
      </c>
      <c r="AK32" s="102">
        <f t="shared" si="8"/>
        <v>380503.4113534842</v>
      </c>
      <c r="AL32" s="102">
        <f t="shared" si="8"/>
        <v>435876.05460866523</v>
      </c>
      <c r="AM32" s="44" t="str">
        <f t="shared" si="8"/>
        <v/>
      </c>
      <c r="AN32" s="44" t="str">
        <f t="shared" si="8"/>
        <v/>
      </c>
      <c r="AO32" s="44" t="str">
        <f t="shared" si="8"/>
        <v/>
      </c>
      <c r="AP32" s="44" t="str">
        <f t="shared" si="8"/>
        <v/>
      </c>
      <c r="AQ32" s="44" t="str">
        <f t="shared" si="8"/>
        <v/>
      </c>
      <c r="AR32" s="44" t="str">
        <f t="shared" si="8"/>
        <v/>
      </c>
      <c r="AS32" s="44" t="str">
        <f t="shared" si="8"/>
        <v/>
      </c>
      <c r="AT32" s="44" t="str">
        <f t="shared" si="8"/>
        <v/>
      </c>
      <c r="AU32" s="44" t="str">
        <f t="shared" si="8"/>
        <v/>
      </c>
      <c r="AV32" s="44" t="str">
        <f t="shared" si="8"/>
        <v/>
      </c>
      <c r="AW32" s="44" t="str">
        <f t="shared" si="8"/>
        <v/>
      </c>
    </row>
    <row r="33" spans="1:49" x14ac:dyDescent="0.3">
      <c r="A33" s="36" t="s">
        <v>34</v>
      </c>
      <c r="B33" s="37"/>
      <c r="C33" s="37"/>
      <c r="D33" s="99">
        <f>D16+(D$19*(D25/D$28))</f>
        <v>0.36790548240712501</v>
      </c>
      <c r="E33" s="99">
        <f t="shared" si="8"/>
        <v>549.3842450882164</v>
      </c>
      <c r="F33" s="99">
        <f t="shared" si="8"/>
        <v>3822.5375931394819</v>
      </c>
      <c r="G33" s="99">
        <f t="shared" si="8"/>
        <v>16781.332362054229</v>
      </c>
      <c r="H33" s="99">
        <f t="shared" si="8"/>
        <v>40077.718380542559</v>
      </c>
      <c r="I33" s="100">
        <f t="shared" si="8"/>
        <v>54061.137994792116</v>
      </c>
      <c r="J33" s="99">
        <f t="shared" si="8"/>
        <v>79608.348605740233</v>
      </c>
      <c r="K33" s="99">
        <f t="shared" si="8"/>
        <v>56432.915123633284</v>
      </c>
      <c r="L33" s="99">
        <f t="shared" si="8"/>
        <v>84805.665004540322</v>
      </c>
      <c r="M33" s="99">
        <f t="shared" si="8"/>
        <v>101585.96799703788</v>
      </c>
      <c r="N33" s="99">
        <f t="shared" si="8"/>
        <v>154209.2659634623</v>
      </c>
      <c r="O33" s="99">
        <f t="shared" si="8"/>
        <v>122696.92137199735</v>
      </c>
      <c r="P33" s="99">
        <f t="shared" si="8"/>
        <v>123411.87388052933</v>
      </c>
      <c r="Q33" s="99">
        <f t="shared" si="8"/>
        <v>47446.211556775474</v>
      </c>
      <c r="R33" s="99">
        <f t="shared" si="8"/>
        <v>83556.534245541465</v>
      </c>
      <c r="S33" s="99">
        <f t="shared" si="8"/>
        <v>189049.36683437167</v>
      </c>
      <c r="T33" s="99">
        <f t="shared" si="8"/>
        <v>265484.4397628404</v>
      </c>
      <c r="U33" s="99">
        <f t="shared" si="8"/>
        <v>248590.59560852987</v>
      </c>
      <c r="V33" s="99">
        <f t="shared" si="8"/>
        <v>229992.78825383674</v>
      </c>
      <c r="W33" s="99">
        <f t="shared" si="8"/>
        <v>142655.78999924072</v>
      </c>
      <c r="X33" s="103">
        <f t="shared" ref="X33:Z33" si="11">IF(X16="","",X16+(X$19*(X25/X$28)))</f>
        <v>141791.47042159317</v>
      </c>
      <c r="Y33" s="103">
        <f t="shared" si="11"/>
        <v>197679.02607225222</v>
      </c>
      <c r="Z33" s="103">
        <f t="shared" si="11"/>
        <v>257513.84897812031</v>
      </c>
      <c r="AA33" s="102">
        <f>IF(AA16="","",AA16+(AA$19*(AA25/AA$28)))</f>
        <v>217702.14357256194</v>
      </c>
      <c r="AB33" s="102">
        <f t="shared" si="8"/>
        <v>246197.70595604749</v>
      </c>
      <c r="AC33" s="102">
        <f t="shared" si="8"/>
        <v>242106.98347501378</v>
      </c>
      <c r="AD33" s="102">
        <f t="shared" si="8"/>
        <v>346940.64481854474</v>
      </c>
      <c r="AE33" s="102">
        <f t="shared" si="8"/>
        <v>727611.47673151968</v>
      </c>
      <c r="AF33" s="102">
        <f t="shared" si="8"/>
        <v>936757.19312298065</v>
      </c>
      <c r="AG33" s="102">
        <f t="shared" si="8"/>
        <v>894142.60285032494</v>
      </c>
      <c r="AH33" s="102">
        <f t="shared" si="8"/>
        <v>763382.78632200893</v>
      </c>
      <c r="AI33" s="102">
        <f t="shared" si="8"/>
        <v>453493.05895840662</v>
      </c>
      <c r="AJ33" s="102">
        <f t="shared" si="8"/>
        <v>438914.23489619081</v>
      </c>
      <c r="AK33" s="102">
        <f t="shared" si="8"/>
        <v>558311.72717659501</v>
      </c>
      <c r="AL33" s="102">
        <f t="shared" si="8"/>
        <v>677544.53113133169</v>
      </c>
      <c r="AM33" s="44" t="str">
        <f t="shared" si="8"/>
        <v/>
      </c>
      <c r="AN33" s="44" t="str">
        <f t="shared" si="8"/>
        <v/>
      </c>
      <c r="AO33" s="44" t="str">
        <f t="shared" si="8"/>
        <v/>
      </c>
      <c r="AP33" s="44" t="str">
        <f t="shared" si="8"/>
        <v/>
      </c>
      <c r="AQ33" s="44" t="str">
        <f t="shared" si="8"/>
        <v/>
      </c>
      <c r="AR33" s="44" t="str">
        <f t="shared" si="8"/>
        <v/>
      </c>
      <c r="AS33" s="44" t="str">
        <f t="shared" si="8"/>
        <v/>
      </c>
      <c r="AT33" s="44" t="str">
        <f t="shared" si="8"/>
        <v/>
      </c>
      <c r="AU33" s="44" t="str">
        <f t="shared" si="8"/>
        <v/>
      </c>
      <c r="AV33" s="44" t="str">
        <f t="shared" si="8"/>
        <v/>
      </c>
      <c r="AW33" s="44" t="str">
        <f t="shared" si="8"/>
        <v/>
      </c>
    </row>
    <row r="34" spans="1:49" x14ac:dyDescent="0.3">
      <c r="A34" s="36" t="s">
        <v>35</v>
      </c>
      <c r="B34" s="37"/>
      <c r="C34" s="37"/>
      <c r="D34" s="99">
        <f>D17+(D$19*(D26/D$28))</f>
        <v>0</v>
      </c>
      <c r="E34" s="99">
        <f t="shared" si="8"/>
        <v>9.4764517045030008</v>
      </c>
      <c r="F34" s="99">
        <f t="shared" si="8"/>
        <v>992.38480063141662</v>
      </c>
      <c r="G34" s="99">
        <f t="shared" si="8"/>
        <v>7292.1248374502911</v>
      </c>
      <c r="H34" s="99">
        <f t="shared" si="8"/>
        <v>15994.94501268368</v>
      </c>
      <c r="I34" s="100">
        <f t="shared" si="8"/>
        <v>17286.492613957165</v>
      </c>
      <c r="J34" s="99">
        <f t="shared" si="8"/>
        <v>20593.63561343183</v>
      </c>
      <c r="K34" s="99">
        <f t="shared" si="8"/>
        <v>13281.46306563299</v>
      </c>
      <c r="L34" s="99">
        <f t="shared" si="8"/>
        <v>20634.15638219006</v>
      </c>
      <c r="M34" s="99">
        <f t="shared" si="8"/>
        <v>18530.128304448888</v>
      </c>
      <c r="N34" s="99">
        <f t="shared" si="8"/>
        <v>41320.38859087076</v>
      </c>
      <c r="O34" s="99">
        <f t="shared" si="8"/>
        <v>29425.974245256413</v>
      </c>
      <c r="P34" s="99">
        <f t="shared" si="8"/>
        <v>32165.147795809222</v>
      </c>
      <c r="Q34" s="99">
        <f t="shared" si="8"/>
        <v>21213.003373036219</v>
      </c>
      <c r="R34" s="99">
        <f t="shared" si="8"/>
        <v>41395.000804902586</v>
      </c>
      <c r="S34" s="99">
        <f t="shared" si="8"/>
        <v>92952.761963081415</v>
      </c>
      <c r="T34" s="99">
        <f t="shared" si="8"/>
        <v>123951.10916307675</v>
      </c>
      <c r="U34" s="99">
        <f t="shared" si="8"/>
        <v>122809.27801030048</v>
      </c>
      <c r="V34" s="99">
        <f t="shared" si="8"/>
        <v>96049.861338882605</v>
      </c>
      <c r="W34" s="99">
        <f t="shared" si="8"/>
        <v>51830.00376307463</v>
      </c>
      <c r="X34" s="103">
        <f t="shared" ref="X34:Z34" si="12">IF(X17="","",X17+(X$19*(X26/X$28)))</f>
        <v>48658.932927997463</v>
      </c>
      <c r="Y34" s="103">
        <f t="shared" si="12"/>
        <v>59970.08081020516</v>
      </c>
      <c r="Z34" s="103">
        <f t="shared" si="12"/>
        <v>87162.828989695612</v>
      </c>
      <c r="AA34" s="102">
        <f t="shared" si="8"/>
        <v>76735.538229243772</v>
      </c>
      <c r="AB34" s="102">
        <f t="shared" si="8"/>
        <v>83329.834183353363</v>
      </c>
      <c r="AC34" s="102">
        <f t="shared" si="8"/>
        <v>86542.327775322512</v>
      </c>
      <c r="AD34" s="102">
        <f t="shared" si="8"/>
        <v>134652.28997454798</v>
      </c>
      <c r="AE34" s="102">
        <f t="shared" si="8"/>
        <v>344645.2569037489</v>
      </c>
      <c r="AF34" s="102">
        <f t="shared" si="8"/>
        <v>433598.35909049766</v>
      </c>
      <c r="AG34" s="102">
        <f t="shared" si="8"/>
        <v>423698.85938326776</v>
      </c>
      <c r="AH34" s="102">
        <f t="shared" si="8"/>
        <v>289691.43350799673</v>
      </c>
      <c r="AI34" s="102">
        <f t="shared" si="8"/>
        <v>141388.49389401343</v>
      </c>
      <c r="AJ34" s="102">
        <f t="shared" si="8"/>
        <v>122502.84130602854</v>
      </c>
      <c r="AK34" s="102">
        <f t="shared" si="8"/>
        <v>141005.87213449329</v>
      </c>
      <c r="AL34" s="102">
        <f t="shared" si="8"/>
        <v>189386.80453146814</v>
      </c>
      <c r="AM34" s="44" t="str">
        <f t="shared" si="8"/>
        <v/>
      </c>
      <c r="AN34" s="44" t="str">
        <f t="shared" si="8"/>
        <v/>
      </c>
      <c r="AO34" s="44" t="str">
        <f t="shared" si="8"/>
        <v/>
      </c>
      <c r="AP34" s="44" t="str">
        <f t="shared" si="8"/>
        <v/>
      </c>
      <c r="AQ34" s="44" t="str">
        <f t="shared" si="8"/>
        <v/>
      </c>
      <c r="AR34" s="44" t="str">
        <f t="shared" si="8"/>
        <v/>
      </c>
      <c r="AS34" s="44" t="str">
        <f t="shared" si="8"/>
        <v/>
      </c>
      <c r="AT34" s="44" t="str">
        <f t="shared" si="8"/>
        <v/>
      </c>
      <c r="AU34" s="44" t="str">
        <f t="shared" si="8"/>
        <v/>
      </c>
      <c r="AV34" s="44" t="str">
        <f t="shared" si="8"/>
        <v/>
      </c>
      <c r="AW34" s="44" t="str">
        <f t="shared" si="8"/>
        <v/>
      </c>
    </row>
    <row r="35" spans="1:49" x14ac:dyDescent="0.3">
      <c r="A35" s="36" t="s">
        <v>36</v>
      </c>
      <c r="B35" s="37"/>
      <c r="C35" s="37"/>
      <c r="D35" s="99">
        <f>D18+(D$19*(D27/D$28))</f>
        <v>0</v>
      </c>
      <c r="E35" s="99">
        <f t="shared" si="8"/>
        <v>0</v>
      </c>
      <c r="F35" s="99">
        <f t="shared" si="8"/>
        <v>158.37627524588399</v>
      </c>
      <c r="G35" s="99">
        <f t="shared" si="8"/>
        <v>597.17310476301054</v>
      </c>
      <c r="H35" s="99">
        <f t="shared" si="8"/>
        <v>0</v>
      </c>
      <c r="I35" s="100">
        <f t="shared" si="8"/>
        <v>224.30843760020062</v>
      </c>
      <c r="J35" s="99">
        <f t="shared" si="8"/>
        <v>578.11242788452876</v>
      </c>
      <c r="K35" s="99">
        <f t="shared" si="8"/>
        <v>553.72176658848127</v>
      </c>
      <c r="L35" s="99">
        <f t="shared" si="8"/>
        <v>4498.45610981133</v>
      </c>
      <c r="M35" s="99">
        <f t="shared" si="8"/>
        <v>2468.5744882877784</v>
      </c>
      <c r="N35" s="99">
        <f t="shared" si="8"/>
        <v>6482.3323978120161</v>
      </c>
      <c r="O35" s="99">
        <f t="shared" si="8"/>
        <v>4714.4220035550234</v>
      </c>
      <c r="P35" s="99">
        <f t="shared" si="8"/>
        <v>4933.2233077077817</v>
      </c>
      <c r="Q35" s="99">
        <f t="shared" si="8"/>
        <v>4340.5509347173938</v>
      </c>
      <c r="R35" s="99">
        <f t="shared" si="8"/>
        <v>11799.946486826884</v>
      </c>
      <c r="S35" s="99">
        <f t="shared" si="8"/>
        <v>38257.943252341713</v>
      </c>
      <c r="T35" s="99">
        <f t="shared" si="8"/>
        <v>40690.592006909494</v>
      </c>
      <c r="U35" s="99">
        <f t="shared" si="8"/>
        <v>41885.585703975645</v>
      </c>
      <c r="V35" s="99">
        <f t="shared" si="8"/>
        <v>26780.761635291285</v>
      </c>
      <c r="W35" s="99">
        <f t="shared" si="8"/>
        <v>10597.262650374174</v>
      </c>
      <c r="X35" s="103">
        <f t="shared" ref="X35:Z35" si="13">IF(X18="","",X18+(X$19*(X27/X$28)))</f>
        <v>10033.94766627749</v>
      </c>
      <c r="Y35" s="103">
        <f t="shared" si="13"/>
        <v>13430.065796875455</v>
      </c>
      <c r="Z35" s="103">
        <f t="shared" si="13"/>
        <v>16755.646620188079</v>
      </c>
      <c r="AA35" s="102">
        <f t="shared" si="8"/>
        <v>14518.538612966633</v>
      </c>
      <c r="AB35" s="102">
        <f t="shared" si="8"/>
        <v>14786.365581064156</v>
      </c>
      <c r="AC35" s="102">
        <f t="shared" si="8"/>
        <v>17876.197387874992</v>
      </c>
      <c r="AD35" s="102">
        <f t="shared" si="8"/>
        <v>37102.36002576282</v>
      </c>
      <c r="AE35" s="102">
        <f t="shared" si="8"/>
        <v>118860.92443488054</v>
      </c>
      <c r="AF35" s="102">
        <f t="shared" si="8"/>
        <v>125345.37119759108</v>
      </c>
      <c r="AG35" s="102">
        <f t="shared" si="8"/>
        <v>125041.59366917762</v>
      </c>
      <c r="AH35" s="102">
        <f t="shared" si="8"/>
        <v>77417.164096134366</v>
      </c>
      <c r="AI35" s="102">
        <f t="shared" si="8"/>
        <v>29099.311054405181</v>
      </c>
      <c r="AJ35" s="102">
        <f t="shared" si="8"/>
        <v>26304.829791498978</v>
      </c>
      <c r="AK35" s="102">
        <f t="shared" si="8"/>
        <v>35425.789637286412</v>
      </c>
      <c r="AL35" s="102">
        <f t="shared" si="8"/>
        <v>44500.348832067168</v>
      </c>
      <c r="AM35" s="44" t="str">
        <f t="shared" si="8"/>
        <v/>
      </c>
      <c r="AN35" s="44" t="str">
        <f t="shared" si="8"/>
        <v/>
      </c>
      <c r="AO35" s="44" t="str">
        <f t="shared" si="8"/>
        <v/>
      </c>
      <c r="AP35" s="44" t="str">
        <f t="shared" si="8"/>
        <v/>
      </c>
      <c r="AQ35" s="44" t="str">
        <f t="shared" si="8"/>
        <v/>
      </c>
      <c r="AR35" s="44" t="str">
        <f t="shared" si="8"/>
        <v/>
      </c>
      <c r="AS35" s="44" t="str">
        <f t="shared" si="8"/>
        <v/>
      </c>
      <c r="AT35" s="44" t="str">
        <f t="shared" si="8"/>
        <v/>
      </c>
      <c r="AU35" s="44" t="str">
        <f t="shared" si="8"/>
        <v/>
      </c>
      <c r="AV35" s="44" t="str">
        <f t="shared" si="8"/>
        <v/>
      </c>
      <c r="AW35" s="44" t="str">
        <f t="shared" si="8"/>
        <v/>
      </c>
    </row>
    <row r="36" spans="1:49" x14ac:dyDescent="0.3">
      <c r="A36" s="31" t="s">
        <v>30</v>
      </c>
      <c r="B36" s="29"/>
      <c r="C36" s="29"/>
      <c r="D36" s="43">
        <f>SUM(D31:D35)</f>
        <v>0.71203150918887492</v>
      </c>
      <c r="E36" s="43">
        <f t="shared" ref="E36:AW36" si="14">SUM(E31:E35)</f>
        <v>4695.4207688607357</v>
      </c>
      <c r="F36" s="43">
        <f t="shared" si="14"/>
        <v>39935.570121927383</v>
      </c>
      <c r="G36" s="43">
        <f t="shared" si="14"/>
        <v>291676.37356246018</v>
      </c>
      <c r="H36" s="43">
        <f t="shared" si="14"/>
        <v>544866.33457860793</v>
      </c>
      <c r="I36" s="43">
        <f t="shared" si="14"/>
        <v>663040.9475663905</v>
      </c>
      <c r="J36" s="43">
        <f t="shared" si="14"/>
        <v>547744.67638274853</v>
      </c>
      <c r="K36" s="43">
        <f t="shared" si="14"/>
        <v>270067.89072131988</v>
      </c>
      <c r="L36" s="43">
        <f t="shared" si="14"/>
        <v>449448.83291898982</v>
      </c>
      <c r="M36" s="43">
        <f t="shared" si="14"/>
        <v>672384.11562352569</v>
      </c>
      <c r="N36" s="43">
        <f t="shared" si="14"/>
        <v>860299.05315340101</v>
      </c>
      <c r="O36" s="43">
        <f t="shared" si="14"/>
        <v>921069.68539476907</v>
      </c>
      <c r="P36" s="43">
        <f t="shared" si="14"/>
        <v>727242.36549864151</v>
      </c>
      <c r="Q36" s="43">
        <f t="shared" si="14"/>
        <v>330495.27100759087</v>
      </c>
      <c r="R36" s="43">
        <f t="shared" si="14"/>
        <v>448514.38010054693</v>
      </c>
      <c r="S36" s="43">
        <f t="shared" si="14"/>
        <v>1166466.8526526124</v>
      </c>
      <c r="T36" s="43">
        <f t="shared" si="14"/>
        <v>1596902.1714481553</v>
      </c>
      <c r="U36" s="43">
        <f t="shared" si="14"/>
        <v>1748272.4117888494</v>
      </c>
      <c r="V36" s="43">
        <f t="shared" si="14"/>
        <v>1519471.0162375702</v>
      </c>
      <c r="W36" s="43">
        <f t="shared" si="14"/>
        <v>764880.45368540613</v>
      </c>
      <c r="X36" s="43">
        <f t="shared" si="14"/>
        <v>911910.19352346717</v>
      </c>
      <c r="Y36" s="43">
        <f t="shared" si="14"/>
        <v>1208568.6903410302</v>
      </c>
      <c r="Z36" s="43">
        <f t="shared" si="14"/>
        <v>1385905.4484206997</v>
      </c>
      <c r="AA36" s="43">
        <f t="shared" si="14"/>
        <v>1221967.9954680281</v>
      </c>
      <c r="AB36" s="43">
        <f t="shared" si="14"/>
        <v>1295143.4790573316</v>
      </c>
      <c r="AC36" s="43">
        <f t="shared" si="14"/>
        <v>1192299.7039782484</v>
      </c>
      <c r="AD36" s="43">
        <f t="shared" si="14"/>
        <v>1489944.1996731784</v>
      </c>
      <c r="AE36" s="43">
        <f t="shared" si="14"/>
        <v>3556393.6381326336</v>
      </c>
      <c r="AF36" s="43">
        <f t="shared" si="14"/>
        <v>4422089.8181227557</v>
      </c>
      <c r="AG36" s="43">
        <f t="shared" si="14"/>
        <v>4386809.094211149</v>
      </c>
      <c r="AH36" s="43">
        <f t="shared" si="14"/>
        <v>3487636.0635276339</v>
      </c>
      <c r="AI36" s="43">
        <f t="shared" si="14"/>
        <v>1738974.7908042392</v>
      </c>
      <c r="AJ36" s="43">
        <f t="shared" si="14"/>
        <v>1885092.3161374221</v>
      </c>
      <c r="AK36" s="43">
        <f t="shared" si="14"/>
        <v>2390497.8087381148</v>
      </c>
      <c r="AL36" s="43">
        <f t="shared" si="14"/>
        <v>2641961.073381301</v>
      </c>
      <c r="AM36" s="43">
        <f t="shared" si="14"/>
        <v>0</v>
      </c>
      <c r="AN36" s="43">
        <f t="shared" si="14"/>
        <v>0</v>
      </c>
      <c r="AO36" s="43">
        <f t="shared" si="14"/>
        <v>0</v>
      </c>
      <c r="AP36" s="43">
        <f t="shared" si="14"/>
        <v>0</v>
      </c>
      <c r="AQ36" s="43">
        <f t="shared" si="14"/>
        <v>0</v>
      </c>
      <c r="AR36" s="43">
        <f t="shared" si="14"/>
        <v>0</v>
      </c>
      <c r="AS36" s="43">
        <f t="shared" si="14"/>
        <v>0</v>
      </c>
      <c r="AT36" s="43">
        <f t="shared" si="14"/>
        <v>0</v>
      </c>
      <c r="AU36" s="43">
        <f t="shared" si="14"/>
        <v>0</v>
      </c>
      <c r="AV36" s="43">
        <f t="shared" si="14"/>
        <v>0</v>
      </c>
      <c r="AW36" s="43">
        <f t="shared" si="14"/>
        <v>0</v>
      </c>
    </row>
    <row r="37" spans="1:49" x14ac:dyDescent="0.3">
      <c r="A37" s="31"/>
      <c r="B37" s="29"/>
      <c r="C37" s="29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</row>
    <row r="38" spans="1:49" x14ac:dyDescent="0.3">
      <c r="A38" s="31"/>
      <c r="B38" s="29"/>
      <c r="C38" s="29"/>
      <c r="D38" s="70"/>
      <c r="E38" s="70"/>
      <c r="F38" s="70"/>
      <c r="G38" s="70"/>
      <c r="H38" s="70"/>
      <c r="I38" s="70"/>
      <c r="J38" s="2"/>
      <c r="K38" s="101"/>
      <c r="L38" s="107"/>
      <c r="M38" s="2"/>
      <c r="N38" s="101"/>
      <c r="O38" s="70"/>
      <c r="P38" s="70"/>
      <c r="Q38" s="70"/>
      <c r="R38" s="70"/>
      <c r="S38" s="70"/>
      <c r="T38" s="70"/>
      <c r="U38" s="70"/>
      <c r="W38" s="101" t="s">
        <v>72</v>
      </c>
      <c r="X38" s="70"/>
      <c r="Z38" s="34" t="s">
        <v>73</v>
      </c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L38" s="34" t="s">
        <v>74</v>
      </c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</row>
    <row r="39" spans="1:49" x14ac:dyDescent="0.3">
      <c r="A39" s="31"/>
      <c r="B39" s="29"/>
      <c r="C39" s="29"/>
      <c r="D39" s="70"/>
      <c r="E39" s="70"/>
      <c r="F39" s="70"/>
      <c r="G39" s="70"/>
      <c r="H39" s="70"/>
      <c r="I39" s="70"/>
      <c r="J39" s="2"/>
      <c r="K39" s="106"/>
      <c r="L39" s="107"/>
      <c r="M39" s="2"/>
      <c r="N39" s="106"/>
      <c r="O39" s="70"/>
      <c r="P39" s="70"/>
      <c r="Q39" s="70"/>
      <c r="R39" s="70"/>
      <c r="S39" s="70"/>
      <c r="T39" s="70"/>
      <c r="U39" s="70"/>
      <c r="V39" s="36" t="s">
        <v>32</v>
      </c>
      <c r="W39" s="127">
        <f t="shared" ref="W39:W44" si="15">SUM(D31:W31)</f>
        <v>9128918.2656692602</v>
      </c>
      <c r="X39" s="70"/>
      <c r="Y39" s="36" t="s">
        <v>32</v>
      </c>
      <c r="Z39" s="128">
        <f>SUM(X31:Z31)</f>
        <v>2300310.8795296187</v>
      </c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36" t="s">
        <v>32</v>
      </c>
      <c r="AL39" s="129">
        <f>SUM(AA31:AL31)</f>
        <v>16282546.653734548</v>
      </c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</row>
    <row r="40" spans="1:49" x14ac:dyDescent="0.3">
      <c r="A40" s="31"/>
      <c r="B40" s="29"/>
      <c r="C40" s="29"/>
      <c r="D40" s="70"/>
      <c r="E40" s="70"/>
      <c r="F40" s="70"/>
      <c r="G40" s="70"/>
      <c r="H40" s="70"/>
      <c r="I40" s="70"/>
      <c r="J40" s="2"/>
      <c r="K40" s="106"/>
      <c r="L40" s="107"/>
      <c r="M40" s="2"/>
      <c r="N40" s="106"/>
      <c r="O40" s="70"/>
      <c r="P40" s="70"/>
      <c r="Q40" s="70"/>
      <c r="R40" s="70"/>
      <c r="S40" s="70"/>
      <c r="T40" s="70"/>
      <c r="U40" s="70"/>
      <c r="V40" s="36" t="s">
        <v>33</v>
      </c>
      <c r="W40" s="127">
        <f t="shared" si="15"/>
        <v>1426448.4277653319</v>
      </c>
      <c r="X40" s="70"/>
      <c r="Y40" s="36" t="s">
        <v>33</v>
      </c>
      <c r="Z40" s="128">
        <f t="shared" ref="Z40:Z44" si="16">SUM(X32:Z32)</f>
        <v>373077.60447237361</v>
      </c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36" t="s">
        <v>33</v>
      </c>
      <c r="AL40" s="129">
        <f t="shared" ref="AL40:AL43" si="17">SUM(AA32:AL32)</f>
        <v>3789701.5332512702</v>
      </c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</row>
    <row r="41" spans="1:49" x14ac:dyDescent="0.3">
      <c r="A41" s="31"/>
      <c r="B41" s="29"/>
      <c r="C41" s="29"/>
      <c r="D41" s="70"/>
      <c r="E41" s="70"/>
      <c r="F41" s="70"/>
      <c r="G41" s="70"/>
      <c r="H41" s="70"/>
      <c r="I41" s="70"/>
      <c r="J41" s="2"/>
      <c r="K41" s="106"/>
      <c r="L41" s="107"/>
      <c r="M41" s="2"/>
      <c r="N41" s="106"/>
      <c r="O41" s="70"/>
      <c r="P41" s="70"/>
      <c r="Q41" s="70"/>
      <c r="R41" s="70"/>
      <c r="S41" s="70"/>
      <c r="T41" s="70"/>
      <c r="U41" s="70"/>
      <c r="V41" s="36" t="s">
        <v>34</v>
      </c>
      <c r="W41" s="127">
        <f t="shared" si="15"/>
        <v>2044819.1626891759</v>
      </c>
      <c r="X41" s="70"/>
      <c r="Y41" s="36" t="s">
        <v>34</v>
      </c>
      <c r="Z41" s="128">
        <f t="shared" si="16"/>
        <v>596984.34547196561</v>
      </c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36" t="s">
        <v>34</v>
      </c>
      <c r="AL41" s="129">
        <f t="shared" si="17"/>
        <v>6503105.0890115267</v>
      </c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</row>
    <row r="42" spans="1:49" x14ac:dyDescent="0.3">
      <c r="A42" s="31"/>
      <c r="B42" s="29"/>
      <c r="C42" s="29"/>
      <c r="D42" s="70"/>
      <c r="E42" s="70"/>
      <c r="F42" s="70"/>
      <c r="G42" s="70"/>
      <c r="H42" s="70"/>
      <c r="I42" s="70"/>
      <c r="J42" s="2"/>
      <c r="K42" s="106"/>
      <c r="L42" s="107"/>
      <c r="M42" s="2"/>
      <c r="N42" s="106"/>
      <c r="O42" s="70"/>
      <c r="P42" s="70"/>
      <c r="Q42" s="70"/>
      <c r="R42" s="70"/>
      <c r="S42" s="70"/>
      <c r="T42" s="70"/>
      <c r="U42" s="70"/>
      <c r="V42" s="36" t="s">
        <v>35</v>
      </c>
      <c r="W42" s="127">
        <f t="shared" si="15"/>
        <v>767727.33613042184</v>
      </c>
      <c r="X42" s="70"/>
      <c r="Y42" s="36" t="s">
        <v>35</v>
      </c>
      <c r="Z42" s="128">
        <f t="shared" si="16"/>
        <v>195791.84272789824</v>
      </c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36" t="s">
        <v>35</v>
      </c>
      <c r="AL42" s="129">
        <f t="shared" si="17"/>
        <v>2467177.910913982</v>
      </c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</row>
    <row r="43" spans="1:49" x14ac:dyDescent="0.3">
      <c r="A43" s="31"/>
      <c r="B43" s="29"/>
      <c r="C43" s="29"/>
      <c r="D43" s="70"/>
      <c r="E43" s="70"/>
      <c r="F43" s="70"/>
      <c r="G43" s="70"/>
      <c r="H43" s="70"/>
      <c r="I43" s="70"/>
      <c r="J43" s="2"/>
      <c r="K43" s="106"/>
      <c r="L43" s="107"/>
      <c r="M43" s="2"/>
      <c r="N43" s="106"/>
      <c r="O43" s="70"/>
      <c r="P43" s="70"/>
      <c r="Q43" s="70"/>
      <c r="R43" s="70"/>
      <c r="S43" s="70"/>
      <c r="T43" s="70"/>
      <c r="U43" s="70"/>
      <c r="V43" s="36" t="s">
        <v>36</v>
      </c>
      <c r="W43" s="127">
        <f t="shared" si="15"/>
        <v>199561.34298969261</v>
      </c>
      <c r="X43" s="70"/>
      <c r="Y43" s="36" t="s">
        <v>36</v>
      </c>
      <c r="Z43" s="128">
        <f t="shared" si="16"/>
        <v>40219.660083341019</v>
      </c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36" t="s">
        <v>36</v>
      </c>
      <c r="AL43" s="129">
        <f t="shared" si="17"/>
        <v>666278.79432071</v>
      </c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</row>
    <row r="44" spans="1:49" x14ac:dyDescent="0.3">
      <c r="A44" s="31"/>
      <c r="B44" s="29"/>
      <c r="C44" s="29"/>
      <c r="D44" s="70"/>
      <c r="E44" s="70"/>
      <c r="F44" s="70"/>
      <c r="G44" s="70"/>
      <c r="H44" s="70"/>
      <c r="I44" s="70"/>
      <c r="J44" s="32"/>
      <c r="K44" s="106"/>
      <c r="L44" s="107"/>
      <c r="M44" s="32"/>
      <c r="N44" s="106"/>
      <c r="O44" s="70"/>
      <c r="P44" s="70"/>
      <c r="Q44" s="70"/>
      <c r="R44" s="70"/>
      <c r="S44" s="70"/>
      <c r="T44" s="70"/>
      <c r="U44" s="70"/>
      <c r="V44" s="31" t="s">
        <v>30</v>
      </c>
      <c r="W44" s="127">
        <f t="shared" si="15"/>
        <v>13567474.535243884</v>
      </c>
      <c r="X44" s="70"/>
      <c r="Y44" s="31" t="s">
        <v>30</v>
      </c>
      <c r="Z44" s="128">
        <f t="shared" si="16"/>
        <v>3506384.332285197</v>
      </c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31" t="s">
        <v>30</v>
      </c>
      <c r="AL44" s="129">
        <f>SUM(AA36:AL36)</f>
        <v>29708809.981232036</v>
      </c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</row>
    <row r="45" spans="1:49" x14ac:dyDescent="0.3">
      <c r="A45" s="31"/>
      <c r="B45" s="29"/>
      <c r="C45" s="29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</row>
    <row r="46" spans="1:49" s="73" customFormat="1" ht="15" thickBot="1" x14ac:dyDescent="0.35"/>
    <row r="47" spans="1:49" ht="15.6" x14ac:dyDescent="0.3">
      <c r="A47" s="69" t="s">
        <v>48</v>
      </c>
    </row>
    <row r="49" spans="1:49" x14ac:dyDescent="0.3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</row>
    <row r="50" spans="1:49" s="2" customFormat="1" x14ac:dyDescent="0.3">
      <c r="A50" s="35" t="s">
        <v>49</v>
      </c>
      <c r="B50" s="30"/>
      <c r="C50" s="30"/>
      <c r="D50" s="28"/>
      <c r="E50" s="28"/>
      <c r="F50" s="28"/>
      <c r="G50" s="28"/>
      <c r="H50" s="28"/>
      <c r="I50" s="28"/>
      <c r="J50" s="28"/>
      <c r="K50" s="28"/>
      <c r="L50" s="9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119" t="s">
        <v>75</v>
      </c>
      <c r="Y50" s="121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</row>
    <row r="51" spans="1:49" x14ac:dyDescent="0.3">
      <c r="A51" s="36" t="s">
        <v>32</v>
      </c>
      <c r="B51" s="37"/>
      <c r="C51" s="37"/>
      <c r="D51" s="41">
        <v>0</v>
      </c>
      <c r="E51" s="41">
        <v>0</v>
      </c>
      <c r="F51" s="41">
        <v>28084.31</v>
      </c>
      <c r="G51" s="41">
        <v>338961.47</v>
      </c>
      <c r="H51" s="41">
        <v>431295.26</v>
      </c>
      <c r="I51" s="41">
        <v>454282.99</v>
      </c>
      <c r="J51" s="41">
        <v>419095.06</v>
      </c>
      <c r="K51" s="41">
        <v>344369.99</v>
      </c>
      <c r="L51" s="41">
        <v>308922.03999999998</v>
      </c>
      <c r="M51" s="41">
        <v>415727.27</v>
      </c>
      <c r="N51" s="41">
        <v>459121.81</v>
      </c>
      <c r="O51" s="41">
        <v>465524.23</v>
      </c>
      <c r="P51" s="41">
        <v>420640.46</v>
      </c>
      <c r="Q51" s="41">
        <v>333131.02</v>
      </c>
      <c r="R51" s="41">
        <v>297680.28000000003</v>
      </c>
      <c r="S51" s="41">
        <v>393958.55</v>
      </c>
      <c r="T51" s="41">
        <v>529326.34</v>
      </c>
      <c r="U51" s="41">
        <v>496875.44</v>
      </c>
      <c r="V51" s="41">
        <v>447785.36</v>
      </c>
      <c r="W51" s="41">
        <v>302563.73</v>
      </c>
      <c r="X51" s="122">
        <v>317619.72631364554</v>
      </c>
      <c r="Y51" s="122">
        <v>458406.91633329989</v>
      </c>
      <c r="Z51" s="122">
        <v>570604.20911060518</v>
      </c>
      <c r="AA51" s="126"/>
      <c r="AB51" s="126"/>
      <c r="AC51" s="126"/>
      <c r="AD51" s="126"/>
      <c r="AE51" s="126"/>
      <c r="AF51" s="126"/>
      <c r="AG51" s="126"/>
      <c r="AH51" s="126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</row>
    <row r="52" spans="1:49" x14ac:dyDescent="0.3">
      <c r="A52" s="36" t="s">
        <v>33</v>
      </c>
      <c r="B52" s="37"/>
      <c r="C52" s="37"/>
      <c r="D52" s="41">
        <v>0</v>
      </c>
      <c r="E52" s="41">
        <v>0</v>
      </c>
      <c r="F52" s="41">
        <v>4774.55</v>
      </c>
      <c r="G52" s="41">
        <v>61751.54</v>
      </c>
      <c r="H52" s="41">
        <v>70665.5</v>
      </c>
      <c r="I52" s="41">
        <v>72630.98</v>
      </c>
      <c r="J52" s="41">
        <v>70137.22</v>
      </c>
      <c r="K52" s="41">
        <v>63135.64</v>
      </c>
      <c r="L52" s="41">
        <v>56628.27</v>
      </c>
      <c r="M52" s="41">
        <v>66553.34</v>
      </c>
      <c r="N52" s="41">
        <v>70974.64</v>
      </c>
      <c r="O52" s="41">
        <v>74514.039999999994</v>
      </c>
      <c r="P52" s="41">
        <v>73821.710000000006</v>
      </c>
      <c r="Q52" s="41">
        <v>56719.11</v>
      </c>
      <c r="R52" s="41">
        <v>51424.73</v>
      </c>
      <c r="S52" s="41">
        <v>64574.18</v>
      </c>
      <c r="T52" s="41">
        <v>80406.710000000006</v>
      </c>
      <c r="U52" s="41">
        <v>78372.460000000006</v>
      </c>
      <c r="V52" s="41">
        <v>75020.86</v>
      </c>
      <c r="W52" s="41">
        <v>60809.53</v>
      </c>
      <c r="X52" s="122">
        <v>59289.411272004116</v>
      </c>
      <c r="Y52" s="122">
        <v>69006.094340556869</v>
      </c>
      <c r="Z52" s="122">
        <v>82725.020034223766</v>
      </c>
      <c r="AA52" s="126"/>
      <c r="AB52" s="126"/>
      <c r="AC52" s="126"/>
      <c r="AD52" s="126"/>
      <c r="AE52" s="126"/>
      <c r="AF52" s="126"/>
      <c r="AG52" s="126"/>
      <c r="AH52" s="126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</row>
    <row r="53" spans="1:49" x14ac:dyDescent="0.3">
      <c r="A53" s="36" t="s">
        <v>34</v>
      </c>
      <c r="B53" s="37"/>
      <c r="C53" s="37"/>
      <c r="D53" s="41">
        <v>0</v>
      </c>
      <c r="E53" s="41">
        <v>0</v>
      </c>
      <c r="F53" s="41">
        <v>7030.01</v>
      </c>
      <c r="G53" s="41">
        <v>109921.60000000001</v>
      </c>
      <c r="H53" s="41">
        <v>118808.51</v>
      </c>
      <c r="I53" s="41">
        <v>121642.28</v>
      </c>
      <c r="J53" s="41">
        <v>122769.41</v>
      </c>
      <c r="K53" s="41">
        <v>112787.98</v>
      </c>
      <c r="L53" s="41">
        <v>99578.23</v>
      </c>
      <c r="M53" s="41">
        <v>107954.61</v>
      </c>
      <c r="N53" s="41">
        <v>111669.28</v>
      </c>
      <c r="O53" s="41">
        <v>108510.2</v>
      </c>
      <c r="P53" s="41">
        <v>102469.35</v>
      </c>
      <c r="Q53" s="41">
        <v>87569.04</v>
      </c>
      <c r="R53" s="41">
        <v>81676.990000000005</v>
      </c>
      <c r="S53" s="41">
        <v>96788.800000000003</v>
      </c>
      <c r="T53" s="41">
        <v>113009.35</v>
      </c>
      <c r="U53" s="41">
        <v>112596.34</v>
      </c>
      <c r="V53" s="41">
        <v>112065.74</v>
      </c>
      <c r="W53" s="41">
        <v>95621.75</v>
      </c>
      <c r="X53" s="122">
        <v>91478.514127181377</v>
      </c>
      <c r="Y53" s="122">
        <v>96487.958538064617</v>
      </c>
      <c r="Z53" s="122">
        <v>111922.1839642819</v>
      </c>
      <c r="AA53" s="126"/>
      <c r="AB53" s="126"/>
      <c r="AC53" s="126"/>
      <c r="AD53" s="126"/>
      <c r="AE53" s="126"/>
      <c r="AF53" s="126"/>
      <c r="AG53" s="126"/>
      <c r="AH53" s="126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</row>
    <row r="54" spans="1:49" x14ac:dyDescent="0.3">
      <c r="A54" s="36" t="s">
        <v>35</v>
      </c>
      <c r="B54" s="37"/>
      <c r="C54" s="37"/>
      <c r="D54" s="41">
        <v>0</v>
      </c>
      <c r="E54" s="41">
        <v>0</v>
      </c>
      <c r="F54" s="41">
        <v>2496.56</v>
      </c>
      <c r="G54" s="41">
        <v>42291.09</v>
      </c>
      <c r="H54" s="41">
        <v>47913.74</v>
      </c>
      <c r="I54" s="41">
        <v>50299.83</v>
      </c>
      <c r="J54" s="41">
        <v>49993.73</v>
      </c>
      <c r="K54" s="41">
        <v>46326.65</v>
      </c>
      <c r="L54" s="41">
        <v>42840.77</v>
      </c>
      <c r="M54" s="41">
        <v>43135.040000000001</v>
      </c>
      <c r="N54" s="41">
        <v>44374.04</v>
      </c>
      <c r="O54" s="41">
        <v>45259.54</v>
      </c>
      <c r="P54" s="41">
        <v>39182.19</v>
      </c>
      <c r="Q54" s="41">
        <v>38273.29</v>
      </c>
      <c r="R54" s="41">
        <v>36030.870000000003</v>
      </c>
      <c r="S54" s="41">
        <v>41962.67</v>
      </c>
      <c r="T54" s="41">
        <v>44167.05</v>
      </c>
      <c r="U54" s="41">
        <v>46294.41</v>
      </c>
      <c r="V54" s="41">
        <v>46306.19</v>
      </c>
      <c r="W54" s="41">
        <v>41160.14</v>
      </c>
      <c r="X54" s="122">
        <v>37903.254508981037</v>
      </c>
      <c r="Y54" s="122">
        <v>38323.637623178955</v>
      </c>
      <c r="Z54" s="122">
        <v>44141.850653796471</v>
      </c>
      <c r="AA54" s="126"/>
      <c r="AB54" s="126"/>
      <c r="AC54" s="126"/>
      <c r="AD54" s="126"/>
      <c r="AE54" s="126"/>
      <c r="AF54" s="126"/>
      <c r="AG54" s="126"/>
      <c r="AH54" s="126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</row>
    <row r="55" spans="1:49" x14ac:dyDescent="0.3">
      <c r="A55" s="36" t="s">
        <v>36</v>
      </c>
      <c r="B55" s="37"/>
      <c r="C55" s="37"/>
      <c r="D55" s="41">
        <v>0</v>
      </c>
      <c r="E55" s="41">
        <v>0</v>
      </c>
      <c r="F55" s="41">
        <v>0</v>
      </c>
      <c r="G55" s="41">
        <v>4678.1400000000003</v>
      </c>
      <c r="H55" s="41">
        <v>7353.04</v>
      </c>
      <c r="I55" s="41">
        <v>8142.09</v>
      </c>
      <c r="J55" s="41">
        <v>8251.43</v>
      </c>
      <c r="K55" s="41">
        <v>7783.91</v>
      </c>
      <c r="L55" s="41">
        <v>6912.68</v>
      </c>
      <c r="M55" s="41">
        <v>6504.34</v>
      </c>
      <c r="N55" s="41">
        <v>6883.48</v>
      </c>
      <c r="O55" s="41">
        <v>11571.12</v>
      </c>
      <c r="P55" s="41">
        <v>19931.79</v>
      </c>
      <c r="Q55" s="41">
        <v>21827.09</v>
      </c>
      <c r="R55" s="41">
        <v>22161.01</v>
      </c>
      <c r="S55" s="41">
        <v>17306.599999999999</v>
      </c>
      <c r="T55" s="41">
        <v>24911.24</v>
      </c>
      <c r="U55" s="41">
        <v>25659.02</v>
      </c>
      <c r="V55" s="41">
        <v>26024.15</v>
      </c>
      <c r="W55" s="41">
        <v>22923.1</v>
      </c>
      <c r="X55" s="122">
        <v>22674.45521468794</v>
      </c>
      <c r="Y55" s="122">
        <v>22153.871958152562</v>
      </c>
      <c r="Z55" s="122">
        <v>24091.957694743225</v>
      </c>
      <c r="AA55" s="126"/>
      <c r="AB55" s="126"/>
      <c r="AC55" s="126"/>
      <c r="AD55" s="126"/>
      <c r="AE55" s="126"/>
      <c r="AF55" s="126"/>
      <c r="AG55" s="126"/>
      <c r="AH55" s="126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</row>
    <row r="56" spans="1:49" x14ac:dyDescent="0.3">
      <c r="A56" s="31" t="s">
        <v>30</v>
      </c>
      <c r="B56" s="29"/>
      <c r="C56" s="29"/>
      <c r="D56" s="43">
        <f>SUM(D51:D55)</f>
        <v>0</v>
      </c>
      <c r="E56" s="43">
        <f t="shared" ref="E56:AW56" si="18">SUM(E51:E55)</f>
        <v>0</v>
      </c>
      <c r="F56" s="43">
        <f t="shared" si="18"/>
        <v>42385.43</v>
      </c>
      <c r="G56" s="43">
        <f t="shared" si="18"/>
        <v>557603.83999999997</v>
      </c>
      <c r="H56" s="43">
        <f t="shared" si="18"/>
        <v>676036.05</v>
      </c>
      <c r="I56" s="43">
        <f t="shared" si="18"/>
        <v>706998.16999999993</v>
      </c>
      <c r="J56" s="43">
        <f t="shared" si="18"/>
        <v>670246.85000000009</v>
      </c>
      <c r="K56" s="43">
        <f t="shared" si="18"/>
        <v>574404.17000000004</v>
      </c>
      <c r="L56" s="43">
        <f t="shared" si="18"/>
        <v>514881.99</v>
      </c>
      <c r="M56" s="43">
        <f t="shared" si="18"/>
        <v>639874.6</v>
      </c>
      <c r="N56" s="43">
        <f t="shared" si="18"/>
        <v>693023.25</v>
      </c>
      <c r="O56" s="43">
        <f t="shared" si="18"/>
        <v>705379.13</v>
      </c>
      <c r="P56" s="43">
        <f t="shared" si="18"/>
        <v>656045.5</v>
      </c>
      <c r="Q56" s="43">
        <f t="shared" si="18"/>
        <v>537519.54999999993</v>
      </c>
      <c r="R56" s="43">
        <f t="shared" si="18"/>
        <v>488973.88</v>
      </c>
      <c r="S56" s="43">
        <f t="shared" si="18"/>
        <v>614590.80000000005</v>
      </c>
      <c r="T56" s="43">
        <f t="shared" si="18"/>
        <v>791820.69</v>
      </c>
      <c r="U56" s="43">
        <f t="shared" si="18"/>
        <v>759797.67</v>
      </c>
      <c r="V56" s="43">
        <f t="shared" si="18"/>
        <v>707202.29999999993</v>
      </c>
      <c r="W56" s="43">
        <f t="shared" si="18"/>
        <v>523078.25</v>
      </c>
      <c r="X56" s="43">
        <f t="shared" si="18"/>
        <v>528965.36143649998</v>
      </c>
      <c r="Y56" s="43">
        <f t="shared" si="18"/>
        <v>684378.47879325284</v>
      </c>
      <c r="Z56" s="43">
        <f t="shared" si="18"/>
        <v>833485.22145765054</v>
      </c>
      <c r="AA56" s="43">
        <f t="shared" si="18"/>
        <v>0</v>
      </c>
      <c r="AB56" s="43">
        <f t="shared" si="18"/>
        <v>0</v>
      </c>
      <c r="AC56" s="43">
        <f t="shared" si="18"/>
        <v>0</v>
      </c>
      <c r="AD56" s="43">
        <f t="shared" si="18"/>
        <v>0</v>
      </c>
      <c r="AE56" s="43">
        <f t="shared" si="18"/>
        <v>0</v>
      </c>
      <c r="AF56" s="43">
        <f t="shared" si="18"/>
        <v>0</v>
      </c>
      <c r="AG56" s="43">
        <f t="shared" si="18"/>
        <v>0</v>
      </c>
      <c r="AH56" s="43">
        <f t="shared" si="18"/>
        <v>0</v>
      </c>
      <c r="AI56" s="43">
        <f t="shared" si="18"/>
        <v>0</v>
      </c>
      <c r="AJ56" s="43">
        <f t="shared" si="18"/>
        <v>0</v>
      </c>
      <c r="AK56" s="43">
        <f t="shared" si="18"/>
        <v>0</v>
      </c>
      <c r="AL56" s="43">
        <f t="shared" si="18"/>
        <v>0</v>
      </c>
      <c r="AM56" s="43">
        <f t="shared" si="18"/>
        <v>0</v>
      </c>
      <c r="AN56" s="43">
        <f t="shared" si="18"/>
        <v>0</v>
      </c>
      <c r="AO56" s="43">
        <f t="shared" si="18"/>
        <v>0</v>
      </c>
      <c r="AP56" s="43">
        <f t="shared" si="18"/>
        <v>0</v>
      </c>
      <c r="AQ56" s="43">
        <f t="shared" si="18"/>
        <v>0</v>
      </c>
      <c r="AR56" s="43">
        <f t="shared" si="18"/>
        <v>0</v>
      </c>
      <c r="AS56" s="43">
        <f t="shared" si="18"/>
        <v>0</v>
      </c>
      <c r="AT56" s="43">
        <f t="shared" si="18"/>
        <v>0</v>
      </c>
      <c r="AU56" s="43">
        <f t="shared" si="18"/>
        <v>0</v>
      </c>
      <c r="AV56" s="43">
        <f t="shared" si="18"/>
        <v>0</v>
      </c>
      <c r="AW56" s="43">
        <f t="shared" si="18"/>
        <v>0</v>
      </c>
    </row>
    <row r="57" spans="1:49" x14ac:dyDescent="0.3">
      <c r="A57" s="31"/>
      <c r="B57" s="29"/>
      <c r="C57" s="29"/>
      <c r="D57" s="70"/>
      <c r="E57" s="70"/>
      <c r="F57" s="70"/>
      <c r="G57" s="70"/>
      <c r="H57" s="70"/>
      <c r="I57" s="70"/>
      <c r="J57" s="70"/>
      <c r="K57" s="70"/>
      <c r="L57" s="98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119" t="s">
        <v>76</v>
      </c>
      <c r="Y57" s="12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</row>
    <row r="58" spans="1:49" x14ac:dyDescent="0.3">
      <c r="A58" s="35" t="s">
        <v>50</v>
      </c>
      <c r="B58" s="37"/>
      <c r="C58" s="37"/>
      <c r="D58" s="41">
        <v>0</v>
      </c>
      <c r="E58" s="41">
        <v>0</v>
      </c>
      <c r="F58" s="41">
        <v>-923.75</v>
      </c>
      <c r="G58" s="41">
        <v>-10157.06</v>
      </c>
      <c r="H58" s="41">
        <v>-12455.509999999998</v>
      </c>
      <c r="I58" s="41">
        <v>-13265.509999999998</v>
      </c>
      <c r="J58" s="41">
        <v>-12079.850000000002</v>
      </c>
      <c r="K58" s="94">
        <v>-10230.949999999997</v>
      </c>
      <c r="L58" s="41">
        <v>-11242.28</v>
      </c>
      <c r="M58" s="41">
        <v>-15494.33</v>
      </c>
      <c r="N58" s="41">
        <v>-17112.689999999999</v>
      </c>
      <c r="O58" s="41">
        <v>-17916.879999999997</v>
      </c>
      <c r="P58" s="41">
        <v>-16196.53</v>
      </c>
      <c r="Q58" s="41">
        <v>-11729.169999999998</v>
      </c>
      <c r="R58" s="41">
        <v>-9666.880000000001</v>
      </c>
      <c r="S58" s="41">
        <v>-10964.7</v>
      </c>
      <c r="T58" s="41">
        <v>-14109.349999999999</v>
      </c>
      <c r="U58" s="41">
        <v>-13038.06</v>
      </c>
      <c r="V58" s="41">
        <v>-11941.109999999999</v>
      </c>
      <c r="W58" s="41">
        <v>-8935.6699999999983</v>
      </c>
      <c r="X58" s="122">
        <v>-10325.328209916766</v>
      </c>
      <c r="Y58" s="122">
        <v>-14902.102963728386</v>
      </c>
      <c r="Z58" s="122">
        <v>-18549.46418286697</v>
      </c>
      <c r="AA58" s="126"/>
      <c r="AB58" s="126"/>
      <c r="AC58" s="126"/>
      <c r="AD58" s="126"/>
      <c r="AE58" s="126"/>
      <c r="AF58" s="126"/>
      <c r="AG58" s="126"/>
      <c r="AH58" s="126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</row>
    <row r="59" spans="1:49" x14ac:dyDescent="0.3">
      <c r="B59" s="37"/>
      <c r="C59" s="37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</row>
    <row r="60" spans="1:49" x14ac:dyDescent="0.3">
      <c r="A60" s="27" t="s">
        <v>31</v>
      </c>
      <c r="B60" s="37"/>
      <c r="C60" s="37"/>
      <c r="S60" s="74"/>
    </row>
    <row r="61" spans="1:49" x14ac:dyDescent="0.3">
      <c r="A61" s="36" t="s">
        <v>32</v>
      </c>
      <c r="B61" s="37"/>
      <c r="C61" s="37"/>
      <c r="D61" s="71">
        <f t="shared" ref="D61:AW61" si="19">+D23</f>
        <v>1268128455</v>
      </c>
      <c r="E61" s="71">
        <f t="shared" si="19"/>
        <v>872933544</v>
      </c>
      <c r="F61" s="71">
        <f t="shared" si="19"/>
        <v>738196558</v>
      </c>
      <c r="G61" s="71">
        <f t="shared" si="19"/>
        <v>978975302</v>
      </c>
      <c r="H61" s="71">
        <f t="shared" si="19"/>
        <v>1243909773</v>
      </c>
      <c r="I61" s="71">
        <f t="shared" si="19"/>
        <v>1310015315</v>
      </c>
      <c r="J61" s="71">
        <f t="shared" si="19"/>
        <v>1208033233</v>
      </c>
      <c r="K61" s="71">
        <f t="shared" si="19"/>
        <v>993546162</v>
      </c>
      <c r="L61" s="71">
        <f t="shared" si="19"/>
        <v>897156231</v>
      </c>
      <c r="M61" s="71">
        <f t="shared" si="19"/>
        <v>1208147189</v>
      </c>
      <c r="N61" s="71">
        <f t="shared" si="19"/>
        <v>1334184680</v>
      </c>
      <c r="O61" s="71">
        <f t="shared" si="19"/>
        <v>1302694951</v>
      </c>
      <c r="P61" s="71">
        <f t="shared" si="19"/>
        <v>1123586700</v>
      </c>
      <c r="Q61" s="71">
        <f t="shared" si="19"/>
        <v>886578697</v>
      </c>
      <c r="R61" s="71">
        <f t="shared" si="19"/>
        <v>790098101</v>
      </c>
      <c r="S61" s="71">
        <f t="shared" si="19"/>
        <v>1041013964</v>
      </c>
      <c r="T61" s="71">
        <f t="shared" si="19"/>
        <v>1397050553</v>
      </c>
      <c r="U61" s="71">
        <f t="shared" si="19"/>
        <v>1310723723</v>
      </c>
      <c r="V61" s="71">
        <f t="shared" si="19"/>
        <v>1275164339</v>
      </c>
      <c r="W61" s="71">
        <f t="shared" si="19"/>
        <v>800796996</v>
      </c>
      <c r="X61" s="71">
        <f>+X23</f>
        <v>843046412.65697241</v>
      </c>
      <c r="Y61" s="71">
        <f t="shared" si="19"/>
        <v>1216732697.4216664</v>
      </c>
      <c r="Z61" s="71">
        <f t="shared" si="19"/>
        <v>1514533864.5076404</v>
      </c>
      <c r="AA61" s="71">
        <f t="shared" si="19"/>
        <v>1353000873.8219242</v>
      </c>
      <c r="AB61" s="71">
        <f t="shared" si="19"/>
        <v>1143228220.4744561</v>
      </c>
      <c r="AC61" s="71">
        <f t="shared" si="19"/>
        <v>889539619.41139734</v>
      </c>
      <c r="AD61" s="71">
        <f t="shared" si="19"/>
        <v>773031246.93266892</v>
      </c>
      <c r="AE61" s="71">
        <f t="shared" si="19"/>
        <v>953174706.39011753</v>
      </c>
      <c r="AF61" s="71">
        <f t="shared" si="19"/>
        <v>1258128071.0229247</v>
      </c>
      <c r="AG61" s="71">
        <f t="shared" si="19"/>
        <v>1284830134.8869648</v>
      </c>
      <c r="AH61" s="71">
        <f t="shared" si="19"/>
        <v>1176106448.7170825</v>
      </c>
      <c r="AI61" s="71">
        <f t="shared" si="19"/>
        <v>819337484.22890031</v>
      </c>
      <c r="AJ61" s="71">
        <f t="shared" si="19"/>
        <v>809843305.99914408</v>
      </c>
      <c r="AK61" s="71">
        <f t="shared" si="19"/>
        <v>1138403654.3865542</v>
      </c>
      <c r="AL61" s="71">
        <f t="shared" si="19"/>
        <v>1470304010.0884442</v>
      </c>
      <c r="AM61" s="71">
        <f t="shared" si="19"/>
        <v>0</v>
      </c>
      <c r="AN61" s="71">
        <f t="shared" si="19"/>
        <v>0</v>
      </c>
      <c r="AO61" s="71">
        <f t="shared" si="19"/>
        <v>0</v>
      </c>
      <c r="AP61" s="71">
        <f t="shared" si="19"/>
        <v>0</v>
      </c>
      <c r="AQ61" s="71">
        <f t="shared" si="19"/>
        <v>0</v>
      </c>
      <c r="AR61" s="71">
        <f t="shared" si="19"/>
        <v>0</v>
      </c>
      <c r="AS61" s="71">
        <f t="shared" si="19"/>
        <v>0</v>
      </c>
      <c r="AT61" s="71">
        <f t="shared" si="19"/>
        <v>0</v>
      </c>
      <c r="AU61" s="71">
        <f t="shared" si="19"/>
        <v>0</v>
      </c>
      <c r="AV61" s="71">
        <f t="shared" si="19"/>
        <v>0</v>
      </c>
      <c r="AW61" s="71">
        <f t="shared" si="19"/>
        <v>0</v>
      </c>
    </row>
    <row r="62" spans="1:49" x14ac:dyDescent="0.3">
      <c r="A62" s="36" t="s">
        <v>33</v>
      </c>
      <c r="B62" s="37"/>
      <c r="C62" s="37"/>
      <c r="D62" s="71">
        <f t="shared" ref="D62:AW62" si="20">+D24</f>
        <v>290178959</v>
      </c>
      <c r="E62" s="71">
        <f t="shared" si="20"/>
        <v>235096003</v>
      </c>
      <c r="F62" s="71">
        <f t="shared" si="20"/>
        <v>221772499</v>
      </c>
      <c r="G62" s="71">
        <f t="shared" si="20"/>
        <v>258735845</v>
      </c>
      <c r="H62" s="71">
        <f t="shared" si="20"/>
        <v>295975497</v>
      </c>
      <c r="I62" s="71">
        <f t="shared" si="20"/>
        <v>304175879</v>
      </c>
      <c r="J62" s="71">
        <f t="shared" si="20"/>
        <v>293549572</v>
      </c>
      <c r="K62" s="71">
        <f t="shared" si="20"/>
        <v>264736629</v>
      </c>
      <c r="L62" s="71">
        <f t="shared" si="20"/>
        <v>237145043</v>
      </c>
      <c r="M62" s="71">
        <f t="shared" si="20"/>
        <v>278572550</v>
      </c>
      <c r="N62" s="71">
        <f t="shared" si="20"/>
        <v>297050898</v>
      </c>
      <c r="O62" s="71">
        <f t="shared" si="20"/>
        <v>290934660</v>
      </c>
      <c r="P62" s="71">
        <f t="shared" si="20"/>
        <v>265078600</v>
      </c>
      <c r="Q62" s="71">
        <f t="shared" si="20"/>
        <v>203506574</v>
      </c>
      <c r="R62" s="71">
        <f t="shared" si="20"/>
        <v>184563246</v>
      </c>
      <c r="S62" s="71">
        <f t="shared" si="20"/>
        <v>231230759</v>
      </c>
      <c r="T62" s="71">
        <f t="shared" si="20"/>
        <v>288425422</v>
      </c>
      <c r="U62" s="71">
        <f t="shared" si="20"/>
        <v>281389691</v>
      </c>
      <c r="V62" s="71">
        <f t="shared" si="20"/>
        <v>269111017</v>
      </c>
      <c r="W62" s="71">
        <f t="shared" si="20"/>
        <v>218212399</v>
      </c>
      <c r="X62" s="71">
        <f t="shared" si="20"/>
        <v>212506850.43729073</v>
      </c>
      <c r="Y62" s="71">
        <f t="shared" si="20"/>
        <v>247333671.47152999</v>
      </c>
      <c r="Z62" s="71">
        <f t="shared" si="20"/>
        <v>296505448.15133965</v>
      </c>
      <c r="AA62" s="71">
        <f t="shared" si="20"/>
        <v>267928488.40673864</v>
      </c>
      <c r="AB62" s="71">
        <f t="shared" si="20"/>
        <v>237479388.34307319</v>
      </c>
      <c r="AC62" s="71">
        <f t="shared" si="20"/>
        <v>210208840.1250765</v>
      </c>
      <c r="AD62" s="71">
        <f t="shared" si="20"/>
        <v>209200072.86682042</v>
      </c>
      <c r="AE62" s="71">
        <f t="shared" si="20"/>
        <v>242171240.11685324</v>
      </c>
      <c r="AF62" s="71">
        <f t="shared" si="20"/>
        <v>272128853.54232121</v>
      </c>
      <c r="AG62" s="71">
        <f t="shared" si="20"/>
        <v>273155952.8100279</v>
      </c>
      <c r="AH62" s="71">
        <f t="shared" si="20"/>
        <v>265585160.79652685</v>
      </c>
      <c r="AI62" s="71">
        <f t="shared" si="20"/>
        <v>219300861.03337801</v>
      </c>
      <c r="AJ62" s="71">
        <f t="shared" si="20"/>
        <v>207766768.06504351</v>
      </c>
      <c r="AK62" s="71">
        <f t="shared" si="20"/>
        <v>244978163.87717152</v>
      </c>
      <c r="AL62" s="71">
        <f t="shared" si="20"/>
        <v>290619422.45461601</v>
      </c>
      <c r="AM62" s="71">
        <f t="shared" si="20"/>
        <v>0</v>
      </c>
      <c r="AN62" s="71">
        <f t="shared" si="20"/>
        <v>0</v>
      </c>
      <c r="AO62" s="71">
        <f t="shared" si="20"/>
        <v>0</v>
      </c>
      <c r="AP62" s="71">
        <f t="shared" si="20"/>
        <v>0</v>
      </c>
      <c r="AQ62" s="71">
        <f t="shared" si="20"/>
        <v>0</v>
      </c>
      <c r="AR62" s="71">
        <f t="shared" si="20"/>
        <v>0</v>
      </c>
      <c r="AS62" s="71">
        <f t="shared" si="20"/>
        <v>0</v>
      </c>
      <c r="AT62" s="71">
        <f t="shared" si="20"/>
        <v>0</v>
      </c>
      <c r="AU62" s="71">
        <f t="shared" si="20"/>
        <v>0</v>
      </c>
      <c r="AV62" s="71">
        <f t="shared" si="20"/>
        <v>0</v>
      </c>
      <c r="AW62" s="71">
        <f t="shared" si="20"/>
        <v>0</v>
      </c>
    </row>
    <row r="63" spans="1:49" x14ac:dyDescent="0.3">
      <c r="A63" s="36" t="s">
        <v>34</v>
      </c>
      <c r="B63" s="37"/>
      <c r="C63" s="37"/>
      <c r="D63" s="71">
        <f t="shared" ref="D63:AW63" si="21">+D25</f>
        <v>599641261</v>
      </c>
      <c r="E63" s="71">
        <f t="shared" si="21"/>
        <v>546450417</v>
      </c>
      <c r="F63" s="71">
        <f t="shared" si="21"/>
        <v>548775486</v>
      </c>
      <c r="G63" s="71">
        <f t="shared" si="21"/>
        <v>609609142</v>
      </c>
      <c r="H63" s="71">
        <f t="shared" si="21"/>
        <v>656813642</v>
      </c>
      <c r="I63" s="71">
        <f t="shared" si="21"/>
        <v>671886437</v>
      </c>
      <c r="J63" s="71">
        <f t="shared" si="21"/>
        <v>678219627</v>
      </c>
      <c r="K63" s="71">
        <f t="shared" si="21"/>
        <v>622550219</v>
      </c>
      <c r="L63" s="71">
        <f t="shared" si="21"/>
        <v>549600433</v>
      </c>
      <c r="M63" s="71">
        <f t="shared" si="21"/>
        <v>596432225</v>
      </c>
      <c r="N63" s="71">
        <f t="shared" si="21"/>
        <v>616923082</v>
      </c>
      <c r="O63" s="71">
        <f t="shared" si="21"/>
        <v>599527620</v>
      </c>
      <c r="P63" s="71">
        <f t="shared" si="21"/>
        <v>566693954</v>
      </c>
      <c r="Q63" s="71">
        <f t="shared" si="21"/>
        <v>483801855</v>
      </c>
      <c r="R63" s="71">
        <f t="shared" si="21"/>
        <v>451939609</v>
      </c>
      <c r="S63" s="71">
        <f t="shared" si="21"/>
        <v>534583835</v>
      </c>
      <c r="T63" s="71">
        <f t="shared" si="21"/>
        <v>624356693</v>
      </c>
      <c r="U63" s="71">
        <f t="shared" si="21"/>
        <v>621885740</v>
      </c>
      <c r="V63" s="71">
        <f t="shared" si="21"/>
        <v>619148163</v>
      </c>
      <c r="W63" s="71">
        <f t="shared" si="21"/>
        <v>528448107.69999999</v>
      </c>
      <c r="X63" s="71">
        <f t="shared" si="21"/>
        <v>505406155.39879215</v>
      </c>
      <c r="Y63" s="71">
        <f t="shared" si="21"/>
        <v>533082643.85671055</v>
      </c>
      <c r="Z63" s="71">
        <f t="shared" si="21"/>
        <v>618354607.53746903</v>
      </c>
      <c r="AA63" s="71">
        <f t="shared" si="21"/>
        <v>559378115.5239253</v>
      </c>
      <c r="AB63" s="71">
        <f t="shared" si="21"/>
        <v>527146471.64428455</v>
      </c>
      <c r="AC63" s="71">
        <f t="shared" si="21"/>
        <v>501270304.12016547</v>
      </c>
      <c r="AD63" s="71">
        <f t="shared" si="21"/>
        <v>509534305.5644049</v>
      </c>
      <c r="AE63" s="71">
        <f t="shared" si="21"/>
        <v>558716568.95594716</v>
      </c>
      <c r="AF63" s="71">
        <f t="shared" si="21"/>
        <v>621113000.81686854</v>
      </c>
      <c r="AG63" s="71">
        <f t="shared" si="21"/>
        <v>621544135.20726073</v>
      </c>
      <c r="AH63" s="71">
        <f t="shared" si="21"/>
        <v>626961782.85580015</v>
      </c>
      <c r="AI63" s="71">
        <f t="shared" si="21"/>
        <v>528577738.54045397</v>
      </c>
      <c r="AJ63" s="71">
        <f t="shared" si="21"/>
        <v>503778993.32592851</v>
      </c>
      <c r="AK63" s="71">
        <f t="shared" si="21"/>
        <v>543135974.91191447</v>
      </c>
      <c r="AL63" s="71">
        <f t="shared" si="21"/>
        <v>629518588.98358393</v>
      </c>
      <c r="AM63" s="71">
        <f t="shared" si="21"/>
        <v>0</v>
      </c>
      <c r="AN63" s="71">
        <f t="shared" si="21"/>
        <v>0</v>
      </c>
      <c r="AO63" s="71">
        <f t="shared" si="21"/>
        <v>0</v>
      </c>
      <c r="AP63" s="71">
        <f t="shared" si="21"/>
        <v>0</v>
      </c>
      <c r="AQ63" s="71">
        <f t="shared" si="21"/>
        <v>0</v>
      </c>
      <c r="AR63" s="71">
        <f t="shared" si="21"/>
        <v>0</v>
      </c>
      <c r="AS63" s="71">
        <f t="shared" si="21"/>
        <v>0</v>
      </c>
      <c r="AT63" s="71">
        <f t="shared" si="21"/>
        <v>0</v>
      </c>
      <c r="AU63" s="71">
        <f t="shared" si="21"/>
        <v>0</v>
      </c>
      <c r="AV63" s="71">
        <f t="shared" si="21"/>
        <v>0</v>
      </c>
      <c r="AW63" s="71">
        <f t="shared" si="21"/>
        <v>0</v>
      </c>
    </row>
    <row r="64" spans="1:49" x14ac:dyDescent="0.3">
      <c r="A64" s="36" t="s">
        <v>35</v>
      </c>
      <c r="B64" s="37"/>
      <c r="C64" s="37"/>
      <c r="D64" s="71">
        <f t="shared" ref="D64:AW64" si="22">+D26</f>
        <v>242499726</v>
      </c>
      <c r="E64" s="71">
        <f t="shared" si="22"/>
        <v>232539680</v>
      </c>
      <c r="F64" s="71">
        <f t="shared" si="22"/>
        <v>229224298</v>
      </c>
      <c r="G64" s="71">
        <f t="shared" si="22"/>
        <v>266349220</v>
      </c>
      <c r="H64" s="71">
        <f t="shared" si="22"/>
        <v>267674678</v>
      </c>
      <c r="I64" s="71">
        <f t="shared" si="22"/>
        <v>281003685</v>
      </c>
      <c r="J64" s="71">
        <f t="shared" si="22"/>
        <v>279302255</v>
      </c>
      <c r="K64" s="71">
        <f t="shared" si="22"/>
        <v>258807768</v>
      </c>
      <c r="L64" s="71">
        <f t="shared" si="22"/>
        <v>239334214</v>
      </c>
      <c r="M64" s="71">
        <f t="shared" si="22"/>
        <v>241025466</v>
      </c>
      <c r="N64" s="71">
        <f t="shared" si="22"/>
        <v>247898204</v>
      </c>
      <c r="O64" s="71">
        <f t="shared" si="22"/>
        <v>255420215</v>
      </c>
      <c r="P64" s="71">
        <f t="shared" si="22"/>
        <v>225135566</v>
      </c>
      <c r="Q64" s="71">
        <f t="shared" si="22"/>
        <v>219961316</v>
      </c>
      <c r="R64" s="71">
        <f t="shared" si="22"/>
        <v>207074154</v>
      </c>
      <c r="S64" s="71">
        <f t="shared" si="22"/>
        <v>241165089</v>
      </c>
      <c r="T64" s="71">
        <f t="shared" si="22"/>
        <v>253833450</v>
      </c>
      <c r="U64" s="71">
        <f t="shared" si="22"/>
        <v>266058831</v>
      </c>
      <c r="V64" s="71">
        <f t="shared" si="22"/>
        <v>266126792</v>
      </c>
      <c r="W64" s="71">
        <f t="shared" si="22"/>
        <v>236673642.40000001</v>
      </c>
      <c r="X64" s="71">
        <f t="shared" si="22"/>
        <v>217834796.02862665</v>
      </c>
      <c r="Y64" s="71">
        <f t="shared" si="22"/>
        <v>220250790.93781009</v>
      </c>
      <c r="Z64" s="71">
        <f t="shared" si="22"/>
        <v>253688796.86089924</v>
      </c>
      <c r="AA64" s="71">
        <f t="shared" si="22"/>
        <v>240319737.83394691</v>
      </c>
      <c r="AB64" s="71">
        <f t="shared" si="22"/>
        <v>228618541.09901899</v>
      </c>
      <c r="AC64" s="71">
        <f t="shared" si="22"/>
        <v>228826327.37617189</v>
      </c>
      <c r="AD64" s="71">
        <f t="shared" si="22"/>
        <v>234375632.83568332</v>
      </c>
      <c r="AE64" s="71">
        <f t="shared" si="22"/>
        <v>254020203.02489942</v>
      </c>
      <c r="AF64" s="71">
        <f t="shared" si="22"/>
        <v>265873032.35078281</v>
      </c>
      <c r="AG64" s="71">
        <f t="shared" si="22"/>
        <v>264416532.08463261</v>
      </c>
      <c r="AH64" s="71">
        <f t="shared" si="22"/>
        <v>266918305.4792347</v>
      </c>
      <c r="AI64" s="71">
        <f t="shared" si="22"/>
        <v>243196539.92347443</v>
      </c>
      <c r="AJ64" s="71">
        <f t="shared" si="22"/>
        <v>229299456.65709269</v>
      </c>
      <c r="AK64" s="71">
        <f t="shared" si="22"/>
        <v>237217567.36649111</v>
      </c>
      <c r="AL64" s="71">
        <f t="shared" si="22"/>
        <v>251956122.11895767</v>
      </c>
      <c r="AM64" s="71">
        <f t="shared" si="22"/>
        <v>0</v>
      </c>
      <c r="AN64" s="71">
        <f t="shared" si="22"/>
        <v>0</v>
      </c>
      <c r="AO64" s="71">
        <f t="shared" si="22"/>
        <v>0</v>
      </c>
      <c r="AP64" s="71">
        <f t="shared" si="22"/>
        <v>0</v>
      </c>
      <c r="AQ64" s="71">
        <f t="shared" si="22"/>
        <v>0</v>
      </c>
      <c r="AR64" s="71">
        <f t="shared" si="22"/>
        <v>0</v>
      </c>
      <c r="AS64" s="71">
        <f t="shared" si="22"/>
        <v>0</v>
      </c>
      <c r="AT64" s="71">
        <f t="shared" si="22"/>
        <v>0</v>
      </c>
      <c r="AU64" s="71">
        <f t="shared" si="22"/>
        <v>0</v>
      </c>
      <c r="AV64" s="71">
        <f t="shared" si="22"/>
        <v>0</v>
      </c>
      <c r="AW64" s="71">
        <f t="shared" si="22"/>
        <v>0</v>
      </c>
    </row>
    <row r="65" spans="1:49" x14ac:dyDescent="0.3">
      <c r="A65" s="36" t="s">
        <v>36</v>
      </c>
      <c r="B65" s="37"/>
      <c r="C65" s="37"/>
      <c r="D65" s="71">
        <f t="shared" ref="D65:AW65" si="23">+D27</f>
        <v>99309923</v>
      </c>
      <c r="E65" s="71">
        <f t="shared" si="23"/>
        <v>98876748</v>
      </c>
      <c r="F65" s="71">
        <f t="shared" si="23"/>
        <v>96480454</v>
      </c>
      <c r="G65" s="71">
        <f t="shared" si="23"/>
        <v>121526151</v>
      </c>
      <c r="H65" s="71">
        <f t="shared" si="23"/>
        <v>113123855</v>
      </c>
      <c r="I65" s="71">
        <f t="shared" si="23"/>
        <v>125262874</v>
      </c>
      <c r="J65" s="71">
        <f t="shared" si="23"/>
        <v>126945040</v>
      </c>
      <c r="K65" s="71">
        <f t="shared" si="23"/>
        <v>119752379</v>
      </c>
      <c r="L65" s="71">
        <f t="shared" si="23"/>
        <v>106348532</v>
      </c>
      <c r="M65" s="71">
        <f t="shared" si="23"/>
        <v>100067076</v>
      </c>
      <c r="N65" s="71">
        <f t="shared" si="23"/>
        <v>105899561</v>
      </c>
      <c r="O65" s="71">
        <f t="shared" si="23"/>
        <v>111203176</v>
      </c>
      <c r="P65" s="71">
        <f t="shared" si="23"/>
        <v>86704807</v>
      </c>
      <c r="Q65" s="71">
        <f t="shared" si="23"/>
        <v>92097434</v>
      </c>
      <c r="R65" s="71">
        <f t="shared" si="23"/>
        <v>93506334</v>
      </c>
      <c r="S65" s="71">
        <f t="shared" si="23"/>
        <v>92139707</v>
      </c>
      <c r="T65" s="71">
        <f t="shared" si="23"/>
        <v>105110654</v>
      </c>
      <c r="U65" s="71">
        <f t="shared" si="23"/>
        <v>108265948</v>
      </c>
      <c r="V65" s="71">
        <f t="shared" si="23"/>
        <v>109806573</v>
      </c>
      <c r="W65" s="71">
        <f t="shared" si="23"/>
        <v>96724322.099999994</v>
      </c>
      <c r="X65" s="71">
        <f t="shared" si="23"/>
        <v>95672806.813029289</v>
      </c>
      <c r="Y65" s="71">
        <f t="shared" si="23"/>
        <v>93476252.987985492</v>
      </c>
      <c r="Z65" s="71">
        <f t="shared" si="23"/>
        <v>101653829.93562543</v>
      </c>
      <c r="AA65" s="71">
        <f t="shared" si="23"/>
        <v>96063641.068142533</v>
      </c>
      <c r="AB65" s="71">
        <f t="shared" si="23"/>
        <v>90444011.141792998</v>
      </c>
      <c r="AC65" s="71">
        <f t="shared" si="23"/>
        <v>97393337.713786483</v>
      </c>
      <c r="AD65" s="71">
        <f t="shared" si="23"/>
        <v>104315491.03424051</v>
      </c>
      <c r="AE65" s="71">
        <f t="shared" si="23"/>
        <v>111020821.08208716</v>
      </c>
      <c r="AF65" s="71">
        <f t="shared" si="23"/>
        <v>113258011.32546045</v>
      </c>
      <c r="AG65" s="71">
        <f t="shared" si="23"/>
        <v>116118093.77125421</v>
      </c>
      <c r="AH65" s="71">
        <f t="shared" si="23"/>
        <v>116932991.41423991</v>
      </c>
      <c r="AI65" s="71">
        <f t="shared" si="23"/>
        <v>107986744.23609008</v>
      </c>
      <c r="AJ65" s="71">
        <f t="shared" si="23"/>
        <v>106012831.93369259</v>
      </c>
      <c r="AK65" s="71">
        <f t="shared" si="23"/>
        <v>100984058.48278123</v>
      </c>
      <c r="AL65" s="71">
        <f t="shared" si="23"/>
        <v>101479791.72933705</v>
      </c>
      <c r="AM65" s="71">
        <f t="shared" si="23"/>
        <v>0</v>
      </c>
      <c r="AN65" s="71">
        <f t="shared" si="23"/>
        <v>0</v>
      </c>
      <c r="AO65" s="71">
        <f t="shared" si="23"/>
        <v>0</v>
      </c>
      <c r="AP65" s="71">
        <f t="shared" si="23"/>
        <v>0</v>
      </c>
      <c r="AQ65" s="71">
        <f t="shared" si="23"/>
        <v>0</v>
      </c>
      <c r="AR65" s="71">
        <f t="shared" si="23"/>
        <v>0</v>
      </c>
      <c r="AS65" s="71">
        <f t="shared" si="23"/>
        <v>0</v>
      </c>
      <c r="AT65" s="71">
        <f t="shared" si="23"/>
        <v>0</v>
      </c>
      <c r="AU65" s="71">
        <f t="shared" si="23"/>
        <v>0</v>
      </c>
      <c r="AV65" s="71">
        <f t="shared" si="23"/>
        <v>0</v>
      </c>
      <c r="AW65" s="71">
        <f t="shared" si="23"/>
        <v>0</v>
      </c>
    </row>
    <row r="66" spans="1:49" x14ac:dyDescent="0.3">
      <c r="A66" s="31" t="s">
        <v>30</v>
      </c>
      <c r="B66" s="29"/>
      <c r="C66" s="29"/>
      <c r="D66" s="33">
        <f>SUM(D61:D65)</f>
        <v>2499758324</v>
      </c>
      <c r="E66" s="33">
        <f t="shared" ref="E66:AW66" si="24">SUM(E61:E65)</f>
        <v>1985896392</v>
      </c>
      <c r="F66" s="33">
        <f t="shared" si="24"/>
        <v>1834449295</v>
      </c>
      <c r="G66" s="33">
        <f t="shared" si="24"/>
        <v>2235195660</v>
      </c>
      <c r="H66" s="33">
        <f t="shared" si="24"/>
        <v>2577497445</v>
      </c>
      <c r="I66" s="33">
        <f t="shared" si="24"/>
        <v>2692344190</v>
      </c>
      <c r="J66" s="33">
        <f t="shared" si="24"/>
        <v>2586049727</v>
      </c>
      <c r="K66" s="33">
        <f t="shared" si="24"/>
        <v>2259393157</v>
      </c>
      <c r="L66" s="33">
        <f t="shared" si="24"/>
        <v>2029584453</v>
      </c>
      <c r="M66" s="33">
        <f t="shared" si="24"/>
        <v>2424244506</v>
      </c>
      <c r="N66" s="33">
        <f t="shared" si="24"/>
        <v>2601956425</v>
      </c>
      <c r="O66" s="33">
        <f t="shared" si="24"/>
        <v>2559780622</v>
      </c>
      <c r="P66" s="33">
        <f t="shared" si="24"/>
        <v>2267199627</v>
      </c>
      <c r="Q66" s="33">
        <f t="shared" si="24"/>
        <v>1885945876</v>
      </c>
      <c r="R66" s="33">
        <f t="shared" si="24"/>
        <v>1727181444</v>
      </c>
      <c r="S66" s="33">
        <f t="shared" si="24"/>
        <v>2140133354</v>
      </c>
      <c r="T66" s="33">
        <f t="shared" si="24"/>
        <v>2668776772</v>
      </c>
      <c r="U66" s="33">
        <f t="shared" si="24"/>
        <v>2588323933</v>
      </c>
      <c r="V66" s="33">
        <f t="shared" si="24"/>
        <v>2539356884</v>
      </c>
      <c r="W66" s="33">
        <f t="shared" si="24"/>
        <v>1880855467.2</v>
      </c>
      <c r="X66" s="33">
        <f t="shared" si="24"/>
        <v>1874467021.3347113</v>
      </c>
      <c r="Y66" s="33">
        <f t="shared" si="24"/>
        <v>2310876056.6757026</v>
      </c>
      <c r="Z66" s="33">
        <f t="shared" si="24"/>
        <v>2784736546.9929738</v>
      </c>
      <c r="AA66" s="33">
        <f t="shared" si="24"/>
        <v>2516690856.6546774</v>
      </c>
      <c r="AB66" s="33">
        <f t="shared" si="24"/>
        <v>2226916632.7026258</v>
      </c>
      <c r="AC66" s="33">
        <f t="shared" si="24"/>
        <v>1927238428.7465973</v>
      </c>
      <c r="AD66" s="33">
        <f t="shared" si="24"/>
        <v>1830456749.2338181</v>
      </c>
      <c r="AE66" s="33">
        <f t="shared" si="24"/>
        <v>2119103539.5699048</v>
      </c>
      <c r="AF66" s="33">
        <f t="shared" si="24"/>
        <v>2530500969.0583577</v>
      </c>
      <c r="AG66" s="33">
        <f t="shared" si="24"/>
        <v>2560064848.7601399</v>
      </c>
      <c r="AH66" s="33">
        <f t="shared" si="24"/>
        <v>2452504689.2628841</v>
      </c>
      <c r="AI66" s="33">
        <f t="shared" si="24"/>
        <v>1918399367.962297</v>
      </c>
      <c r="AJ66" s="33">
        <f t="shared" si="24"/>
        <v>1856701355.9809015</v>
      </c>
      <c r="AK66" s="33">
        <f t="shared" si="24"/>
        <v>2264719419.0249128</v>
      </c>
      <c r="AL66" s="33">
        <f t="shared" si="24"/>
        <v>2743877935.374939</v>
      </c>
      <c r="AM66" s="33">
        <f t="shared" si="24"/>
        <v>0</v>
      </c>
      <c r="AN66" s="33">
        <f t="shared" si="24"/>
        <v>0</v>
      </c>
      <c r="AO66" s="33">
        <f t="shared" si="24"/>
        <v>0</v>
      </c>
      <c r="AP66" s="33">
        <f t="shared" si="24"/>
        <v>0</v>
      </c>
      <c r="AQ66" s="33">
        <f t="shared" si="24"/>
        <v>0</v>
      </c>
      <c r="AR66" s="33">
        <f t="shared" si="24"/>
        <v>0</v>
      </c>
      <c r="AS66" s="33">
        <f t="shared" si="24"/>
        <v>0</v>
      </c>
      <c r="AT66" s="33">
        <f t="shared" si="24"/>
        <v>0</v>
      </c>
      <c r="AU66" s="33">
        <f t="shared" si="24"/>
        <v>0</v>
      </c>
      <c r="AV66" s="33">
        <f t="shared" si="24"/>
        <v>0</v>
      </c>
      <c r="AW66" s="33">
        <f t="shared" si="24"/>
        <v>0</v>
      </c>
    </row>
    <row r="67" spans="1:49" x14ac:dyDescent="0.3">
      <c r="B67" s="37"/>
      <c r="C67" s="37"/>
      <c r="O67" s="72"/>
    </row>
    <row r="68" spans="1:49" x14ac:dyDescent="0.3">
      <c r="A68" s="27" t="s">
        <v>51</v>
      </c>
      <c r="B68" s="37"/>
      <c r="C68" s="37"/>
      <c r="D68" s="72"/>
    </row>
    <row r="69" spans="1:49" x14ac:dyDescent="0.3">
      <c r="A69" s="36" t="s">
        <v>32</v>
      </c>
      <c r="B69" s="37"/>
      <c r="C69" s="37"/>
      <c r="D69" s="44">
        <f>IF(D51="","",+(D51-D58)+(D58*D61/D66))</f>
        <v>0</v>
      </c>
      <c r="E69" s="44">
        <f t="shared" ref="E69:AW69" si="25">IF(E51="","",+(E51-E58)+(E58*E61/E66))</f>
        <v>0</v>
      </c>
      <c r="F69" s="44">
        <f t="shared" si="25"/>
        <v>28636.335868779192</v>
      </c>
      <c r="G69" s="44">
        <f t="shared" si="25"/>
        <v>344669.92129031231</v>
      </c>
      <c r="H69" s="44">
        <f t="shared" si="25"/>
        <v>437739.69493695599</v>
      </c>
      <c r="I69" s="46">
        <f t="shared" si="25"/>
        <v>461093.89388914994</v>
      </c>
      <c r="J69" s="44">
        <f t="shared" si="25"/>
        <v>425531.99443758972</v>
      </c>
      <c r="K69" s="44">
        <f t="shared" si="25"/>
        <v>350101.97926152864</v>
      </c>
      <c r="L69" s="44">
        <f t="shared" si="25"/>
        <v>315194.78964232601</v>
      </c>
      <c r="M69" s="44">
        <f t="shared" si="25"/>
        <v>423499.84124645527</v>
      </c>
      <c r="N69" s="44">
        <f t="shared" si="25"/>
        <v>467459.76087976695</v>
      </c>
      <c r="O69" s="44">
        <f t="shared" si="25"/>
        <v>474323.05163473397</v>
      </c>
      <c r="P69" s="44">
        <f t="shared" si="25"/>
        <v>428810.25716296653</v>
      </c>
      <c r="Q69" s="44">
        <f t="shared" si="25"/>
        <v>339346.33491655142</v>
      </c>
      <c r="R69" s="44">
        <f t="shared" si="25"/>
        <v>302925.05162387801</v>
      </c>
      <c r="S69" s="44">
        <f t="shared" si="25"/>
        <v>399589.74786578171</v>
      </c>
      <c r="T69" s="44">
        <f t="shared" si="25"/>
        <v>536049.73122413771</v>
      </c>
      <c r="U69" s="44">
        <f t="shared" si="25"/>
        <v>503311.04413038632</v>
      </c>
      <c r="V69" s="44">
        <f t="shared" si="25"/>
        <v>453730.11803544633</v>
      </c>
      <c r="W69" s="44">
        <f t="shared" si="25"/>
        <v>307694.93026905361</v>
      </c>
      <c r="X69" s="44">
        <f t="shared" si="25"/>
        <v>323301.211336245</v>
      </c>
      <c r="Y69" s="44">
        <f t="shared" si="25"/>
        <v>465462.69803547335</v>
      </c>
      <c r="Z69" s="44">
        <f>IF(Z51="","",+(Z51-Z58)+(Z58*Z61/Z66))</f>
        <v>579065.18154592789</v>
      </c>
      <c r="AA69" s="44" t="str">
        <f t="shared" si="25"/>
        <v/>
      </c>
      <c r="AB69" s="44" t="str">
        <f t="shared" si="25"/>
        <v/>
      </c>
      <c r="AC69" s="44" t="str">
        <f t="shared" si="25"/>
        <v/>
      </c>
      <c r="AD69" s="44" t="str">
        <f t="shared" si="25"/>
        <v/>
      </c>
      <c r="AE69" s="44" t="str">
        <f t="shared" si="25"/>
        <v/>
      </c>
      <c r="AF69" s="44" t="str">
        <f t="shared" si="25"/>
        <v/>
      </c>
      <c r="AG69" s="44" t="str">
        <f t="shared" si="25"/>
        <v/>
      </c>
      <c r="AH69" s="44" t="str">
        <f t="shared" si="25"/>
        <v/>
      </c>
      <c r="AI69" s="44" t="str">
        <f t="shared" si="25"/>
        <v/>
      </c>
      <c r="AJ69" s="44" t="str">
        <f t="shared" si="25"/>
        <v/>
      </c>
      <c r="AK69" s="44" t="str">
        <f t="shared" si="25"/>
        <v/>
      </c>
      <c r="AL69" s="44" t="str">
        <f t="shared" si="25"/>
        <v/>
      </c>
      <c r="AM69" s="44" t="str">
        <f t="shared" si="25"/>
        <v/>
      </c>
      <c r="AN69" s="44" t="str">
        <f t="shared" si="25"/>
        <v/>
      </c>
      <c r="AO69" s="44" t="str">
        <f t="shared" si="25"/>
        <v/>
      </c>
      <c r="AP69" s="44" t="str">
        <f t="shared" si="25"/>
        <v/>
      </c>
      <c r="AQ69" s="44" t="str">
        <f t="shared" si="25"/>
        <v/>
      </c>
      <c r="AR69" s="44" t="str">
        <f t="shared" si="25"/>
        <v/>
      </c>
      <c r="AS69" s="44" t="str">
        <f t="shared" si="25"/>
        <v/>
      </c>
      <c r="AT69" s="44" t="str">
        <f t="shared" si="25"/>
        <v/>
      </c>
      <c r="AU69" s="44" t="str">
        <f t="shared" si="25"/>
        <v/>
      </c>
      <c r="AV69" s="44" t="str">
        <f t="shared" si="25"/>
        <v/>
      </c>
      <c r="AW69" s="44" t="str">
        <f t="shared" si="25"/>
        <v/>
      </c>
    </row>
    <row r="70" spans="1:49" x14ac:dyDescent="0.3">
      <c r="A70" s="36" t="s">
        <v>33</v>
      </c>
      <c r="B70" s="37"/>
      <c r="C70" s="37"/>
      <c r="D70" s="44">
        <f>IF(D52="","",+D52+(D58*D62/D66))</f>
        <v>0</v>
      </c>
      <c r="E70" s="44">
        <f t="shared" ref="E70:AW70" si="26">IF(E52="","",+E52+(E58*E62/E66))</f>
        <v>0</v>
      </c>
      <c r="F70" s="44">
        <f t="shared" si="26"/>
        <v>4662.874879564878</v>
      </c>
      <c r="G70" s="44">
        <f>IF(G52="","",+G52+(G58*G62/G66))</f>
        <v>60575.806014450071</v>
      </c>
      <c r="H70" s="44">
        <f t="shared" si="26"/>
        <v>69235.226705339766</v>
      </c>
      <c r="I70" s="44">
        <f t="shared" si="26"/>
        <v>71132.268141530934</v>
      </c>
      <c r="J70" s="44">
        <f t="shared" si="26"/>
        <v>68766.003213137257</v>
      </c>
      <c r="K70" s="44">
        <f t="shared" si="26"/>
        <v>61936.863591354115</v>
      </c>
      <c r="L70" s="44">
        <f t="shared" si="26"/>
        <v>55314.675500358826</v>
      </c>
      <c r="M70" s="44">
        <f t="shared" si="26"/>
        <v>64772.869833744619</v>
      </c>
      <c r="N70" s="44">
        <f t="shared" si="26"/>
        <v>69020.979330338465</v>
      </c>
      <c r="O70" s="44">
        <f t="shared" si="26"/>
        <v>72477.677451482814</v>
      </c>
      <c r="P70" s="44">
        <f t="shared" si="26"/>
        <v>71928.028717536567</v>
      </c>
      <c r="Q70" s="44">
        <f t="shared" si="26"/>
        <v>55453.451619799707</v>
      </c>
      <c r="R70" s="44">
        <f t="shared" si="26"/>
        <v>50391.746026202469</v>
      </c>
      <c r="S70" s="44">
        <f t="shared" si="26"/>
        <v>63389.498728401399</v>
      </c>
      <c r="T70" s="44">
        <f t="shared" si="26"/>
        <v>78881.855890584935</v>
      </c>
      <c r="U70" s="44">
        <f t="shared" si="26"/>
        <v>76955.02703194521</v>
      </c>
      <c r="V70" s="44">
        <f t="shared" si="26"/>
        <v>73755.388306573834</v>
      </c>
      <c r="W70" s="44">
        <f t="shared" si="26"/>
        <v>59772.834718849517</v>
      </c>
      <c r="X70" s="44">
        <f t="shared" si="26"/>
        <v>58118.836941996247</v>
      </c>
      <c r="Y70" s="44">
        <f t="shared" si="26"/>
        <v>67411.118345190043</v>
      </c>
      <c r="Z70" s="44">
        <f t="shared" si="26"/>
        <v>80749.961676747451</v>
      </c>
      <c r="AA70" s="44" t="str">
        <f t="shared" si="26"/>
        <v/>
      </c>
      <c r="AB70" s="44" t="str">
        <f t="shared" si="26"/>
        <v/>
      </c>
      <c r="AC70" s="44" t="str">
        <f t="shared" si="26"/>
        <v/>
      </c>
      <c r="AD70" s="44" t="str">
        <f t="shared" si="26"/>
        <v/>
      </c>
      <c r="AE70" s="44" t="str">
        <f t="shared" si="26"/>
        <v/>
      </c>
      <c r="AF70" s="44" t="str">
        <f t="shared" si="26"/>
        <v/>
      </c>
      <c r="AG70" s="44" t="str">
        <f t="shared" si="26"/>
        <v/>
      </c>
      <c r="AH70" s="44" t="str">
        <f t="shared" si="26"/>
        <v/>
      </c>
      <c r="AI70" s="44" t="str">
        <f t="shared" si="26"/>
        <v/>
      </c>
      <c r="AJ70" s="44" t="str">
        <f t="shared" si="26"/>
        <v/>
      </c>
      <c r="AK70" s="44" t="str">
        <f t="shared" si="26"/>
        <v/>
      </c>
      <c r="AL70" s="44" t="str">
        <f t="shared" si="26"/>
        <v/>
      </c>
      <c r="AM70" s="44" t="str">
        <f t="shared" si="26"/>
        <v/>
      </c>
      <c r="AN70" s="44" t="str">
        <f t="shared" si="26"/>
        <v/>
      </c>
      <c r="AO70" s="44" t="str">
        <f t="shared" si="26"/>
        <v/>
      </c>
      <c r="AP70" s="44" t="str">
        <f t="shared" si="26"/>
        <v/>
      </c>
      <c r="AQ70" s="44" t="str">
        <f t="shared" si="26"/>
        <v/>
      </c>
      <c r="AR70" s="44" t="str">
        <f t="shared" si="26"/>
        <v/>
      </c>
      <c r="AS70" s="44" t="str">
        <f t="shared" si="26"/>
        <v/>
      </c>
      <c r="AT70" s="44" t="str">
        <f t="shared" si="26"/>
        <v/>
      </c>
      <c r="AU70" s="44" t="str">
        <f t="shared" si="26"/>
        <v/>
      </c>
      <c r="AV70" s="44" t="str">
        <f t="shared" si="26"/>
        <v/>
      </c>
      <c r="AW70" s="44" t="str">
        <f t="shared" si="26"/>
        <v/>
      </c>
    </row>
    <row r="71" spans="1:49" x14ac:dyDescent="0.3">
      <c r="A71" s="36" t="s">
        <v>34</v>
      </c>
      <c r="B71" s="37"/>
      <c r="C71" s="37"/>
      <c r="D71" s="44">
        <f>IF(D53="","",+D53+(D58*D63/D66))</f>
        <v>0</v>
      </c>
      <c r="E71" s="44">
        <f t="shared" ref="E71:AW71" si="27">IF(E53="","",+E53+(E58*E63/E66))</f>
        <v>0</v>
      </c>
      <c r="F71" s="44">
        <f t="shared" si="27"/>
        <v>6753.6701978728988</v>
      </c>
      <c r="G71" s="44">
        <f>IF(G53="","",+G53+(G58*G63/G66))</f>
        <v>107151.44580605239</v>
      </c>
      <c r="H71" s="44">
        <f t="shared" si="27"/>
        <v>115634.5208649429</v>
      </c>
      <c r="I71" s="44">
        <f t="shared" si="27"/>
        <v>118331.81312804784</v>
      </c>
      <c r="J71" s="44">
        <f t="shared" si="27"/>
        <v>119601.33814288217</v>
      </c>
      <c r="K71" s="44">
        <f t="shared" si="27"/>
        <v>109968.9574924099</v>
      </c>
      <c r="L71" s="44">
        <f t="shared" si="27"/>
        <v>96533.881711475129</v>
      </c>
      <c r="M71" s="44">
        <f t="shared" si="27"/>
        <v>104142.56971532079</v>
      </c>
      <c r="N71" s="44">
        <f t="shared" si="27"/>
        <v>107611.86637282498</v>
      </c>
      <c r="O71" s="44">
        <f t="shared" si="27"/>
        <v>104313.87773241718</v>
      </c>
      <c r="P71" s="44">
        <f t="shared" si="27"/>
        <v>98420.974410363575</v>
      </c>
      <c r="Q71" s="44">
        <f t="shared" si="27"/>
        <v>84560.155028366615</v>
      </c>
      <c r="R71" s="44">
        <f t="shared" si="27"/>
        <v>79147.524446379844</v>
      </c>
      <c r="S71" s="44">
        <f t="shared" si="27"/>
        <v>94049.927973792379</v>
      </c>
      <c r="T71" s="44">
        <f t="shared" si="27"/>
        <v>109708.48677351972</v>
      </c>
      <c r="U71" s="44">
        <f t="shared" si="27"/>
        <v>109463.73998502946</v>
      </c>
      <c r="V71" s="44">
        <f t="shared" si="27"/>
        <v>109154.24836711264</v>
      </c>
      <c r="W71" s="44">
        <f t="shared" si="27"/>
        <v>93111.170115006884</v>
      </c>
      <c r="X71" s="44">
        <f t="shared" si="27"/>
        <v>88694.531067245276</v>
      </c>
      <c r="Y71" s="44">
        <f t="shared" si="27"/>
        <v>93050.278518844061</v>
      </c>
      <c r="Z71" s="44">
        <f t="shared" si="27"/>
        <v>107803.24974868697</v>
      </c>
      <c r="AA71" s="44" t="str">
        <f t="shared" si="27"/>
        <v/>
      </c>
      <c r="AB71" s="44" t="str">
        <f t="shared" si="27"/>
        <v/>
      </c>
      <c r="AC71" s="44" t="str">
        <f t="shared" si="27"/>
        <v/>
      </c>
      <c r="AD71" s="44" t="str">
        <f t="shared" si="27"/>
        <v/>
      </c>
      <c r="AE71" s="44" t="str">
        <f t="shared" si="27"/>
        <v/>
      </c>
      <c r="AF71" s="44" t="str">
        <f t="shared" si="27"/>
        <v/>
      </c>
      <c r="AG71" s="44" t="str">
        <f t="shared" si="27"/>
        <v/>
      </c>
      <c r="AH71" s="44" t="str">
        <f t="shared" si="27"/>
        <v/>
      </c>
      <c r="AI71" s="44" t="str">
        <f t="shared" si="27"/>
        <v/>
      </c>
      <c r="AJ71" s="44" t="str">
        <f t="shared" si="27"/>
        <v/>
      </c>
      <c r="AK71" s="44" t="str">
        <f t="shared" si="27"/>
        <v/>
      </c>
      <c r="AL71" s="44" t="str">
        <f t="shared" si="27"/>
        <v/>
      </c>
      <c r="AM71" s="44" t="str">
        <f t="shared" si="27"/>
        <v/>
      </c>
      <c r="AN71" s="44" t="str">
        <f t="shared" si="27"/>
        <v/>
      </c>
      <c r="AO71" s="44" t="str">
        <f t="shared" si="27"/>
        <v/>
      </c>
      <c r="AP71" s="44" t="str">
        <f t="shared" si="27"/>
        <v/>
      </c>
      <c r="AQ71" s="44" t="str">
        <f t="shared" si="27"/>
        <v/>
      </c>
      <c r="AR71" s="44" t="str">
        <f t="shared" si="27"/>
        <v/>
      </c>
      <c r="AS71" s="44" t="str">
        <f t="shared" si="27"/>
        <v/>
      </c>
      <c r="AT71" s="44" t="str">
        <f t="shared" si="27"/>
        <v/>
      </c>
      <c r="AU71" s="44" t="str">
        <f t="shared" si="27"/>
        <v/>
      </c>
      <c r="AV71" s="44" t="str">
        <f t="shared" si="27"/>
        <v/>
      </c>
      <c r="AW71" s="44" t="str">
        <f t="shared" si="27"/>
        <v/>
      </c>
    </row>
    <row r="72" spans="1:49" x14ac:dyDescent="0.3">
      <c r="A72" s="36" t="s">
        <v>35</v>
      </c>
      <c r="B72" s="37"/>
      <c r="C72" s="37"/>
      <c r="D72" s="44">
        <f>IF(D54="","",+D54+(D58*D64/D66))</f>
        <v>0</v>
      </c>
      <c r="E72" s="44">
        <f t="shared" ref="E72:AW72" si="28">IF(E54="","",+E54+(E58*E64/E66))</f>
        <v>0</v>
      </c>
      <c r="F72" s="44">
        <f t="shared" si="28"/>
        <v>2381.1324731369587</v>
      </c>
      <c r="G72" s="44">
        <f>IF(G54="","",+G54+(G58*G64/G66))</f>
        <v>41080.759711289073</v>
      </c>
      <c r="H72" s="44">
        <f t="shared" si="28"/>
        <v>46620.227707662583</v>
      </c>
      <c r="I72" s="44">
        <f t="shared" si="28"/>
        <v>48915.290383093015</v>
      </c>
      <c r="J72" s="44">
        <f t="shared" si="28"/>
        <v>48689.064699160743</v>
      </c>
      <c r="K72" s="44">
        <f t="shared" si="28"/>
        <v>45154.720570269681</v>
      </c>
      <c r="L72" s="44">
        <f t="shared" si="28"/>
        <v>41515.04923810179</v>
      </c>
      <c r="M72" s="44">
        <f t="shared" si="28"/>
        <v>41594.548478057877</v>
      </c>
      <c r="N72" s="44">
        <f t="shared" si="28"/>
        <v>42743.649469302021</v>
      </c>
      <c r="O72" s="44">
        <f t="shared" si="28"/>
        <v>43471.756585125317</v>
      </c>
      <c r="P72" s="44">
        <f t="shared" si="28"/>
        <v>37573.855689531287</v>
      </c>
      <c r="Q72" s="44">
        <f t="shared" si="28"/>
        <v>36905.295455925545</v>
      </c>
      <c r="R72" s="44">
        <f t="shared" si="28"/>
        <v>34871.894488322658</v>
      </c>
      <c r="S72" s="44">
        <f t="shared" si="28"/>
        <v>40727.091457001268</v>
      </c>
      <c r="T72" s="44">
        <f t="shared" si="28"/>
        <v>42825.077518324979</v>
      </c>
      <c r="U72" s="44">
        <f t="shared" si="28"/>
        <v>44954.202556147626</v>
      </c>
      <c r="V72" s="44">
        <f t="shared" si="28"/>
        <v>45054.75137109276</v>
      </c>
      <c r="W72" s="44">
        <f t="shared" si="28"/>
        <v>40035.738044047088</v>
      </c>
      <c r="X72" s="44">
        <f t="shared" si="28"/>
        <v>36703.331683486729</v>
      </c>
      <c r="Y72" s="44">
        <f t="shared" si="28"/>
        <v>36903.310490135111</v>
      </c>
      <c r="Z72" s="44">
        <f t="shared" si="28"/>
        <v>42451.999146641407</v>
      </c>
      <c r="AA72" s="44" t="str">
        <f t="shared" si="28"/>
        <v/>
      </c>
      <c r="AB72" s="44" t="str">
        <f t="shared" si="28"/>
        <v/>
      </c>
      <c r="AC72" s="44" t="str">
        <f t="shared" si="28"/>
        <v/>
      </c>
      <c r="AD72" s="44" t="str">
        <f t="shared" si="28"/>
        <v/>
      </c>
      <c r="AE72" s="44" t="str">
        <f t="shared" si="28"/>
        <v/>
      </c>
      <c r="AF72" s="44" t="str">
        <f t="shared" si="28"/>
        <v/>
      </c>
      <c r="AG72" s="44" t="str">
        <f t="shared" si="28"/>
        <v/>
      </c>
      <c r="AH72" s="44" t="str">
        <f t="shared" si="28"/>
        <v/>
      </c>
      <c r="AI72" s="44" t="str">
        <f t="shared" si="28"/>
        <v/>
      </c>
      <c r="AJ72" s="44" t="str">
        <f t="shared" si="28"/>
        <v/>
      </c>
      <c r="AK72" s="44" t="str">
        <f t="shared" si="28"/>
        <v/>
      </c>
      <c r="AL72" s="44" t="str">
        <f t="shared" si="28"/>
        <v/>
      </c>
      <c r="AM72" s="44" t="str">
        <f t="shared" si="28"/>
        <v/>
      </c>
      <c r="AN72" s="44" t="str">
        <f t="shared" si="28"/>
        <v/>
      </c>
      <c r="AO72" s="44" t="str">
        <f t="shared" si="28"/>
        <v/>
      </c>
      <c r="AP72" s="44" t="str">
        <f t="shared" si="28"/>
        <v/>
      </c>
      <c r="AQ72" s="44" t="str">
        <f t="shared" si="28"/>
        <v/>
      </c>
      <c r="AR72" s="44" t="str">
        <f t="shared" si="28"/>
        <v/>
      </c>
      <c r="AS72" s="44" t="str">
        <f t="shared" si="28"/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/>
      </c>
      <c r="AW72" s="44" t="str">
        <f t="shared" si="28"/>
        <v/>
      </c>
    </row>
    <row r="73" spans="1:49" x14ac:dyDescent="0.3">
      <c r="A73" s="36" t="s">
        <v>36</v>
      </c>
      <c r="B73" s="37"/>
      <c r="C73" s="37"/>
      <c r="D73" s="44">
        <f>IF(D55="","",+D55+(D58*D65/D66))</f>
        <v>0</v>
      </c>
      <c r="E73" s="44">
        <f t="shared" ref="E73:AW73" si="29">IF(E55="","",+E55+(E58*E65/E66))</f>
        <v>0</v>
      </c>
      <c r="F73" s="44">
        <f>IF(F55="","",+F55+(F58*F65/F66))</f>
        <v>-48.583419353926594</v>
      </c>
      <c r="G73" s="44">
        <f>IF(G55="","",+G55+(G58*G65/G66))</f>
        <v>4125.9071778961579</v>
      </c>
      <c r="H73" s="44">
        <f t="shared" si="29"/>
        <v>6806.3797850987785</v>
      </c>
      <c r="I73" s="44">
        <f t="shared" si="29"/>
        <v>7524.9044581782691</v>
      </c>
      <c r="J73" s="44">
        <f t="shared" si="29"/>
        <v>7658.4495072300715</v>
      </c>
      <c r="K73" s="44">
        <f t="shared" si="29"/>
        <v>7241.6490844376849</v>
      </c>
      <c r="L73" s="44">
        <f t="shared" si="29"/>
        <v>6323.5939077382554</v>
      </c>
      <c r="M73" s="44">
        <f t="shared" si="29"/>
        <v>5864.7707264215042</v>
      </c>
      <c r="N73" s="44">
        <f t="shared" si="29"/>
        <v>6186.9939477675571</v>
      </c>
      <c r="O73" s="44">
        <f t="shared" si="29"/>
        <v>10792.766596240668</v>
      </c>
      <c r="P73" s="44">
        <f t="shared" si="29"/>
        <v>19312.38401960209</v>
      </c>
      <c r="Q73" s="44">
        <f t="shared" si="29"/>
        <v>21254.31297935671</v>
      </c>
      <c r="R73" s="44">
        <f t="shared" si="29"/>
        <v>21637.663415217026</v>
      </c>
      <c r="S73" s="44">
        <f t="shared" si="29"/>
        <v>16834.533975023267</v>
      </c>
      <c r="T73" s="44">
        <f t="shared" si="29"/>
        <v>24355.538593432568</v>
      </c>
      <c r="U73" s="44">
        <f t="shared" si="29"/>
        <v>25113.656296491379</v>
      </c>
      <c r="V73" s="44">
        <f t="shared" si="29"/>
        <v>25507.793919774442</v>
      </c>
      <c r="W73" s="44">
        <f t="shared" si="29"/>
        <v>22463.576853042847</v>
      </c>
      <c r="X73" s="44">
        <f t="shared" si="29"/>
        <v>22147.450407526761</v>
      </c>
      <c r="Y73" s="44">
        <f t="shared" si="29"/>
        <v>21551.07340361028</v>
      </c>
      <c r="Z73" s="44">
        <f t="shared" si="29"/>
        <v>23414.829339646843</v>
      </c>
      <c r="AA73" s="44" t="str">
        <f t="shared" si="29"/>
        <v/>
      </c>
      <c r="AB73" s="44" t="str">
        <f t="shared" si="29"/>
        <v/>
      </c>
      <c r="AC73" s="44" t="str">
        <f t="shared" si="29"/>
        <v/>
      </c>
      <c r="AD73" s="44" t="str">
        <f t="shared" si="29"/>
        <v/>
      </c>
      <c r="AE73" s="44" t="str">
        <f t="shared" si="29"/>
        <v/>
      </c>
      <c r="AF73" s="44" t="str">
        <f t="shared" si="29"/>
        <v/>
      </c>
      <c r="AG73" s="44" t="str">
        <f t="shared" si="29"/>
        <v/>
      </c>
      <c r="AH73" s="44" t="str">
        <f t="shared" si="29"/>
        <v/>
      </c>
      <c r="AI73" s="44" t="str">
        <f t="shared" si="29"/>
        <v/>
      </c>
      <c r="AJ73" s="44" t="str">
        <f t="shared" si="29"/>
        <v/>
      </c>
      <c r="AK73" s="44" t="str">
        <f t="shared" si="29"/>
        <v/>
      </c>
      <c r="AL73" s="44" t="str">
        <f t="shared" si="29"/>
        <v/>
      </c>
      <c r="AM73" s="44" t="str">
        <f t="shared" si="29"/>
        <v/>
      </c>
      <c r="AN73" s="44" t="str">
        <f t="shared" si="29"/>
        <v/>
      </c>
      <c r="AO73" s="44" t="str">
        <f t="shared" si="29"/>
        <v/>
      </c>
      <c r="AP73" s="44" t="str">
        <f t="shared" si="29"/>
        <v/>
      </c>
      <c r="AQ73" s="44" t="str">
        <f t="shared" si="29"/>
        <v/>
      </c>
      <c r="AR73" s="44" t="str">
        <f t="shared" si="29"/>
        <v/>
      </c>
      <c r="AS73" s="44" t="str">
        <f t="shared" si="29"/>
        <v/>
      </c>
      <c r="AT73" s="44" t="str">
        <f t="shared" si="29"/>
        <v/>
      </c>
      <c r="AU73" s="44" t="str">
        <f t="shared" si="29"/>
        <v/>
      </c>
      <c r="AV73" s="44" t="str">
        <f t="shared" si="29"/>
        <v/>
      </c>
      <c r="AW73" s="44" t="str">
        <f t="shared" si="29"/>
        <v/>
      </c>
    </row>
    <row r="74" spans="1:49" x14ac:dyDescent="0.3">
      <c r="A74" s="31" t="s">
        <v>30</v>
      </c>
      <c r="B74" s="29"/>
      <c r="C74" s="29"/>
      <c r="D74" s="43">
        <f>SUM(D69:D73)</f>
        <v>0</v>
      </c>
      <c r="E74" s="43">
        <f t="shared" ref="E74:AW74" si="30">SUM(E69:E73)</f>
        <v>0</v>
      </c>
      <c r="F74" s="43">
        <f t="shared" si="30"/>
        <v>42385.43</v>
      </c>
      <c r="G74" s="43">
        <f t="shared" si="30"/>
        <v>557603.83999999997</v>
      </c>
      <c r="H74" s="43">
        <f t="shared" si="30"/>
        <v>676036.05000000016</v>
      </c>
      <c r="I74" s="43">
        <f t="shared" si="30"/>
        <v>706998.17000000016</v>
      </c>
      <c r="J74" s="43">
        <f t="shared" si="30"/>
        <v>670246.85</v>
      </c>
      <c r="K74" s="43">
        <f t="shared" si="30"/>
        <v>574404.16999999993</v>
      </c>
      <c r="L74" s="43">
        <f t="shared" si="30"/>
        <v>514881.99000000005</v>
      </c>
      <c r="M74" s="43">
        <f t="shared" si="30"/>
        <v>639874.6</v>
      </c>
      <c r="N74" s="43">
        <f t="shared" si="30"/>
        <v>693023.25</v>
      </c>
      <c r="O74" s="43">
        <f t="shared" si="30"/>
        <v>705379.13</v>
      </c>
      <c r="P74" s="43">
        <f t="shared" si="30"/>
        <v>656045.50000000012</v>
      </c>
      <c r="Q74" s="43">
        <f t="shared" si="30"/>
        <v>537519.55000000005</v>
      </c>
      <c r="R74" s="43">
        <f t="shared" si="30"/>
        <v>488973.88</v>
      </c>
      <c r="S74" s="43">
        <f t="shared" si="30"/>
        <v>614590.80000000005</v>
      </c>
      <c r="T74" s="43">
        <f t="shared" si="30"/>
        <v>791820.69</v>
      </c>
      <c r="U74" s="43">
        <f t="shared" si="30"/>
        <v>759797.66999999993</v>
      </c>
      <c r="V74" s="43">
        <f t="shared" si="30"/>
        <v>707202.29999999993</v>
      </c>
      <c r="W74" s="43">
        <f t="shared" si="30"/>
        <v>523078.25</v>
      </c>
      <c r="X74" s="43">
        <f t="shared" si="30"/>
        <v>528965.3614365001</v>
      </c>
      <c r="Y74" s="43">
        <f t="shared" si="30"/>
        <v>684378.47879325284</v>
      </c>
      <c r="Z74" s="43">
        <f t="shared" si="30"/>
        <v>833485.22145765054</v>
      </c>
      <c r="AA74" s="43">
        <f t="shared" si="30"/>
        <v>0</v>
      </c>
      <c r="AB74" s="43">
        <f t="shared" si="30"/>
        <v>0</v>
      </c>
      <c r="AC74" s="43">
        <f t="shared" si="30"/>
        <v>0</v>
      </c>
      <c r="AD74" s="43">
        <f t="shared" si="30"/>
        <v>0</v>
      </c>
      <c r="AE74" s="43">
        <f t="shared" si="30"/>
        <v>0</v>
      </c>
      <c r="AF74" s="43">
        <f t="shared" si="30"/>
        <v>0</v>
      </c>
      <c r="AG74" s="43">
        <f t="shared" si="30"/>
        <v>0</v>
      </c>
      <c r="AH74" s="43">
        <f t="shared" si="30"/>
        <v>0</v>
      </c>
      <c r="AI74" s="43">
        <f t="shared" si="30"/>
        <v>0</v>
      </c>
      <c r="AJ74" s="43">
        <f t="shared" si="30"/>
        <v>0</v>
      </c>
      <c r="AK74" s="43">
        <f t="shared" si="30"/>
        <v>0</v>
      </c>
      <c r="AL74" s="43">
        <f t="shared" si="30"/>
        <v>0</v>
      </c>
      <c r="AM74" s="43">
        <f t="shared" si="30"/>
        <v>0</v>
      </c>
      <c r="AN74" s="43">
        <f t="shared" si="30"/>
        <v>0</v>
      </c>
      <c r="AO74" s="43">
        <f t="shared" si="30"/>
        <v>0</v>
      </c>
      <c r="AP74" s="43">
        <f t="shared" si="30"/>
        <v>0</v>
      </c>
      <c r="AQ74" s="43">
        <f t="shared" si="30"/>
        <v>0</v>
      </c>
      <c r="AR74" s="43">
        <f t="shared" si="30"/>
        <v>0</v>
      </c>
      <c r="AS74" s="43">
        <f t="shared" si="30"/>
        <v>0</v>
      </c>
      <c r="AT74" s="43">
        <f t="shared" si="30"/>
        <v>0</v>
      </c>
      <c r="AU74" s="43">
        <f t="shared" si="30"/>
        <v>0</v>
      </c>
      <c r="AV74" s="43">
        <f t="shared" si="30"/>
        <v>0</v>
      </c>
      <c r="AW74" s="43">
        <f t="shared" si="3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79998168889431442"/>
  </sheetPr>
  <dimension ref="A2:AF37"/>
  <sheetViews>
    <sheetView tabSelected="1" workbookViewId="0">
      <selection activeCell="I16" sqref="I16"/>
    </sheetView>
  </sheetViews>
  <sheetFormatPr defaultColWidth="9.109375" defaultRowHeight="14.4" x14ac:dyDescent="0.3"/>
  <cols>
    <col min="1" max="1" width="9.109375" style="51"/>
    <col min="2" max="2" width="29.109375" style="51" customWidth="1"/>
    <col min="3" max="11" width="13.33203125" style="51" bestFit="1" customWidth="1"/>
    <col min="12" max="12" width="11.88671875" style="51" bestFit="1" customWidth="1"/>
    <col min="13" max="14" width="12.88671875" style="51" bestFit="1" customWidth="1"/>
    <col min="15" max="16384" width="9.109375" style="51"/>
  </cols>
  <sheetData>
    <row r="2" spans="1:32" x14ac:dyDescent="0.3">
      <c r="C2" s="12">
        <v>43862</v>
      </c>
      <c r="D2" s="12">
        <v>43891</v>
      </c>
      <c r="E2" s="12">
        <v>43922</v>
      </c>
      <c r="F2" s="12">
        <v>43952</v>
      </c>
      <c r="G2" s="12">
        <v>43983</v>
      </c>
      <c r="H2" s="12">
        <v>44013</v>
      </c>
      <c r="I2" s="12">
        <v>44044</v>
      </c>
      <c r="J2" s="12">
        <v>44075</v>
      </c>
      <c r="K2" s="12">
        <v>44105</v>
      </c>
      <c r="L2" s="12">
        <v>44136</v>
      </c>
      <c r="M2" s="12">
        <v>44166</v>
      </c>
      <c r="N2" s="12">
        <v>44197</v>
      </c>
      <c r="O2" s="12">
        <v>44228</v>
      </c>
      <c r="P2" s="12">
        <v>44256</v>
      </c>
      <c r="Q2" s="12">
        <v>44287</v>
      </c>
      <c r="R2" s="12">
        <v>44317</v>
      </c>
      <c r="S2" s="12">
        <v>44348</v>
      </c>
      <c r="T2" s="12">
        <v>44378</v>
      </c>
      <c r="U2" s="12">
        <v>44409</v>
      </c>
      <c r="V2" s="12">
        <v>44440</v>
      </c>
      <c r="W2" s="12">
        <v>44470</v>
      </c>
      <c r="X2" s="12">
        <v>44501</v>
      </c>
      <c r="Y2" s="12">
        <v>44531</v>
      </c>
      <c r="Z2" s="12">
        <v>44562</v>
      </c>
      <c r="AA2" s="12">
        <v>44593</v>
      </c>
      <c r="AB2" s="12">
        <v>44621</v>
      </c>
      <c r="AC2" s="12">
        <v>44652</v>
      </c>
      <c r="AD2" s="12">
        <v>44682</v>
      </c>
      <c r="AE2" s="12">
        <v>44713</v>
      </c>
      <c r="AF2" s="12">
        <v>44743</v>
      </c>
    </row>
    <row r="3" spans="1:32" x14ac:dyDescent="0.3">
      <c r="A3" s="136" t="s">
        <v>32</v>
      </c>
      <c r="B3" s="62" t="s">
        <v>43</v>
      </c>
      <c r="C3" s="55">
        <f>IF(+'M3 Allocations - TD'!O51="","",'M3 Allocations - TD'!O51)</f>
        <v>465524.23</v>
      </c>
      <c r="D3" s="55">
        <f>IF(+'M3 Allocations - TD'!P51="","",'M3 Allocations - TD'!P51)</f>
        <v>420640.46</v>
      </c>
      <c r="E3" s="55">
        <f>IF(+'M3 Allocations - TD'!Q51="","",'M3 Allocations - TD'!Q51)</f>
        <v>333131.02</v>
      </c>
      <c r="F3" s="55">
        <f>IF(+'M3 Allocations - TD'!R51="","",'M3 Allocations - TD'!R51)</f>
        <v>297680.28000000003</v>
      </c>
      <c r="G3" s="55">
        <f>IF(+'M3 Allocations - TD'!S51="","",'M3 Allocations - TD'!S51)</f>
        <v>393958.55</v>
      </c>
      <c r="H3" s="55">
        <f>IF(+'M3 Allocations - TD'!T51="","",'M3 Allocations - TD'!T51)</f>
        <v>529326.34</v>
      </c>
      <c r="I3" s="55">
        <f>IF(+'M3 Allocations - TD'!U51="","",'M3 Allocations - TD'!U51)</f>
        <v>496875.44</v>
      </c>
      <c r="J3" s="55">
        <f>IF(+'M3 Allocations - TD'!V51="","",'M3 Allocations - TD'!V51)</f>
        <v>447785.36</v>
      </c>
      <c r="K3" s="55">
        <f>IF(+'M3 Allocations - TD'!W51="","",'M3 Allocations - TD'!W51)</f>
        <v>302563.73</v>
      </c>
      <c r="L3" s="55">
        <f>IF(+'M3 Allocations - TD'!X51="","",'M3 Allocations - TD'!X51)</f>
        <v>317619.72631364554</v>
      </c>
      <c r="M3" s="55">
        <f>IF(+'M3 Allocations - TD'!Y51="","",'M3 Allocations - TD'!Y51)</f>
        <v>458406.91633329989</v>
      </c>
      <c r="N3" s="55">
        <f>IF(+'M3 Allocations - TD'!Z51="","",'M3 Allocations - TD'!Z51)</f>
        <v>570604.20911060518</v>
      </c>
      <c r="O3" s="55" t="str">
        <f>IF(+'M3 Allocations - TD'!AA51="","",'M3 Allocations - TD'!AA51)</f>
        <v/>
      </c>
      <c r="P3" s="55" t="str">
        <f>IF(+'M3 Allocations - TD'!AB51="","",'M3 Allocations - TD'!AB51)</f>
        <v/>
      </c>
      <c r="Q3" s="55" t="str">
        <f>IF(+'M3 Allocations - TD'!AC51="","",'M3 Allocations - TD'!AC51)</f>
        <v/>
      </c>
      <c r="R3" s="55" t="str">
        <f>IF(+'M3 Allocations - TD'!AD51="","",'M3 Allocations - TD'!AD51)</f>
        <v/>
      </c>
      <c r="S3" s="55" t="str">
        <f>IF(+'M3 Allocations - TD'!AE51="","",'M3 Allocations - TD'!AE51)</f>
        <v/>
      </c>
      <c r="T3" s="55" t="str">
        <f>IF(+'M3 Allocations - TD'!AF51="","",'M3 Allocations - TD'!AF51)</f>
        <v/>
      </c>
      <c r="U3" s="55" t="str">
        <f>IF(+'M3 Allocations - TD'!AG51="","",'M3 Allocations - TD'!AG51)</f>
        <v/>
      </c>
      <c r="V3" s="55" t="str">
        <f>IF(+'M3 Allocations - TD'!AH51="","",'M3 Allocations - TD'!AH51)</f>
        <v/>
      </c>
      <c r="W3" s="55" t="str">
        <f>IF(+'M3 Allocations - TD'!AI51="","",'M3 Allocations - TD'!AI51)</f>
        <v/>
      </c>
      <c r="X3" s="55" t="str">
        <f>IF(+'M3 Allocations - TD'!AJ51="","",'M3 Allocations - TD'!AJ51)</f>
        <v/>
      </c>
      <c r="Y3" s="55" t="str">
        <f>IF(+'M3 Allocations - TD'!AK51="","",'M3 Allocations - TD'!AK51)</f>
        <v/>
      </c>
      <c r="Z3" s="55" t="str">
        <f>IF(+'M3 Allocations - TD'!AL51="","",'M3 Allocations - TD'!AL51)</f>
        <v/>
      </c>
      <c r="AA3" s="55" t="str">
        <f>IF(+'M3 Allocations - TD'!AM51="","",'M3 Allocations - TD'!AM51)</f>
        <v/>
      </c>
      <c r="AB3" s="55" t="str">
        <f>IF(+'M3 Allocations - TD'!AN51="","",'M3 Allocations - TD'!AN51)</f>
        <v/>
      </c>
      <c r="AC3" s="55" t="str">
        <f>IF(+'M3 Allocations - TD'!AO51="","",'M3 Allocations - TD'!AO51)</f>
        <v/>
      </c>
      <c r="AD3" s="55" t="str">
        <f>IF(+'M3 Allocations - TD'!AP51="","",'M3 Allocations - TD'!AP51)</f>
        <v/>
      </c>
      <c r="AE3" s="55" t="str">
        <f>IF(+'M3 Allocations - TD'!AQ51="","",'M3 Allocations - TD'!AQ51)</f>
        <v/>
      </c>
      <c r="AF3" s="55" t="str">
        <f>IF(+'M3 Allocations - TD'!AR51="","",'M3 Allocations - TD'!AR51)</f>
        <v/>
      </c>
    </row>
    <row r="4" spans="1:32" x14ac:dyDescent="0.3">
      <c r="A4" s="137"/>
      <c r="B4" s="63" t="s">
        <v>45</v>
      </c>
      <c r="C4" s="108">
        <v>4.8599964800191556E-4</v>
      </c>
      <c r="D4" s="109">
        <f t="shared" ref="D4:K5" si="0">IF(D3="","",C4)</f>
        <v>4.8599964800191556E-4</v>
      </c>
      <c r="E4" s="109">
        <f t="shared" si="0"/>
        <v>4.8599964800191556E-4</v>
      </c>
      <c r="F4" s="109">
        <f t="shared" si="0"/>
        <v>4.8599964800191556E-4</v>
      </c>
      <c r="G4" s="109">
        <f t="shared" si="0"/>
        <v>4.8599964800191556E-4</v>
      </c>
      <c r="H4" s="109">
        <f t="shared" si="0"/>
        <v>4.8599964800191556E-4</v>
      </c>
      <c r="I4" s="109">
        <f t="shared" si="0"/>
        <v>4.8599964800191556E-4</v>
      </c>
      <c r="J4" s="109">
        <f t="shared" si="0"/>
        <v>4.8599964800191556E-4</v>
      </c>
      <c r="K4" s="109">
        <f>IF(K3="","",J4)</f>
        <v>4.8599964800191556E-4</v>
      </c>
      <c r="L4" s="109">
        <f t="shared" ref="L4:N5" si="1">IF(L3="","",K4)</f>
        <v>4.8599964800191556E-4</v>
      </c>
      <c r="M4" s="109">
        <f t="shared" si="1"/>
        <v>4.8599964800191556E-4</v>
      </c>
      <c r="N4" s="109">
        <f t="shared" si="1"/>
        <v>4.8599964800191556E-4</v>
      </c>
    </row>
    <row r="5" spans="1:32" x14ac:dyDescent="0.3">
      <c r="A5" s="137"/>
      <c r="B5" s="63" t="s">
        <v>59</v>
      </c>
      <c r="C5" s="110">
        <v>-9.6766427460826909E-5</v>
      </c>
      <c r="D5" s="111">
        <f t="shared" si="0"/>
        <v>-9.6766427460826909E-5</v>
      </c>
      <c r="E5" s="111">
        <f t="shared" si="0"/>
        <v>-9.6766427460826909E-5</v>
      </c>
      <c r="F5" s="111">
        <f t="shared" si="0"/>
        <v>-9.6766427460826909E-5</v>
      </c>
      <c r="G5" s="111">
        <f t="shared" si="0"/>
        <v>-9.6766427460826909E-5</v>
      </c>
      <c r="H5" s="111">
        <f t="shared" si="0"/>
        <v>-9.6766427460826909E-5</v>
      </c>
      <c r="I5" s="111">
        <f t="shared" si="0"/>
        <v>-9.6766427460826909E-5</v>
      </c>
      <c r="J5" s="111">
        <f t="shared" si="0"/>
        <v>-9.6766427460826909E-5</v>
      </c>
      <c r="K5" s="111">
        <f t="shared" si="0"/>
        <v>-9.6766427460826909E-5</v>
      </c>
      <c r="L5" s="111">
        <f t="shared" si="1"/>
        <v>-9.6766427460826909E-5</v>
      </c>
      <c r="M5" s="111">
        <f t="shared" si="1"/>
        <v>-9.6766427460826909E-5</v>
      </c>
      <c r="N5" s="111">
        <f t="shared" si="1"/>
        <v>-9.6766427460826909E-5</v>
      </c>
    </row>
    <row r="6" spans="1:32" x14ac:dyDescent="0.3">
      <c r="A6" s="137"/>
      <c r="B6" s="63" t="s">
        <v>52</v>
      </c>
      <c r="C6" s="54">
        <f t="shared" ref="C6:D6" si="2">IF(C3="","",SUM(C4:C5))</f>
        <v>3.8923322054108865E-4</v>
      </c>
      <c r="D6" s="54">
        <f t="shared" si="2"/>
        <v>3.8923322054108865E-4</v>
      </c>
      <c r="E6" s="54">
        <f t="shared" ref="E6:I6" si="3">IF(E3="","",SUM(E4:E5))</f>
        <v>3.8923322054108865E-4</v>
      </c>
      <c r="F6" s="54">
        <f t="shared" si="3"/>
        <v>3.8923322054108865E-4</v>
      </c>
      <c r="G6" s="54">
        <f t="shared" si="3"/>
        <v>3.8923322054108865E-4</v>
      </c>
      <c r="H6" s="54">
        <f t="shared" si="3"/>
        <v>3.8923322054108865E-4</v>
      </c>
      <c r="I6" s="54">
        <f t="shared" si="3"/>
        <v>3.8923322054108865E-4</v>
      </c>
      <c r="J6" s="54">
        <f>IF(J3="","",SUM(J4:J5))</f>
        <v>3.8923322054108865E-4</v>
      </c>
      <c r="K6" s="54">
        <f>IF(K3="","",SUM(K4:K5))</f>
        <v>3.8923322054108865E-4</v>
      </c>
      <c r="L6" s="54">
        <f t="shared" ref="L6:AF6" si="4">IF(L3="","",SUM(L4:L5))</f>
        <v>3.8923322054108865E-4</v>
      </c>
      <c r="M6" s="54">
        <f t="shared" si="4"/>
        <v>3.8923322054108865E-4</v>
      </c>
      <c r="N6" s="54">
        <f t="shared" si="4"/>
        <v>3.8923322054108865E-4</v>
      </c>
      <c r="O6" s="54" t="str">
        <f t="shared" si="4"/>
        <v/>
      </c>
      <c r="P6" s="54" t="str">
        <f t="shared" si="4"/>
        <v/>
      </c>
      <c r="Q6" s="54" t="str">
        <f t="shared" si="4"/>
        <v/>
      </c>
      <c r="R6" s="54" t="str">
        <f t="shared" si="4"/>
        <v/>
      </c>
      <c r="S6" s="54" t="str">
        <f t="shared" si="4"/>
        <v/>
      </c>
      <c r="T6" s="54" t="str">
        <f t="shared" si="4"/>
        <v/>
      </c>
      <c r="U6" s="54" t="str">
        <f t="shared" si="4"/>
        <v/>
      </c>
      <c r="V6" s="54" t="str">
        <f t="shared" si="4"/>
        <v/>
      </c>
      <c r="W6" s="54" t="str">
        <f t="shared" si="4"/>
        <v/>
      </c>
      <c r="X6" s="54" t="str">
        <f t="shared" si="4"/>
        <v/>
      </c>
      <c r="Y6" s="54" t="str">
        <f t="shared" si="4"/>
        <v/>
      </c>
      <c r="Z6" s="54" t="str">
        <f t="shared" si="4"/>
        <v/>
      </c>
      <c r="AA6" s="54" t="str">
        <f t="shared" si="4"/>
        <v/>
      </c>
      <c r="AB6" s="54" t="str">
        <f t="shared" si="4"/>
        <v/>
      </c>
      <c r="AC6" s="54" t="str">
        <f t="shared" si="4"/>
        <v/>
      </c>
      <c r="AD6" s="54" t="str">
        <f t="shared" si="4"/>
        <v/>
      </c>
      <c r="AE6" s="54" t="str">
        <f t="shared" si="4"/>
        <v/>
      </c>
      <c r="AF6" s="54" t="str">
        <f t="shared" si="4"/>
        <v/>
      </c>
    </row>
    <row r="7" spans="1:32" x14ac:dyDescent="0.3">
      <c r="A7" s="137"/>
      <c r="B7" s="63" t="s">
        <v>46</v>
      </c>
      <c r="C7" s="58">
        <f t="shared" ref="C7:I7" si="5">IF(C3="","",IFERROR(C5/C6,""))</f>
        <v>-0.24860783292419911</v>
      </c>
      <c r="D7" s="58">
        <f t="shared" si="5"/>
        <v>-0.24860783292419911</v>
      </c>
      <c r="E7" s="58">
        <f t="shared" si="5"/>
        <v>-0.24860783292419911</v>
      </c>
      <c r="F7" s="58">
        <f t="shared" si="5"/>
        <v>-0.24860783292419911</v>
      </c>
      <c r="G7" s="58">
        <f t="shared" si="5"/>
        <v>-0.24860783292419911</v>
      </c>
      <c r="H7" s="58">
        <f t="shared" si="5"/>
        <v>-0.24860783292419911</v>
      </c>
      <c r="I7" s="58">
        <f t="shared" si="5"/>
        <v>-0.24860783292419911</v>
      </c>
      <c r="J7" s="58">
        <f>IF(J3="","",IFERROR(J5/J6,""))</f>
        <v>-0.24860783292419911</v>
      </c>
      <c r="K7" s="58">
        <f>IF(K3="","",IFERROR(K5/K6,""))</f>
        <v>-0.24860783292419911</v>
      </c>
      <c r="L7" s="58">
        <f t="shared" ref="L7:AF7" si="6">IF(L3="","",IFERROR(L5/L6,""))</f>
        <v>-0.24860783292419911</v>
      </c>
      <c r="M7" s="58">
        <f t="shared" si="6"/>
        <v>-0.24860783292419911</v>
      </c>
      <c r="N7" s="58">
        <f t="shared" si="6"/>
        <v>-0.24860783292419911</v>
      </c>
      <c r="O7" s="58" t="str">
        <f t="shared" si="6"/>
        <v/>
      </c>
      <c r="P7" s="58" t="str">
        <f t="shared" si="6"/>
        <v/>
      </c>
      <c r="Q7" s="58" t="str">
        <f t="shared" si="6"/>
        <v/>
      </c>
      <c r="R7" s="58" t="str">
        <f t="shared" si="6"/>
        <v/>
      </c>
      <c r="S7" s="58" t="str">
        <f t="shared" si="6"/>
        <v/>
      </c>
      <c r="T7" s="58" t="str">
        <f t="shared" si="6"/>
        <v/>
      </c>
      <c r="U7" s="58" t="str">
        <f t="shared" si="6"/>
        <v/>
      </c>
      <c r="V7" s="58" t="str">
        <f t="shared" si="6"/>
        <v/>
      </c>
      <c r="W7" s="58" t="str">
        <f t="shared" si="6"/>
        <v/>
      </c>
      <c r="X7" s="58" t="str">
        <f t="shared" si="6"/>
        <v/>
      </c>
      <c r="Y7" s="58" t="str">
        <f t="shared" si="6"/>
        <v/>
      </c>
      <c r="Z7" s="58" t="str">
        <f t="shared" si="6"/>
        <v/>
      </c>
      <c r="AA7" s="58" t="str">
        <f t="shared" si="6"/>
        <v/>
      </c>
      <c r="AB7" s="58" t="str">
        <f t="shared" si="6"/>
        <v/>
      </c>
      <c r="AC7" s="58" t="str">
        <f t="shared" si="6"/>
        <v/>
      </c>
      <c r="AD7" s="58" t="str">
        <f t="shared" si="6"/>
        <v/>
      </c>
      <c r="AE7" s="58" t="str">
        <f t="shared" si="6"/>
        <v/>
      </c>
      <c r="AF7" s="58" t="str">
        <f t="shared" si="6"/>
        <v/>
      </c>
    </row>
    <row r="8" spans="1:32" x14ac:dyDescent="0.3">
      <c r="A8" s="137"/>
      <c r="B8" s="64" t="s">
        <v>47</v>
      </c>
      <c r="C8" s="56">
        <f t="shared" ref="C8:I8" si="7">IF(C3="","",ROUND(C7*C3,2))</f>
        <v>-115732.97</v>
      </c>
      <c r="D8" s="56">
        <f t="shared" si="7"/>
        <v>-104574.51</v>
      </c>
      <c r="E8" s="56">
        <f t="shared" si="7"/>
        <v>-82818.98</v>
      </c>
      <c r="F8" s="56">
        <f t="shared" si="7"/>
        <v>-74005.649999999994</v>
      </c>
      <c r="G8" s="56">
        <f t="shared" si="7"/>
        <v>-97941.18</v>
      </c>
      <c r="H8" s="56">
        <f t="shared" si="7"/>
        <v>-131594.67000000001</v>
      </c>
      <c r="I8" s="56">
        <f t="shared" si="7"/>
        <v>-123527.13</v>
      </c>
      <c r="J8" s="56">
        <f>IF(J3="","",ROUND(J7*J3,2))</f>
        <v>-111322.95</v>
      </c>
      <c r="K8" s="56">
        <f>IF(K3="","",ROUND(K7*K3,2))</f>
        <v>-75219.710000000006</v>
      </c>
      <c r="L8" s="56">
        <f t="shared" ref="L8:AF8" si="8">IF(L3="","",ROUND(L7*L3,2))</f>
        <v>-78962.75</v>
      </c>
      <c r="M8" s="56">
        <f t="shared" si="8"/>
        <v>-113963.55</v>
      </c>
      <c r="N8" s="56">
        <f t="shared" si="8"/>
        <v>-141856.68</v>
      </c>
      <c r="O8" s="56" t="str">
        <f t="shared" si="8"/>
        <v/>
      </c>
      <c r="P8" s="56" t="str">
        <f t="shared" si="8"/>
        <v/>
      </c>
      <c r="Q8" s="56" t="str">
        <f t="shared" si="8"/>
        <v/>
      </c>
      <c r="R8" s="56" t="str">
        <f t="shared" si="8"/>
        <v/>
      </c>
      <c r="S8" s="56" t="str">
        <f t="shared" si="8"/>
        <v/>
      </c>
      <c r="T8" s="56" t="str">
        <f t="shared" si="8"/>
        <v/>
      </c>
      <c r="U8" s="56" t="str">
        <f t="shared" si="8"/>
        <v/>
      </c>
      <c r="V8" s="56" t="str">
        <f t="shared" si="8"/>
        <v/>
      </c>
      <c r="W8" s="56" t="str">
        <f t="shared" si="8"/>
        <v/>
      </c>
      <c r="X8" s="56" t="str">
        <f t="shared" si="8"/>
        <v/>
      </c>
      <c r="Y8" s="56" t="str">
        <f t="shared" si="8"/>
        <v/>
      </c>
      <c r="Z8" s="56" t="str">
        <f t="shared" si="8"/>
        <v/>
      </c>
      <c r="AA8" s="56" t="str">
        <f t="shared" si="8"/>
        <v/>
      </c>
      <c r="AB8" s="56" t="str">
        <f t="shared" si="8"/>
        <v/>
      </c>
      <c r="AC8" s="56" t="str">
        <f t="shared" si="8"/>
        <v/>
      </c>
      <c r="AD8" s="56" t="str">
        <f t="shared" si="8"/>
        <v/>
      </c>
      <c r="AE8" s="56" t="str">
        <f t="shared" si="8"/>
        <v/>
      </c>
      <c r="AF8" s="56" t="str">
        <f t="shared" si="8"/>
        <v/>
      </c>
    </row>
    <row r="9" spans="1:32" x14ac:dyDescent="0.3">
      <c r="A9" s="67"/>
      <c r="B9" s="65"/>
      <c r="C9" s="57"/>
      <c r="D9" s="57"/>
      <c r="E9" s="57"/>
      <c r="F9" s="57"/>
      <c r="G9" s="57"/>
      <c r="H9" s="57"/>
      <c r="I9" s="57"/>
      <c r="J9" s="57"/>
      <c r="K9" s="5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</row>
    <row r="10" spans="1:32" x14ac:dyDescent="0.3">
      <c r="A10" s="137" t="s">
        <v>33</v>
      </c>
      <c r="B10" s="63" t="s">
        <v>43</v>
      </c>
      <c r="C10" s="55">
        <f>IF(+'M3 Allocations - TD'!O52="","",'M3 Allocations - TD'!O52)</f>
        <v>74514.039999999994</v>
      </c>
      <c r="D10" s="55">
        <f>IF(+'M3 Allocations - TD'!P52="","",'M3 Allocations - TD'!P52)</f>
        <v>73821.710000000006</v>
      </c>
      <c r="E10" s="55">
        <f>IF(+'M3 Allocations - TD'!Q52="","",'M3 Allocations - TD'!Q52)</f>
        <v>56719.11</v>
      </c>
      <c r="F10" s="55">
        <f>IF(+'M3 Allocations - TD'!R52="","",'M3 Allocations - TD'!R52)</f>
        <v>51424.73</v>
      </c>
      <c r="G10" s="55">
        <f>IF(+'M3 Allocations - TD'!S52="","",'M3 Allocations - TD'!S52)</f>
        <v>64574.18</v>
      </c>
      <c r="H10" s="55">
        <f>IF(+'M3 Allocations - TD'!T52="","",'M3 Allocations - TD'!T52)</f>
        <v>80406.710000000006</v>
      </c>
      <c r="I10" s="55">
        <f>IF(+'M3 Allocations - TD'!U52="","",'M3 Allocations - TD'!U52)</f>
        <v>78372.460000000006</v>
      </c>
      <c r="J10" s="55">
        <f>IF(+'M3 Allocations - TD'!V52="","",'M3 Allocations - TD'!V52)</f>
        <v>75020.86</v>
      </c>
      <c r="K10" s="55">
        <f>IF(+'M3 Allocations - TD'!W52="","",'M3 Allocations - TD'!W52)</f>
        <v>60809.53</v>
      </c>
      <c r="L10" s="55">
        <f>IF(+'M3 Allocations - TD'!X52="","",'M3 Allocations - TD'!X52)</f>
        <v>59289.411272004116</v>
      </c>
      <c r="M10" s="55">
        <f>IF(+'M3 Allocations - TD'!Y52="","",'M3 Allocations - TD'!Y52)</f>
        <v>69006.094340556869</v>
      </c>
      <c r="N10" s="55">
        <f>IF(+'M3 Allocations - TD'!Z52="","",'M3 Allocations - TD'!Z52)</f>
        <v>82725.020034223766</v>
      </c>
      <c r="O10" s="55" t="str">
        <f>IF(+'M3 Allocations - TD'!AA52="","",'M3 Allocations - TD'!AA52)</f>
        <v/>
      </c>
      <c r="P10" s="55" t="str">
        <f>IF(+'M3 Allocations - TD'!AB52="","",'M3 Allocations - TD'!AB52)</f>
        <v/>
      </c>
      <c r="Q10" s="55" t="str">
        <f>IF(+'M3 Allocations - TD'!AC52="","",'M3 Allocations - TD'!AC52)</f>
        <v/>
      </c>
      <c r="R10" s="55" t="str">
        <f>IF(+'M3 Allocations - TD'!AD52="","",'M3 Allocations - TD'!AD52)</f>
        <v/>
      </c>
      <c r="S10" s="55" t="str">
        <f>IF(+'M3 Allocations - TD'!AE52="","",'M3 Allocations - TD'!AE52)</f>
        <v/>
      </c>
      <c r="T10" s="55" t="str">
        <f>IF(+'M3 Allocations - TD'!AF52="","",'M3 Allocations - TD'!AF52)</f>
        <v/>
      </c>
      <c r="U10" s="55" t="str">
        <f>IF(+'M3 Allocations - TD'!AG52="","",'M3 Allocations - TD'!AG52)</f>
        <v/>
      </c>
      <c r="V10" s="55" t="str">
        <f>IF(+'M3 Allocations - TD'!AH52="","",'M3 Allocations - TD'!AH52)</f>
        <v/>
      </c>
      <c r="W10" s="55" t="str">
        <f>IF(+'M3 Allocations - TD'!AI52="","",'M3 Allocations - TD'!AI52)</f>
        <v/>
      </c>
      <c r="X10" s="55" t="str">
        <f>IF(+'M3 Allocations - TD'!AJ52="","",'M3 Allocations - TD'!AJ52)</f>
        <v/>
      </c>
      <c r="Y10" s="55" t="str">
        <f>IF(+'M3 Allocations - TD'!AK52="","",'M3 Allocations - TD'!AK52)</f>
        <v/>
      </c>
      <c r="Z10" s="55" t="str">
        <f>IF(+'M3 Allocations - TD'!AL52="","",'M3 Allocations - TD'!AL52)</f>
        <v/>
      </c>
      <c r="AA10" s="55" t="str">
        <f>IF(+'M3 Allocations - TD'!AM52="","",'M3 Allocations - TD'!AM52)</f>
        <v/>
      </c>
      <c r="AB10" s="55" t="str">
        <f>IF(+'M3 Allocations - TD'!AN52="","",'M3 Allocations - TD'!AN52)</f>
        <v/>
      </c>
      <c r="AC10" s="55" t="str">
        <f>IF(+'M3 Allocations - TD'!AO52="","",'M3 Allocations - TD'!AO52)</f>
        <v/>
      </c>
      <c r="AD10" s="55" t="str">
        <f>IF(+'M3 Allocations - TD'!AP52="","",'M3 Allocations - TD'!AP52)</f>
        <v/>
      </c>
      <c r="AE10" s="55" t="str">
        <f>IF(+'M3 Allocations - TD'!AQ52="","",'M3 Allocations - TD'!AQ52)</f>
        <v/>
      </c>
      <c r="AF10" s="55" t="str">
        <f>IF(+'M3 Allocations - TD'!AR52="","",'M3 Allocations - TD'!AR52)</f>
        <v/>
      </c>
    </row>
    <row r="11" spans="1:32" x14ac:dyDescent="0.3">
      <c r="A11" s="137"/>
      <c r="B11" s="63" t="s">
        <v>45</v>
      </c>
      <c r="C11" s="108">
        <v>3.4644873094528316E-4</v>
      </c>
      <c r="D11" s="111">
        <f t="shared" ref="D11:K12" si="9">IF(D10="","",C11)</f>
        <v>3.4644873094528316E-4</v>
      </c>
      <c r="E11" s="111">
        <f t="shared" si="9"/>
        <v>3.4644873094528316E-4</v>
      </c>
      <c r="F11" s="111">
        <f t="shared" si="9"/>
        <v>3.4644873094528316E-4</v>
      </c>
      <c r="G11" s="111">
        <f t="shared" si="9"/>
        <v>3.4644873094528316E-4</v>
      </c>
      <c r="H11" s="111">
        <f t="shared" si="9"/>
        <v>3.4644873094528316E-4</v>
      </c>
      <c r="I11" s="111">
        <f t="shared" si="9"/>
        <v>3.4644873094528316E-4</v>
      </c>
      <c r="J11" s="111">
        <f t="shared" si="9"/>
        <v>3.4644873094528316E-4</v>
      </c>
      <c r="K11" s="111">
        <f t="shared" si="9"/>
        <v>3.4644873094528316E-4</v>
      </c>
      <c r="L11" s="111">
        <f t="shared" ref="L11:L12" si="10">IF(L10="","",K11)</f>
        <v>3.4644873094528316E-4</v>
      </c>
      <c r="M11" s="111">
        <f t="shared" ref="M11:M12" si="11">IF(M10="","",L11)</f>
        <v>3.4644873094528316E-4</v>
      </c>
      <c r="N11" s="111">
        <f t="shared" ref="N11:N12" si="12">IF(N10="","",M11)</f>
        <v>3.4644873094528316E-4</v>
      </c>
    </row>
    <row r="12" spans="1:32" x14ac:dyDescent="0.3">
      <c r="A12" s="137"/>
      <c r="B12" s="63" t="s">
        <v>44</v>
      </c>
      <c r="C12" s="110">
        <v>-6.7394838749343863E-5</v>
      </c>
      <c r="D12" s="111">
        <f t="shared" si="9"/>
        <v>-6.7394838749343863E-5</v>
      </c>
      <c r="E12" s="111">
        <f t="shared" si="9"/>
        <v>-6.7394838749343863E-5</v>
      </c>
      <c r="F12" s="111">
        <f t="shared" si="9"/>
        <v>-6.7394838749343863E-5</v>
      </c>
      <c r="G12" s="111">
        <f t="shared" si="9"/>
        <v>-6.7394838749343863E-5</v>
      </c>
      <c r="H12" s="111">
        <f t="shared" si="9"/>
        <v>-6.7394838749343863E-5</v>
      </c>
      <c r="I12" s="111">
        <f t="shared" si="9"/>
        <v>-6.7394838749343863E-5</v>
      </c>
      <c r="J12" s="111">
        <f t="shared" si="9"/>
        <v>-6.7394838749343863E-5</v>
      </c>
      <c r="K12" s="111">
        <f t="shared" si="9"/>
        <v>-6.7394838749343863E-5</v>
      </c>
      <c r="L12" s="111">
        <f t="shared" si="10"/>
        <v>-6.7394838749343863E-5</v>
      </c>
      <c r="M12" s="111">
        <f t="shared" si="11"/>
        <v>-6.7394838749343863E-5</v>
      </c>
      <c r="N12" s="111">
        <f t="shared" si="12"/>
        <v>-6.7394838749343863E-5</v>
      </c>
    </row>
    <row r="13" spans="1:32" x14ac:dyDescent="0.3">
      <c r="A13" s="137"/>
      <c r="B13" s="63" t="s">
        <v>52</v>
      </c>
      <c r="C13" s="54">
        <f t="shared" ref="C13:D13" si="13">IF(C10="","",SUM(C11:C12))</f>
        <v>2.7905389219593928E-4</v>
      </c>
      <c r="D13" s="54">
        <f t="shared" si="13"/>
        <v>2.7905389219593928E-4</v>
      </c>
      <c r="E13" s="54">
        <f t="shared" ref="E13:K13" si="14">IF(E10="","",SUM(E11:E12))</f>
        <v>2.7905389219593928E-4</v>
      </c>
      <c r="F13" s="54">
        <f t="shared" si="14"/>
        <v>2.7905389219593928E-4</v>
      </c>
      <c r="G13" s="54">
        <f t="shared" si="14"/>
        <v>2.7905389219593928E-4</v>
      </c>
      <c r="H13" s="54">
        <f t="shared" si="14"/>
        <v>2.7905389219593928E-4</v>
      </c>
      <c r="I13" s="54">
        <f t="shared" si="14"/>
        <v>2.7905389219593928E-4</v>
      </c>
      <c r="J13" s="54">
        <f t="shared" si="14"/>
        <v>2.7905389219593928E-4</v>
      </c>
      <c r="K13" s="54">
        <f t="shared" si="14"/>
        <v>2.7905389219593928E-4</v>
      </c>
      <c r="L13" s="54">
        <f t="shared" ref="L13:AF13" si="15">IF(L10="","",SUM(L11:L12))</f>
        <v>2.7905389219593928E-4</v>
      </c>
      <c r="M13" s="54">
        <f t="shared" si="15"/>
        <v>2.7905389219593928E-4</v>
      </c>
      <c r="N13" s="54">
        <f t="shared" si="15"/>
        <v>2.7905389219593928E-4</v>
      </c>
      <c r="O13" s="54" t="str">
        <f t="shared" si="15"/>
        <v/>
      </c>
      <c r="P13" s="54" t="str">
        <f t="shared" si="15"/>
        <v/>
      </c>
      <c r="Q13" s="54" t="str">
        <f t="shared" si="15"/>
        <v/>
      </c>
      <c r="R13" s="54" t="str">
        <f t="shared" si="15"/>
        <v/>
      </c>
      <c r="S13" s="54" t="str">
        <f t="shared" si="15"/>
        <v/>
      </c>
      <c r="T13" s="54" t="str">
        <f t="shared" si="15"/>
        <v/>
      </c>
      <c r="U13" s="54" t="str">
        <f t="shared" si="15"/>
        <v/>
      </c>
      <c r="V13" s="54" t="str">
        <f t="shared" si="15"/>
        <v/>
      </c>
      <c r="W13" s="54" t="str">
        <f t="shared" si="15"/>
        <v/>
      </c>
      <c r="X13" s="54" t="str">
        <f t="shared" si="15"/>
        <v/>
      </c>
      <c r="Y13" s="54" t="str">
        <f t="shared" si="15"/>
        <v/>
      </c>
      <c r="Z13" s="54" t="str">
        <f t="shared" si="15"/>
        <v/>
      </c>
      <c r="AA13" s="54" t="str">
        <f t="shared" si="15"/>
        <v/>
      </c>
      <c r="AB13" s="54" t="str">
        <f t="shared" si="15"/>
        <v/>
      </c>
      <c r="AC13" s="54" t="str">
        <f t="shared" si="15"/>
        <v/>
      </c>
      <c r="AD13" s="54" t="str">
        <f t="shared" si="15"/>
        <v/>
      </c>
      <c r="AE13" s="54" t="str">
        <f t="shared" si="15"/>
        <v/>
      </c>
      <c r="AF13" s="54" t="str">
        <f t="shared" si="15"/>
        <v/>
      </c>
    </row>
    <row r="14" spans="1:32" x14ac:dyDescent="0.3">
      <c r="A14" s="137"/>
      <c r="B14" s="63" t="s">
        <v>46</v>
      </c>
      <c r="C14" s="58">
        <f t="shared" ref="C14:K14" si="16">IF(C10="","",IFERROR(C12/C13,""))</f>
        <v>-0.24151191090365509</v>
      </c>
      <c r="D14" s="58">
        <f t="shared" si="16"/>
        <v>-0.24151191090365509</v>
      </c>
      <c r="E14" s="58">
        <f t="shared" si="16"/>
        <v>-0.24151191090365509</v>
      </c>
      <c r="F14" s="58">
        <f t="shared" si="16"/>
        <v>-0.24151191090365509</v>
      </c>
      <c r="G14" s="58">
        <f t="shared" si="16"/>
        <v>-0.24151191090365509</v>
      </c>
      <c r="H14" s="58">
        <f t="shared" si="16"/>
        <v>-0.24151191090365509</v>
      </c>
      <c r="I14" s="58">
        <f t="shared" si="16"/>
        <v>-0.24151191090365509</v>
      </c>
      <c r="J14" s="58">
        <f t="shared" si="16"/>
        <v>-0.24151191090365509</v>
      </c>
      <c r="K14" s="58">
        <f t="shared" si="16"/>
        <v>-0.24151191090365509</v>
      </c>
      <c r="L14" s="58">
        <f t="shared" ref="L14:AF14" si="17">IF(L10="","",IFERROR(L12/L13,""))</f>
        <v>-0.24151191090365509</v>
      </c>
      <c r="M14" s="58">
        <f t="shared" si="17"/>
        <v>-0.24151191090365509</v>
      </c>
      <c r="N14" s="58">
        <f t="shared" si="17"/>
        <v>-0.24151191090365509</v>
      </c>
      <c r="O14" s="58" t="str">
        <f t="shared" si="17"/>
        <v/>
      </c>
      <c r="P14" s="58" t="str">
        <f t="shared" si="17"/>
        <v/>
      </c>
      <c r="Q14" s="58" t="str">
        <f t="shared" si="17"/>
        <v/>
      </c>
      <c r="R14" s="58" t="str">
        <f t="shared" si="17"/>
        <v/>
      </c>
      <c r="S14" s="58" t="str">
        <f t="shared" si="17"/>
        <v/>
      </c>
      <c r="T14" s="58" t="str">
        <f t="shared" si="17"/>
        <v/>
      </c>
      <c r="U14" s="58" t="str">
        <f t="shared" si="17"/>
        <v/>
      </c>
      <c r="V14" s="58" t="str">
        <f t="shared" si="17"/>
        <v/>
      </c>
      <c r="W14" s="58" t="str">
        <f t="shared" si="17"/>
        <v/>
      </c>
      <c r="X14" s="58" t="str">
        <f t="shared" si="17"/>
        <v/>
      </c>
      <c r="Y14" s="58" t="str">
        <f t="shared" si="17"/>
        <v/>
      </c>
      <c r="Z14" s="58" t="str">
        <f t="shared" si="17"/>
        <v/>
      </c>
      <c r="AA14" s="58" t="str">
        <f t="shared" si="17"/>
        <v/>
      </c>
      <c r="AB14" s="58" t="str">
        <f t="shared" si="17"/>
        <v/>
      </c>
      <c r="AC14" s="58" t="str">
        <f t="shared" si="17"/>
        <v/>
      </c>
      <c r="AD14" s="58" t="str">
        <f t="shared" si="17"/>
        <v/>
      </c>
      <c r="AE14" s="58" t="str">
        <f t="shared" si="17"/>
        <v/>
      </c>
      <c r="AF14" s="58" t="str">
        <f t="shared" si="17"/>
        <v/>
      </c>
    </row>
    <row r="15" spans="1:32" x14ac:dyDescent="0.3">
      <c r="A15" s="137"/>
      <c r="B15" s="64" t="s">
        <v>47</v>
      </c>
      <c r="C15" s="56">
        <f t="shared" ref="C15:K15" si="18">IF(C10="","",ROUND(C14*C10,2))</f>
        <v>-17996.03</v>
      </c>
      <c r="D15" s="56">
        <f t="shared" si="18"/>
        <v>-17828.82</v>
      </c>
      <c r="E15" s="56">
        <f t="shared" si="18"/>
        <v>-13698.34</v>
      </c>
      <c r="F15" s="56">
        <f t="shared" si="18"/>
        <v>-12419.68</v>
      </c>
      <c r="G15" s="56">
        <f t="shared" si="18"/>
        <v>-15595.43</v>
      </c>
      <c r="H15" s="56">
        <f t="shared" si="18"/>
        <v>-19419.18</v>
      </c>
      <c r="I15" s="56">
        <f t="shared" si="18"/>
        <v>-18927.88</v>
      </c>
      <c r="J15" s="56">
        <f t="shared" si="18"/>
        <v>-18118.43</v>
      </c>
      <c r="K15" s="56">
        <f t="shared" si="18"/>
        <v>-14686.23</v>
      </c>
      <c r="L15" s="56">
        <f t="shared" ref="L15:AF15" si="19">IF(L10="","",ROUND(L14*L10,2))</f>
        <v>-14319.1</v>
      </c>
      <c r="M15" s="56">
        <f t="shared" si="19"/>
        <v>-16665.79</v>
      </c>
      <c r="N15" s="56">
        <f t="shared" si="19"/>
        <v>-19979.080000000002</v>
      </c>
      <c r="O15" s="56" t="str">
        <f t="shared" si="19"/>
        <v/>
      </c>
      <c r="P15" s="56" t="str">
        <f t="shared" si="19"/>
        <v/>
      </c>
      <c r="Q15" s="56" t="str">
        <f t="shared" si="19"/>
        <v/>
      </c>
      <c r="R15" s="56" t="str">
        <f t="shared" si="19"/>
        <v/>
      </c>
      <c r="S15" s="56" t="str">
        <f t="shared" si="19"/>
        <v/>
      </c>
      <c r="T15" s="56" t="str">
        <f t="shared" si="19"/>
        <v/>
      </c>
      <c r="U15" s="56" t="str">
        <f t="shared" si="19"/>
        <v/>
      </c>
      <c r="V15" s="56" t="str">
        <f t="shared" si="19"/>
        <v/>
      </c>
      <c r="W15" s="56" t="str">
        <f t="shared" si="19"/>
        <v/>
      </c>
      <c r="X15" s="56" t="str">
        <f t="shared" si="19"/>
        <v/>
      </c>
      <c r="Y15" s="56" t="str">
        <f t="shared" si="19"/>
        <v/>
      </c>
      <c r="Z15" s="56" t="str">
        <f t="shared" si="19"/>
        <v/>
      </c>
      <c r="AA15" s="56" t="str">
        <f t="shared" si="19"/>
        <v/>
      </c>
      <c r="AB15" s="56" t="str">
        <f t="shared" si="19"/>
        <v/>
      </c>
      <c r="AC15" s="56" t="str">
        <f t="shared" si="19"/>
        <v/>
      </c>
      <c r="AD15" s="56" t="str">
        <f t="shared" si="19"/>
        <v/>
      </c>
      <c r="AE15" s="56" t="str">
        <f t="shared" si="19"/>
        <v/>
      </c>
      <c r="AF15" s="56" t="str">
        <f t="shared" si="19"/>
        <v/>
      </c>
    </row>
    <row r="16" spans="1:32" x14ac:dyDescent="0.3">
      <c r="A16" s="67"/>
      <c r="B16" s="65"/>
      <c r="C16" s="57"/>
      <c r="D16" s="57"/>
      <c r="E16" s="57"/>
      <c r="F16" s="57"/>
      <c r="G16" s="57"/>
      <c r="H16" s="57"/>
      <c r="I16" s="57"/>
      <c r="J16" s="57"/>
      <c r="K16" s="5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</row>
    <row r="17" spans="1:32" x14ac:dyDescent="0.3">
      <c r="A17" s="137" t="s">
        <v>34</v>
      </c>
      <c r="B17" s="63" t="s">
        <v>43</v>
      </c>
      <c r="C17" s="55">
        <f>IF(+'M3 Allocations - TD'!O53="","",'M3 Allocations - TD'!O53)</f>
        <v>108510.2</v>
      </c>
      <c r="D17" s="55">
        <f>IF(+'M3 Allocations - TD'!P53="","",'M3 Allocations - TD'!P53)</f>
        <v>102469.35</v>
      </c>
      <c r="E17" s="55">
        <f>IF(+'M3 Allocations - TD'!Q53="","",'M3 Allocations - TD'!Q53)</f>
        <v>87569.04</v>
      </c>
      <c r="F17" s="55">
        <f>IF(+'M3 Allocations - TD'!R53="","",'M3 Allocations - TD'!R53)</f>
        <v>81676.990000000005</v>
      </c>
      <c r="G17" s="55">
        <f>IF(+'M3 Allocations - TD'!S53="","",'M3 Allocations - TD'!S53)</f>
        <v>96788.800000000003</v>
      </c>
      <c r="H17" s="55">
        <f>IF(+'M3 Allocations - TD'!T53="","",'M3 Allocations - TD'!T53)</f>
        <v>113009.35</v>
      </c>
      <c r="I17" s="55">
        <f>IF(+'M3 Allocations - TD'!U53="","",'M3 Allocations - TD'!U53)</f>
        <v>112596.34</v>
      </c>
      <c r="J17" s="55">
        <f>IF(+'M3 Allocations - TD'!V53="","",'M3 Allocations - TD'!V53)</f>
        <v>112065.74</v>
      </c>
      <c r="K17" s="55">
        <f>IF(+'M3 Allocations - TD'!W53="","",'M3 Allocations - TD'!W53)</f>
        <v>95621.75</v>
      </c>
      <c r="L17" s="55">
        <f>IF(+'M3 Allocations - TD'!X53="","",'M3 Allocations - TD'!X53)</f>
        <v>91478.514127181377</v>
      </c>
      <c r="M17" s="55">
        <f>IF(+'M3 Allocations - TD'!Y53="","",'M3 Allocations - TD'!Y53)</f>
        <v>96487.958538064617</v>
      </c>
      <c r="N17" s="55">
        <f>IF(+'M3 Allocations - TD'!Z53="","",'M3 Allocations - TD'!Z53)</f>
        <v>111922.1839642819</v>
      </c>
      <c r="O17" s="55" t="str">
        <f>IF(+'M3 Allocations - TD'!AA53="","",'M3 Allocations - TD'!AA53)</f>
        <v/>
      </c>
      <c r="P17" s="55" t="str">
        <f>IF(+'M3 Allocations - TD'!AB53="","",'M3 Allocations - TD'!AB53)</f>
        <v/>
      </c>
      <c r="Q17" s="55" t="str">
        <f>IF(+'M3 Allocations - TD'!AC53="","",'M3 Allocations - TD'!AC53)</f>
        <v/>
      </c>
      <c r="R17" s="55" t="str">
        <f>IF(+'M3 Allocations - TD'!AD53="","",'M3 Allocations - TD'!AD53)</f>
        <v/>
      </c>
      <c r="S17" s="55" t="str">
        <f>IF(+'M3 Allocations - TD'!AE53="","",'M3 Allocations - TD'!AE53)</f>
        <v/>
      </c>
      <c r="T17" s="55" t="str">
        <f>IF(+'M3 Allocations - TD'!AF53="","",'M3 Allocations - TD'!AF53)</f>
        <v/>
      </c>
      <c r="U17" s="55" t="str">
        <f>IF(+'M3 Allocations - TD'!AG53="","",'M3 Allocations - TD'!AG53)</f>
        <v/>
      </c>
      <c r="V17" s="55" t="str">
        <f>IF(+'M3 Allocations - TD'!AH53="","",'M3 Allocations - TD'!AH53)</f>
        <v/>
      </c>
      <c r="W17" s="55" t="str">
        <f>IF(+'M3 Allocations - TD'!AI53="","",'M3 Allocations - TD'!AI53)</f>
        <v/>
      </c>
      <c r="X17" s="55" t="str">
        <f>IF(+'M3 Allocations - TD'!AJ53="","",'M3 Allocations - TD'!AJ53)</f>
        <v/>
      </c>
      <c r="Y17" s="55" t="str">
        <f>IF(+'M3 Allocations - TD'!AK53="","",'M3 Allocations - TD'!AK53)</f>
        <v/>
      </c>
      <c r="Z17" s="55" t="str">
        <f>IF(+'M3 Allocations - TD'!AL53="","",'M3 Allocations - TD'!AL53)</f>
        <v/>
      </c>
      <c r="AA17" s="55" t="str">
        <f>IF(+'M3 Allocations - TD'!AM53="","",'M3 Allocations - TD'!AM53)</f>
        <v/>
      </c>
      <c r="AB17" s="55" t="str">
        <f>IF(+'M3 Allocations - TD'!AN53="","",'M3 Allocations - TD'!AN53)</f>
        <v/>
      </c>
      <c r="AC17" s="55" t="str">
        <f>IF(+'M3 Allocations - TD'!AO53="","",'M3 Allocations - TD'!AO53)</f>
        <v/>
      </c>
      <c r="AD17" s="55" t="str">
        <f>IF(+'M3 Allocations - TD'!AP53="","",'M3 Allocations - TD'!AP53)</f>
        <v/>
      </c>
      <c r="AE17" s="55" t="str">
        <f>IF(+'M3 Allocations - TD'!AQ53="","",'M3 Allocations - TD'!AQ53)</f>
        <v/>
      </c>
      <c r="AF17" s="55" t="str">
        <f>IF(+'M3 Allocations - TD'!AR53="","",'M3 Allocations - TD'!AR53)</f>
        <v/>
      </c>
    </row>
    <row r="18" spans="1:32" x14ac:dyDescent="0.3">
      <c r="A18" s="137"/>
      <c r="B18" s="63" t="s">
        <v>45</v>
      </c>
      <c r="C18" s="108">
        <v>2.4889105871721853E-4</v>
      </c>
      <c r="D18" s="111">
        <f t="shared" ref="D18:K19" si="20">IF(D17="","",C18)</f>
        <v>2.4889105871721853E-4</v>
      </c>
      <c r="E18" s="111">
        <f t="shared" si="20"/>
        <v>2.4889105871721853E-4</v>
      </c>
      <c r="F18" s="111">
        <f t="shared" si="20"/>
        <v>2.4889105871721853E-4</v>
      </c>
      <c r="G18" s="111">
        <f t="shared" si="20"/>
        <v>2.4889105871721853E-4</v>
      </c>
      <c r="H18" s="111">
        <f t="shared" si="20"/>
        <v>2.4889105871721853E-4</v>
      </c>
      <c r="I18" s="111">
        <f t="shared" si="20"/>
        <v>2.4889105871721853E-4</v>
      </c>
      <c r="J18" s="111">
        <f t="shared" si="20"/>
        <v>2.4889105871721853E-4</v>
      </c>
      <c r="K18" s="111">
        <f t="shared" si="20"/>
        <v>2.4889105871721853E-4</v>
      </c>
      <c r="L18" s="111">
        <f t="shared" ref="L18:L19" si="21">IF(L17="","",K18)</f>
        <v>2.4889105871721853E-4</v>
      </c>
      <c r="M18" s="111">
        <f t="shared" ref="M18:M19" si="22">IF(M17="","",L18)</f>
        <v>2.4889105871721853E-4</v>
      </c>
      <c r="N18" s="111">
        <f t="shared" ref="N18:N19" si="23">IF(N17="","",M18)</f>
        <v>2.4889105871721853E-4</v>
      </c>
    </row>
    <row r="19" spans="1:32" x14ac:dyDescent="0.3">
      <c r="A19" s="137"/>
      <c r="B19" s="63" t="s">
        <v>44</v>
      </c>
      <c r="C19" s="110">
        <v>-6.7783107808315319E-5</v>
      </c>
      <c r="D19" s="111">
        <f t="shared" si="20"/>
        <v>-6.7783107808315319E-5</v>
      </c>
      <c r="E19" s="111">
        <f t="shared" si="20"/>
        <v>-6.7783107808315319E-5</v>
      </c>
      <c r="F19" s="111">
        <f t="shared" si="20"/>
        <v>-6.7783107808315319E-5</v>
      </c>
      <c r="G19" s="111">
        <f t="shared" si="20"/>
        <v>-6.7783107808315319E-5</v>
      </c>
      <c r="H19" s="111">
        <f t="shared" si="20"/>
        <v>-6.7783107808315319E-5</v>
      </c>
      <c r="I19" s="111">
        <f t="shared" si="20"/>
        <v>-6.7783107808315319E-5</v>
      </c>
      <c r="J19" s="111">
        <f t="shared" si="20"/>
        <v>-6.7783107808315319E-5</v>
      </c>
      <c r="K19" s="111">
        <f t="shared" si="20"/>
        <v>-6.7783107808315319E-5</v>
      </c>
      <c r="L19" s="111">
        <f t="shared" si="21"/>
        <v>-6.7783107808315319E-5</v>
      </c>
      <c r="M19" s="111">
        <f t="shared" si="22"/>
        <v>-6.7783107808315319E-5</v>
      </c>
      <c r="N19" s="111">
        <f t="shared" si="23"/>
        <v>-6.7783107808315319E-5</v>
      </c>
    </row>
    <row r="20" spans="1:32" x14ac:dyDescent="0.3">
      <c r="A20" s="137"/>
      <c r="B20" s="63" t="s">
        <v>52</v>
      </c>
      <c r="C20" s="54">
        <f t="shared" ref="C20:D20" si="24">IF(C17="","",SUM(C18:C19))</f>
        <v>1.8110795090890323E-4</v>
      </c>
      <c r="D20" s="54">
        <f t="shared" si="24"/>
        <v>1.8110795090890323E-4</v>
      </c>
      <c r="E20" s="54">
        <f t="shared" ref="E20:K20" si="25">IF(E17="","",SUM(E18:E19))</f>
        <v>1.8110795090890323E-4</v>
      </c>
      <c r="F20" s="54">
        <f t="shared" si="25"/>
        <v>1.8110795090890323E-4</v>
      </c>
      <c r="G20" s="54">
        <f t="shared" si="25"/>
        <v>1.8110795090890323E-4</v>
      </c>
      <c r="H20" s="54">
        <f t="shared" si="25"/>
        <v>1.8110795090890323E-4</v>
      </c>
      <c r="I20" s="54">
        <f t="shared" si="25"/>
        <v>1.8110795090890323E-4</v>
      </c>
      <c r="J20" s="54">
        <f t="shared" si="25"/>
        <v>1.8110795090890323E-4</v>
      </c>
      <c r="K20" s="54">
        <f t="shared" si="25"/>
        <v>1.8110795090890323E-4</v>
      </c>
      <c r="L20" s="54">
        <f t="shared" ref="L20:AF20" si="26">IF(L17="","",SUM(L18:L19))</f>
        <v>1.8110795090890323E-4</v>
      </c>
      <c r="M20" s="54">
        <f t="shared" si="26"/>
        <v>1.8110795090890323E-4</v>
      </c>
      <c r="N20" s="54">
        <f t="shared" si="26"/>
        <v>1.8110795090890323E-4</v>
      </c>
      <c r="O20" s="54" t="str">
        <f t="shared" si="26"/>
        <v/>
      </c>
      <c r="P20" s="54" t="str">
        <f t="shared" si="26"/>
        <v/>
      </c>
      <c r="Q20" s="54" t="str">
        <f t="shared" si="26"/>
        <v/>
      </c>
      <c r="R20" s="54" t="str">
        <f t="shared" si="26"/>
        <v/>
      </c>
      <c r="S20" s="54" t="str">
        <f t="shared" si="26"/>
        <v/>
      </c>
      <c r="T20" s="54" t="str">
        <f t="shared" si="26"/>
        <v/>
      </c>
      <c r="U20" s="54" t="str">
        <f t="shared" si="26"/>
        <v/>
      </c>
      <c r="V20" s="54" t="str">
        <f t="shared" si="26"/>
        <v/>
      </c>
      <c r="W20" s="54" t="str">
        <f t="shared" si="26"/>
        <v/>
      </c>
      <c r="X20" s="54" t="str">
        <f t="shared" si="26"/>
        <v/>
      </c>
      <c r="Y20" s="54" t="str">
        <f t="shared" si="26"/>
        <v/>
      </c>
      <c r="Z20" s="54" t="str">
        <f t="shared" si="26"/>
        <v/>
      </c>
      <c r="AA20" s="54" t="str">
        <f t="shared" si="26"/>
        <v/>
      </c>
      <c r="AB20" s="54" t="str">
        <f t="shared" si="26"/>
        <v/>
      </c>
      <c r="AC20" s="54" t="str">
        <f t="shared" si="26"/>
        <v/>
      </c>
      <c r="AD20" s="54" t="str">
        <f t="shared" si="26"/>
        <v/>
      </c>
      <c r="AE20" s="54" t="str">
        <f t="shared" si="26"/>
        <v/>
      </c>
      <c r="AF20" s="54" t="str">
        <f t="shared" si="26"/>
        <v/>
      </c>
    </row>
    <row r="21" spans="1:32" x14ac:dyDescent="0.3">
      <c r="A21" s="137"/>
      <c r="B21" s="63" t="s">
        <v>46</v>
      </c>
      <c r="C21" s="58">
        <f t="shared" ref="C21:K21" si="27">IF(C17="","",IFERROR(C19/C20,""))</f>
        <v>-0.37426908906064554</v>
      </c>
      <c r="D21" s="58">
        <f t="shared" si="27"/>
        <v>-0.37426908906064554</v>
      </c>
      <c r="E21" s="58">
        <f t="shared" si="27"/>
        <v>-0.37426908906064554</v>
      </c>
      <c r="F21" s="58">
        <f t="shared" si="27"/>
        <v>-0.37426908906064554</v>
      </c>
      <c r="G21" s="58">
        <f t="shared" si="27"/>
        <v>-0.37426908906064554</v>
      </c>
      <c r="H21" s="58">
        <f t="shared" si="27"/>
        <v>-0.37426908906064554</v>
      </c>
      <c r="I21" s="58">
        <f t="shared" si="27"/>
        <v>-0.37426908906064554</v>
      </c>
      <c r="J21" s="58">
        <f t="shared" si="27"/>
        <v>-0.37426908906064554</v>
      </c>
      <c r="K21" s="58">
        <f t="shared" si="27"/>
        <v>-0.37426908906064554</v>
      </c>
      <c r="L21" s="58">
        <f t="shared" ref="L21:AF21" si="28">IF(L17="","",IFERROR(L19/L20,""))</f>
        <v>-0.37426908906064554</v>
      </c>
      <c r="M21" s="58">
        <f t="shared" si="28"/>
        <v>-0.37426908906064554</v>
      </c>
      <c r="N21" s="58">
        <f t="shared" si="28"/>
        <v>-0.37426908906064554</v>
      </c>
      <c r="O21" s="58" t="str">
        <f t="shared" si="28"/>
        <v/>
      </c>
      <c r="P21" s="58" t="str">
        <f t="shared" si="28"/>
        <v/>
      </c>
      <c r="Q21" s="58" t="str">
        <f t="shared" si="28"/>
        <v/>
      </c>
      <c r="R21" s="58" t="str">
        <f t="shared" si="28"/>
        <v/>
      </c>
      <c r="S21" s="58" t="str">
        <f t="shared" si="28"/>
        <v/>
      </c>
      <c r="T21" s="58" t="str">
        <f t="shared" si="28"/>
        <v/>
      </c>
      <c r="U21" s="58" t="str">
        <f t="shared" si="28"/>
        <v/>
      </c>
      <c r="V21" s="58" t="str">
        <f t="shared" si="28"/>
        <v/>
      </c>
      <c r="W21" s="58" t="str">
        <f t="shared" si="28"/>
        <v/>
      </c>
      <c r="X21" s="58" t="str">
        <f t="shared" si="28"/>
        <v/>
      </c>
      <c r="Y21" s="58" t="str">
        <f t="shared" si="28"/>
        <v/>
      </c>
      <c r="Z21" s="58" t="str">
        <f t="shared" si="28"/>
        <v/>
      </c>
      <c r="AA21" s="58" t="str">
        <f t="shared" si="28"/>
        <v/>
      </c>
      <c r="AB21" s="58" t="str">
        <f t="shared" si="28"/>
        <v/>
      </c>
      <c r="AC21" s="58" t="str">
        <f t="shared" si="28"/>
        <v/>
      </c>
      <c r="AD21" s="58" t="str">
        <f t="shared" si="28"/>
        <v/>
      </c>
      <c r="AE21" s="58" t="str">
        <f t="shared" si="28"/>
        <v/>
      </c>
      <c r="AF21" s="58" t="str">
        <f t="shared" si="28"/>
        <v/>
      </c>
    </row>
    <row r="22" spans="1:32" x14ac:dyDescent="0.3">
      <c r="A22" s="137"/>
      <c r="B22" s="64" t="s">
        <v>47</v>
      </c>
      <c r="C22" s="56">
        <f t="shared" ref="C22:K22" si="29">IF(C17="","",ROUND(C21*C17,2))</f>
        <v>-40612.01</v>
      </c>
      <c r="D22" s="56">
        <f t="shared" si="29"/>
        <v>-38351.11</v>
      </c>
      <c r="E22" s="56">
        <f t="shared" si="29"/>
        <v>-32774.379999999997</v>
      </c>
      <c r="F22" s="56">
        <f t="shared" si="29"/>
        <v>-30569.17</v>
      </c>
      <c r="G22" s="56">
        <f t="shared" si="29"/>
        <v>-36225.06</v>
      </c>
      <c r="H22" s="56">
        <f t="shared" si="29"/>
        <v>-42295.91</v>
      </c>
      <c r="I22" s="56">
        <f t="shared" si="29"/>
        <v>-42141.33</v>
      </c>
      <c r="J22" s="56">
        <f t="shared" si="29"/>
        <v>-41942.74</v>
      </c>
      <c r="K22" s="56">
        <f t="shared" si="29"/>
        <v>-35788.269999999997</v>
      </c>
      <c r="L22" s="56">
        <f t="shared" ref="L22:AF22" si="30">IF(L17="","",ROUND(L21*L17,2))</f>
        <v>-34237.58</v>
      </c>
      <c r="M22" s="56">
        <f t="shared" si="30"/>
        <v>-36112.46</v>
      </c>
      <c r="N22" s="56">
        <f t="shared" si="30"/>
        <v>-41889.01</v>
      </c>
      <c r="O22" s="56" t="str">
        <f t="shared" si="30"/>
        <v/>
      </c>
      <c r="P22" s="56" t="str">
        <f t="shared" si="30"/>
        <v/>
      </c>
      <c r="Q22" s="56" t="str">
        <f t="shared" si="30"/>
        <v/>
      </c>
      <c r="R22" s="56" t="str">
        <f t="shared" si="30"/>
        <v/>
      </c>
      <c r="S22" s="56" t="str">
        <f t="shared" si="30"/>
        <v/>
      </c>
      <c r="T22" s="56" t="str">
        <f t="shared" si="30"/>
        <v/>
      </c>
      <c r="U22" s="56" t="str">
        <f t="shared" si="30"/>
        <v/>
      </c>
      <c r="V22" s="56" t="str">
        <f t="shared" si="30"/>
        <v/>
      </c>
      <c r="W22" s="56" t="str">
        <f t="shared" si="30"/>
        <v/>
      </c>
      <c r="X22" s="56" t="str">
        <f t="shared" si="30"/>
        <v/>
      </c>
      <c r="Y22" s="56" t="str">
        <f t="shared" si="30"/>
        <v/>
      </c>
      <c r="Z22" s="56" t="str">
        <f t="shared" si="30"/>
        <v/>
      </c>
      <c r="AA22" s="56" t="str">
        <f t="shared" si="30"/>
        <v/>
      </c>
      <c r="AB22" s="56" t="str">
        <f t="shared" si="30"/>
        <v/>
      </c>
      <c r="AC22" s="56" t="str">
        <f t="shared" si="30"/>
        <v/>
      </c>
      <c r="AD22" s="56" t="str">
        <f t="shared" si="30"/>
        <v/>
      </c>
      <c r="AE22" s="56" t="str">
        <f t="shared" si="30"/>
        <v/>
      </c>
      <c r="AF22" s="56" t="str">
        <f t="shared" si="30"/>
        <v/>
      </c>
    </row>
    <row r="23" spans="1:32" x14ac:dyDescent="0.3">
      <c r="A23" s="67"/>
      <c r="B23" s="65"/>
      <c r="C23" s="57"/>
      <c r="D23" s="57"/>
      <c r="E23" s="57"/>
      <c r="F23" s="57"/>
      <c r="G23" s="57"/>
      <c r="H23" s="57"/>
      <c r="I23" s="57"/>
      <c r="J23" s="57"/>
      <c r="K23" s="5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</row>
    <row r="24" spans="1:32" x14ac:dyDescent="0.3">
      <c r="A24" s="137" t="s">
        <v>35</v>
      </c>
      <c r="B24" s="63" t="s">
        <v>43</v>
      </c>
      <c r="C24" s="55">
        <f>IF(+'M3 Allocations - TD'!O54="","",'M3 Allocations - TD'!O54)</f>
        <v>45259.54</v>
      </c>
      <c r="D24" s="55">
        <f>IF(+'M3 Allocations - TD'!P54="","",'M3 Allocations - TD'!P54)</f>
        <v>39182.19</v>
      </c>
      <c r="E24" s="55">
        <f>IF(+'M3 Allocations - TD'!Q54="","",'M3 Allocations - TD'!Q54)</f>
        <v>38273.29</v>
      </c>
      <c r="F24" s="55">
        <f>IF(+'M3 Allocations - TD'!R54="","",'M3 Allocations - TD'!R54)</f>
        <v>36030.870000000003</v>
      </c>
      <c r="G24" s="55">
        <f>IF(+'M3 Allocations - TD'!S54="","",'M3 Allocations - TD'!S54)</f>
        <v>41962.67</v>
      </c>
      <c r="H24" s="55">
        <f>IF(+'M3 Allocations - TD'!T54="","",'M3 Allocations - TD'!T54)</f>
        <v>44167.05</v>
      </c>
      <c r="I24" s="55">
        <f>IF(+'M3 Allocations - TD'!U54="","",'M3 Allocations - TD'!U54)</f>
        <v>46294.41</v>
      </c>
      <c r="J24" s="55">
        <f>IF(+'M3 Allocations - TD'!V54="","",'M3 Allocations - TD'!V54)</f>
        <v>46306.19</v>
      </c>
      <c r="K24" s="55">
        <f>IF(+'M3 Allocations - TD'!W54="","",'M3 Allocations - TD'!W54)</f>
        <v>41160.14</v>
      </c>
      <c r="L24" s="55">
        <f>IF(+'M3 Allocations - TD'!X54="","",'M3 Allocations - TD'!X54)</f>
        <v>37903.254508981037</v>
      </c>
      <c r="M24" s="55">
        <f>IF(+'M3 Allocations - TD'!Y54="","",'M3 Allocations - TD'!Y54)</f>
        <v>38323.637623178955</v>
      </c>
      <c r="N24" s="55">
        <f>IF(+'M3 Allocations - TD'!Z54="","",'M3 Allocations - TD'!Z54)</f>
        <v>44141.850653796471</v>
      </c>
      <c r="O24" s="55" t="str">
        <f>IF(+'M3 Allocations - TD'!AA54="","",'M3 Allocations - TD'!AA54)</f>
        <v/>
      </c>
      <c r="P24" s="55" t="str">
        <f>IF(+'M3 Allocations - TD'!AB54="","",'M3 Allocations - TD'!AB54)</f>
        <v/>
      </c>
      <c r="Q24" s="55" t="str">
        <f>IF(+'M3 Allocations - TD'!AC54="","",'M3 Allocations - TD'!AC54)</f>
        <v/>
      </c>
      <c r="R24" s="55" t="str">
        <f>IF(+'M3 Allocations - TD'!AD54="","",'M3 Allocations - TD'!AD54)</f>
        <v/>
      </c>
      <c r="S24" s="55" t="str">
        <f>IF(+'M3 Allocations - TD'!AE54="","",'M3 Allocations - TD'!AE54)</f>
        <v/>
      </c>
      <c r="T24" s="55" t="str">
        <f>IF(+'M3 Allocations - TD'!AF54="","",'M3 Allocations - TD'!AF54)</f>
        <v/>
      </c>
      <c r="U24" s="55" t="str">
        <f>IF(+'M3 Allocations - TD'!AG54="","",'M3 Allocations - TD'!AG54)</f>
        <v/>
      </c>
      <c r="V24" s="55" t="str">
        <f>IF(+'M3 Allocations - TD'!AH54="","",'M3 Allocations - TD'!AH54)</f>
        <v/>
      </c>
      <c r="W24" s="55" t="str">
        <f>IF(+'M3 Allocations - TD'!AI54="","",'M3 Allocations - TD'!AI54)</f>
        <v/>
      </c>
      <c r="X24" s="55" t="str">
        <f>IF(+'M3 Allocations - TD'!AJ54="","",'M3 Allocations - TD'!AJ54)</f>
        <v/>
      </c>
      <c r="Y24" s="55" t="str">
        <f>IF(+'M3 Allocations - TD'!AK54="","",'M3 Allocations - TD'!AK54)</f>
        <v/>
      </c>
      <c r="Z24" s="55" t="str">
        <f>IF(+'M3 Allocations - TD'!AL54="","",'M3 Allocations - TD'!AL54)</f>
        <v/>
      </c>
      <c r="AA24" s="55" t="str">
        <f>IF(+'M3 Allocations - TD'!AM54="","",'M3 Allocations - TD'!AM54)</f>
        <v/>
      </c>
      <c r="AB24" s="55" t="str">
        <f>IF(+'M3 Allocations - TD'!AN54="","",'M3 Allocations - TD'!AN54)</f>
        <v/>
      </c>
      <c r="AC24" s="55" t="str">
        <f>IF(+'M3 Allocations - TD'!AO54="","",'M3 Allocations - TD'!AO54)</f>
        <v/>
      </c>
      <c r="AD24" s="55" t="str">
        <f>IF(+'M3 Allocations - TD'!AP54="","",'M3 Allocations - TD'!AP54)</f>
        <v/>
      </c>
      <c r="AE24" s="55" t="str">
        <f>IF(+'M3 Allocations - TD'!AQ54="","",'M3 Allocations - TD'!AQ54)</f>
        <v/>
      </c>
      <c r="AF24" s="55" t="str">
        <f>IF(+'M3 Allocations - TD'!AR54="","",'M3 Allocations - TD'!AR54)</f>
        <v/>
      </c>
    </row>
    <row r="25" spans="1:32" x14ac:dyDescent="0.3">
      <c r="A25" s="137"/>
      <c r="B25" s="63" t="s">
        <v>45</v>
      </c>
      <c r="C25" s="108">
        <v>2.5367471035843018E-4</v>
      </c>
      <c r="D25" s="111">
        <f t="shared" ref="D25:K26" si="31">IF(D24="","",C25)</f>
        <v>2.5367471035843018E-4</v>
      </c>
      <c r="E25" s="111">
        <f t="shared" si="31"/>
        <v>2.5367471035843018E-4</v>
      </c>
      <c r="F25" s="111">
        <f t="shared" si="31"/>
        <v>2.5367471035843018E-4</v>
      </c>
      <c r="G25" s="111">
        <f t="shared" si="31"/>
        <v>2.5367471035843018E-4</v>
      </c>
      <c r="H25" s="111">
        <f t="shared" si="31"/>
        <v>2.5367471035843018E-4</v>
      </c>
      <c r="I25" s="111">
        <f t="shared" si="31"/>
        <v>2.5367471035843018E-4</v>
      </c>
      <c r="J25" s="111">
        <f t="shared" si="31"/>
        <v>2.5367471035843018E-4</v>
      </c>
      <c r="K25" s="111">
        <f t="shared" si="31"/>
        <v>2.5367471035843018E-4</v>
      </c>
      <c r="L25" s="111">
        <f t="shared" ref="L25:L26" si="32">IF(L24="","",K25)</f>
        <v>2.5367471035843018E-4</v>
      </c>
      <c r="M25" s="111">
        <f t="shared" ref="M25:M26" si="33">IF(M24="","",L25)</f>
        <v>2.5367471035843018E-4</v>
      </c>
      <c r="N25" s="111">
        <f t="shared" ref="N25:N26" si="34">IF(N24="","",M25)</f>
        <v>2.5367471035843018E-4</v>
      </c>
    </row>
    <row r="26" spans="1:32" x14ac:dyDescent="0.3">
      <c r="A26" s="137"/>
      <c r="B26" s="63" t="s">
        <v>44</v>
      </c>
      <c r="C26" s="110">
        <v>-7.9632920155371304E-5</v>
      </c>
      <c r="D26" s="111">
        <f t="shared" si="31"/>
        <v>-7.9632920155371304E-5</v>
      </c>
      <c r="E26" s="111">
        <f t="shared" si="31"/>
        <v>-7.9632920155371304E-5</v>
      </c>
      <c r="F26" s="111">
        <f t="shared" si="31"/>
        <v>-7.9632920155371304E-5</v>
      </c>
      <c r="G26" s="111">
        <f t="shared" si="31"/>
        <v>-7.9632920155371304E-5</v>
      </c>
      <c r="H26" s="111">
        <f t="shared" si="31"/>
        <v>-7.9632920155371304E-5</v>
      </c>
      <c r="I26" s="111">
        <f t="shared" si="31"/>
        <v>-7.9632920155371304E-5</v>
      </c>
      <c r="J26" s="111">
        <f t="shared" si="31"/>
        <v>-7.9632920155371304E-5</v>
      </c>
      <c r="K26" s="111">
        <f t="shared" si="31"/>
        <v>-7.9632920155371304E-5</v>
      </c>
      <c r="L26" s="111">
        <f t="shared" si="32"/>
        <v>-7.9632920155371304E-5</v>
      </c>
      <c r="M26" s="111">
        <f t="shared" si="33"/>
        <v>-7.9632920155371304E-5</v>
      </c>
      <c r="N26" s="111">
        <f t="shared" si="34"/>
        <v>-7.9632920155371304E-5</v>
      </c>
    </row>
    <row r="27" spans="1:32" x14ac:dyDescent="0.3">
      <c r="A27" s="137"/>
      <c r="B27" s="63" t="s">
        <v>52</v>
      </c>
      <c r="C27" s="54">
        <f t="shared" ref="C27:D27" si="35">IF(C24="","",SUM(C25:C26))</f>
        <v>1.7404179020305888E-4</v>
      </c>
      <c r="D27" s="54">
        <f t="shared" si="35"/>
        <v>1.7404179020305888E-4</v>
      </c>
      <c r="E27" s="54">
        <f t="shared" ref="E27:K27" si="36">IF(E24="","",SUM(E25:E26))</f>
        <v>1.7404179020305888E-4</v>
      </c>
      <c r="F27" s="54">
        <f t="shared" si="36"/>
        <v>1.7404179020305888E-4</v>
      </c>
      <c r="G27" s="54">
        <f t="shared" si="36"/>
        <v>1.7404179020305888E-4</v>
      </c>
      <c r="H27" s="54">
        <f t="shared" si="36"/>
        <v>1.7404179020305888E-4</v>
      </c>
      <c r="I27" s="54">
        <f t="shared" si="36"/>
        <v>1.7404179020305888E-4</v>
      </c>
      <c r="J27" s="54">
        <f t="shared" si="36"/>
        <v>1.7404179020305888E-4</v>
      </c>
      <c r="K27" s="54">
        <f t="shared" si="36"/>
        <v>1.7404179020305888E-4</v>
      </c>
      <c r="L27" s="54">
        <f t="shared" ref="L27:AF27" si="37">IF(L24="","",SUM(L25:L26))</f>
        <v>1.7404179020305888E-4</v>
      </c>
      <c r="M27" s="54">
        <f t="shared" si="37"/>
        <v>1.7404179020305888E-4</v>
      </c>
      <c r="N27" s="54">
        <f t="shared" si="37"/>
        <v>1.7404179020305888E-4</v>
      </c>
      <c r="O27" s="54" t="str">
        <f t="shared" si="37"/>
        <v/>
      </c>
      <c r="P27" s="54" t="str">
        <f t="shared" si="37"/>
        <v/>
      </c>
      <c r="Q27" s="54" t="str">
        <f t="shared" si="37"/>
        <v/>
      </c>
      <c r="R27" s="54" t="str">
        <f t="shared" si="37"/>
        <v/>
      </c>
      <c r="S27" s="54" t="str">
        <f t="shared" si="37"/>
        <v/>
      </c>
      <c r="T27" s="54" t="str">
        <f t="shared" si="37"/>
        <v/>
      </c>
      <c r="U27" s="54" t="str">
        <f t="shared" si="37"/>
        <v/>
      </c>
      <c r="V27" s="54" t="str">
        <f t="shared" si="37"/>
        <v/>
      </c>
      <c r="W27" s="54" t="str">
        <f t="shared" si="37"/>
        <v/>
      </c>
      <c r="X27" s="54" t="str">
        <f t="shared" si="37"/>
        <v/>
      </c>
      <c r="Y27" s="54" t="str">
        <f t="shared" si="37"/>
        <v/>
      </c>
      <c r="Z27" s="54" t="str">
        <f t="shared" si="37"/>
        <v/>
      </c>
      <c r="AA27" s="54" t="str">
        <f t="shared" si="37"/>
        <v/>
      </c>
      <c r="AB27" s="54" t="str">
        <f t="shared" si="37"/>
        <v/>
      </c>
      <c r="AC27" s="54" t="str">
        <f t="shared" si="37"/>
        <v/>
      </c>
      <c r="AD27" s="54" t="str">
        <f t="shared" si="37"/>
        <v/>
      </c>
      <c r="AE27" s="54" t="str">
        <f t="shared" si="37"/>
        <v/>
      </c>
      <c r="AF27" s="54" t="str">
        <f t="shared" si="37"/>
        <v/>
      </c>
    </row>
    <row r="28" spans="1:32" x14ac:dyDescent="0.3">
      <c r="A28" s="137"/>
      <c r="B28" s="63" t="s">
        <v>46</v>
      </c>
      <c r="C28" s="58">
        <f t="shared" ref="C28:K28" si="38">IF(C24="","",IFERROR(C26/C27,""))</f>
        <v>-0.45755056910447539</v>
      </c>
      <c r="D28" s="58">
        <f t="shared" si="38"/>
        <v>-0.45755056910447539</v>
      </c>
      <c r="E28" s="58">
        <f t="shared" si="38"/>
        <v>-0.45755056910447539</v>
      </c>
      <c r="F28" s="58">
        <f t="shared" si="38"/>
        <v>-0.45755056910447539</v>
      </c>
      <c r="G28" s="58">
        <f t="shared" si="38"/>
        <v>-0.45755056910447539</v>
      </c>
      <c r="H28" s="58">
        <f t="shared" si="38"/>
        <v>-0.45755056910447539</v>
      </c>
      <c r="I28" s="58">
        <f t="shared" si="38"/>
        <v>-0.45755056910447539</v>
      </c>
      <c r="J28" s="58">
        <f t="shared" si="38"/>
        <v>-0.45755056910447539</v>
      </c>
      <c r="K28" s="58">
        <f t="shared" si="38"/>
        <v>-0.45755056910447539</v>
      </c>
      <c r="L28" s="58">
        <f t="shared" ref="L28:AF28" si="39">IF(L24="","",IFERROR(L26/L27,""))</f>
        <v>-0.45755056910447539</v>
      </c>
      <c r="M28" s="58">
        <f t="shared" si="39"/>
        <v>-0.45755056910447539</v>
      </c>
      <c r="N28" s="58">
        <f t="shared" si="39"/>
        <v>-0.45755056910447539</v>
      </c>
      <c r="O28" s="58" t="str">
        <f t="shared" si="39"/>
        <v/>
      </c>
      <c r="P28" s="58" t="str">
        <f t="shared" si="39"/>
        <v/>
      </c>
      <c r="Q28" s="58" t="str">
        <f t="shared" si="39"/>
        <v/>
      </c>
      <c r="R28" s="58" t="str">
        <f t="shared" si="39"/>
        <v/>
      </c>
      <c r="S28" s="58" t="str">
        <f t="shared" si="39"/>
        <v/>
      </c>
      <c r="T28" s="58" t="str">
        <f t="shared" si="39"/>
        <v/>
      </c>
      <c r="U28" s="58" t="str">
        <f t="shared" si="39"/>
        <v/>
      </c>
      <c r="V28" s="58" t="str">
        <f t="shared" si="39"/>
        <v/>
      </c>
      <c r="W28" s="58" t="str">
        <f t="shared" si="39"/>
        <v/>
      </c>
      <c r="X28" s="58" t="str">
        <f t="shared" si="39"/>
        <v/>
      </c>
      <c r="Y28" s="58" t="str">
        <f t="shared" si="39"/>
        <v/>
      </c>
      <c r="Z28" s="58" t="str">
        <f t="shared" si="39"/>
        <v/>
      </c>
      <c r="AA28" s="58" t="str">
        <f t="shared" si="39"/>
        <v/>
      </c>
      <c r="AB28" s="58" t="str">
        <f t="shared" si="39"/>
        <v/>
      </c>
      <c r="AC28" s="58" t="str">
        <f t="shared" si="39"/>
        <v/>
      </c>
      <c r="AD28" s="58" t="str">
        <f t="shared" si="39"/>
        <v/>
      </c>
      <c r="AE28" s="58" t="str">
        <f t="shared" si="39"/>
        <v/>
      </c>
      <c r="AF28" s="58" t="str">
        <f t="shared" si="39"/>
        <v/>
      </c>
    </row>
    <row r="29" spans="1:32" x14ac:dyDescent="0.3">
      <c r="A29" s="137"/>
      <c r="B29" s="64" t="s">
        <v>47</v>
      </c>
      <c r="C29" s="56">
        <f t="shared" ref="C29:K29" si="40">IF(C24="","",ROUND(C28*C24,2))</f>
        <v>-20708.53</v>
      </c>
      <c r="D29" s="56">
        <f t="shared" si="40"/>
        <v>-17927.830000000002</v>
      </c>
      <c r="E29" s="56">
        <f t="shared" si="40"/>
        <v>-17511.97</v>
      </c>
      <c r="F29" s="56">
        <f t="shared" si="40"/>
        <v>-16485.95</v>
      </c>
      <c r="G29" s="56">
        <f t="shared" si="40"/>
        <v>-19200.04</v>
      </c>
      <c r="H29" s="56">
        <f t="shared" si="40"/>
        <v>-20208.66</v>
      </c>
      <c r="I29" s="56">
        <f t="shared" si="40"/>
        <v>-21182.03</v>
      </c>
      <c r="J29" s="56">
        <f t="shared" si="40"/>
        <v>-21187.42</v>
      </c>
      <c r="K29" s="56">
        <f t="shared" si="40"/>
        <v>-18832.849999999999</v>
      </c>
      <c r="L29" s="56">
        <f t="shared" ref="L29:AF29" si="41">IF(L24="","",ROUND(L28*L24,2))</f>
        <v>-17342.66</v>
      </c>
      <c r="M29" s="56">
        <f t="shared" si="41"/>
        <v>-17535</v>
      </c>
      <c r="N29" s="56">
        <f t="shared" si="41"/>
        <v>-20197.13</v>
      </c>
      <c r="O29" s="56" t="str">
        <f t="shared" si="41"/>
        <v/>
      </c>
      <c r="P29" s="56" t="str">
        <f t="shared" si="41"/>
        <v/>
      </c>
      <c r="Q29" s="56" t="str">
        <f t="shared" si="41"/>
        <v/>
      </c>
      <c r="R29" s="56" t="str">
        <f t="shared" si="41"/>
        <v/>
      </c>
      <c r="S29" s="56" t="str">
        <f t="shared" si="41"/>
        <v/>
      </c>
      <c r="T29" s="56" t="str">
        <f t="shared" si="41"/>
        <v/>
      </c>
      <c r="U29" s="56" t="str">
        <f t="shared" si="41"/>
        <v/>
      </c>
      <c r="V29" s="56" t="str">
        <f t="shared" si="41"/>
        <v/>
      </c>
      <c r="W29" s="56" t="str">
        <f t="shared" si="41"/>
        <v/>
      </c>
      <c r="X29" s="56" t="str">
        <f t="shared" si="41"/>
        <v/>
      </c>
      <c r="Y29" s="56" t="str">
        <f t="shared" si="41"/>
        <v/>
      </c>
      <c r="Z29" s="56" t="str">
        <f t="shared" si="41"/>
        <v/>
      </c>
      <c r="AA29" s="56" t="str">
        <f t="shared" si="41"/>
        <v/>
      </c>
      <c r="AB29" s="56" t="str">
        <f t="shared" si="41"/>
        <v/>
      </c>
      <c r="AC29" s="56" t="str">
        <f t="shared" si="41"/>
        <v/>
      </c>
      <c r="AD29" s="56" t="str">
        <f t="shared" si="41"/>
        <v/>
      </c>
      <c r="AE29" s="56" t="str">
        <f t="shared" si="41"/>
        <v/>
      </c>
      <c r="AF29" s="56" t="str">
        <f t="shared" si="41"/>
        <v/>
      </c>
    </row>
    <row r="30" spans="1:32" x14ac:dyDescent="0.3">
      <c r="A30" s="67"/>
      <c r="B30" s="65"/>
      <c r="C30" s="57"/>
      <c r="D30" s="57"/>
      <c r="E30" s="57"/>
      <c r="F30" s="57"/>
      <c r="G30" s="57"/>
      <c r="H30" s="57"/>
      <c r="I30" s="57"/>
      <c r="J30" s="57"/>
      <c r="K30" s="5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</row>
    <row r="31" spans="1:32" x14ac:dyDescent="0.3">
      <c r="A31" s="137" t="s">
        <v>36</v>
      </c>
      <c r="B31" s="63" t="s">
        <v>43</v>
      </c>
      <c r="C31" s="55">
        <f>IF(+'M3 Allocations - TD'!O55="","",'M3 Allocations - TD'!O55)</f>
        <v>11571.12</v>
      </c>
      <c r="D31" s="55">
        <f>IF(+'M3 Allocations - TD'!P55="","",'M3 Allocations - TD'!P55)</f>
        <v>19931.79</v>
      </c>
      <c r="E31" s="55">
        <f>IF(+'M3 Allocations - TD'!Q55="","",'M3 Allocations - TD'!Q55)</f>
        <v>21827.09</v>
      </c>
      <c r="F31" s="55">
        <f>IF(+'M3 Allocations - TD'!R55="","",'M3 Allocations - TD'!R55)</f>
        <v>22161.01</v>
      </c>
      <c r="G31" s="55">
        <f>IF(+'M3 Allocations - TD'!S55="","",'M3 Allocations - TD'!S55)</f>
        <v>17306.599999999999</v>
      </c>
      <c r="H31" s="55">
        <f>IF(+'M3 Allocations - TD'!T55="","",'M3 Allocations - TD'!T55)</f>
        <v>24911.24</v>
      </c>
      <c r="I31" s="55">
        <f>IF(+'M3 Allocations - TD'!U55="","",'M3 Allocations - TD'!U55)</f>
        <v>25659.02</v>
      </c>
      <c r="J31" s="55">
        <f>IF(+'M3 Allocations - TD'!V55="","",'M3 Allocations - TD'!V55)</f>
        <v>26024.15</v>
      </c>
      <c r="K31" s="55">
        <f>IF(+'M3 Allocations - TD'!W55="","",'M3 Allocations - TD'!W55)</f>
        <v>22923.1</v>
      </c>
      <c r="L31" s="55">
        <f>IF(+'M3 Allocations - TD'!X55="","",'M3 Allocations - TD'!X55)</f>
        <v>22674.45521468794</v>
      </c>
      <c r="M31" s="55">
        <f>IF(+'M3 Allocations - TD'!Y55="","",'M3 Allocations - TD'!Y55)</f>
        <v>22153.871958152562</v>
      </c>
      <c r="N31" s="55">
        <f>IF(+'M3 Allocations - TD'!Z55="","",'M3 Allocations - TD'!Z55)</f>
        <v>24091.957694743225</v>
      </c>
      <c r="O31" s="55" t="str">
        <f>IF(+'M3 Allocations - TD'!AA55="","",'M3 Allocations - TD'!AA55)</f>
        <v/>
      </c>
      <c r="P31" s="55" t="str">
        <f>IF(+'M3 Allocations - TD'!AB55="","",'M3 Allocations - TD'!AB55)</f>
        <v/>
      </c>
      <c r="Q31" s="55" t="str">
        <f>IF(+'M3 Allocations - TD'!AC55="","",'M3 Allocations - TD'!AC55)</f>
        <v/>
      </c>
      <c r="R31" s="55" t="str">
        <f>IF(+'M3 Allocations - TD'!AD55="","",'M3 Allocations - TD'!AD55)</f>
        <v/>
      </c>
      <c r="S31" s="55" t="str">
        <f>IF(+'M3 Allocations - TD'!AE55="","",'M3 Allocations - TD'!AE55)</f>
        <v/>
      </c>
      <c r="T31" s="55" t="str">
        <f>IF(+'M3 Allocations - TD'!AF55="","",'M3 Allocations - TD'!AF55)</f>
        <v/>
      </c>
      <c r="U31" s="55" t="str">
        <f>IF(+'M3 Allocations - TD'!AG55="","",'M3 Allocations - TD'!AG55)</f>
        <v/>
      </c>
      <c r="V31" s="55" t="str">
        <f>IF(+'M3 Allocations - TD'!AH55="","",'M3 Allocations - TD'!AH55)</f>
        <v/>
      </c>
      <c r="W31" s="55" t="str">
        <f>IF(+'M3 Allocations - TD'!AI55="","",'M3 Allocations - TD'!AI55)</f>
        <v/>
      </c>
      <c r="X31" s="55" t="str">
        <f>IF(+'M3 Allocations - TD'!AJ55="","",'M3 Allocations - TD'!AJ55)</f>
        <v/>
      </c>
      <c r="Y31" s="55" t="str">
        <f>IF(+'M3 Allocations - TD'!AK55="","",'M3 Allocations - TD'!AK55)</f>
        <v/>
      </c>
      <c r="Z31" s="55" t="str">
        <f>IF(+'M3 Allocations - TD'!AL55="","",'M3 Allocations - TD'!AL55)</f>
        <v/>
      </c>
      <c r="AA31" s="55" t="str">
        <f>IF(+'M3 Allocations - TD'!AM55="","",'M3 Allocations - TD'!AM55)</f>
        <v/>
      </c>
      <c r="AB31" s="55" t="str">
        <f>IF(+'M3 Allocations - TD'!AN55="","",'M3 Allocations - TD'!AN55)</f>
        <v/>
      </c>
      <c r="AC31" s="55" t="str">
        <f>IF(+'M3 Allocations - TD'!AO55="","",'M3 Allocations - TD'!AO55)</f>
        <v/>
      </c>
      <c r="AD31" s="55" t="str">
        <f>IF(+'M3 Allocations - TD'!AP55="","",'M3 Allocations - TD'!AP55)</f>
        <v/>
      </c>
      <c r="AE31" s="55" t="str">
        <f>IF(+'M3 Allocations - TD'!AQ55="","",'M3 Allocations - TD'!AQ55)</f>
        <v/>
      </c>
      <c r="AF31" s="55" t="str">
        <f>IF(+'M3 Allocations - TD'!AR55="","",'M3 Allocations - TD'!AR55)</f>
        <v/>
      </c>
    </row>
    <row r="32" spans="1:32" x14ac:dyDescent="0.3">
      <c r="A32" s="137"/>
      <c r="B32" s="63" t="s">
        <v>45</v>
      </c>
      <c r="C32" s="108">
        <v>2.6814564034692313E-4</v>
      </c>
      <c r="D32" s="111">
        <f t="shared" ref="D32:K33" si="42">IF(D31="","",C32)</f>
        <v>2.6814564034692313E-4</v>
      </c>
      <c r="E32" s="111">
        <f t="shared" si="42"/>
        <v>2.6814564034692313E-4</v>
      </c>
      <c r="F32" s="111">
        <f t="shared" si="42"/>
        <v>2.6814564034692313E-4</v>
      </c>
      <c r="G32" s="111">
        <f t="shared" si="42"/>
        <v>2.6814564034692313E-4</v>
      </c>
      <c r="H32" s="111">
        <f t="shared" si="42"/>
        <v>2.6814564034692313E-4</v>
      </c>
      <c r="I32" s="111">
        <f t="shared" si="42"/>
        <v>2.6814564034692313E-4</v>
      </c>
      <c r="J32" s="111">
        <f t="shared" si="42"/>
        <v>2.6814564034692313E-4</v>
      </c>
      <c r="K32" s="111">
        <f t="shared" si="42"/>
        <v>2.6814564034692313E-4</v>
      </c>
      <c r="L32" s="111">
        <f t="shared" ref="L32:L33" si="43">IF(L31="","",K32)</f>
        <v>2.6814564034692313E-4</v>
      </c>
      <c r="M32" s="111">
        <f t="shared" ref="M32:M33" si="44">IF(M31="","",L32)</f>
        <v>2.6814564034692313E-4</v>
      </c>
      <c r="N32" s="111">
        <f t="shared" ref="N32:N33" si="45">IF(N31="","",M32)</f>
        <v>2.6814564034692313E-4</v>
      </c>
    </row>
    <row r="33" spans="1:32" x14ac:dyDescent="0.3">
      <c r="A33" s="137"/>
      <c r="B33" s="63" t="s">
        <v>44</v>
      </c>
      <c r="C33" s="110">
        <v>-3.0856536516336082E-5</v>
      </c>
      <c r="D33" s="111">
        <f t="shared" si="42"/>
        <v>-3.0856536516336082E-5</v>
      </c>
      <c r="E33" s="111">
        <f t="shared" si="42"/>
        <v>-3.0856536516336082E-5</v>
      </c>
      <c r="F33" s="111">
        <f t="shared" si="42"/>
        <v>-3.0856536516336082E-5</v>
      </c>
      <c r="G33" s="111">
        <f t="shared" si="42"/>
        <v>-3.0856536516336082E-5</v>
      </c>
      <c r="H33" s="111">
        <f t="shared" si="42"/>
        <v>-3.0856536516336082E-5</v>
      </c>
      <c r="I33" s="111">
        <f t="shared" si="42"/>
        <v>-3.0856536516336082E-5</v>
      </c>
      <c r="J33" s="111">
        <f t="shared" si="42"/>
        <v>-3.0856536516336082E-5</v>
      </c>
      <c r="K33" s="111">
        <f t="shared" si="42"/>
        <v>-3.0856536516336082E-5</v>
      </c>
      <c r="L33" s="111">
        <f t="shared" si="43"/>
        <v>-3.0856536516336082E-5</v>
      </c>
      <c r="M33" s="111">
        <f t="shared" si="44"/>
        <v>-3.0856536516336082E-5</v>
      </c>
      <c r="N33" s="111">
        <f t="shared" si="45"/>
        <v>-3.0856536516336082E-5</v>
      </c>
    </row>
    <row r="34" spans="1:32" x14ac:dyDescent="0.3">
      <c r="A34" s="137"/>
      <c r="B34" s="63" t="s">
        <v>52</v>
      </c>
      <c r="C34" s="54">
        <f t="shared" ref="C34:D34" si="46">IF(C31="","",SUM(C32:C33))</f>
        <v>2.3728910383058704E-4</v>
      </c>
      <c r="D34" s="54">
        <f t="shared" si="46"/>
        <v>2.3728910383058704E-4</v>
      </c>
      <c r="E34" s="54">
        <f t="shared" ref="E34:K34" si="47">IF(E31="","",SUM(E32:E33))</f>
        <v>2.3728910383058704E-4</v>
      </c>
      <c r="F34" s="54">
        <f t="shared" si="47"/>
        <v>2.3728910383058704E-4</v>
      </c>
      <c r="G34" s="54">
        <f t="shared" si="47"/>
        <v>2.3728910383058704E-4</v>
      </c>
      <c r="H34" s="54">
        <f t="shared" si="47"/>
        <v>2.3728910383058704E-4</v>
      </c>
      <c r="I34" s="54">
        <f t="shared" si="47"/>
        <v>2.3728910383058704E-4</v>
      </c>
      <c r="J34" s="54">
        <f t="shared" si="47"/>
        <v>2.3728910383058704E-4</v>
      </c>
      <c r="K34" s="54">
        <f t="shared" si="47"/>
        <v>2.3728910383058704E-4</v>
      </c>
      <c r="L34" s="54">
        <f t="shared" ref="L34:AF34" si="48">IF(L31="","",SUM(L32:L33))</f>
        <v>2.3728910383058704E-4</v>
      </c>
      <c r="M34" s="54">
        <f t="shared" si="48"/>
        <v>2.3728910383058704E-4</v>
      </c>
      <c r="N34" s="54">
        <f t="shared" si="48"/>
        <v>2.3728910383058704E-4</v>
      </c>
      <c r="O34" s="54" t="str">
        <f t="shared" si="48"/>
        <v/>
      </c>
      <c r="P34" s="54" t="str">
        <f t="shared" si="48"/>
        <v/>
      </c>
      <c r="Q34" s="54" t="str">
        <f t="shared" si="48"/>
        <v/>
      </c>
      <c r="R34" s="54" t="str">
        <f t="shared" si="48"/>
        <v/>
      </c>
      <c r="S34" s="54" t="str">
        <f t="shared" si="48"/>
        <v/>
      </c>
      <c r="T34" s="54" t="str">
        <f t="shared" si="48"/>
        <v/>
      </c>
      <c r="U34" s="54" t="str">
        <f t="shared" si="48"/>
        <v/>
      </c>
      <c r="V34" s="54" t="str">
        <f t="shared" si="48"/>
        <v/>
      </c>
      <c r="W34" s="54" t="str">
        <f t="shared" si="48"/>
        <v/>
      </c>
      <c r="X34" s="54" t="str">
        <f t="shared" si="48"/>
        <v/>
      </c>
      <c r="Y34" s="54" t="str">
        <f t="shared" si="48"/>
        <v/>
      </c>
      <c r="Z34" s="54" t="str">
        <f t="shared" si="48"/>
        <v/>
      </c>
      <c r="AA34" s="54" t="str">
        <f t="shared" si="48"/>
        <v/>
      </c>
      <c r="AB34" s="54" t="str">
        <f t="shared" si="48"/>
        <v/>
      </c>
      <c r="AC34" s="54" t="str">
        <f t="shared" si="48"/>
        <v/>
      </c>
      <c r="AD34" s="54" t="str">
        <f t="shared" si="48"/>
        <v/>
      </c>
      <c r="AE34" s="54" t="str">
        <f t="shared" si="48"/>
        <v/>
      </c>
      <c r="AF34" s="54" t="str">
        <f t="shared" si="48"/>
        <v/>
      </c>
    </row>
    <row r="35" spans="1:32" x14ac:dyDescent="0.3">
      <c r="A35" s="137"/>
      <c r="B35" s="63" t="s">
        <v>46</v>
      </c>
      <c r="C35" s="58">
        <f t="shared" ref="C35:K35" si="49">IF(C31="","",IFERROR(C33/C34,""))</f>
        <v>-0.13003773042341699</v>
      </c>
      <c r="D35" s="58">
        <f t="shared" si="49"/>
        <v>-0.13003773042341699</v>
      </c>
      <c r="E35" s="58">
        <f t="shared" si="49"/>
        <v>-0.13003773042341699</v>
      </c>
      <c r="F35" s="58">
        <f t="shared" si="49"/>
        <v>-0.13003773042341699</v>
      </c>
      <c r="G35" s="58">
        <f t="shared" si="49"/>
        <v>-0.13003773042341699</v>
      </c>
      <c r="H35" s="58">
        <f t="shared" si="49"/>
        <v>-0.13003773042341699</v>
      </c>
      <c r="I35" s="58">
        <f t="shared" si="49"/>
        <v>-0.13003773042341699</v>
      </c>
      <c r="J35" s="58">
        <f t="shared" si="49"/>
        <v>-0.13003773042341699</v>
      </c>
      <c r="K35" s="58">
        <f t="shared" si="49"/>
        <v>-0.13003773042341699</v>
      </c>
      <c r="L35" s="58">
        <f t="shared" ref="L35:AF35" si="50">IF(L31="","",IFERROR(L33/L34,""))</f>
        <v>-0.13003773042341699</v>
      </c>
      <c r="M35" s="58">
        <f t="shared" si="50"/>
        <v>-0.13003773042341699</v>
      </c>
      <c r="N35" s="58">
        <f t="shared" si="50"/>
        <v>-0.13003773042341699</v>
      </c>
      <c r="O35" s="58" t="str">
        <f t="shared" si="50"/>
        <v/>
      </c>
      <c r="P35" s="58" t="str">
        <f t="shared" si="50"/>
        <v/>
      </c>
      <c r="Q35" s="58" t="str">
        <f t="shared" si="50"/>
        <v/>
      </c>
      <c r="R35" s="58" t="str">
        <f t="shared" si="50"/>
        <v/>
      </c>
      <c r="S35" s="58" t="str">
        <f t="shared" si="50"/>
        <v/>
      </c>
      <c r="T35" s="58" t="str">
        <f t="shared" si="50"/>
        <v/>
      </c>
      <c r="U35" s="58" t="str">
        <f t="shared" si="50"/>
        <v/>
      </c>
      <c r="V35" s="58" t="str">
        <f t="shared" si="50"/>
        <v/>
      </c>
      <c r="W35" s="58" t="str">
        <f t="shared" si="50"/>
        <v/>
      </c>
      <c r="X35" s="58" t="str">
        <f t="shared" si="50"/>
        <v/>
      </c>
      <c r="Y35" s="58" t="str">
        <f t="shared" si="50"/>
        <v/>
      </c>
      <c r="Z35" s="58" t="str">
        <f t="shared" si="50"/>
        <v/>
      </c>
      <c r="AA35" s="58" t="str">
        <f t="shared" si="50"/>
        <v/>
      </c>
      <c r="AB35" s="58" t="str">
        <f t="shared" si="50"/>
        <v/>
      </c>
      <c r="AC35" s="58" t="str">
        <f t="shared" si="50"/>
        <v/>
      </c>
      <c r="AD35" s="58" t="str">
        <f t="shared" si="50"/>
        <v/>
      </c>
      <c r="AE35" s="58" t="str">
        <f t="shared" si="50"/>
        <v/>
      </c>
      <c r="AF35" s="58" t="str">
        <f t="shared" si="50"/>
        <v/>
      </c>
    </row>
    <row r="36" spans="1:32" x14ac:dyDescent="0.3">
      <c r="A36" s="137"/>
      <c r="B36" s="64" t="s">
        <v>47</v>
      </c>
      <c r="C36" s="56">
        <f t="shared" ref="C36:K36" si="51">IF(C31="","",ROUND(C35*C31,2))</f>
        <v>-1504.68</v>
      </c>
      <c r="D36" s="56">
        <f t="shared" si="51"/>
        <v>-2591.88</v>
      </c>
      <c r="E36" s="56">
        <f t="shared" si="51"/>
        <v>-2838.35</v>
      </c>
      <c r="F36" s="56">
        <f t="shared" si="51"/>
        <v>-2881.77</v>
      </c>
      <c r="G36" s="56">
        <f t="shared" si="51"/>
        <v>-2250.5100000000002</v>
      </c>
      <c r="H36" s="56">
        <f t="shared" si="51"/>
        <v>-3239.4</v>
      </c>
      <c r="I36" s="56">
        <f t="shared" si="51"/>
        <v>-3336.64</v>
      </c>
      <c r="J36" s="56">
        <f t="shared" si="51"/>
        <v>-3384.12</v>
      </c>
      <c r="K36" s="56">
        <f t="shared" si="51"/>
        <v>-2980.87</v>
      </c>
      <c r="L36" s="56">
        <f t="shared" ref="L36:AF36" si="52">IF(L31="","",ROUND(L35*L31,2))</f>
        <v>-2948.53</v>
      </c>
      <c r="M36" s="56">
        <f t="shared" si="52"/>
        <v>-2880.84</v>
      </c>
      <c r="N36" s="56">
        <f t="shared" si="52"/>
        <v>-3132.86</v>
      </c>
      <c r="O36" s="56" t="str">
        <f t="shared" si="52"/>
        <v/>
      </c>
      <c r="P36" s="56" t="str">
        <f t="shared" si="52"/>
        <v/>
      </c>
      <c r="Q36" s="56" t="str">
        <f t="shared" si="52"/>
        <v/>
      </c>
      <c r="R36" s="56" t="str">
        <f t="shared" si="52"/>
        <v/>
      </c>
      <c r="S36" s="56" t="str">
        <f t="shared" si="52"/>
        <v/>
      </c>
      <c r="T36" s="56" t="str">
        <f t="shared" si="52"/>
        <v/>
      </c>
      <c r="U36" s="56" t="str">
        <f t="shared" si="52"/>
        <v/>
      </c>
      <c r="V36" s="56" t="str">
        <f t="shared" si="52"/>
        <v/>
      </c>
      <c r="W36" s="56" t="str">
        <f t="shared" si="52"/>
        <v/>
      </c>
      <c r="X36" s="56" t="str">
        <f t="shared" si="52"/>
        <v/>
      </c>
      <c r="Y36" s="56" t="str">
        <f t="shared" si="52"/>
        <v/>
      </c>
      <c r="Z36" s="56" t="str">
        <f t="shared" si="52"/>
        <v/>
      </c>
      <c r="AA36" s="56" t="str">
        <f t="shared" si="52"/>
        <v/>
      </c>
      <c r="AB36" s="56" t="str">
        <f t="shared" si="52"/>
        <v/>
      </c>
      <c r="AC36" s="56" t="str">
        <f t="shared" si="52"/>
        <v/>
      </c>
      <c r="AD36" s="56" t="str">
        <f t="shared" si="52"/>
        <v/>
      </c>
      <c r="AE36" s="56" t="str">
        <f t="shared" si="52"/>
        <v/>
      </c>
      <c r="AF36" s="56" t="str">
        <f t="shared" si="52"/>
        <v/>
      </c>
    </row>
    <row r="37" spans="1:32" x14ac:dyDescent="0.3">
      <c r="A37" s="68"/>
      <c r="B37" s="66"/>
      <c r="C37" s="57"/>
      <c r="D37" s="57"/>
      <c r="E37" s="57"/>
      <c r="F37" s="57"/>
      <c r="G37" s="57"/>
      <c r="H37" s="57"/>
      <c r="I37" s="57"/>
      <c r="J37" s="57"/>
      <c r="K37" s="5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  <headerFooter>
    <oddFooter>&amp;RSchedule CPA-D3.A.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F6AA29E6-7127-4FFE-819B-11BBA448C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F07B67-19EB-4B96-A323-3D485BBA4FF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MEEIA 3 calcs</vt:lpstr>
      <vt:lpstr>MEEIA 3 adjs Nov 20</vt:lpstr>
      <vt:lpstr>MEEIA 3 adjs Nov 19</vt:lpstr>
      <vt:lpstr>M3 Allocations - TD</vt:lpstr>
      <vt:lpstr>M3 TD amort</vt:lpstr>
      <vt:lpstr>'MEEIA 3 adjs Nov 19'!Print_Area</vt:lpstr>
      <vt:lpstr>'MEEIA 3 adjs Nov 20'!Print_Area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Best, Geri A</cp:lastModifiedBy>
  <cp:lastPrinted>2021-12-01T15:06:06Z</cp:lastPrinted>
  <dcterms:created xsi:type="dcterms:W3CDTF">2013-01-09T19:50:07Z</dcterms:created>
  <dcterms:modified xsi:type="dcterms:W3CDTF">2021-12-01T15:06:13Z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