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rpAcctg\MEEIA\Metro MEEIA DSIM RIDER\20200601 Filing\"/>
    </mc:Choice>
  </mc:AlternateContent>
  <xr:revisionPtr revIDLastSave="0" documentId="13_ncr:1_{F0BF300B-BD7B-4602-9062-F037A0434A15}" xr6:coauthVersionLast="36" xr6:coauthVersionMax="36" xr10:uidLastSave="{00000000-0000-0000-0000-000000000000}"/>
  <bookViews>
    <workbookView xWindow="120" yWindow="225" windowWidth="15240" windowHeight="5355" firstSheet="7" activeTab="14" xr2:uid="{00000000-000D-0000-FFFF-FFFF00000000}"/>
  </bookViews>
  <sheets>
    <sheet name="tariff tables" sheetId="5" r:id="rId1"/>
    <sheet name="DSIM Cycle Tables" sheetId="20" r:id="rId2"/>
    <sheet name="PPC Cycle 2" sheetId="4" r:id="rId3"/>
    <sheet name="PPC Cycle 3" sheetId="18" r:id="rId4"/>
    <sheet name="PCR Cycle 2" sheetId="15" r:id="rId5"/>
    <sheet name="PCR Cycle 3" sheetId="22" r:id="rId6"/>
    <sheet name="PTD Cycle 2" sheetId="12" r:id="rId7"/>
    <sheet name="PTD Cycle 3" sheetId="19" r:id="rId8"/>
    <sheet name="TDR Cycle 2" sheetId="16" r:id="rId9"/>
    <sheet name="TDR Cycle 3" sheetId="24" r:id="rId10"/>
    <sheet name="EO Cycle 2" sheetId="8" r:id="rId11"/>
    <sheet name="EOR Cycle 1" sheetId="9" r:id="rId12"/>
    <sheet name="EOR Cycle 2" sheetId="23" r:id="rId13"/>
    <sheet name="OA Cycle 2" sheetId="10" r:id="rId14"/>
    <sheet name="OAR Cycle 2" sheetId="13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4">'PCR Cycle 2'!$A$1:$N$67</definedName>
    <definedName name="_xlnm.Print_Area" localSheetId="5">'PCR Cycle 3'!$A$1:$N$71</definedName>
    <definedName name="solver_adj" localSheetId="4" hidden="1">'PCR Cycle 2'!$E$50</definedName>
    <definedName name="solver_adj" localSheetId="5" hidden="1">'PCR Cycle 3'!$E$51</definedName>
    <definedName name="solver_adj" localSheetId="8" hidden="1">'TDR Cycle 2'!#REF!</definedName>
    <definedName name="solver_adj" localSheetId="9" hidden="1">'TDR Cycle 3'!#REF!</definedName>
    <definedName name="solver_cvg" localSheetId="4" hidden="1">0.0001</definedName>
    <definedName name="solver_cvg" localSheetId="5" hidden="1">0.0001</definedName>
    <definedName name="solver_cvg" localSheetId="8" hidden="1">0.0001</definedName>
    <definedName name="solver_cvg" localSheetId="9" hidden="1">0.0001</definedName>
    <definedName name="solver_drv" localSheetId="4" hidden="1">1</definedName>
    <definedName name="solver_drv" localSheetId="5" hidden="1">1</definedName>
    <definedName name="solver_drv" localSheetId="8" hidden="1">2</definedName>
    <definedName name="solver_drv" localSheetId="9" hidden="1">2</definedName>
    <definedName name="solver_eng" localSheetId="4" hidden="1">1</definedName>
    <definedName name="solver_eng" localSheetId="5" hidden="1">1</definedName>
    <definedName name="solver_eng" localSheetId="8" hidden="1">1</definedName>
    <definedName name="solver_eng" localSheetId="9" hidden="1">1</definedName>
    <definedName name="solver_est" localSheetId="4" hidden="1">1</definedName>
    <definedName name="solver_est" localSheetId="5" hidden="1">1</definedName>
    <definedName name="solver_est" localSheetId="8" hidden="1">1</definedName>
    <definedName name="solver_est" localSheetId="9" hidden="1">1</definedName>
    <definedName name="solver_itr" localSheetId="4" hidden="1">2147483647</definedName>
    <definedName name="solver_itr" localSheetId="5" hidden="1">2147483647</definedName>
    <definedName name="solver_itr" localSheetId="8" hidden="1">2147483647</definedName>
    <definedName name="solver_itr" localSheetId="9" hidden="1">2147483647</definedName>
    <definedName name="solver_mip" localSheetId="4" hidden="1">2147483647</definedName>
    <definedName name="solver_mip" localSheetId="5" hidden="1">2147483647</definedName>
    <definedName name="solver_mip" localSheetId="8" hidden="1">2147483647</definedName>
    <definedName name="solver_mip" localSheetId="9" hidden="1">2147483647</definedName>
    <definedName name="solver_mni" localSheetId="4" hidden="1">30</definedName>
    <definedName name="solver_mni" localSheetId="5" hidden="1">30</definedName>
    <definedName name="solver_mni" localSheetId="8" hidden="1">30</definedName>
    <definedName name="solver_mni" localSheetId="9" hidden="1">30</definedName>
    <definedName name="solver_mrt" localSheetId="4" hidden="1">0.075</definedName>
    <definedName name="solver_mrt" localSheetId="5" hidden="1">0.075</definedName>
    <definedName name="solver_mrt" localSheetId="8" hidden="1">0.075</definedName>
    <definedName name="solver_mrt" localSheetId="9" hidden="1">0.075</definedName>
    <definedName name="solver_msl" localSheetId="4" hidden="1">2</definedName>
    <definedName name="solver_msl" localSheetId="5" hidden="1">2</definedName>
    <definedName name="solver_msl" localSheetId="8" hidden="1">2</definedName>
    <definedName name="solver_msl" localSheetId="9" hidden="1">2</definedName>
    <definedName name="solver_neg" localSheetId="4" hidden="1">1</definedName>
    <definedName name="solver_neg" localSheetId="5" hidden="1">1</definedName>
    <definedName name="solver_neg" localSheetId="8" hidden="1">1</definedName>
    <definedName name="solver_neg" localSheetId="9" hidden="1">1</definedName>
    <definedName name="solver_nod" localSheetId="4" hidden="1">2147483647</definedName>
    <definedName name="solver_nod" localSheetId="5" hidden="1">2147483647</definedName>
    <definedName name="solver_nod" localSheetId="8" hidden="1">2147483647</definedName>
    <definedName name="solver_nod" localSheetId="9" hidden="1">2147483647</definedName>
    <definedName name="solver_num" localSheetId="4" hidden="1">0</definedName>
    <definedName name="solver_num" localSheetId="5" hidden="1">0</definedName>
    <definedName name="solver_num" localSheetId="8" hidden="1">0</definedName>
    <definedName name="solver_num" localSheetId="9" hidden="1">0</definedName>
    <definedName name="solver_nwt" localSheetId="4" hidden="1">1</definedName>
    <definedName name="solver_nwt" localSheetId="5" hidden="1">1</definedName>
    <definedName name="solver_nwt" localSheetId="8" hidden="1">1</definedName>
    <definedName name="solver_nwt" localSheetId="9" hidden="1">1</definedName>
    <definedName name="solver_opt" localSheetId="4" hidden="1">'PCR Cycle 2'!$E$55</definedName>
    <definedName name="solver_opt" localSheetId="5" hidden="1">'PCR Cycle 3'!$E$59</definedName>
    <definedName name="solver_opt" localSheetId="8" hidden="1">'TDR Cycle 2'!#REF!</definedName>
    <definedName name="solver_opt" localSheetId="9" hidden="1">'TDR Cycle 3'!#REF!</definedName>
    <definedName name="solver_pre" localSheetId="4" hidden="1">0.000001</definedName>
    <definedName name="solver_pre" localSheetId="5" hidden="1">0.000001</definedName>
    <definedName name="solver_pre" localSheetId="8" hidden="1">0.000001</definedName>
    <definedName name="solver_pre" localSheetId="9" hidden="1">0.000001</definedName>
    <definedName name="solver_rbv" localSheetId="4" hidden="1">1</definedName>
    <definedName name="solver_rbv" localSheetId="5" hidden="1">1</definedName>
    <definedName name="solver_rbv" localSheetId="8" hidden="1">2</definedName>
    <definedName name="solver_rbv" localSheetId="9" hidden="1">2</definedName>
    <definedName name="solver_rlx" localSheetId="4" hidden="1">2</definedName>
    <definedName name="solver_rlx" localSheetId="5" hidden="1">2</definedName>
    <definedName name="solver_rlx" localSheetId="8" hidden="1">2</definedName>
    <definedName name="solver_rlx" localSheetId="9" hidden="1">2</definedName>
    <definedName name="solver_rsd" localSheetId="4" hidden="1">0</definedName>
    <definedName name="solver_rsd" localSheetId="5" hidden="1">0</definedName>
    <definedName name="solver_rsd" localSheetId="8" hidden="1">0</definedName>
    <definedName name="solver_rsd" localSheetId="9" hidden="1">0</definedName>
    <definedName name="solver_scl" localSheetId="4" hidden="1">1</definedName>
    <definedName name="solver_scl" localSheetId="5" hidden="1">1</definedName>
    <definedName name="solver_scl" localSheetId="8" hidden="1">2</definedName>
    <definedName name="solver_scl" localSheetId="9" hidden="1">2</definedName>
    <definedName name="solver_sho" localSheetId="4" hidden="1">2</definedName>
    <definedName name="solver_sho" localSheetId="5" hidden="1">2</definedName>
    <definedName name="solver_sho" localSheetId="8" hidden="1">2</definedName>
    <definedName name="solver_sho" localSheetId="9" hidden="1">2</definedName>
    <definedName name="solver_ssz" localSheetId="4" hidden="1">100</definedName>
    <definedName name="solver_ssz" localSheetId="5" hidden="1">100</definedName>
    <definedName name="solver_ssz" localSheetId="8" hidden="1">100</definedName>
    <definedName name="solver_ssz" localSheetId="9" hidden="1">100</definedName>
    <definedName name="solver_tim" localSheetId="4" hidden="1">2147483647</definedName>
    <definedName name="solver_tim" localSheetId="5" hidden="1">2147483647</definedName>
    <definedName name="solver_tim" localSheetId="8" hidden="1">2147483647</definedName>
    <definedName name="solver_tim" localSheetId="9" hidden="1">2147483647</definedName>
    <definedName name="solver_tol" localSheetId="4" hidden="1">0.01</definedName>
    <definedName name="solver_tol" localSheetId="5" hidden="1">0.01</definedName>
    <definedName name="solver_tol" localSheetId="8" hidden="1">0.01</definedName>
    <definedName name="solver_tol" localSheetId="9" hidden="1">0.01</definedName>
    <definedName name="solver_typ" localSheetId="4" hidden="1">3</definedName>
    <definedName name="solver_typ" localSheetId="5" hidden="1">3</definedName>
    <definedName name="solver_typ" localSheetId="8" hidden="1">3</definedName>
    <definedName name="solver_typ" localSheetId="9" hidden="1">3</definedName>
    <definedName name="solver_val" localSheetId="4" hidden="1">0</definedName>
    <definedName name="solver_val" localSheetId="5" hidden="1">0</definedName>
    <definedName name="solver_val" localSheetId="8" hidden="1">23888.44</definedName>
    <definedName name="solver_val" localSheetId="9" hidden="1">23888.44</definedName>
    <definedName name="solver_ver" localSheetId="4" hidden="1">3</definedName>
    <definedName name="solver_ver" localSheetId="5" hidden="1">3</definedName>
    <definedName name="solver_ver" localSheetId="8" hidden="1">3</definedName>
    <definedName name="solver_ver" localSheetId="9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" i="18" l="1"/>
  <c r="B8" i="18" l="1"/>
  <c r="B5" i="18"/>
  <c r="B6" i="18" l="1"/>
  <c r="B7" i="18"/>
  <c r="I19" i="22" l="1"/>
  <c r="I18" i="22"/>
  <c r="I17" i="22"/>
  <c r="I16" i="22"/>
  <c r="I15" i="22"/>
  <c r="I19" i="15" l="1"/>
  <c r="H19" i="15"/>
  <c r="G19" i="15"/>
  <c r="F19" i="15"/>
  <c r="E19" i="15"/>
  <c r="D19" i="15"/>
  <c r="I18" i="15"/>
  <c r="H18" i="15"/>
  <c r="G18" i="15"/>
  <c r="F18" i="15"/>
  <c r="E18" i="15"/>
  <c r="D18" i="15"/>
  <c r="I17" i="15"/>
  <c r="H17" i="15"/>
  <c r="G17" i="15"/>
  <c r="F17" i="15"/>
  <c r="E17" i="15"/>
  <c r="D17" i="15"/>
  <c r="I16" i="15"/>
  <c r="H16" i="15"/>
  <c r="G16" i="15"/>
  <c r="F16" i="15"/>
  <c r="E16" i="15"/>
  <c r="D16" i="15"/>
  <c r="L35" i="16" l="1"/>
  <c r="L34" i="16"/>
  <c r="L33" i="16"/>
  <c r="K35" i="16"/>
  <c r="K34" i="16"/>
  <c r="K33" i="16"/>
  <c r="C11" i="12"/>
  <c r="C10" i="12"/>
  <c r="C6" i="12"/>
  <c r="K18" i="22"/>
  <c r="K17" i="22"/>
  <c r="K16" i="22"/>
  <c r="K15" i="22"/>
  <c r="J17" i="22"/>
  <c r="J16" i="22"/>
  <c r="J15" i="22"/>
  <c r="D43" i="16" l="1"/>
  <c r="C43" i="16"/>
  <c r="I31" i="15" l="1"/>
  <c r="I27" i="15"/>
  <c r="H31" i="15"/>
  <c r="H27" i="15"/>
  <c r="G31" i="15"/>
  <c r="G27" i="15"/>
  <c r="F31" i="15"/>
  <c r="F27" i="15"/>
  <c r="E31" i="15" l="1"/>
  <c r="E27" i="15"/>
  <c r="D31" i="15"/>
  <c r="D27" i="15"/>
  <c r="J11" i="23" l="1"/>
  <c r="J10" i="23"/>
  <c r="J9" i="23"/>
  <c r="J8" i="23"/>
  <c r="J11" i="9"/>
  <c r="J10" i="9"/>
  <c r="J9" i="9"/>
  <c r="J8" i="9"/>
  <c r="I7" i="24"/>
  <c r="I6" i="24"/>
  <c r="I5" i="24"/>
  <c r="D13" i="4"/>
  <c r="D12" i="4"/>
  <c r="D11" i="4"/>
  <c r="D10" i="4"/>
  <c r="L11" i="16"/>
  <c r="L10" i="16"/>
  <c r="L9" i="16"/>
  <c r="L8" i="16"/>
  <c r="K11" i="15"/>
  <c r="K10" i="15"/>
  <c r="K9" i="15"/>
  <c r="K8" i="15"/>
  <c r="G33" i="24" l="1"/>
  <c r="G32" i="24"/>
  <c r="G31" i="24"/>
  <c r="G30" i="24"/>
  <c r="G29" i="24"/>
  <c r="H29" i="24" l="1"/>
  <c r="H31" i="24" l="1"/>
  <c r="H32" i="24" l="1"/>
  <c r="H33" i="24" l="1"/>
  <c r="H30" i="24" l="1"/>
  <c r="G36" i="24" l="1"/>
  <c r="G37" i="24"/>
  <c r="G38" i="24"/>
  <c r="G39" i="24"/>
  <c r="G40" i="24"/>
  <c r="I33" i="24" l="1"/>
  <c r="I29" i="24"/>
  <c r="I32" i="24"/>
  <c r="I31" i="24"/>
  <c r="I39" i="24" l="1"/>
  <c r="J29" i="24"/>
  <c r="I40" i="24"/>
  <c r="I38" i="24"/>
  <c r="J31" i="24"/>
  <c r="J32" i="24"/>
  <c r="J33" i="24"/>
  <c r="H36" i="24"/>
  <c r="H37" i="24"/>
  <c r="H38" i="24"/>
  <c r="I30" i="24"/>
  <c r="H40" i="24"/>
  <c r="I36" i="24"/>
  <c r="H39" i="24"/>
  <c r="J39" i="24" l="1"/>
  <c r="J38" i="24"/>
  <c r="J36" i="24"/>
  <c r="J30" i="24" l="1"/>
  <c r="I37" i="24"/>
  <c r="J40" i="24" l="1"/>
  <c r="J37" i="24" l="1"/>
  <c r="D56" i="24" l="1"/>
  <c r="C56" i="24"/>
  <c r="D64" i="24" s="1"/>
  <c r="C55" i="24"/>
  <c r="D55" i="24" s="1"/>
  <c r="C54" i="24"/>
  <c r="D54" i="24" s="1"/>
  <c r="C53" i="24"/>
  <c r="D53" i="24" s="1"/>
  <c r="C49" i="24"/>
  <c r="C48" i="24"/>
  <c r="C47" i="24"/>
  <c r="C46" i="24"/>
  <c r="C45" i="24"/>
  <c r="G49" i="24"/>
  <c r="F49" i="24"/>
  <c r="E49" i="24"/>
  <c r="D49" i="24"/>
  <c r="G48" i="24"/>
  <c r="F48" i="24"/>
  <c r="E48" i="24"/>
  <c r="D48" i="24"/>
  <c r="G47" i="24"/>
  <c r="F47" i="24"/>
  <c r="E47" i="24"/>
  <c r="D47" i="24"/>
  <c r="G46" i="24"/>
  <c r="F46" i="24"/>
  <c r="E46" i="24"/>
  <c r="D46" i="24"/>
  <c r="G45" i="24"/>
  <c r="F45" i="24"/>
  <c r="E45" i="24"/>
  <c r="J26" i="24"/>
  <c r="J25" i="24"/>
  <c r="J24" i="24"/>
  <c r="J23" i="24"/>
  <c r="J22" i="24"/>
  <c r="I26" i="24"/>
  <c r="I25" i="24"/>
  <c r="I24" i="24"/>
  <c r="I23" i="24"/>
  <c r="I22" i="24"/>
  <c r="H26" i="24"/>
  <c r="H25" i="24"/>
  <c r="H24" i="24"/>
  <c r="H23" i="24"/>
  <c r="H22" i="24"/>
  <c r="E56" i="24" l="1"/>
  <c r="D61" i="24"/>
  <c r="D62" i="24"/>
  <c r="E54" i="24" s="1"/>
  <c r="D63" i="24"/>
  <c r="E53" i="24"/>
  <c r="E55" i="24"/>
  <c r="G19" i="24" l="1"/>
  <c r="F19" i="24"/>
  <c r="E19" i="24"/>
  <c r="D19" i="24"/>
  <c r="H47" i="24" l="1"/>
  <c r="H48" i="24"/>
  <c r="H49" i="24"/>
  <c r="H45" i="24"/>
  <c r="I47" i="24" l="1"/>
  <c r="I48" i="24"/>
  <c r="I49" i="24"/>
  <c r="H19" i="24" l="1"/>
  <c r="H46" i="24"/>
  <c r="J49" i="24"/>
  <c r="J47" i="24"/>
  <c r="I45" i="24"/>
  <c r="J48" i="24"/>
  <c r="I46" i="24" l="1"/>
  <c r="I19" i="24"/>
  <c r="J45" i="24"/>
  <c r="J19" i="24" l="1"/>
  <c r="J46" i="24" l="1"/>
  <c r="J23" i="16" l="1"/>
  <c r="I23" i="16"/>
  <c r="H23" i="16"/>
  <c r="J22" i="16"/>
  <c r="J21" i="16"/>
  <c r="J20" i="16"/>
  <c r="I22" i="16"/>
  <c r="I21" i="16"/>
  <c r="I20" i="16"/>
  <c r="H22" i="16"/>
  <c r="H21" i="16"/>
  <c r="H20" i="16"/>
  <c r="B13" i="4" l="1"/>
  <c r="B12" i="4"/>
  <c r="B11" i="4"/>
  <c r="B10" i="4"/>
  <c r="B6" i="4"/>
  <c r="B5" i="4"/>
  <c r="I38" i="15" l="1"/>
  <c r="I37" i="15"/>
  <c r="I36" i="15"/>
  <c r="I35" i="15"/>
  <c r="H38" i="15"/>
  <c r="H37" i="15"/>
  <c r="H36" i="15"/>
  <c r="H35" i="15"/>
  <c r="G38" i="15"/>
  <c r="G37" i="15"/>
  <c r="G36" i="15"/>
  <c r="G35" i="15"/>
  <c r="L31" i="15" l="1"/>
  <c r="K31" i="15"/>
  <c r="L30" i="15"/>
  <c r="L25" i="22" s="1"/>
  <c r="L32" i="22" s="1"/>
  <c r="K30" i="15"/>
  <c r="K25" i="22" s="1"/>
  <c r="K32" i="22" s="1"/>
  <c r="L29" i="15"/>
  <c r="L24" i="22" s="1"/>
  <c r="L31" i="22" s="1"/>
  <c r="K29" i="15"/>
  <c r="K24" i="22" s="1"/>
  <c r="K31" i="22" s="1"/>
  <c r="L28" i="15"/>
  <c r="K28" i="15"/>
  <c r="K35" i="15" s="1"/>
  <c r="L27" i="15"/>
  <c r="L22" i="22" s="1"/>
  <c r="K27" i="15"/>
  <c r="K22" i="22" s="1"/>
  <c r="J31" i="15"/>
  <c r="J26" i="22" s="1"/>
  <c r="J30" i="15"/>
  <c r="J25" i="22" s="1"/>
  <c r="J32" i="22" s="1"/>
  <c r="J29" i="15"/>
  <c r="J36" i="15" s="1"/>
  <c r="J28" i="15"/>
  <c r="J35" i="15" s="1"/>
  <c r="J27" i="15"/>
  <c r="J22" i="22" s="1"/>
  <c r="J19" i="13" l="1"/>
  <c r="J19" i="9"/>
  <c r="J19" i="23"/>
  <c r="K22" i="24"/>
  <c r="K19" i="16"/>
  <c r="K20" i="13"/>
  <c r="K20" i="9"/>
  <c r="K20" i="23"/>
  <c r="L23" i="24"/>
  <c r="L20" i="16"/>
  <c r="L37" i="15"/>
  <c r="L20" i="13"/>
  <c r="L20" i="9"/>
  <c r="L20" i="23"/>
  <c r="M23" i="24"/>
  <c r="M46" i="24" s="1"/>
  <c r="M20" i="16"/>
  <c r="K21" i="23"/>
  <c r="L24" i="24"/>
  <c r="L21" i="16"/>
  <c r="L35" i="15"/>
  <c r="L21" i="23"/>
  <c r="M24" i="24"/>
  <c r="M47" i="24" s="1"/>
  <c r="M21" i="16"/>
  <c r="E5" i="15"/>
  <c r="J20" i="13"/>
  <c r="J20" i="9"/>
  <c r="J20" i="23"/>
  <c r="K23" i="24"/>
  <c r="K20" i="16"/>
  <c r="J21" i="23"/>
  <c r="K24" i="24"/>
  <c r="K21" i="16"/>
  <c r="J22" i="23"/>
  <c r="K25" i="24"/>
  <c r="K22" i="16"/>
  <c r="K22" i="23"/>
  <c r="L25" i="24"/>
  <c r="L22" i="16"/>
  <c r="K36" i="15"/>
  <c r="J23" i="22"/>
  <c r="J30" i="22" s="1"/>
  <c r="L22" i="23"/>
  <c r="M25" i="24"/>
  <c r="M48" i="24" s="1"/>
  <c r="M22" i="16"/>
  <c r="L36" i="15"/>
  <c r="K23" i="22"/>
  <c r="K30" i="22" s="1"/>
  <c r="K23" i="23"/>
  <c r="L26" i="24"/>
  <c r="L23" i="16"/>
  <c r="J37" i="15"/>
  <c r="L23" i="22"/>
  <c r="L30" i="22" s="1"/>
  <c r="K26" i="22"/>
  <c r="J23" i="23"/>
  <c r="K26" i="24"/>
  <c r="K23" i="16"/>
  <c r="K19" i="13"/>
  <c r="K19" i="9"/>
  <c r="K19" i="23"/>
  <c r="L22" i="24"/>
  <c r="L19" i="16"/>
  <c r="L19" i="13"/>
  <c r="L19" i="9"/>
  <c r="L19" i="23"/>
  <c r="M22" i="24"/>
  <c r="M45" i="24" s="1"/>
  <c r="M19" i="16"/>
  <c r="L23" i="23"/>
  <c r="M26" i="24"/>
  <c r="M49" i="24" s="1"/>
  <c r="M23" i="16"/>
  <c r="K37" i="15"/>
  <c r="J24" i="22"/>
  <c r="J31" i="22" s="1"/>
  <c r="L26" i="22"/>
  <c r="D38" i="15"/>
  <c r="E38" i="15"/>
  <c r="F38" i="15"/>
  <c r="E5" i="24" l="1"/>
  <c r="E7" i="24"/>
  <c r="E6" i="24"/>
  <c r="M43" i="16"/>
  <c r="O30" i="22"/>
  <c r="O31" i="22"/>
  <c r="O32" i="22"/>
  <c r="O23" i="22"/>
  <c r="O24" i="22"/>
  <c r="O25" i="22"/>
  <c r="O26" i="22"/>
  <c r="H19" i="22"/>
  <c r="H18" i="22"/>
  <c r="H17" i="22"/>
  <c r="H16" i="22"/>
  <c r="H15" i="22"/>
  <c r="G19" i="22" l="1"/>
  <c r="G18" i="22"/>
  <c r="G17" i="22"/>
  <c r="G16" i="22"/>
  <c r="G15" i="22"/>
  <c r="F19" i="22" l="1"/>
  <c r="F18" i="22"/>
  <c r="F17" i="22"/>
  <c r="F16" i="22"/>
  <c r="F15" i="22"/>
  <c r="I26" i="22" l="1"/>
  <c r="I25" i="22"/>
  <c r="I24" i="22"/>
  <c r="I23" i="22"/>
  <c r="I22" i="22"/>
  <c r="H26" i="22"/>
  <c r="H25" i="22"/>
  <c r="H24" i="22"/>
  <c r="H23" i="22"/>
  <c r="H22" i="22"/>
  <c r="G26" i="22"/>
  <c r="G25" i="22"/>
  <c r="G24" i="22"/>
  <c r="G23" i="22"/>
  <c r="G22" i="22"/>
  <c r="I33" i="22"/>
  <c r="I32" i="22"/>
  <c r="I31" i="22"/>
  <c r="I30" i="22"/>
  <c r="I29" i="22"/>
  <c r="H33" i="22"/>
  <c r="H32" i="22"/>
  <c r="H31" i="22"/>
  <c r="H30" i="22"/>
  <c r="H29" i="22"/>
  <c r="G33" i="22"/>
  <c r="G32" i="22"/>
  <c r="G31" i="22"/>
  <c r="G30" i="22"/>
  <c r="G29" i="22"/>
  <c r="H7" i="22" l="1"/>
  <c r="E7" i="22"/>
  <c r="D7" i="22"/>
  <c r="H6" i="22"/>
  <c r="E6" i="22"/>
  <c r="D6" i="22"/>
  <c r="H5" i="22"/>
  <c r="E5" i="22"/>
  <c r="D5" i="22"/>
  <c r="C48" i="22" l="1"/>
  <c r="L41" i="22"/>
  <c r="H41" i="22"/>
  <c r="G41" i="22"/>
  <c r="F41" i="22"/>
  <c r="E41" i="22"/>
  <c r="D41" i="22"/>
  <c r="C41" i="22"/>
  <c r="L40" i="22"/>
  <c r="H40" i="22"/>
  <c r="G40" i="22"/>
  <c r="F40" i="22"/>
  <c r="E40" i="22"/>
  <c r="D40" i="22"/>
  <c r="C40" i="22"/>
  <c r="C47" i="22" s="1"/>
  <c r="D47" i="22" s="1"/>
  <c r="L39" i="22"/>
  <c r="H39" i="22"/>
  <c r="G39" i="22"/>
  <c r="F39" i="22"/>
  <c r="E39" i="22"/>
  <c r="D39" i="22"/>
  <c r="C39" i="22"/>
  <c r="C46" i="22" s="1"/>
  <c r="D46" i="22" s="1"/>
  <c r="G50" i="15"/>
  <c r="H50" i="15"/>
  <c r="F50" i="15"/>
  <c r="D48" i="22" l="1"/>
  <c r="I23" i="23"/>
  <c r="I22" i="23"/>
  <c r="I21" i="23"/>
  <c r="I20" i="23"/>
  <c r="I19" i="23"/>
  <c r="H23" i="23"/>
  <c r="H22" i="23"/>
  <c r="H21" i="23"/>
  <c r="H20" i="23"/>
  <c r="H19" i="23"/>
  <c r="G23" i="23"/>
  <c r="G22" i="23"/>
  <c r="G21" i="23"/>
  <c r="G20" i="23"/>
  <c r="G19" i="23"/>
  <c r="D5" i="23" l="1"/>
  <c r="L38" i="23"/>
  <c r="G38" i="23"/>
  <c r="F38" i="23"/>
  <c r="E38" i="23"/>
  <c r="D38" i="23"/>
  <c r="C38" i="23"/>
  <c r="C45" i="23" s="1"/>
  <c r="D45" i="23" s="1"/>
  <c r="L37" i="23"/>
  <c r="G37" i="23"/>
  <c r="F37" i="23"/>
  <c r="E37" i="23"/>
  <c r="D37" i="23"/>
  <c r="C37" i="23"/>
  <c r="C44" i="23" s="1"/>
  <c r="D44" i="23" s="1"/>
  <c r="L36" i="23"/>
  <c r="G36" i="23"/>
  <c r="F36" i="23"/>
  <c r="E36" i="23"/>
  <c r="D36" i="23"/>
  <c r="C36" i="23"/>
  <c r="C43" i="23" s="1"/>
  <c r="D43" i="23" s="1"/>
  <c r="C14" i="13"/>
  <c r="B14" i="13"/>
  <c r="C14" i="23"/>
  <c r="B14" i="23"/>
  <c r="C14" i="9"/>
  <c r="B14" i="9"/>
  <c r="C17" i="24"/>
  <c r="B17" i="24"/>
  <c r="C14" i="16"/>
  <c r="B14" i="16"/>
  <c r="C11" i="22"/>
  <c r="B11" i="22"/>
  <c r="I50" i="15" l="1"/>
  <c r="J50" i="15" s="1"/>
  <c r="K50" i="15" s="1"/>
  <c r="E50" i="15"/>
  <c r="D50" i="15"/>
  <c r="F20" i="9" l="1"/>
  <c r="F19" i="9"/>
  <c r="E20" i="9"/>
  <c r="E19" i="9"/>
  <c r="D20" i="9"/>
  <c r="D19" i="9"/>
  <c r="F34" i="15"/>
  <c r="E34" i="15"/>
  <c r="D34" i="15"/>
  <c r="G23" i="16"/>
  <c r="G19" i="16"/>
  <c r="F23" i="16"/>
  <c r="F19" i="16"/>
  <c r="E23" i="16"/>
  <c r="E19" i="16"/>
  <c r="E5" i="16" l="1"/>
  <c r="I20" i="9"/>
  <c r="I19" i="9" l="1"/>
  <c r="J19" i="16"/>
  <c r="I34" i="15" l="1"/>
  <c r="H19" i="9" l="1"/>
  <c r="H20" i="9"/>
  <c r="I19" i="16" l="1"/>
  <c r="H34" i="15" l="1"/>
  <c r="G20" i="9" l="1"/>
  <c r="G19" i="9" l="1"/>
  <c r="H19" i="16" l="1"/>
  <c r="G34" i="15" l="1"/>
  <c r="B68" i="24" l="1"/>
  <c r="C68" i="24" s="1"/>
  <c r="D45" i="24"/>
  <c r="C52" i="24"/>
  <c r="E18" i="24"/>
  <c r="F18" i="24" s="1"/>
  <c r="G18" i="24" s="1"/>
  <c r="H18" i="24" s="1"/>
  <c r="I18" i="24" s="1"/>
  <c r="J18" i="24" s="1"/>
  <c r="K18" i="24" s="1"/>
  <c r="L18" i="24" s="1"/>
  <c r="M18" i="24" s="1"/>
  <c r="L14" i="24"/>
  <c r="L13" i="24"/>
  <c r="L12" i="24"/>
  <c r="L11" i="24"/>
  <c r="I8" i="24"/>
  <c r="I4" i="24"/>
  <c r="A1" i="24"/>
  <c r="K19" i="15"/>
  <c r="K18" i="15"/>
  <c r="K17" i="15"/>
  <c r="K16" i="15"/>
  <c r="J19" i="15"/>
  <c r="J18" i="15"/>
  <c r="J17" i="15"/>
  <c r="J16" i="15"/>
  <c r="I8" i="4"/>
  <c r="H8" i="4"/>
  <c r="G8" i="4"/>
  <c r="F8" i="4"/>
  <c r="D52" i="24" l="1"/>
  <c r="D60" i="24"/>
  <c r="E52" i="24" s="1"/>
  <c r="I9" i="24"/>
  <c r="E8" i="24"/>
  <c r="L15" i="24"/>
  <c r="E4" i="24"/>
  <c r="D68" i="24"/>
  <c r="E9" i="24" l="1"/>
  <c r="D15" i="13" l="1"/>
  <c r="D15" i="23"/>
  <c r="E15" i="23" s="1"/>
  <c r="F15" i="23" s="1"/>
  <c r="G15" i="23" s="1"/>
  <c r="H15" i="23" s="1"/>
  <c r="I15" i="23" s="1"/>
  <c r="J15" i="23" s="1"/>
  <c r="K15" i="23" s="1"/>
  <c r="L15" i="23" s="1"/>
  <c r="D15" i="9"/>
  <c r="E15" i="16"/>
  <c r="D12" i="22"/>
  <c r="E15" i="15"/>
  <c r="F15" i="15" s="1"/>
  <c r="G15" i="15" s="1"/>
  <c r="H15" i="15" s="1"/>
  <c r="I15" i="15" s="1"/>
  <c r="J15" i="15" s="1"/>
  <c r="K15" i="15" s="1"/>
  <c r="L15" i="15" s="1"/>
  <c r="L12" i="22" s="1"/>
  <c r="B58" i="23"/>
  <c r="C58" i="23" s="1"/>
  <c r="C39" i="23"/>
  <c r="C46" i="23" s="1"/>
  <c r="C35" i="23"/>
  <c r="C42" i="23" s="1"/>
  <c r="L39" i="23"/>
  <c r="G39" i="23"/>
  <c r="E39" i="23"/>
  <c r="D39" i="23"/>
  <c r="L35" i="23"/>
  <c r="G35" i="23"/>
  <c r="F35" i="23"/>
  <c r="D35" i="23"/>
  <c r="G16" i="23"/>
  <c r="F16" i="23"/>
  <c r="E16" i="23"/>
  <c r="D16" i="23"/>
  <c r="G5" i="23"/>
  <c r="G4" i="23"/>
  <c r="G6" i="23" s="1"/>
  <c r="A1" i="23"/>
  <c r="C42" i="16"/>
  <c r="B61" i="22"/>
  <c r="C61" i="22" s="1"/>
  <c r="L59" i="22"/>
  <c r="O35" i="22"/>
  <c r="L33" i="22"/>
  <c r="K33" i="22"/>
  <c r="J33" i="22"/>
  <c r="L29" i="22"/>
  <c r="K29" i="22"/>
  <c r="J29" i="22"/>
  <c r="C42" i="22"/>
  <c r="C49" i="22" s="1"/>
  <c r="G42" i="22"/>
  <c r="F42" i="22"/>
  <c r="F38" i="22"/>
  <c r="E38" i="22"/>
  <c r="H8" i="22"/>
  <c r="H4" i="22"/>
  <c r="H9" i="22" s="1"/>
  <c r="A1" i="22"/>
  <c r="O33" i="22" l="1"/>
  <c r="O29" i="22"/>
  <c r="L38" i="22"/>
  <c r="G38" i="22"/>
  <c r="H38" i="22"/>
  <c r="E42" i="22"/>
  <c r="H42" i="22"/>
  <c r="J12" i="23"/>
  <c r="D42" i="23"/>
  <c r="E4" i="22"/>
  <c r="L42" i="22"/>
  <c r="E8" i="22"/>
  <c r="D4" i="23"/>
  <c r="E12" i="22"/>
  <c r="G12" i="22"/>
  <c r="F12" i="22"/>
  <c r="H12" i="22"/>
  <c r="I12" i="22"/>
  <c r="J12" i="22"/>
  <c r="K12" i="22"/>
  <c r="D46" i="23"/>
  <c r="E35" i="23"/>
  <c r="F39" i="23"/>
  <c r="D42" i="22"/>
  <c r="D49" i="22" s="1"/>
  <c r="D8" i="22"/>
  <c r="D4" i="22"/>
  <c r="O22" i="22"/>
  <c r="C38" i="22"/>
  <c r="C45" i="22" s="1"/>
  <c r="D38" i="22"/>
  <c r="D6" i="23" l="1"/>
  <c r="E9" i="22"/>
  <c r="D9" i="22"/>
  <c r="D45" i="22"/>
  <c r="A1" i="18" l="1"/>
  <c r="F7" i="4" l="1"/>
  <c r="G7" i="4"/>
  <c r="H7" i="4"/>
  <c r="I7" i="4"/>
  <c r="F9" i="4"/>
  <c r="G9" i="4"/>
  <c r="H10" i="4"/>
  <c r="I10" i="4"/>
  <c r="G6" i="5"/>
  <c r="G7" i="5"/>
  <c r="G8" i="5"/>
  <c r="A2" i="19"/>
  <c r="A1" i="19"/>
  <c r="F10" i="4" l="1"/>
  <c r="Z26" i="5"/>
  <c r="AA26" i="5"/>
  <c r="AA17" i="5"/>
  <c r="E18" i="20" s="1"/>
  <c r="Z17" i="5"/>
  <c r="AA25" i="5"/>
  <c r="AA16" i="5"/>
  <c r="E17" i="20" s="1"/>
  <c r="Z25" i="5"/>
  <c r="Z16" i="5"/>
  <c r="AA15" i="5"/>
  <c r="Z24" i="5"/>
  <c r="AA24" i="5"/>
  <c r="Z15" i="5"/>
  <c r="H9" i="4"/>
  <c r="I9" i="4"/>
  <c r="B14" i="4"/>
  <c r="D14" i="4"/>
  <c r="G10" i="4"/>
  <c r="C6" i="4" s="1"/>
  <c r="B7" i="4"/>
  <c r="G5" i="5"/>
  <c r="D18" i="20" l="1"/>
  <c r="AA14" i="5"/>
  <c r="Z14" i="5"/>
  <c r="Z23" i="5"/>
  <c r="AA23" i="5"/>
  <c r="E16" i="20"/>
  <c r="D16" i="20"/>
  <c r="D17" i="20"/>
  <c r="J12" i="13"/>
  <c r="E16" i="10"/>
  <c r="D16" i="10" s="1"/>
  <c r="E15" i="10"/>
  <c r="D15" i="10" s="1"/>
  <c r="E14" i="10"/>
  <c r="D14" i="10" s="1"/>
  <c r="E13" i="10"/>
  <c r="B15" i="8"/>
  <c r="B14" i="8"/>
  <c r="B13" i="8"/>
  <c r="B12" i="8"/>
  <c r="F16" i="5" l="1"/>
  <c r="V16" i="5"/>
  <c r="F17" i="5"/>
  <c r="V17" i="5"/>
  <c r="F15" i="5"/>
  <c r="V15" i="5"/>
  <c r="E17" i="10"/>
  <c r="D15" i="20"/>
  <c r="E15" i="20"/>
  <c r="K12" i="15"/>
  <c r="D13" i="10"/>
  <c r="J12" i="9"/>
  <c r="B16" i="8"/>
  <c r="L12" i="16"/>
  <c r="F14" i="5" l="1"/>
  <c r="V14" i="5"/>
  <c r="D17" i="10"/>
  <c r="D14" i="8"/>
  <c r="D13" i="8"/>
  <c r="D15" i="8"/>
  <c r="E13" i="8" l="1"/>
  <c r="E15" i="8"/>
  <c r="E14" i="8" l="1"/>
  <c r="E12" i="8" l="1"/>
  <c r="E16" i="8" s="1"/>
  <c r="D12" i="8" l="1"/>
  <c r="D16" i="8" s="1"/>
  <c r="C14" i="8" l="1"/>
  <c r="F14" i="8" s="1"/>
  <c r="G14" i="8" s="1"/>
  <c r="C13" i="8"/>
  <c r="F13" i="8" s="1"/>
  <c r="G13" i="8" s="1"/>
  <c r="C15" i="8"/>
  <c r="F15" i="8" s="1"/>
  <c r="G15" i="8" s="1"/>
  <c r="K30" i="23" l="1"/>
  <c r="K39" i="23" s="1"/>
  <c r="J30" i="23"/>
  <c r="I30" i="23"/>
  <c r="I39" i="23" s="1"/>
  <c r="H30" i="23"/>
  <c r="U17" i="5"/>
  <c r="I28" i="23"/>
  <c r="I37" i="23" s="1"/>
  <c r="H28" i="23"/>
  <c r="H37" i="23" s="1"/>
  <c r="J28" i="23"/>
  <c r="J37" i="23" s="1"/>
  <c r="K28" i="23"/>
  <c r="K37" i="23" s="1"/>
  <c r="H29" i="23"/>
  <c r="H38" i="23" s="1"/>
  <c r="K29" i="23"/>
  <c r="K38" i="23" s="1"/>
  <c r="I29" i="23"/>
  <c r="I38" i="23" s="1"/>
  <c r="J29" i="23"/>
  <c r="J38" i="23" s="1"/>
  <c r="E17" i="5"/>
  <c r="E15" i="5"/>
  <c r="U15" i="5"/>
  <c r="E16" i="5"/>
  <c r="U16" i="5"/>
  <c r="C12" i="8"/>
  <c r="H39" i="23" l="1"/>
  <c r="J39" i="23"/>
  <c r="C16" i="8"/>
  <c r="F12" i="8"/>
  <c r="F16" i="8" l="1"/>
  <c r="G12" i="8"/>
  <c r="U14" i="5" l="1"/>
  <c r="K27" i="23"/>
  <c r="K36" i="23" s="1"/>
  <c r="H27" i="23"/>
  <c r="I27" i="23"/>
  <c r="I36" i="23" s="1"/>
  <c r="J27" i="23"/>
  <c r="J36" i="23" s="1"/>
  <c r="G16" i="8"/>
  <c r="E14" i="5"/>
  <c r="H36" i="23" l="1"/>
  <c r="E5" i="23"/>
  <c r="F5" i="23" s="1"/>
  <c r="D8" i="10"/>
  <c r="B9" i="8" l="1"/>
  <c r="B8" i="8"/>
  <c r="B10" i="8" l="1"/>
  <c r="D5" i="10" l="1"/>
  <c r="D27" i="10"/>
  <c r="D28" i="10" l="1"/>
  <c r="D29" i="10" s="1"/>
  <c r="D30" i="10" l="1"/>
  <c r="D31" i="10" s="1"/>
  <c r="D32" i="10" l="1"/>
  <c r="D33" i="10" l="1"/>
  <c r="D34" i="10" s="1"/>
  <c r="D6" i="10" s="1"/>
  <c r="D42" i="16" l="1"/>
  <c r="D16" i="16"/>
  <c r="F16" i="9" l="1"/>
  <c r="E16" i="9"/>
  <c r="D16" i="9"/>
  <c r="B43" i="9" l="1"/>
  <c r="B56" i="16"/>
  <c r="B57" i="15"/>
  <c r="A2" i="8" l="1"/>
  <c r="A1" i="8"/>
  <c r="C10" i="10" l="1"/>
  <c r="C43" i="13" l="1"/>
  <c r="F30" i="13"/>
  <c r="E30" i="13"/>
  <c r="D30" i="13"/>
  <c r="C30" i="13"/>
  <c r="C34" i="13" s="1"/>
  <c r="F29" i="13"/>
  <c r="E29" i="13"/>
  <c r="D29" i="13"/>
  <c r="C29" i="13"/>
  <c r="C33" i="13" s="1"/>
  <c r="H30" i="13"/>
  <c r="J16" i="13"/>
  <c r="I16" i="13"/>
  <c r="I29" i="13"/>
  <c r="H29" i="13"/>
  <c r="G29" i="13"/>
  <c r="K16" i="13"/>
  <c r="G16" i="13"/>
  <c r="F16" i="13"/>
  <c r="E16" i="13"/>
  <c r="D16" i="13"/>
  <c r="E15" i="13"/>
  <c r="F15" i="13" s="1"/>
  <c r="G15" i="13" s="1"/>
  <c r="H15" i="13" s="1"/>
  <c r="I15" i="13" s="1"/>
  <c r="J15" i="13" s="1"/>
  <c r="K15" i="13" s="1"/>
  <c r="L15" i="13" s="1"/>
  <c r="G5" i="13"/>
  <c r="G4" i="13"/>
  <c r="A1" i="13"/>
  <c r="G6" i="13" l="1"/>
  <c r="D34" i="13"/>
  <c r="D33" i="13"/>
  <c r="I30" i="13"/>
  <c r="E5" i="13"/>
  <c r="E4" i="13"/>
  <c r="G30" i="13"/>
  <c r="H16" i="13"/>
  <c r="E6" i="13" l="1"/>
  <c r="C43" i="9" l="1"/>
  <c r="D30" i="9"/>
  <c r="C30" i="9"/>
  <c r="C34" i="9" s="1"/>
  <c r="C29" i="9"/>
  <c r="C33" i="9" s="1"/>
  <c r="I30" i="9"/>
  <c r="H30" i="9"/>
  <c r="G30" i="9"/>
  <c r="F30" i="9"/>
  <c r="E30" i="9"/>
  <c r="I29" i="9"/>
  <c r="H29" i="9"/>
  <c r="G29" i="9"/>
  <c r="F29" i="9"/>
  <c r="E29" i="9"/>
  <c r="D29" i="9"/>
  <c r="K16" i="9"/>
  <c r="J16" i="9"/>
  <c r="I16" i="9"/>
  <c r="H16" i="9"/>
  <c r="G16" i="9"/>
  <c r="E15" i="9"/>
  <c r="F15" i="9" s="1"/>
  <c r="G15" i="9" s="1"/>
  <c r="H15" i="9" s="1"/>
  <c r="I15" i="9" s="1"/>
  <c r="J15" i="9" s="1"/>
  <c r="K15" i="9" s="1"/>
  <c r="L15" i="9" s="1"/>
  <c r="G5" i="9"/>
  <c r="E5" i="9"/>
  <c r="G4" i="9"/>
  <c r="E4" i="9"/>
  <c r="A1" i="9"/>
  <c r="A1" i="10"/>
  <c r="A2" i="10"/>
  <c r="E6" i="9" l="1"/>
  <c r="G6" i="9"/>
  <c r="D34" i="9"/>
  <c r="D33" i="9"/>
  <c r="L30" i="13" l="1"/>
  <c r="L30" i="9"/>
  <c r="L29" i="13"/>
  <c r="L29" i="9"/>
  <c r="K29" i="13"/>
  <c r="K29" i="9"/>
  <c r="K30" i="13"/>
  <c r="K30" i="9"/>
  <c r="J29" i="13" l="1"/>
  <c r="D4" i="13"/>
  <c r="J29" i="9"/>
  <c r="D4" i="9"/>
  <c r="J30" i="9"/>
  <c r="D5" i="9"/>
  <c r="F5" i="9" s="1"/>
  <c r="J30" i="13"/>
  <c r="D5" i="13"/>
  <c r="F5" i="13" s="1"/>
  <c r="D6" i="13" l="1"/>
  <c r="F4" i="13"/>
  <c r="F4" i="9"/>
  <c r="D6" i="9"/>
  <c r="F6" i="13" l="1"/>
  <c r="F6" i="9"/>
  <c r="I24" i="15" l="1"/>
  <c r="I44" i="15" s="1"/>
  <c r="I23" i="15"/>
  <c r="C24" i="15"/>
  <c r="C44" i="15" s="1"/>
  <c r="C23" i="15"/>
  <c r="G24" i="15"/>
  <c r="G44" i="15" s="1"/>
  <c r="G23" i="15" l="1"/>
  <c r="F24" i="15"/>
  <c r="F44" i="15" s="1"/>
  <c r="E24" i="15"/>
  <c r="E44" i="15" s="1"/>
  <c r="H24" i="15"/>
  <c r="H44" i="15" s="1"/>
  <c r="H23" i="15"/>
  <c r="D23" i="15"/>
  <c r="E23" i="15"/>
  <c r="D24" i="15"/>
  <c r="D44" i="15" s="1"/>
  <c r="F23" i="15"/>
  <c r="H58" i="24" l="1"/>
  <c r="G36" i="13"/>
  <c r="G48" i="23"/>
  <c r="G36" i="9"/>
  <c r="H49" i="16"/>
  <c r="G51" i="22"/>
  <c r="E58" i="24"/>
  <c r="D36" i="13"/>
  <c r="D36" i="9"/>
  <c r="E49" i="16"/>
  <c r="D48" i="23"/>
  <c r="D51" i="22"/>
  <c r="F58" i="24"/>
  <c r="E36" i="13"/>
  <c r="E48" i="23"/>
  <c r="E36" i="9"/>
  <c r="F49" i="16"/>
  <c r="E51" i="22"/>
  <c r="G58" i="24"/>
  <c r="F36" i="13"/>
  <c r="F48" i="23"/>
  <c r="F36" i="9"/>
  <c r="G49" i="16"/>
  <c r="F51" i="22"/>
  <c r="I58" i="24"/>
  <c r="H36" i="13"/>
  <c r="H48" i="23"/>
  <c r="H36" i="9"/>
  <c r="I49" i="16"/>
  <c r="H51" i="22"/>
  <c r="E64" i="24" l="1"/>
  <c r="F64" i="24" s="1"/>
  <c r="E61" i="24"/>
  <c r="E63" i="24"/>
  <c r="E62" i="24"/>
  <c r="D55" i="22"/>
  <c r="D56" i="22"/>
  <c r="D54" i="22"/>
  <c r="D51" i="23"/>
  <c r="D53" i="23"/>
  <c r="D52" i="23"/>
  <c r="D39" i="13"/>
  <c r="D38" i="13"/>
  <c r="J58" i="24"/>
  <c r="I48" i="23"/>
  <c r="J49" i="16"/>
  <c r="I36" i="13"/>
  <c r="I51" i="22"/>
  <c r="I36" i="9"/>
  <c r="F56" i="24"/>
  <c r="G64" i="24" s="1"/>
  <c r="E60" i="24"/>
  <c r="D54" i="23"/>
  <c r="D50" i="23"/>
  <c r="D53" i="22"/>
  <c r="D57" i="22"/>
  <c r="D39" i="9"/>
  <c r="D38" i="9"/>
  <c r="C56" i="16"/>
  <c r="D56" i="16" s="1"/>
  <c r="F54" i="24" l="1"/>
  <c r="F62" i="24"/>
  <c r="F63" i="24"/>
  <c r="F55" i="24"/>
  <c r="F52" i="24"/>
  <c r="F60" i="24"/>
  <c r="G52" i="24" s="1"/>
  <c r="F61" i="24"/>
  <c r="F53" i="24"/>
  <c r="D61" i="22"/>
  <c r="E48" i="22"/>
  <c r="E56" i="22"/>
  <c r="F48" i="22" s="1"/>
  <c r="E46" i="22"/>
  <c r="E54" i="22"/>
  <c r="E47" i="22"/>
  <c r="E55" i="22"/>
  <c r="E52" i="23"/>
  <c r="E44" i="23"/>
  <c r="E53" i="23"/>
  <c r="E45" i="23"/>
  <c r="E51" i="23"/>
  <c r="E43" i="23"/>
  <c r="D41" i="9"/>
  <c r="D43" i="9"/>
  <c r="D40" i="9" s="1"/>
  <c r="E38" i="9"/>
  <c r="E33" i="9"/>
  <c r="D58" i="23"/>
  <c r="D55" i="23" s="1"/>
  <c r="D56" i="23"/>
  <c r="E50" i="23"/>
  <c r="E42" i="23"/>
  <c r="E46" i="23"/>
  <c r="E54" i="23"/>
  <c r="E53" i="22"/>
  <c r="E61" i="22" s="1"/>
  <c r="D59" i="22"/>
  <c r="E45" i="22"/>
  <c r="D58" i="22"/>
  <c r="E68" i="24"/>
  <c r="E65" i="24" s="1"/>
  <c r="E66" i="24"/>
  <c r="E38" i="13"/>
  <c r="E33" i="13"/>
  <c r="D41" i="13"/>
  <c r="D43" i="13"/>
  <c r="D40" i="13" s="1"/>
  <c r="E39" i="9"/>
  <c r="E34" i="9"/>
  <c r="E57" i="22"/>
  <c r="E49" i="22"/>
  <c r="G56" i="24"/>
  <c r="H64" i="24" s="1"/>
  <c r="E34" i="13"/>
  <c r="E39" i="13"/>
  <c r="L38" i="15"/>
  <c r="K38" i="15"/>
  <c r="J38" i="15"/>
  <c r="L34" i="15"/>
  <c r="K34" i="15"/>
  <c r="J34" i="15"/>
  <c r="D5" i="15" l="1"/>
  <c r="G53" i="24"/>
  <c r="G61" i="24"/>
  <c r="G60" i="24"/>
  <c r="H60" i="24" s="1"/>
  <c r="G55" i="24"/>
  <c r="G63" i="24"/>
  <c r="G54" i="24"/>
  <c r="G62" i="24"/>
  <c r="F47" i="22"/>
  <c r="F55" i="22"/>
  <c r="F46" i="22"/>
  <c r="F54" i="22"/>
  <c r="F56" i="22"/>
  <c r="G56" i="22" s="1"/>
  <c r="F45" i="23"/>
  <c r="F53" i="23"/>
  <c r="F43" i="23"/>
  <c r="F51" i="23"/>
  <c r="F44" i="23"/>
  <c r="F52" i="23"/>
  <c r="F39" i="9"/>
  <c r="E58" i="23"/>
  <c r="E55" i="23" s="1"/>
  <c r="F38" i="9"/>
  <c r="F53" i="22"/>
  <c r="F45" i="22"/>
  <c r="F34" i="9"/>
  <c r="F66" i="24"/>
  <c r="F68" i="24"/>
  <c r="F65" i="24" s="1"/>
  <c r="E59" i="22"/>
  <c r="E58" i="22"/>
  <c r="F34" i="13"/>
  <c r="F39" i="13"/>
  <c r="F46" i="23"/>
  <c r="F54" i="23"/>
  <c r="F33" i="9"/>
  <c r="E43" i="9"/>
  <c r="E40" i="9" s="1"/>
  <c r="E41" i="9"/>
  <c r="H56" i="24"/>
  <c r="I64" i="24" s="1"/>
  <c r="F33" i="13"/>
  <c r="F38" i="13"/>
  <c r="F50" i="23"/>
  <c r="F42" i="23"/>
  <c r="F49" i="22"/>
  <c r="F57" i="22"/>
  <c r="E41" i="13"/>
  <c r="E43" i="13"/>
  <c r="E40" i="13" s="1"/>
  <c r="E56" i="23"/>
  <c r="H52" i="24" l="1"/>
  <c r="I60" i="24" s="1"/>
  <c r="H54" i="24"/>
  <c r="H62" i="24"/>
  <c r="H55" i="24"/>
  <c r="H63" i="24"/>
  <c r="H53" i="24"/>
  <c r="H61" i="24"/>
  <c r="F61" i="22"/>
  <c r="F58" i="22" s="1"/>
  <c r="G48" i="22"/>
  <c r="G46" i="22"/>
  <c r="G54" i="22"/>
  <c r="G47" i="22"/>
  <c r="G55" i="22"/>
  <c r="G57" i="22"/>
  <c r="G44" i="23"/>
  <c r="G52" i="23"/>
  <c r="G43" i="23"/>
  <c r="G51" i="23"/>
  <c r="G45" i="23"/>
  <c r="G53" i="23"/>
  <c r="G39" i="9"/>
  <c r="G38" i="9"/>
  <c r="G49" i="22"/>
  <c r="G34" i="9"/>
  <c r="G66" i="24"/>
  <c r="G68" i="24"/>
  <c r="G65" i="24" s="1"/>
  <c r="F56" i="23"/>
  <c r="F58" i="23"/>
  <c r="F55" i="23" s="1"/>
  <c r="G33" i="9"/>
  <c r="G45" i="22"/>
  <c r="G53" i="22"/>
  <c r="G34" i="13"/>
  <c r="G39" i="13"/>
  <c r="F41" i="9"/>
  <c r="F43" i="9"/>
  <c r="F40" i="9" s="1"/>
  <c r="F59" i="22"/>
  <c r="G50" i="23"/>
  <c r="G42" i="23"/>
  <c r="G33" i="13"/>
  <c r="G38" i="13"/>
  <c r="F43" i="13"/>
  <c r="F40" i="13" s="1"/>
  <c r="F41" i="13"/>
  <c r="I56" i="24"/>
  <c r="J64" i="24" s="1"/>
  <c r="G54" i="23"/>
  <c r="G46" i="23"/>
  <c r="I52" i="24" l="1"/>
  <c r="J60" i="24"/>
  <c r="I53" i="24"/>
  <c r="I61" i="24"/>
  <c r="I55" i="24"/>
  <c r="I63" i="24"/>
  <c r="I54" i="24"/>
  <c r="I62" i="24"/>
  <c r="G61" i="22"/>
  <c r="G58" i="22" s="1"/>
  <c r="H47" i="22"/>
  <c r="H55" i="22"/>
  <c r="H54" i="22"/>
  <c r="H46" i="22"/>
  <c r="H48" i="22"/>
  <c r="H56" i="22"/>
  <c r="H45" i="23"/>
  <c r="H53" i="23"/>
  <c r="H43" i="23"/>
  <c r="H51" i="23"/>
  <c r="H39" i="9"/>
  <c r="H44" i="23"/>
  <c r="H52" i="23"/>
  <c r="H38" i="9"/>
  <c r="H34" i="13"/>
  <c r="H39" i="13"/>
  <c r="G56" i="23"/>
  <c r="G58" i="23"/>
  <c r="G55" i="23" s="1"/>
  <c r="H45" i="22"/>
  <c r="H53" i="22"/>
  <c r="H33" i="9"/>
  <c r="H34" i="9"/>
  <c r="G41" i="9"/>
  <c r="G43" i="9"/>
  <c r="G40" i="9" s="1"/>
  <c r="H68" i="24"/>
  <c r="H65" i="24" s="1"/>
  <c r="H66" i="24"/>
  <c r="J56" i="24"/>
  <c r="G41" i="13"/>
  <c r="G43" i="13"/>
  <c r="G40" i="13" s="1"/>
  <c r="H46" i="23"/>
  <c r="H54" i="23"/>
  <c r="H38" i="13"/>
  <c r="H33" i="13"/>
  <c r="J52" i="24"/>
  <c r="G59" i="22"/>
  <c r="H57" i="22"/>
  <c r="H49" i="22"/>
  <c r="C47" i="16"/>
  <c r="D47" i="16" s="1"/>
  <c r="C46" i="16"/>
  <c r="D46" i="16" s="1"/>
  <c r="M42" i="16"/>
  <c r="F15" i="16"/>
  <c r="G15" i="16" s="1"/>
  <c r="H15" i="16" s="1"/>
  <c r="I15" i="16" s="1"/>
  <c r="J15" i="16" s="1"/>
  <c r="K15" i="16" s="1"/>
  <c r="L15" i="16" s="1"/>
  <c r="M15" i="16" s="1"/>
  <c r="I5" i="16"/>
  <c r="I4" i="16"/>
  <c r="A1" i="16"/>
  <c r="C57" i="15"/>
  <c r="L55" i="15"/>
  <c r="C48" i="15"/>
  <c r="C43" i="15"/>
  <c r="C47" i="15" s="1"/>
  <c r="L24" i="15"/>
  <c r="L44" i="15" s="1"/>
  <c r="L23" i="15"/>
  <c r="I43" i="15"/>
  <c r="H43" i="15"/>
  <c r="G43" i="15"/>
  <c r="F43" i="15"/>
  <c r="E43" i="15"/>
  <c r="D43" i="15"/>
  <c r="H5" i="15"/>
  <c r="H4" i="15"/>
  <c r="E4" i="15"/>
  <c r="A1" i="15"/>
  <c r="J54" i="24" l="1"/>
  <c r="J62" i="24"/>
  <c r="J55" i="24"/>
  <c r="J63" i="24"/>
  <c r="J53" i="24"/>
  <c r="J61" i="24"/>
  <c r="H61" i="22"/>
  <c r="H58" i="22" s="1"/>
  <c r="I39" i="9"/>
  <c r="I38" i="9"/>
  <c r="I44" i="23"/>
  <c r="I52" i="23"/>
  <c r="I43" i="23"/>
  <c r="I51" i="23"/>
  <c r="I45" i="23"/>
  <c r="I53" i="23"/>
  <c r="H41" i="9"/>
  <c r="H43" i="9"/>
  <c r="H40" i="9" s="1"/>
  <c r="I46" i="23"/>
  <c r="I54" i="23"/>
  <c r="H59" i="22"/>
  <c r="K58" i="24"/>
  <c r="J48" i="23"/>
  <c r="J36" i="9"/>
  <c r="K49" i="16"/>
  <c r="J36" i="13"/>
  <c r="J51" i="22"/>
  <c r="I66" i="24"/>
  <c r="I68" i="24"/>
  <c r="I65" i="24" s="1"/>
  <c r="I33" i="13"/>
  <c r="I38" i="13"/>
  <c r="I34" i="9"/>
  <c r="H41" i="13"/>
  <c r="H43" i="13"/>
  <c r="H40" i="13" s="1"/>
  <c r="I33" i="9"/>
  <c r="I34" i="13"/>
  <c r="I39" i="13"/>
  <c r="H6" i="15"/>
  <c r="D48" i="15"/>
  <c r="D53" i="15"/>
  <c r="D52" i="15"/>
  <c r="D47" i="15"/>
  <c r="I6" i="16"/>
  <c r="E6" i="15"/>
  <c r="D4" i="15"/>
  <c r="L43" i="15"/>
  <c r="E4" i="16"/>
  <c r="J39" i="9" l="1"/>
  <c r="J45" i="23"/>
  <c r="J53" i="23"/>
  <c r="J43" i="23"/>
  <c r="J51" i="23"/>
  <c r="J44" i="23"/>
  <c r="J52" i="23"/>
  <c r="J39" i="13"/>
  <c r="J38" i="9"/>
  <c r="J34" i="13"/>
  <c r="J33" i="9"/>
  <c r="J34" i="9"/>
  <c r="J46" i="23"/>
  <c r="J54" i="23"/>
  <c r="I43" i="9"/>
  <c r="I40" i="9" s="1"/>
  <c r="I41" i="9"/>
  <c r="I43" i="13"/>
  <c r="I40" i="13" s="1"/>
  <c r="I41" i="13"/>
  <c r="J33" i="13"/>
  <c r="J38" i="13"/>
  <c r="J66" i="24"/>
  <c r="J68" i="24"/>
  <c r="J65" i="24" s="1"/>
  <c r="D6" i="15"/>
  <c r="E48" i="15"/>
  <c r="E53" i="15"/>
  <c r="E47" i="15"/>
  <c r="E52" i="15"/>
  <c r="E6" i="16"/>
  <c r="D55" i="15"/>
  <c r="D57" i="15"/>
  <c r="D54" i="15" s="1"/>
  <c r="J41" i="9" l="1"/>
  <c r="K34" i="13"/>
  <c r="K44" i="23"/>
  <c r="K43" i="23"/>
  <c r="K45" i="23"/>
  <c r="J43" i="13"/>
  <c r="J40" i="13" s="1"/>
  <c r="K34" i="9"/>
  <c r="K33" i="13"/>
  <c r="J43" i="9"/>
  <c r="J40" i="9" s="1"/>
  <c r="J41" i="13"/>
  <c r="K33" i="9"/>
  <c r="K46" i="23"/>
  <c r="F48" i="15"/>
  <c r="F53" i="15"/>
  <c r="F52" i="15"/>
  <c r="F47" i="15"/>
  <c r="E55" i="15"/>
  <c r="E57" i="15"/>
  <c r="E54" i="15" s="1"/>
  <c r="G53" i="15" l="1"/>
  <c r="G48" i="15"/>
  <c r="G47" i="15"/>
  <c r="G52" i="15"/>
  <c r="F57" i="15"/>
  <c r="F54" i="15" s="1"/>
  <c r="F55" i="15"/>
  <c r="G55" i="15" l="1"/>
  <c r="H47" i="15"/>
  <c r="H48" i="15"/>
  <c r="H53" i="15"/>
  <c r="H52" i="15"/>
  <c r="G57" i="15"/>
  <c r="G54" i="15" s="1"/>
  <c r="I48" i="15" l="1"/>
  <c r="I53" i="15"/>
  <c r="I47" i="15"/>
  <c r="I52" i="15"/>
  <c r="H57" i="15"/>
  <c r="H54" i="15" s="1"/>
  <c r="H55" i="15"/>
  <c r="L58" i="24" l="1"/>
  <c r="K48" i="23"/>
  <c r="K36" i="13"/>
  <c r="K38" i="13" s="1"/>
  <c r="K36" i="9"/>
  <c r="K51" i="22"/>
  <c r="L49" i="16"/>
  <c r="I57" i="15"/>
  <c r="K52" i="23" l="1"/>
  <c r="K51" i="23"/>
  <c r="K53" i="23"/>
  <c r="K39" i="9"/>
  <c r="L39" i="9" s="1"/>
  <c r="K38" i="9"/>
  <c r="L38" i="9" s="1"/>
  <c r="K39" i="13"/>
  <c r="L34" i="13" s="1"/>
  <c r="K54" i="23"/>
  <c r="H4" i="13"/>
  <c r="L33" i="13"/>
  <c r="L38" i="13"/>
  <c r="I54" i="15"/>
  <c r="I55" i="15"/>
  <c r="H5" i="23" l="1"/>
  <c r="H5" i="13"/>
  <c r="I5" i="13" s="1"/>
  <c r="I8" i="13" s="1"/>
  <c r="V23" i="5" s="1"/>
  <c r="E6" i="20" s="1"/>
  <c r="E24" i="20" s="1"/>
  <c r="K43" i="13"/>
  <c r="K40" i="13" s="1"/>
  <c r="K41" i="13"/>
  <c r="H5" i="9"/>
  <c r="I5" i="9" s="1"/>
  <c r="I11" i="9" s="1"/>
  <c r="H4" i="9"/>
  <c r="K41" i="9"/>
  <c r="L34" i="9"/>
  <c r="L39" i="13"/>
  <c r="L41" i="13" s="1"/>
  <c r="L45" i="23"/>
  <c r="L53" i="23"/>
  <c r="L51" i="23"/>
  <c r="L43" i="23"/>
  <c r="K43" i="9"/>
  <c r="L43" i="9" s="1"/>
  <c r="L52" i="23"/>
  <c r="L44" i="23"/>
  <c r="L33" i="9"/>
  <c r="I5" i="23"/>
  <c r="L54" i="23"/>
  <c r="L46" i="23"/>
  <c r="L41" i="9"/>
  <c r="J5" i="13"/>
  <c r="I4" i="13"/>
  <c r="H6" i="13" l="1"/>
  <c r="I10" i="13"/>
  <c r="I9" i="13"/>
  <c r="I11" i="13"/>
  <c r="I12" i="13" s="1"/>
  <c r="L43" i="13"/>
  <c r="L40" i="13" s="1"/>
  <c r="J5" i="23"/>
  <c r="I8" i="9"/>
  <c r="J5" i="9"/>
  <c r="H6" i="9"/>
  <c r="I9" i="9"/>
  <c r="I4" i="9"/>
  <c r="J4" i="9" s="1"/>
  <c r="I10" i="9"/>
  <c r="L40" i="9"/>
  <c r="K40" i="9"/>
  <c r="I8" i="23"/>
  <c r="U23" i="5" s="1"/>
  <c r="I9" i="23"/>
  <c r="I11" i="23"/>
  <c r="U26" i="5" s="1"/>
  <c r="I10" i="23"/>
  <c r="F25" i="5"/>
  <c r="F7" i="5" s="1"/>
  <c r="V25" i="5"/>
  <c r="E8" i="20" s="1"/>
  <c r="E26" i="20" s="1"/>
  <c r="F24" i="5"/>
  <c r="F6" i="5" s="1"/>
  <c r="V24" i="5"/>
  <c r="E7" i="20" s="1"/>
  <c r="E25" i="20" s="1"/>
  <c r="F23" i="5"/>
  <c r="I6" i="13"/>
  <c r="F22" i="5"/>
  <c r="J4" i="13"/>
  <c r="F26" i="5" l="1"/>
  <c r="F8" i="5" s="1"/>
  <c r="V26" i="5"/>
  <c r="E9" i="20" s="1"/>
  <c r="E27" i="20" s="1"/>
  <c r="I6" i="9"/>
  <c r="I12" i="9"/>
  <c r="E24" i="5"/>
  <c r="E6" i="5" s="1"/>
  <c r="U24" i="5"/>
  <c r="E26" i="5"/>
  <c r="L8" i="5" s="1"/>
  <c r="E25" i="5"/>
  <c r="E7" i="5" s="1"/>
  <c r="U25" i="5"/>
  <c r="E23" i="5"/>
  <c r="I12" i="23"/>
  <c r="M7" i="5"/>
  <c r="E32" i="20" s="1"/>
  <c r="M8" i="5"/>
  <c r="E33" i="20" s="1"/>
  <c r="L7" i="5" l="1"/>
  <c r="E8" i="5"/>
  <c r="A1" i="5"/>
  <c r="A1" i="12"/>
  <c r="A2" i="12" l="1"/>
  <c r="L6" i="5" l="1"/>
  <c r="M6" i="5"/>
  <c r="E31" i="20" s="1"/>
  <c r="G4" i="5" l="1"/>
  <c r="Z13" i="5" l="1"/>
  <c r="AA22" i="5"/>
  <c r="AA13" i="5"/>
  <c r="E14" i="20" s="1"/>
  <c r="Z22" i="5"/>
  <c r="V22" i="5"/>
  <c r="D14" i="20" l="1"/>
  <c r="D9" i="10" l="1"/>
  <c r="V13" i="5"/>
  <c r="E5" i="20" s="1"/>
  <c r="E23" i="20" s="1"/>
  <c r="F13" i="5" l="1"/>
  <c r="D10" i="10"/>
  <c r="D11" i="10" s="1"/>
  <c r="F5" i="5"/>
  <c r="M5" i="5"/>
  <c r="E30" i="20" l="1"/>
  <c r="F4" i="5"/>
  <c r="M4" i="5"/>
  <c r="E29" i="20" l="1"/>
  <c r="K24" i="15"/>
  <c r="K44" i="15" s="1"/>
  <c r="J23" i="15" l="1"/>
  <c r="J43" i="15" l="1"/>
  <c r="J47" i="15" l="1"/>
  <c r="J52" i="15"/>
  <c r="K23" i="15"/>
  <c r="K43" i="15" l="1"/>
  <c r="K47" i="15" s="1"/>
  <c r="F4" i="15"/>
  <c r="K52" i="15" l="1"/>
  <c r="L47" i="15" s="1"/>
  <c r="G4" i="15"/>
  <c r="I4" i="15" l="1"/>
  <c r="J4" i="15" s="1"/>
  <c r="S22" i="5" s="1"/>
  <c r="K4" i="15" l="1"/>
  <c r="C5" i="4" l="1"/>
  <c r="C7" i="4" l="1"/>
  <c r="C8" i="4" s="1"/>
  <c r="C11" i="4"/>
  <c r="C13" i="4"/>
  <c r="C12" i="4"/>
  <c r="C10" i="4"/>
  <c r="S13" i="5"/>
  <c r="B5" i="20" l="1"/>
  <c r="S16" i="5"/>
  <c r="S14" i="5"/>
  <c r="S17" i="5"/>
  <c r="S15" i="5"/>
  <c r="C14" i="4"/>
  <c r="J24" i="15" l="1"/>
  <c r="J44" i="15" s="1"/>
  <c r="F5" i="15" l="1"/>
  <c r="G5" i="15" l="1"/>
  <c r="G6" i="15" s="1"/>
  <c r="F6" i="15"/>
  <c r="J48" i="15"/>
  <c r="J53" i="15"/>
  <c r="J55" i="15" l="1"/>
  <c r="J57" i="15"/>
  <c r="J54" i="15" s="1"/>
  <c r="K53" i="15"/>
  <c r="K48" i="15"/>
  <c r="L48" i="15" l="1"/>
  <c r="K55" i="15"/>
  <c r="K57" i="15"/>
  <c r="L57" i="15" s="1"/>
  <c r="L54" i="15" s="1"/>
  <c r="I5" i="15"/>
  <c r="J5" i="15" l="1"/>
  <c r="I6" i="15"/>
  <c r="K54" i="15"/>
  <c r="J9" i="15" l="1"/>
  <c r="J10" i="15"/>
  <c r="S25" i="5" s="1"/>
  <c r="J8" i="15"/>
  <c r="S23" i="5" s="1"/>
  <c r="J11" i="15"/>
  <c r="J6" i="15"/>
  <c r="K5" i="15"/>
  <c r="S24" i="5" l="1"/>
  <c r="B7" i="20" s="1"/>
  <c r="S26" i="5"/>
  <c r="J12" i="15"/>
  <c r="B8" i="20" l="1"/>
  <c r="B6" i="20"/>
  <c r="B9" i="20"/>
  <c r="E8" i="8" l="1"/>
  <c r="D8" i="8" l="1"/>
  <c r="E9" i="8" l="1"/>
  <c r="E10" i="8" s="1"/>
  <c r="D9" i="8" l="1"/>
  <c r="D10" i="8" s="1"/>
  <c r="C8" i="8" l="1"/>
  <c r="F8" i="8" l="1"/>
  <c r="G8" i="8" s="1"/>
  <c r="U13" i="5" l="1"/>
  <c r="K26" i="23"/>
  <c r="I26" i="23"/>
  <c r="H26" i="23"/>
  <c r="J26" i="23"/>
  <c r="C9" i="8"/>
  <c r="J16" i="23" l="1"/>
  <c r="J35" i="23"/>
  <c r="I16" i="23"/>
  <c r="I35" i="23"/>
  <c r="K16" i="23"/>
  <c r="K35" i="23"/>
  <c r="H35" i="23"/>
  <c r="E4" i="23"/>
  <c r="H16" i="23"/>
  <c r="F9" i="8"/>
  <c r="G9" i="8" s="1"/>
  <c r="C10" i="8"/>
  <c r="E13" i="5"/>
  <c r="H42" i="23" l="1"/>
  <c r="H50" i="23"/>
  <c r="H56" i="23" s="1"/>
  <c r="E6" i="23"/>
  <c r="F4" i="23"/>
  <c r="F10" i="8"/>
  <c r="I50" i="23" l="1"/>
  <c r="I42" i="23"/>
  <c r="F6" i="23"/>
  <c r="H58" i="23"/>
  <c r="H55" i="23" s="1"/>
  <c r="G10" i="8"/>
  <c r="J42" i="23" l="1"/>
  <c r="J50" i="23"/>
  <c r="I56" i="23"/>
  <c r="I58" i="23"/>
  <c r="I55" i="23" s="1"/>
  <c r="L5" i="5"/>
  <c r="E5" i="5"/>
  <c r="J56" i="23" l="1"/>
  <c r="J58" i="23"/>
  <c r="J55" i="23" s="1"/>
  <c r="K42" i="23"/>
  <c r="K50" i="23"/>
  <c r="H4" i="23" s="1"/>
  <c r="H6" i="23" l="1"/>
  <c r="I4" i="23"/>
  <c r="U22" i="5" s="1"/>
  <c r="K56" i="23"/>
  <c r="K58" i="23"/>
  <c r="K55" i="23" s="1"/>
  <c r="L42" i="23"/>
  <c r="J4" i="23" s="1"/>
  <c r="L50" i="23"/>
  <c r="I6" i="23" l="1"/>
  <c r="E22" i="5"/>
  <c r="L58" i="23"/>
  <c r="L55" i="23" s="1"/>
  <c r="L56" i="23"/>
  <c r="L4" i="5" l="1"/>
  <c r="E4" i="5"/>
  <c r="Q30" i="5" l="1"/>
  <c r="D7" i="20"/>
  <c r="Q32" i="5"/>
  <c r="D9" i="20"/>
  <c r="Q31" i="5"/>
  <c r="D8" i="20"/>
  <c r="Q28" i="5" l="1"/>
  <c r="D25" i="20"/>
  <c r="D27" i="20"/>
  <c r="D5" i="20"/>
  <c r="D26" i="20"/>
  <c r="D32" i="20" s="1"/>
  <c r="D31" i="20" l="1"/>
  <c r="D23" i="20"/>
  <c r="D33" i="20"/>
  <c r="D29" i="20" l="1"/>
  <c r="Q29" i="5" l="1"/>
  <c r="D6" i="20"/>
  <c r="D24" i="20" l="1"/>
  <c r="D30" i="20" l="1"/>
  <c r="E35" i="16" l="1"/>
  <c r="E28" i="16"/>
  <c r="E37" i="16"/>
  <c r="E30" i="16"/>
  <c r="E36" i="16"/>
  <c r="E29" i="16"/>
  <c r="E27" i="16"/>
  <c r="E26" i="16"/>
  <c r="E34" i="16" l="1"/>
  <c r="E33" i="16"/>
  <c r="F27" i="16"/>
  <c r="F36" i="16"/>
  <c r="F29" i="16"/>
  <c r="F35" i="16"/>
  <c r="F28" i="16"/>
  <c r="F37" i="16"/>
  <c r="F30" i="16"/>
  <c r="F26" i="16"/>
  <c r="E16" i="16" l="1"/>
  <c r="E42" i="16"/>
  <c r="E43" i="16"/>
  <c r="F33" i="16"/>
  <c r="G36" i="16"/>
  <c r="G29" i="16"/>
  <c r="H30" i="16"/>
  <c r="H29" i="16"/>
  <c r="G27" i="16"/>
  <c r="G37" i="16"/>
  <c r="G30" i="16"/>
  <c r="G35" i="16"/>
  <c r="G28" i="16"/>
  <c r="H28" i="16"/>
  <c r="G26" i="16"/>
  <c r="F42" i="16" l="1"/>
  <c r="E51" i="16"/>
  <c r="E46" i="16"/>
  <c r="E52" i="16"/>
  <c r="E47" i="16"/>
  <c r="F34" i="16"/>
  <c r="H35" i="16"/>
  <c r="H36" i="16"/>
  <c r="G33" i="16"/>
  <c r="H37" i="16"/>
  <c r="I28" i="16"/>
  <c r="H27" i="16"/>
  <c r="I29" i="16"/>
  <c r="I30" i="16"/>
  <c r="H26" i="16"/>
  <c r="E54" i="16" l="1"/>
  <c r="F43" i="16"/>
  <c r="F47" i="16" s="1"/>
  <c r="F16" i="16"/>
  <c r="E56" i="16"/>
  <c r="E53" i="16" s="1"/>
  <c r="G42" i="16"/>
  <c r="F51" i="16"/>
  <c r="F46" i="16"/>
  <c r="G34" i="16"/>
  <c r="G43" i="16" s="1"/>
  <c r="I36" i="16"/>
  <c r="H34" i="16"/>
  <c r="H43" i="16" s="1"/>
  <c r="I37" i="16"/>
  <c r="I35" i="16"/>
  <c r="H33" i="16"/>
  <c r="J30" i="16"/>
  <c r="I27" i="16"/>
  <c r="I26" i="16"/>
  <c r="J26" i="16"/>
  <c r="F52" i="16" l="1"/>
  <c r="G52" i="16" s="1"/>
  <c r="G16" i="16"/>
  <c r="H16" i="16"/>
  <c r="H42" i="16"/>
  <c r="G46" i="16"/>
  <c r="G51" i="16"/>
  <c r="J37" i="16"/>
  <c r="J35" i="16"/>
  <c r="I34" i="16"/>
  <c r="I43" i="16" s="1"/>
  <c r="J36" i="16"/>
  <c r="K28" i="16"/>
  <c r="J29" i="16"/>
  <c r="J28" i="16"/>
  <c r="J27" i="16"/>
  <c r="K27" i="16"/>
  <c r="K26" i="16"/>
  <c r="F54" i="16" l="1"/>
  <c r="F56" i="16"/>
  <c r="F53" i="16" s="1"/>
  <c r="G47" i="16"/>
  <c r="H47" i="16" s="1"/>
  <c r="G54" i="16"/>
  <c r="H51" i="16"/>
  <c r="H46" i="16"/>
  <c r="H52" i="16"/>
  <c r="G56" i="16"/>
  <c r="G53" i="16" s="1"/>
  <c r="K37" i="16"/>
  <c r="K36" i="16"/>
  <c r="J34" i="16"/>
  <c r="J43" i="16" s="1"/>
  <c r="K29" i="16"/>
  <c r="K30" i="16"/>
  <c r="I33" i="16"/>
  <c r="H54" i="16" l="1"/>
  <c r="K43" i="16"/>
  <c r="I52" i="16"/>
  <c r="I47" i="16"/>
  <c r="H56" i="16"/>
  <c r="H53" i="16" s="1"/>
  <c r="I16" i="16"/>
  <c r="I42" i="16"/>
  <c r="I51" i="16" s="1"/>
  <c r="L27" i="16"/>
  <c r="L30" i="16"/>
  <c r="N30" i="16" s="1"/>
  <c r="L36" i="16"/>
  <c r="L29" i="16"/>
  <c r="N29" i="16" s="1"/>
  <c r="L28" i="16"/>
  <c r="L26" i="16"/>
  <c r="J33" i="16"/>
  <c r="I46" i="16" l="1"/>
  <c r="I56" i="16"/>
  <c r="I54" i="16"/>
  <c r="J16" i="16"/>
  <c r="J42" i="16"/>
  <c r="J47" i="16"/>
  <c r="J52" i="16"/>
  <c r="N28" i="16"/>
  <c r="N27" i="16"/>
  <c r="N26" i="16"/>
  <c r="F4" i="16" s="1"/>
  <c r="L37" i="16"/>
  <c r="J46" i="16" l="1"/>
  <c r="F5" i="16"/>
  <c r="F6" i="16" s="1"/>
  <c r="I53" i="16"/>
  <c r="J51" i="16"/>
  <c r="J56" i="16" s="1"/>
  <c r="G5" i="16"/>
  <c r="H5" i="16" s="1"/>
  <c r="K16" i="16"/>
  <c r="K42" i="16"/>
  <c r="L43" i="16"/>
  <c r="K47" i="16"/>
  <c r="K52" i="16"/>
  <c r="J53" i="16" l="1"/>
  <c r="K46" i="16"/>
  <c r="J54" i="16"/>
  <c r="K51" i="16"/>
  <c r="L52" i="16"/>
  <c r="J5" i="16" s="1"/>
  <c r="K5" i="16" s="1"/>
  <c r="L47" i="16"/>
  <c r="L16" i="16"/>
  <c r="L42" i="16"/>
  <c r="G4" i="16"/>
  <c r="L46" i="16" l="1"/>
  <c r="K11" i="16"/>
  <c r="T26" i="5" s="1"/>
  <c r="K9" i="16"/>
  <c r="T24" i="5" s="1"/>
  <c r="K10" i="16"/>
  <c r="T25" i="5" s="1"/>
  <c r="K8" i="16"/>
  <c r="H4" i="16"/>
  <c r="G6" i="16"/>
  <c r="K54" i="16"/>
  <c r="L51" i="16"/>
  <c r="M52" i="16"/>
  <c r="M47" i="16"/>
  <c r="L5" i="16" s="1"/>
  <c r="K56" i="16"/>
  <c r="K53" i="16" s="1"/>
  <c r="M46" i="16" l="1"/>
  <c r="L56" i="16"/>
  <c r="L53" i="16" s="1"/>
  <c r="T23" i="5"/>
  <c r="K12" i="16"/>
  <c r="J4" i="16"/>
  <c r="J6" i="16" s="1"/>
  <c r="L54" i="16"/>
  <c r="M51" i="16"/>
  <c r="M54" i="16" s="1"/>
  <c r="H6" i="16"/>
  <c r="M56" i="16" l="1"/>
  <c r="M53" i="16" s="1"/>
  <c r="K4" i="16"/>
  <c r="L4" i="16" s="1"/>
  <c r="K6" i="16" l="1"/>
  <c r="T22" i="5"/>
  <c r="B13" i="12" l="1"/>
  <c r="B11" i="12"/>
  <c r="C13" i="12"/>
  <c r="C12" i="12"/>
  <c r="T16" i="5" s="1"/>
  <c r="B12" i="12"/>
  <c r="B10" i="12"/>
  <c r="B6" i="12"/>
  <c r="C8" i="20" l="1"/>
  <c r="T15" i="5"/>
  <c r="T17" i="5"/>
  <c r="B14" i="12"/>
  <c r="B7" i="12" s="1"/>
  <c r="B8" i="12" s="1"/>
  <c r="T14" i="5" l="1"/>
  <c r="C14" i="12"/>
  <c r="C7" i="12" s="1"/>
  <c r="C9" i="20"/>
  <c r="C7" i="20"/>
  <c r="F8" i="20"/>
  <c r="F7" i="20" l="1"/>
  <c r="F9" i="20"/>
  <c r="C6" i="20"/>
  <c r="F6" i="20" l="1"/>
  <c r="T13" i="5"/>
  <c r="C8" i="12"/>
  <c r="C5" i="20" l="1"/>
  <c r="F5" i="20" l="1"/>
  <c r="J19" i="22" l="1"/>
  <c r="I42" i="22" l="1"/>
  <c r="K19" i="22"/>
  <c r="K42" i="22" s="1"/>
  <c r="J42" i="22"/>
  <c r="J38" i="22"/>
  <c r="J18" i="22"/>
  <c r="O19" i="22" l="1"/>
  <c r="X17" i="5"/>
  <c r="C17" i="5"/>
  <c r="X13" i="5"/>
  <c r="C13" i="5"/>
  <c r="K38" i="22"/>
  <c r="K41" i="22"/>
  <c r="I41" i="22"/>
  <c r="F4" i="22"/>
  <c r="I38" i="22"/>
  <c r="J41" i="22"/>
  <c r="O15" i="22"/>
  <c r="F8" i="22"/>
  <c r="G8" i="22" s="1"/>
  <c r="I57" i="22"/>
  <c r="I49" i="22"/>
  <c r="F7" i="22" l="1"/>
  <c r="G7" i="22" s="1"/>
  <c r="O18" i="22"/>
  <c r="I40" i="22"/>
  <c r="I53" i="22"/>
  <c r="I45" i="22"/>
  <c r="J49" i="22"/>
  <c r="J57" i="22"/>
  <c r="G4" i="22"/>
  <c r="I56" i="22"/>
  <c r="I48" i="22"/>
  <c r="J40" i="22"/>
  <c r="C16" i="5"/>
  <c r="X16" i="5"/>
  <c r="K40" i="22"/>
  <c r="J56" i="22" l="1"/>
  <c r="J48" i="22"/>
  <c r="I39" i="22"/>
  <c r="K49" i="22"/>
  <c r="K57" i="22"/>
  <c r="O57" i="22" s="1"/>
  <c r="F5" i="22"/>
  <c r="J53" i="22"/>
  <c r="J45" i="22"/>
  <c r="J39" i="22"/>
  <c r="F6" i="22"/>
  <c r="G6" i="22" s="1"/>
  <c r="O17" i="22"/>
  <c r="I47" i="22"/>
  <c r="I55" i="22"/>
  <c r="O16" i="22" l="1"/>
  <c r="G5" i="22"/>
  <c r="G9" i="22" s="1"/>
  <c r="F9" i="22"/>
  <c r="K45" i="22"/>
  <c r="K53" i="22"/>
  <c r="I4" i="22" s="1"/>
  <c r="I46" i="22"/>
  <c r="I54" i="22"/>
  <c r="X14" i="5"/>
  <c r="C14" i="5"/>
  <c r="B10" i="18"/>
  <c r="J55" i="22"/>
  <c r="J47" i="22"/>
  <c r="K39" i="22"/>
  <c r="K48" i="22"/>
  <c r="K56" i="22"/>
  <c r="I7" i="22" s="1"/>
  <c r="J7" i="22" s="1"/>
  <c r="L49" i="22"/>
  <c r="C15" i="5"/>
  <c r="X15" i="5"/>
  <c r="I8" i="22"/>
  <c r="J8" i="22" s="1"/>
  <c r="O53" i="22" l="1"/>
  <c r="K55" i="22"/>
  <c r="O55" i="22" s="1"/>
  <c r="K47" i="22"/>
  <c r="J4" i="22"/>
  <c r="I61" i="22"/>
  <c r="I58" i="22" s="1"/>
  <c r="I59" i="22"/>
  <c r="O56" i="22"/>
  <c r="J46" i="22"/>
  <c r="J54" i="22"/>
  <c r="X25" i="5"/>
  <c r="C25" i="5"/>
  <c r="J7" i="5" s="1"/>
  <c r="X26" i="5"/>
  <c r="C26" i="5"/>
  <c r="K8" i="22"/>
  <c r="L48" i="22"/>
  <c r="K7" i="22" s="1"/>
  <c r="L45" i="22"/>
  <c r="I6" i="22" l="1"/>
  <c r="J6" i="22" s="1"/>
  <c r="L47" i="22"/>
  <c r="K6" i="22" s="1"/>
  <c r="B17" i="20"/>
  <c r="B26" i="20" s="1"/>
  <c r="O31" i="5"/>
  <c r="C7" i="5"/>
  <c r="J61" i="22"/>
  <c r="J58" i="22" s="1"/>
  <c r="J59" i="22"/>
  <c r="J8" i="5"/>
  <c r="O32" i="5" s="1"/>
  <c r="C8" i="5"/>
  <c r="K46" i="22"/>
  <c r="K54" i="22"/>
  <c r="K4" i="22"/>
  <c r="X22" i="5"/>
  <c r="C22" i="5"/>
  <c r="C24" i="5"/>
  <c r="X24" i="5"/>
  <c r="B18" i="20"/>
  <c r="B27" i="20" s="1"/>
  <c r="B33" i="20" l="1"/>
  <c r="B14" i="20"/>
  <c r="B23" i="20" s="1"/>
  <c r="K59" i="22"/>
  <c r="K61" i="22"/>
  <c r="L61" i="22" s="1"/>
  <c r="O54" i="22"/>
  <c r="B16" i="20"/>
  <c r="B25" i="20" s="1"/>
  <c r="L46" i="22"/>
  <c r="C6" i="5"/>
  <c r="J6" i="5"/>
  <c r="O30" i="5" s="1"/>
  <c r="B32" i="20"/>
  <c r="J4" i="5"/>
  <c r="O28" i="5" s="1"/>
  <c r="C4" i="5"/>
  <c r="I5" i="22"/>
  <c r="B31" i="20" l="1"/>
  <c r="L58" i="22"/>
  <c r="J5" i="22"/>
  <c r="K5" i="22" s="1"/>
  <c r="I9" i="22"/>
  <c r="K58" i="22"/>
  <c r="B29" i="20"/>
  <c r="C23" i="5" l="1"/>
  <c r="J5" i="5" s="1"/>
  <c r="X23" i="5"/>
  <c r="J9" i="22"/>
  <c r="B15" i="20" l="1"/>
  <c r="B24" i="20" s="1"/>
  <c r="C5" i="5"/>
  <c r="O29" i="5"/>
  <c r="B30" i="20" l="1"/>
  <c r="K31" i="24" l="1"/>
  <c r="K32" i="24"/>
  <c r="K29" i="24"/>
  <c r="K33" i="24"/>
  <c r="L31" i="24" l="1"/>
  <c r="N31" i="24" s="1"/>
  <c r="F6" i="24" s="1"/>
  <c r="L32" i="24"/>
  <c r="N32" i="24" s="1"/>
  <c r="F7" i="24" s="1"/>
  <c r="L29" i="24"/>
  <c r="N29" i="24" s="1"/>
  <c r="F4" i="24" s="1"/>
  <c r="L33" i="24"/>
  <c r="N33" i="24" s="1"/>
  <c r="F8" i="24" s="1"/>
  <c r="K40" i="24"/>
  <c r="K30" i="24"/>
  <c r="K38" i="24"/>
  <c r="K39" i="24"/>
  <c r="K48" i="24" l="1"/>
  <c r="K47" i="24"/>
  <c r="K49" i="24"/>
  <c r="K36" i="24"/>
  <c r="L36" i="24"/>
  <c r="L40" i="24"/>
  <c r="L49" i="24" s="1"/>
  <c r="L39" i="24"/>
  <c r="L48" i="24" s="1"/>
  <c r="L30" i="24"/>
  <c r="N30" i="24" s="1"/>
  <c r="F5" i="24" s="1"/>
  <c r="F9" i="24" s="1"/>
  <c r="L38" i="24" l="1"/>
  <c r="G8" i="24"/>
  <c r="H8" i="24" s="1"/>
  <c r="K64" i="24"/>
  <c r="K56" i="24"/>
  <c r="L45" i="24"/>
  <c r="K62" i="24"/>
  <c r="K54" i="24"/>
  <c r="G4" i="24"/>
  <c r="K45" i="24"/>
  <c r="G7" i="24"/>
  <c r="H7" i="24" s="1"/>
  <c r="K63" i="24"/>
  <c r="K55" i="24"/>
  <c r="K37" i="24"/>
  <c r="L47" i="24" l="1"/>
  <c r="L62" i="24" s="1"/>
  <c r="G6" i="24"/>
  <c r="H6" i="24" s="1"/>
  <c r="H4" i="24"/>
  <c r="K60" i="24"/>
  <c r="K52" i="24"/>
  <c r="L54" i="24"/>
  <c r="L56" i="24"/>
  <c r="L64" i="24"/>
  <c r="J8" i="24" s="1"/>
  <c r="K8" i="24" s="1"/>
  <c r="K46" i="24"/>
  <c r="L63" i="24"/>
  <c r="J7" i="24" s="1"/>
  <c r="K7" i="24" s="1"/>
  <c r="L55" i="24"/>
  <c r="K19" i="24"/>
  <c r="J6" i="24" l="1"/>
  <c r="K6" i="24" s="1"/>
  <c r="D24" i="5" s="1"/>
  <c r="L37" i="24"/>
  <c r="M55" i="24"/>
  <c r="L7" i="24" s="1"/>
  <c r="K53" i="24"/>
  <c r="K61" i="24"/>
  <c r="K11" i="24"/>
  <c r="K14" i="24"/>
  <c r="K12" i="24"/>
  <c r="Y26" i="5"/>
  <c r="D26" i="5"/>
  <c r="K13" i="24"/>
  <c r="M56" i="24"/>
  <c r="L8" i="24" s="1"/>
  <c r="M64" i="24"/>
  <c r="M54" i="24"/>
  <c r="L6" i="24" s="1"/>
  <c r="Y24" i="5"/>
  <c r="D25" i="5"/>
  <c r="Y25" i="5"/>
  <c r="L52" i="24"/>
  <c r="L60" i="24"/>
  <c r="K68" i="24" l="1"/>
  <c r="G5" i="24"/>
  <c r="L19" i="24"/>
  <c r="L46" i="24"/>
  <c r="L61" i="24" s="1"/>
  <c r="J5" i="24" s="1"/>
  <c r="H5" i="24"/>
  <c r="H9" i="24" s="1"/>
  <c r="G9" i="24"/>
  <c r="K66" i="24"/>
  <c r="K65" i="24"/>
  <c r="J4" i="24"/>
  <c r="K4" i="24" s="1"/>
  <c r="M52" i="24"/>
  <c r="M60" i="24"/>
  <c r="K15" i="24"/>
  <c r="L53" i="24" l="1"/>
  <c r="M53" i="24" s="1"/>
  <c r="J9" i="24"/>
  <c r="L66" i="24"/>
  <c r="Y22" i="5"/>
  <c r="D22" i="5"/>
  <c r="L68" i="24"/>
  <c r="K5" i="24"/>
  <c r="K9" i="24" s="1"/>
  <c r="M66" i="24"/>
  <c r="L4" i="24"/>
  <c r="Y23" i="5" l="1"/>
  <c r="D23" i="5"/>
  <c r="L5" i="24"/>
  <c r="M68" i="24"/>
  <c r="M65" i="24" s="1"/>
  <c r="L65" i="24"/>
  <c r="B9" i="19" l="1"/>
  <c r="B8" i="19"/>
  <c r="B6" i="19"/>
  <c r="B10" i="19"/>
  <c r="C10" i="19" l="1"/>
  <c r="B7" i="19"/>
  <c r="B11" i="19" s="1"/>
  <c r="C6" i="19"/>
  <c r="C9" i="19" l="1"/>
  <c r="Y16" i="5" s="1"/>
  <c r="D13" i="5"/>
  <c r="Y13" i="5"/>
  <c r="D17" i="5"/>
  <c r="Y17" i="5"/>
  <c r="C8" i="19"/>
  <c r="D16" i="5" l="1"/>
  <c r="D7" i="5" s="1"/>
  <c r="H7" i="5" s="1"/>
  <c r="C18" i="20"/>
  <c r="AB17" i="5"/>
  <c r="D8" i="5"/>
  <c r="H8" i="5" s="1"/>
  <c r="K8" i="5"/>
  <c r="P32" i="5" s="1"/>
  <c r="AB13" i="5"/>
  <c r="C14" i="20"/>
  <c r="Y15" i="5"/>
  <c r="D15" i="5"/>
  <c r="K4" i="5"/>
  <c r="P28" i="5" s="1"/>
  <c r="D4" i="5"/>
  <c r="H4" i="5" s="1"/>
  <c r="C17" i="20"/>
  <c r="AB16" i="5"/>
  <c r="C7" i="19"/>
  <c r="K7" i="5" l="1"/>
  <c r="P31" i="5" s="1"/>
  <c r="F14" i="20"/>
  <c r="C23" i="20"/>
  <c r="D6" i="5"/>
  <c r="H6" i="5" s="1"/>
  <c r="K6" i="5"/>
  <c r="P30" i="5" s="1"/>
  <c r="Y14" i="5"/>
  <c r="D14" i="5"/>
  <c r="C11" i="19"/>
  <c r="C16" i="20"/>
  <c r="AB15" i="5"/>
  <c r="F18" i="20"/>
  <c r="C27" i="20"/>
  <c r="C26" i="20"/>
  <c r="F17" i="20"/>
  <c r="F16" i="20" l="1"/>
  <c r="C25" i="20"/>
  <c r="F26" i="20"/>
  <c r="G26" i="20" s="1"/>
  <c r="C32" i="20"/>
  <c r="D5" i="5"/>
  <c r="H5" i="5" s="1"/>
  <c r="K5" i="5"/>
  <c r="P29" i="5" s="1"/>
  <c r="C33" i="20"/>
  <c r="F27" i="20"/>
  <c r="G27" i="20" s="1"/>
  <c r="C15" i="20"/>
  <c r="AB14" i="5"/>
  <c r="C29" i="20"/>
  <c r="F23" i="20"/>
  <c r="G23" i="20" s="1"/>
  <c r="C24" i="20" l="1"/>
  <c r="F15" i="20"/>
  <c r="C31" i="20"/>
  <c r="F25" i="20"/>
  <c r="G25" i="20" s="1"/>
  <c r="F24" i="20" l="1"/>
  <c r="G24" i="20" s="1"/>
  <c r="C30" i="20"/>
</calcChain>
</file>

<file path=xl/sharedStrings.xml><?xml version="1.0" encoding="utf-8"?>
<sst xmlns="http://schemas.openxmlformats.org/spreadsheetml/2006/main" count="654" uniqueCount="213">
  <si>
    <t>Low Income</t>
  </si>
  <si>
    <t>Common/General</t>
  </si>
  <si>
    <t>Allocated Program Costs</t>
  </si>
  <si>
    <t>Over/(Under)</t>
  </si>
  <si>
    <t>PCR</t>
  </si>
  <si>
    <t>Allocations</t>
  </si>
  <si>
    <t>Total</t>
  </si>
  <si>
    <t>PPC</t>
  </si>
  <si>
    <t>Service Class</t>
  </si>
  <si>
    <t>FORECASTED</t>
  </si>
  <si>
    <t>TDR</t>
  </si>
  <si>
    <t>Interest</t>
  </si>
  <si>
    <t>CHECK</t>
  </si>
  <si>
    <t>INPUTS</t>
  </si>
  <si>
    <t>Starting Balance</t>
  </si>
  <si>
    <t>Program Cost Rate</t>
  </si>
  <si>
    <t>4. Total Interest</t>
  </si>
  <si>
    <t>5. Total Interest</t>
  </si>
  <si>
    <t>PTD</t>
  </si>
  <si>
    <t>OA</t>
  </si>
  <si>
    <t>OAR</t>
  </si>
  <si>
    <t>NPC</t>
  </si>
  <si>
    <t>NTD</t>
  </si>
  <si>
    <t>NOA</t>
  </si>
  <si>
    <t>cumulative check</t>
  </si>
  <si>
    <t>monthly GL interest check</t>
  </si>
  <si>
    <t>Residential</t>
  </si>
  <si>
    <t>Non-Residential</t>
  </si>
  <si>
    <t>2. PPC</t>
  </si>
  <si>
    <t>Residential/Non-Residential %</t>
  </si>
  <si>
    <t>DSIM($/kWh)</t>
  </si>
  <si>
    <t>2. PTD</t>
  </si>
  <si>
    <t xml:space="preserve">INPUTS </t>
  </si>
  <si>
    <t>4. Total monthly interest - Source: calculated</t>
  </si>
  <si>
    <t>1. Actual/Forecasted Program Costs</t>
  </si>
  <si>
    <t>ACTUAL</t>
  </si>
  <si>
    <t>3. Actual/Forecasted Revenues - Program Costs Only</t>
  </si>
  <si>
    <t>Allocated Actual Program Costs (calculated)</t>
  </si>
  <si>
    <t>Regulatory Asset/(Liability) (calculated)</t>
  </si>
  <si>
    <t>Interest Carrying Cost (calculated)</t>
  </si>
  <si>
    <t>PE (kWh)</t>
  </si>
  <si>
    <t>Defined Terms</t>
  </si>
  <si>
    <t>EP = Effective Period (six months beginning July 2014) and each six month period thereafter</t>
  </si>
  <si>
    <t>PCR = Program Costs Reconciliation for the current EP</t>
  </si>
  <si>
    <t>OA = Ordered Adjustment</t>
  </si>
  <si>
    <t>RP = Recovery Period (six months beginning August 2014) and each six month period thereafter</t>
  </si>
  <si>
    <t>1. PE - Recovery Period Forecasted Billed kWh Sales</t>
  </si>
  <si>
    <t>Billed kWh Sales</t>
  </si>
  <si>
    <t>Billed Revenues</t>
  </si>
  <si>
    <t>2. Actual/Forecasted Billed KWh Sales - Reduced for Opt-Out</t>
  </si>
  <si>
    <t>TDR = Throughput Disincentive Reconciliation in the current EP</t>
  </si>
  <si>
    <t>5. Short-Term Interest Rate</t>
  </si>
  <si>
    <t>6. Current Tariff Rate</t>
  </si>
  <si>
    <t>6. Actual program cost rate component of the tariff rate</t>
  </si>
  <si>
    <t>(Over)/Under (calculated)</t>
  </si>
  <si>
    <t>Cumulative (Over)/Under (calculated)</t>
  </si>
  <si>
    <t>TD</t>
  </si>
  <si>
    <t>Beginning Over/(Under)</t>
  </si>
  <si>
    <t>TD Rate</t>
  </si>
  <si>
    <t>NEO</t>
  </si>
  <si>
    <t>EO</t>
  </si>
  <si>
    <t>EOR</t>
  </si>
  <si>
    <t>Income-Eligible</t>
  </si>
  <si>
    <t>Cycle 2 Program Costs Reconciliation (PCR) Calculation</t>
  </si>
  <si>
    <t>Cycle 2 Throughput Disincentive TD Reconciliation (TDR) Calculation</t>
  </si>
  <si>
    <t>2. Actual Revenues - TD Only</t>
  </si>
  <si>
    <t>1. Actual/Forecasted TD</t>
  </si>
  <si>
    <t>Cycle 2 Projected Program Costs (PPC) Calculation</t>
  </si>
  <si>
    <t>Cycle 2 Projected Throughput Disincentive (PTD) TD Calculation</t>
  </si>
  <si>
    <t>1. Forecasted kWh Sales Impact</t>
  </si>
  <si>
    <t>3. kWh Sales Impact</t>
  </si>
  <si>
    <t>5. Total monthly interest - Source: calculated</t>
  </si>
  <si>
    <t>7. Current Tariff Rate</t>
  </si>
  <si>
    <t>4. Actual/Forecasted TD</t>
  </si>
  <si>
    <t>7. Actual TD rate component of the tariff rate</t>
  </si>
  <si>
    <t>Cumulative kWh Sales Impact</t>
  </si>
  <si>
    <t>EO Rate</t>
  </si>
  <si>
    <t>OA Rate</t>
  </si>
  <si>
    <t>PPC-cycle 1</t>
  </si>
  <si>
    <t>PTD-cycle 1</t>
  </si>
  <si>
    <t>PPC-cycle 2</t>
  </si>
  <si>
    <t>PTD-cycle 2</t>
  </si>
  <si>
    <t>PCR-cycle 1</t>
  </si>
  <si>
    <t>TDR-cycle 1</t>
  </si>
  <si>
    <t>PCR-cycle 2</t>
  </si>
  <si>
    <t>TDR-cycle 2</t>
  </si>
  <si>
    <t>EO-cycle 1</t>
  </si>
  <si>
    <t>EOR-cycle 1</t>
  </si>
  <si>
    <t>1. Ordered Adjustment</t>
  </si>
  <si>
    <t>2. Carrying Costs on OA</t>
  </si>
  <si>
    <t>Cycle 1 Earnings Opportunity Reconciliation (EOR) Calculation</t>
  </si>
  <si>
    <t>1. Actual/Forecasted Earnings Opportunity</t>
  </si>
  <si>
    <t>2. Actual Revenues - EO Only</t>
  </si>
  <si>
    <t>4. Short-Term Interest Rate</t>
  </si>
  <si>
    <t>3. Actual/Forecasted EO Amortization</t>
  </si>
  <si>
    <t>2. Actual Revenues - OA Only</t>
  </si>
  <si>
    <t>1. Actual/Forecasted Ordered Adjustments</t>
  </si>
  <si>
    <t>3. Actual/Forecasted Ordered Adjustments</t>
  </si>
  <si>
    <t>3. Actual/Forecasted EO Amortization - Source:  None</t>
  </si>
  <si>
    <t>Res/Non-Res Allocation</t>
  </si>
  <si>
    <t>2. Carrying Costs on OA - Source: Calculated</t>
  </si>
  <si>
    <t>3. Monthly Short-Term Interest Rate</t>
  </si>
  <si>
    <t>OA-cycle 2</t>
  </si>
  <si>
    <t>OAR-cycle 2</t>
  </si>
  <si>
    <t>1.  Actual monthly EO - Source: None
    Forecasted monthly EO - Source: None</t>
  </si>
  <si>
    <t>6. Actual EO rate component of the tariff rate</t>
  </si>
  <si>
    <t>Cycle 2 Ordered Adjustments Reconciliation (OAR) Calculation</t>
  </si>
  <si>
    <t>Cycle 2 Ordered Adjustment (OA) Calculation</t>
  </si>
  <si>
    <t>1. Ordered Adjustment - None</t>
  </si>
  <si>
    <t>1. Ordered Adjustment - Source: None</t>
  </si>
  <si>
    <t>3. Monthly Short-Term Borrowing Rate - Source: None</t>
  </si>
  <si>
    <t>Cycle 2 Earnings Opportunity (EO) Calculation</t>
  </si>
  <si>
    <t>5. Total Earnings Opportunity plus Carrying Costs</t>
  </si>
  <si>
    <t>1. Total Earnings Opportunity</t>
  </si>
  <si>
    <t>2. EO TD Ex Post Gross Adjustment</t>
  </si>
  <si>
    <t>4. Carrying Costs @ AFUDC Rate</t>
  </si>
  <si>
    <t>EO-cycle 2</t>
  </si>
  <si>
    <t>3. EO TD NTG Adjustment</t>
  </si>
  <si>
    <t>6. Amortization Over 24 Month Recovery Period</t>
  </si>
  <si>
    <t>5. Total Earnings Opportunity plus Carrying Costs - Source: Sum of Lines 1. through 4.</t>
  </si>
  <si>
    <t>EOR-cycle 2</t>
  </si>
  <si>
    <t>Non-Residential SGS</t>
  </si>
  <si>
    <t>Non-Residential MGS</t>
  </si>
  <si>
    <t>Non-Residential LGS</t>
  </si>
  <si>
    <t>Non-Residential LPS</t>
  </si>
  <si>
    <t>Cycle 2 kWh Participation</t>
  </si>
  <si>
    <t>Total Non-Residential</t>
  </si>
  <si>
    <t>Cycle 3 Projected Program Costs (PPC) Calculation</t>
  </si>
  <si>
    <t>Cycle 3 Projected Throughput Disincentive (PTD) TD Calculation</t>
  </si>
  <si>
    <t>3. Cycle 2 kWh Participation</t>
  </si>
  <si>
    <t>1. PPC</t>
  </si>
  <si>
    <t>PPC-cycle 3</t>
  </si>
  <si>
    <t>PTD-cycle 3</t>
  </si>
  <si>
    <t>EO-cycle 3</t>
  </si>
  <si>
    <t>OA-cycle 3</t>
  </si>
  <si>
    <t>PCR-cycle 3</t>
  </si>
  <si>
    <t>TDR-cycle 3</t>
  </si>
  <si>
    <t>EOR-cycle 3</t>
  </si>
  <si>
    <t>OAR-cycle 3</t>
  </si>
  <si>
    <t>7. Cycle 2 kWh Participation</t>
  </si>
  <si>
    <t>6. Short-Term Interest Rate</t>
  </si>
  <si>
    <t>8. Cycle 2 kWh Participation</t>
  </si>
  <si>
    <t>6. Amortization Over 24 Month Recovery Period - Source: Line 5 divided by 2 (12 month recovery periods)</t>
  </si>
  <si>
    <t>1. Total Earnings Opportunity - Source: Metro EO Calculation PY1-PY3 v2.xlsx</t>
  </si>
  <si>
    <t>2. EO TD Ex Post Gross Adjustment -  Source: TD Model Metro 102019 11202019 v2.xlsx</t>
  </si>
  <si>
    <t>3. EO TD NTG Adjustment -  Source: TD Model Metro 102019 11202019 v2.xlsx</t>
  </si>
  <si>
    <t>4. Carrying Costs @ AFUDC Rate -  Source: TD Model Metro 102019 11202019 v2.xlsx</t>
  </si>
  <si>
    <t>6. Actual OA rate component of the tariff rate</t>
  </si>
  <si>
    <t>Cycle 2</t>
  </si>
  <si>
    <t>Cycle 3</t>
  </si>
  <si>
    <t>Total DSIM</t>
  </si>
  <si>
    <t>NOA ($/kWh)</t>
  </si>
  <si>
    <t>NEO ($/kWh)</t>
  </si>
  <si>
    <t>NTD ($/kWh)</t>
  </si>
  <si>
    <t>NPC ($/kWh)</t>
  </si>
  <si>
    <t>Rate Schedule</t>
  </si>
  <si>
    <t>Projections for Cycle 2 July 2020 - June 2021 DSIM</t>
  </si>
  <si>
    <t>Projections for Cycle 3 July 2020 - June 2021 DSIM</t>
  </si>
  <si>
    <t>Evergy Metro, Inc. - DSIM Rider Update Filed 06/01/2020</t>
  </si>
  <si>
    <t>Cumulative Over/Under Carryover From 12/02/2020 Filing</t>
  </si>
  <si>
    <t>Reverse November-19 - January 2020  Forecast From 12/02/2020 Filing</t>
  </si>
  <si>
    <t>Non-Residential - SGS</t>
  </si>
  <si>
    <t>Non-Residential - MGS</t>
  </si>
  <si>
    <t>Non-Residential - LGS</t>
  </si>
  <si>
    <t>Non-Residential - LPS</t>
  </si>
  <si>
    <t>Cycle 3 Program Costs Reconciliation (PCR) Calculation</t>
  </si>
  <si>
    <t>1. Allocated Actual Program Costs</t>
  </si>
  <si>
    <t>1. Forecasted Residential/Non-Residential kWh savings  - Source: Metro Cycle 2 Monthly TD Calc 042020 05102020.xlsx</t>
  </si>
  <si>
    <t>2. Forecasted Throughput Disincentive - Source: Metro Cycle 2 Monthly TD Calc 042020 05102020.xlsx</t>
  </si>
  <si>
    <t>1. &amp; 4. Actual monthly TD - Source: Metro Cycle 2 TD Calc 042020 05102020.xlsx
    Forecasted monthly TD - Source: Metro Cycle 2 TD Calc 042020 05102020.xlsx</t>
  </si>
  <si>
    <t>2. Actual monthly billed revenues by Residential/Non-Residential (TD revenues only) - Metro MEEIA 2019 Revenue Analysis.xlsx, Metro MEEIA 2020 Revenue Analysis.xlsx
Forecasted monthly billed revenues by Residential/Non-Residential (TD revenues only) - Source: calculated = Forecasted billed kWh sales X tariff rate</t>
  </si>
  <si>
    <t>3. Actual kWh Sales Impact - Source:  Metro Cycle 2 TD Calc 042020 05102020.xlsx
    Forecasted kWh Sales Impact - Source: Metro Cycle 2 TD Calc 042020 05102020.xlsx</t>
  </si>
  <si>
    <t>6. Monthly Short-Term Borrowing Rate - Source: Metro Short-Term Borrowing Rate November 2019 - April 2020.xlsx</t>
  </si>
  <si>
    <t>8. Cycle 2 kWh Participation - Source: Metro Cycle 2 TD Calc 042020 05102020.xlsx</t>
  </si>
  <si>
    <t>5. Monthly Short-Term Borrowing Rate - Source: Metro Short-Term Borrowing Rate November 2019 - April 2020.xlsx</t>
  </si>
  <si>
    <t>7. Cycle 2 kWh Participation - Source: Metro Cycle 2 TD Calc 042020 05102020.xlsx</t>
  </si>
  <si>
    <t>3. Actual monthly billed revenues by Residential/Non-Residential (program cost revenues only) - Metro MEEIA 2019 Revenue Analysis.xlsx, Metro MEEIA 2020 Revenue Analysis.xlsx
    Forecasted monthly billed revenues by Residential/Non-Residential (program cost revenues only) - Source: calculated = Forecasted billed kWh sales X tariff rate</t>
  </si>
  <si>
    <t>2. Actual monthly kWh billed sales by Residential/Non-Residential (reduced for opt-out) - Source: Metro MEEIA 2019 Revenue Analysis.xlsx, Metro MEEIA 2020 Revenue Analysis.xlsx
    Forecasted monthly kWh billed sales by Residential/Non-Residential (reduced for opt-out) - Source: Billed kWh Budget Metro 2020-2021.xlsx</t>
  </si>
  <si>
    <t>1. Forecasted kWh by Residential/Non-Residential (Reduced for Opt-Out) - Source: Billed kWh Budget Metro 2020-2021.xlsx</t>
  </si>
  <si>
    <t>2. Forecasted program costs by allocation bucket (Residential, Non-Residential, Income-Eligible, Common/General) - Source: Evergy Metro Cycle 2 EMV Estimate.xlsx</t>
  </si>
  <si>
    <t>3. Cycle 2 kWh Participation - Source: Metro Cycle 2 TD Calc 042020 05102020.xlsx</t>
  </si>
  <si>
    <t>Cycle 3 Throughput Disincentive TD Reconciliation (TDR) Calculation</t>
  </si>
  <si>
    <t>Cycle 2 Earnings Opportunity Reconciliation (EOR) Calculation</t>
  </si>
  <si>
    <t>2. Actual monthly billed revenues by Residential/Non-Residential (EO revenues only) - Metro MEEIA 2019 Revenue Analysis.xlsx, Metro MEEIA 2020 Revenue Analysis.xlsx
Forecasted monthly billed revenues by Residential/Non-Residential (EO revenues only) - Source: calculated = Forecasted billed kWh sales X tariff rate</t>
  </si>
  <si>
    <t>1.  Actual monthly EO - Source: EO Cycle 2 tab column G divided by 12
    Forecasted monthly EO - Source: EO Cycle 2 tab column G divided by 12</t>
  </si>
  <si>
    <t>PTD = Projected Throughput Disincentive in the upcoming EP plus the succeeding EP</t>
  </si>
  <si>
    <t>PPC = Projected Program Costs in the upcoming EP plus the succeeding EP</t>
  </si>
  <si>
    <t>EO = Earnings Opportunity amortized in the upcoming EP plus the succeeding EP</t>
  </si>
  <si>
    <t>EOR = Earnings Opportunity Reconciliation in the current EP</t>
  </si>
  <si>
    <t>OAR = Ordered Adjustment Reconciliation in the current EP</t>
  </si>
  <si>
    <t>NTD = Net Throughput Disincentive for the upcoming EP plus the succeeding EP (PTD + TDR)</t>
  </si>
  <si>
    <t>NPC = Net Program Costs for the upcoming EP plus the succeeding EP (PPC + PCR)</t>
  </si>
  <si>
    <t>NEO = Net Earnings Opportunity for the upcoming EP plus the succeeding EP (EO + EOR)</t>
  </si>
  <si>
    <t>NOA = Net Order Adjustment for the upcoming EP plus the succeeding EP (OA + OAR)</t>
  </si>
  <si>
    <t xml:space="preserve">PE = Projected Energy, in kWh to be delivered during the upcoming RP plus the succeeding EP </t>
  </si>
  <si>
    <t>Res</t>
  </si>
  <si>
    <t>SGS</t>
  </si>
  <si>
    <t>MGS</t>
  </si>
  <si>
    <t>LGS</t>
  </si>
  <si>
    <t>LPS</t>
  </si>
  <si>
    <t>1. Forecasted program costs by customer class - Source: MEEIA Cycle 3 Forecast Metro 05222020.xlsx</t>
  </si>
  <si>
    <t>1. Actual monthly program costs by allocation bucket Residential, Non-Residential, Income-Eligible, Common/General) - Source: 01 2020 Metro Spend Allocations Worksheet.xlsx, 02 2020 Metro Spend Allocations Worksheet.xlsx, 03 2020 Metro Spend Allocations Worksheet.xlsx, 04 2020 Metro Spend Allocations Worksheet.xlsx
    Forecasted monthly program costs by allocation bucket - Source: MEEIA Cycle 3 Forecast Metro 05222020.xlsx</t>
  </si>
  <si>
    <t>1. Forecasted Residential/Non-Residential kWh savings  - Source: MEEIA Cycle 3 Forecast Metro 05222020.xlsx</t>
  </si>
  <si>
    <t>2. Forecasted Throughput Disincentive - Source: MEEIA Cycle 3 Forecast Metro 05222020.xlsx</t>
  </si>
  <si>
    <t>1. &amp; 4. Actual monthly TD - Source: Metro Cycle 3 TD Calc 042020 05102020.xlsx
    Forecasted monthly TD - Source: MEEIA Cycle 3 Forecast Metro 05222020.xlsx</t>
  </si>
  <si>
    <t>3. Actual kWh Sales Impact - Source:  Metro Cycle 3 TD Calc 042020 05102020.xlsx
    Forecasted kWh Sales Impact - Source: MEEIA Cycle 3 Forecast Metro 05222020.xlsx</t>
  </si>
  <si>
    <t>1. &amp; 3. Actual monthly Ordered Adjustments - Source: None</t>
  </si>
  <si>
    <t>2. Actual monthly billed revenues by Residential/Non-Residential (program cost revenues only) - None
Forecasted monthly billed revenues by Residential/Non-Residential (program cost revenues only) - Source: calculated = Forecasted billed kWh sales X tariff rate</t>
  </si>
  <si>
    <t>5. Monthly Short-Term Borrowing Rate - Source: None</t>
  </si>
  <si>
    <t>7. Cycle 2 kWh Participation - Source: None</t>
  </si>
  <si>
    <t>1. Actual monthly program costs by allocation bucket Residential, Non-Residential, Income-Eligible, Common/General) - Source: SI Projects Metro 112019-042020.xlsx
    Forecasted monthly program costs by allocation bucket - Source: Evergy Metro Cycle 2 EMV Estimate.xlsx</t>
  </si>
  <si>
    <t>DSIM ($/kWh)</t>
  </si>
  <si>
    <t>3. Actual/Forecasted EO Amortization - Source:  EO Cycle 2 tab column G divided by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</si>
</sst>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00%"/>
    <numFmt numFmtId="169" formatCode="0.0000%"/>
    <numFmt numFmtId="170" formatCode="_(&quot;$&quot;* #,##0.00000_);_(&quot;$&quot;* \(#,##0.00000\);_(&quot;$&quot;* &quot;-&quot;?????_);_(@_)"/>
    <numFmt numFmtId="171" formatCode="0.000000%"/>
    <numFmt numFmtId="172" formatCode="_(&quot;$&quot;* #,##0.0000000_);_(&quot;$&quot;* \(#,##0.0000000\);_(&quot;$&quot;* &quot;-&quot;_);_(@_)"/>
    <numFmt numFmtId="173" formatCode="mm/dd/yy;@"/>
    <numFmt numFmtId="174" formatCode="_(* #,##0.000000_);_(* \(#,##0.000000\);_(* &quot;-&quot;??_);_(@_)"/>
    <numFmt numFmtId="176" formatCode="#,##0.00000_);\(#,##0.00000\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Courier New"/>
      <family val="3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ourier New"/>
      <family val="3"/>
    </font>
    <font>
      <sz val="10"/>
      <color rgb="FFFF00FF"/>
      <name val="Courier New"/>
      <family val="3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7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7F7F7F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double">
        <color rgb="FF3F3F3F"/>
      </left>
      <right style="medium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double">
        <color rgb="FF3F3F3F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 style="medium">
        <color indexed="64"/>
      </right>
      <top style="thin">
        <color rgb="FF7F7F7F"/>
      </top>
      <bottom style="medium">
        <color auto="1"/>
      </bottom>
      <diagonal/>
    </border>
    <border>
      <left style="medium">
        <color auto="1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/>
      <bottom style="double">
        <color rgb="FF3F3F3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thin">
        <color theme="0" tint="-0.2499465926084170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/>
      <diagonal/>
    </border>
    <border>
      <left style="medium">
        <color auto="1"/>
      </left>
      <right style="medium">
        <color indexed="64"/>
      </right>
      <top style="thin">
        <color rgb="FF7F7F7F"/>
      </top>
      <bottom/>
      <diagonal/>
    </border>
    <border>
      <left style="medium">
        <color auto="1"/>
      </left>
      <right style="medium">
        <color indexed="64"/>
      </right>
      <top/>
      <bottom style="thin">
        <color indexed="64"/>
      </bottom>
      <diagonal/>
    </border>
  </borders>
  <cellStyleXfs count="30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7" borderId="17" applyNumberFormat="0" applyAlignment="0" applyProtection="0"/>
    <xf numFmtId="0" fontId="14" fillId="7" borderId="1" applyNumberFormat="0" applyAlignment="0" applyProtection="0"/>
    <xf numFmtId="0" fontId="1" fillId="8" borderId="18" applyNumberFormat="0" applyFont="0" applyAlignment="0" applyProtection="0"/>
    <xf numFmtId="0" fontId="15" fillId="0" borderId="2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29" applyNumberFormat="0" applyFill="0" applyAlignment="0" applyProtection="0"/>
    <xf numFmtId="0" fontId="18" fillId="0" borderId="30" applyNumberFormat="0" applyFill="0" applyAlignment="0" applyProtection="0"/>
    <xf numFmtId="0" fontId="19" fillId="0" borderId="31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32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" fillId="0" borderId="0"/>
  </cellStyleXfs>
  <cellXfs count="303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44" fontId="8" fillId="0" borderId="0" xfId="0" applyNumberFormat="1" applyFont="1"/>
    <xf numFmtId="166" fontId="0" fillId="0" borderId="0" xfId="0" applyNumberFormat="1"/>
    <xf numFmtId="0" fontId="9" fillId="0" borderId="0" xfId="0" applyFont="1" applyAlignment="1">
      <alignment horizontal="left"/>
    </xf>
    <xf numFmtId="0" fontId="0" fillId="0" borderId="9" xfId="0" applyBorder="1"/>
    <xf numFmtId="0" fontId="0" fillId="0" borderId="10" xfId="0" applyBorder="1"/>
    <xf numFmtId="44" fontId="0" fillId="0" borderId="9" xfId="0" applyNumberFormat="1" applyBorder="1"/>
    <xf numFmtId="44" fontId="0" fillId="0" borderId="10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5" fontId="5" fillId="5" borderId="13" xfId="6" applyNumberFormat="1" applyBorder="1"/>
    <xf numFmtId="0" fontId="0" fillId="0" borderId="0" xfId="0" applyBorder="1"/>
    <xf numFmtId="0" fontId="7" fillId="0" borderId="0" xfId="8" applyBorder="1"/>
    <xf numFmtId="164" fontId="0" fillId="0" borderId="12" xfId="0" applyNumberFormat="1" applyBorder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10" fontId="0" fillId="0" borderId="0" xfId="0" applyNumberFormat="1"/>
    <xf numFmtId="165" fontId="14" fillId="7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7" borderId="1" xfId="13" applyNumberFormat="1" applyBorder="1" applyAlignment="1">
      <alignment horizontal="center"/>
    </xf>
    <xf numFmtId="10" fontId="14" fillId="7" borderId="14" xfId="13" applyNumberFormat="1" applyBorder="1" applyAlignment="1">
      <alignment horizontal="center"/>
    </xf>
    <xf numFmtId="165" fontId="14" fillId="7" borderId="16" xfId="13" applyNumberFormat="1" applyBorder="1" applyAlignment="1">
      <alignment horizontal="center"/>
    </xf>
    <xf numFmtId="165" fontId="14" fillId="7" borderId="21" xfId="13" applyNumberFormat="1" applyBorder="1" applyAlignment="1">
      <alignment horizontal="center"/>
    </xf>
    <xf numFmtId="0" fontId="7" fillId="0" borderId="9" xfId="8" applyBorder="1" applyAlignment="1">
      <alignment horizontal="right"/>
    </xf>
    <xf numFmtId="0" fontId="8" fillId="0" borderId="25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7" borderId="1" xfId="13" applyNumberFormat="1"/>
    <xf numFmtId="165" fontId="13" fillId="7" borderId="17" xfId="12" applyNumberFormat="1"/>
    <xf numFmtId="165" fontId="5" fillId="5" borderId="16" xfId="6" applyNumberFormat="1" applyBorder="1" applyAlignment="1">
      <alignment horizontal="center"/>
    </xf>
    <xf numFmtId="165" fontId="5" fillId="5" borderId="21" xfId="6" applyNumberFormat="1" applyBorder="1" applyAlignment="1">
      <alignment horizontal="center"/>
    </xf>
    <xf numFmtId="165" fontId="5" fillId="5" borderId="15" xfId="11" applyNumberFormat="1" applyFont="1" applyFill="1" applyBorder="1"/>
    <xf numFmtId="165" fontId="6" fillId="6" borderId="2" xfId="7" applyNumberFormat="1"/>
    <xf numFmtId="165" fontId="0" fillId="0" borderId="9" xfId="0" applyNumberFormat="1" applyBorder="1"/>
    <xf numFmtId="165" fontId="0" fillId="0" borderId="10" xfId="0" applyNumberFormat="1" applyBorder="1"/>
    <xf numFmtId="0" fontId="8" fillId="0" borderId="0" xfId="0" applyFont="1" applyFill="1" applyBorder="1" applyAlignment="1">
      <alignment horizontal="right"/>
    </xf>
    <xf numFmtId="165" fontId="0" fillId="0" borderId="0" xfId="0" applyNumberFormat="1" applyBorder="1"/>
    <xf numFmtId="44" fontId="6" fillId="6" borderId="2" xfId="7" applyNumberFormat="1"/>
    <xf numFmtId="165" fontId="5" fillId="0" borderId="0" xfId="11" applyNumberFormat="1" applyFont="1" applyFill="1" applyBorder="1"/>
    <xf numFmtId="165" fontId="4" fillId="0" borderId="0" xfId="11" applyNumberFormat="1" applyFont="1" applyFill="1" applyBorder="1"/>
    <xf numFmtId="10" fontId="5" fillId="0" borderId="0" xfId="2" applyNumberFormat="1" applyFont="1" applyFill="1" applyBorder="1"/>
    <xf numFmtId="165" fontId="5" fillId="0" borderId="9" xfId="6" applyNumberFormat="1" applyFill="1" applyBorder="1"/>
    <xf numFmtId="165" fontId="5" fillId="0" borderId="0" xfId="6" applyNumberFormat="1" applyFill="1" applyBorder="1"/>
    <xf numFmtId="37" fontId="4" fillId="0" borderId="10" xfId="5" applyNumberFormat="1" applyFill="1" applyBorder="1"/>
    <xf numFmtId="0" fontId="0" fillId="0" borderId="0" xfId="0" applyFill="1"/>
    <xf numFmtId="165" fontId="14" fillId="7" borderId="13" xfId="13" applyNumberFormat="1" applyBorder="1"/>
    <xf numFmtId="165" fontId="14" fillId="7" borderId="1" xfId="13" applyNumberFormat="1" applyBorder="1"/>
    <xf numFmtId="44" fontId="6" fillId="6" borderId="2" xfId="7" applyNumberFormat="1" applyBorder="1"/>
    <xf numFmtId="0" fontId="0" fillId="0" borderId="11" xfId="0" applyBorder="1"/>
    <xf numFmtId="0" fontId="0" fillId="0" borderId="28" xfId="0" applyBorder="1"/>
    <xf numFmtId="0" fontId="0" fillId="0" borderId="6" xfId="0" applyBorder="1"/>
    <xf numFmtId="0" fontId="0" fillId="0" borderId="0" xfId="0"/>
    <xf numFmtId="0" fontId="0" fillId="0" borderId="0" xfId="0"/>
    <xf numFmtId="165" fontId="0" fillId="0" borderId="0" xfId="0" applyNumberFormat="1"/>
    <xf numFmtId="0" fontId="8" fillId="0" borderId="0" xfId="0" applyFont="1" applyAlignment="1">
      <alignment horizontal="center"/>
    </xf>
    <xf numFmtId="165" fontId="14" fillId="7" borderId="33" xfId="13" applyNumberFormat="1" applyBorder="1"/>
    <xf numFmtId="44" fontId="6" fillId="6" borderId="34" xfId="7" applyNumberFormat="1" applyBorder="1"/>
    <xf numFmtId="44" fontId="6" fillId="6" borderId="35" xfId="7" applyNumberFormat="1" applyBorder="1"/>
    <xf numFmtId="37" fontId="4" fillId="0" borderId="0" xfId="5" applyNumberFormat="1" applyFill="1" applyBorder="1"/>
    <xf numFmtId="0" fontId="8" fillId="35" borderId="0" xfId="0" applyFont="1" applyFill="1"/>
    <xf numFmtId="0" fontId="7" fillId="0" borderId="0" xfId="8" applyBorder="1" applyAlignment="1">
      <alignment horizontal="right"/>
    </xf>
    <xf numFmtId="165" fontId="5" fillId="5" borderId="1" xfId="6" applyNumberFormat="1" applyBorder="1"/>
    <xf numFmtId="44" fontId="0" fillId="0" borderId="0" xfId="0" applyNumberFormat="1" applyBorder="1"/>
    <xf numFmtId="44" fontId="0" fillId="0" borderId="36" xfId="0" applyNumberFormat="1" applyBorder="1"/>
    <xf numFmtId="44" fontId="0" fillId="0" borderId="37" xfId="0" applyNumberFormat="1" applyBorder="1"/>
    <xf numFmtId="3" fontId="14" fillId="7" borderId="23" xfId="13" applyNumberFormat="1" applyBorder="1" applyAlignment="1">
      <alignment horizontal="right"/>
    </xf>
    <xf numFmtId="165" fontId="4" fillId="0" borderId="10" xfId="11" applyNumberFormat="1" applyFont="1" applyFill="1" applyBorder="1"/>
    <xf numFmtId="165" fontId="14" fillId="7" borderId="14" xfId="13" applyNumberFormat="1" applyBorder="1"/>
    <xf numFmtId="44" fontId="6" fillId="6" borderId="24" xfId="7" applyNumberFormat="1" applyBorder="1"/>
    <xf numFmtId="0" fontId="8" fillId="0" borderId="0" xfId="0" applyFont="1" applyFill="1"/>
    <xf numFmtId="165" fontId="5" fillId="0" borderId="9" xfId="11" applyNumberFormat="1" applyFont="1" applyFill="1" applyBorder="1"/>
    <xf numFmtId="10" fontId="5" fillId="0" borderId="9" xfId="2" applyNumberFormat="1" applyFont="1" applyFill="1" applyBorder="1"/>
    <xf numFmtId="165" fontId="5" fillId="0" borderId="12" xfId="11" applyNumberFormat="1" applyFont="1" applyFill="1" applyBorder="1"/>
    <xf numFmtId="44" fontId="0" fillId="0" borderId="9" xfId="0" applyNumberFormat="1" applyFill="1" applyBorder="1"/>
    <xf numFmtId="44" fontId="0" fillId="0" borderId="0" xfId="0" applyNumberFormat="1" applyFill="1" applyBorder="1"/>
    <xf numFmtId="0" fontId="8" fillId="36" borderId="0" xfId="0" applyFont="1" applyFill="1"/>
    <xf numFmtId="0" fontId="8" fillId="0" borderId="0" xfId="0" applyFont="1" applyAlignment="1">
      <alignment horizontal="center" wrapText="1"/>
    </xf>
    <xf numFmtId="169" fontId="0" fillId="0" borderId="9" xfId="0" applyNumberFormat="1" applyBorder="1"/>
    <xf numFmtId="170" fontId="5" fillId="5" borderId="23" xfId="6" applyNumberFormat="1" applyBorder="1"/>
    <xf numFmtId="10" fontId="5" fillId="5" borderId="23" xfId="6" applyNumberFormat="1" applyBorder="1"/>
    <xf numFmtId="0" fontId="8" fillId="0" borderId="0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41" fontId="5" fillId="5" borderId="13" xfId="6" applyNumberFormat="1" applyBorder="1"/>
    <xf numFmtId="41" fontId="5" fillId="5" borderId="1" xfId="6" applyNumberFormat="1" applyBorder="1"/>
    <xf numFmtId="165" fontId="4" fillId="4" borderId="39" xfId="11" applyNumberFormat="1" applyFont="1" applyFill="1" applyBorder="1"/>
    <xf numFmtId="3" fontId="4" fillId="4" borderId="39" xfId="5" applyNumberFormat="1" applyBorder="1"/>
    <xf numFmtId="165" fontId="4" fillId="4" borderId="38" xfId="5" applyNumberFormat="1" applyBorder="1"/>
    <xf numFmtId="165" fontId="4" fillId="4" borderId="39" xfId="5" applyNumberFormat="1" applyBorder="1"/>
    <xf numFmtId="41" fontId="4" fillId="4" borderId="39" xfId="5" applyNumberFormat="1" applyBorder="1"/>
    <xf numFmtId="165" fontId="4" fillId="4" borderId="40" xfId="5" applyNumberFormat="1" applyBorder="1"/>
    <xf numFmtId="165" fontId="4" fillId="4" borderId="40" xfId="11" applyNumberFormat="1" applyFont="1" applyFill="1" applyBorder="1"/>
    <xf numFmtId="171" fontId="0" fillId="0" borderId="0" xfId="2" applyNumberFormat="1" applyFont="1" applyBorder="1"/>
    <xf numFmtId="171" fontId="0" fillId="0" borderId="9" xfId="2" applyNumberFormat="1" applyFont="1" applyBorder="1"/>
    <xf numFmtId="171" fontId="0" fillId="0" borderId="10" xfId="2" applyNumberFormat="1" applyFont="1" applyBorder="1"/>
    <xf numFmtId="42" fontId="5" fillId="5" borderId="1" xfId="6" applyNumberFormat="1"/>
    <xf numFmtId="0" fontId="8" fillId="0" borderId="7" xfId="0" applyFont="1" applyBorder="1" applyAlignment="1">
      <alignment horizontal="right"/>
    </xf>
    <xf numFmtId="165" fontId="14" fillId="7" borderId="26" xfId="13" applyNumberFormat="1" applyBorder="1" applyAlignment="1">
      <alignment horizontal="center"/>
    </xf>
    <xf numFmtId="165" fontId="14" fillId="7" borderId="41" xfId="13" applyNumberFormat="1" applyBorder="1" applyAlignment="1">
      <alignment horizontal="center"/>
    </xf>
    <xf numFmtId="0" fontId="30" fillId="0" borderId="3" xfId="0" applyFont="1" applyBorder="1" applyAlignment="1">
      <alignment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vertical="center" wrapText="1"/>
    </xf>
    <xf numFmtId="0" fontId="7" fillId="0" borderId="9" xfId="8" applyBorder="1"/>
    <xf numFmtId="171" fontId="0" fillId="0" borderId="10" xfId="0" applyNumberFormat="1" applyBorder="1"/>
    <xf numFmtId="0" fontId="31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164" fontId="0" fillId="0" borderId="42" xfId="0" applyNumberFormat="1" applyBorder="1"/>
    <xf numFmtId="44" fontId="6" fillId="6" borderId="43" xfId="7" applyNumberFormat="1" applyBorder="1"/>
    <xf numFmtId="165" fontId="5" fillId="0" borderId="13" xfId="6" applyNumberFormat="1" applyFill="1" applyBorder="1"/>
    <xf numFmtId="165" fontId="0" fillId="0" borderId="9" xfId="0" applyNumberFormat="1" applyFill="1" applyBorder="1"/>
    <xf numFmtId="0" fontId="0" fillId="0" borderId="9" xfId="0" applyFill="1" applyBorder="1"/>
    <xf numFmtId="165" fontId="14" fillId="0" borderId="13" xfId="13" applyNumberFormat="1" applyFill="1" applyBorder="1"/>
    <xf numFmtId="0" fontId="7" fillId="0" borderId="9" xfId="8" applyFill="1" applyBorder="1"/>
    <xf numFmtId="41" fontId="5" fillId="0" borderId="13" xfId="6" applyNumberFormat="1" applyFill="1" applyBorder="1"/>
    <xf numFmtId="165" fontId="5" fillId="0" borderId="15" xfId="11" applyNumberFormat="1" applyFont="1" applyFill="1" applyBorder="1"/>
    <xf numFmtId="171" fontId="0" fillId="0" borderId="9" xfId="0" applyNumberFormat="1" applyFill="1" applyBorder="1"/>
    <xf numFmtId="164" fontId="0" fillId="0" borderId="7" xfId="0" applyNumberFormat="1" applyFill="1" applyBorder="1"/>
    <xf numFmtId="171" fontId="0" fillId="0" borderId="9" xfId="2" applyNumberFormat="1" applyFont="1" applyFill="1" applyBorder="1"/>
    <xf numFmtId="44" fontId="6" fillId="0" borderId="35" xfId="7" applyNumberFormat="1" applyFill="1" applyBorder="1"/>
    <xf numFmtId="165" fontId="14" fillId="7" borderId="22" xfId="13" applyNumberFormat="1" applyBorder="1"/>
    <xf numFmtId="165" fontId="5" fillId="37" borderId="1" xfId="6" applyNumberFormat="1" applyFill="1" applyBorder="1"/>
    <xf numFmtId="165" fontId="5" fillId="37" borderId="22" xfId="6" applyNumberFormat="1" applyFill="1" applyBorder="1"/>
    <xf numFmtId="41" fontId="5" fillId="37" borderId="1" xfId="6" applyNumberFormat="1" applyFill="1" applyBorder="1"/>
    <xf numFmtId="165" fontId="5" fillId="37" borderId="16" xfId="11" applyNumberFormat="1" applyFont="1" applyFill="1" applyBorder="1"/>
    <xf numFmtId="165" fontId="5" fillId="37" borderId="44" xfId="11" applyNumberFormat="1" applyFont="1" applyFill="1" applyBorder="1"/>
    <xf numFmtId="165" fontId="14" fillId="7" borderId="45" xfId="13" applyNumberFormat="1" applyBorder="1"/>
    <xf numFmtId="167" fontId="6" fillId="0" borderId="35" xfId="1" applyNumberFormat="1" applyFont="1" applyFill="1" applyBorder="1"/>
    <xf numFmtId="165" fontId="14" fillId="7" borderId="46" xfId="13" applyNumberFormat="1" applyBorder="1"/>
    <xf numFmtId="165" fontId="14" fillId="7" borderId="47" xfId="13" applyNumberFormat="1" applyBorder="1"/>
    <xf numFmtId="0" fontId="0" fillId="0" borderId="3" xfId="0" applyBorder="1" applyAlignment="1">
      <alignment horizontal="center" wrapText="1"/>
    </xf>
    <xf numFmtId="165" fontId="14" fillId="7" borderId="19" xfId="13" applyNumberFormat="1" applyBorder="1"/>
    <xf numFmtId="0" fontId="0" fillId="0" borderId="48" xfId="0" applyBorder="1"/>
    <xf numFmtId="165" fontId="5" fillId="5" borderId="23" xfId="6" applyNumberFormat="1" applyBorder="1"/>
    <xf numFmtId="165" fontId="5" fillId="5" borderId="49" xfId="11" applyNumberFormat="1" applyFont="1" applyFill="1" applyBorder="1"/>
    <xf numFmtId="165" fontId="14" fillId="7" borderId="23" xfId="13" applyNumberFormat="1" applyBorder="1"/>
    <xf numFmtId="44" fontId="6" fillId="6" borderId="50" xfId="7" applyNumberFormat="1" applyBorder="1"/>
    <xf numFmtId="41" fontId="5" fillId="37" borderId="22" xfId="6" applyNumberFormat="1" applyFill="1" applyBorder="1"/>
    <xf numFmtId="42" fontId="0" fillId="0" borderId="0" xfId="0" applyNumberFormat="1"/>
    <xf numFmtId="42" fontId="0" fillId="0" borderId="0" xfId="0" applyNumberFormat="1" applyAlignment="1">
      <alignment horizontal="right"/>
    </xf>
    <xf numFmtId="42" fontId="10" fillId="0" borderId="6" xfId="0" applyNumberFormat="1" applyFont="1" applyBorder="1" applyAlignment="1">
      <alignment horizontal="right"/>
    </xf>
    <xf numFmtId="42" fontId="11" fillId="0" borderId="6" xfId="0" applyNumberFormat="1" applyFont="1" applyBorder="1" applyAlignment="1">
      <alignment horizontal="right"/>
    </xf>
    <xf numFmtId="0" fontId="30" fillId="0" borderId="4" xfId="0" applyFont="1" applyBorder="1" applyAlignment="1">
      <alignment horizontal="center" vertical="center" wrapText="1"/>
    </xf>
    <xf numFmtId="42" fontId="30" fillId="0" borderId="4" xfId="0" applyNumberFormat="1" applyFont="1" applyBorder="1" applyAlignment="1">
      <alignment horizontal="center"/>
    </xf>
    <xf numFmtId="41" fontId="10" fillId="0" borderId="6" xfId="0" applyNumberFormat="1" applyFont="1" applyBorder="1" applyAlignment="1">
      <alignment vertical="center"/>
    </xf>
    <xf numFmtId="170" fontId="10" fillId="0" borderId="6" xfId="0" applyNumberFormat="1" applyFont="1" applyFill="1" applyBorder="1" applyAlignment="1">
      <alignment vertical="center"/>
    </xf>
    <xf numFmtId="170" fontId="0" fillId="0" borderId="0" xfId="0" applyNumberFormat="1" applyFill="1" applyAlignment="1"/>
    <xf numFmtId="170" fontId="10" fillId="0" borderId="4" xfId="0" applyNumberFormat="1" applyFont="1" applyFill="1" applyBorder="1" applyAlignment="1">
      <alignment vertical="center"/>
    </xf>
    <xf numFmtId="42" fontId="5" fillId="37" borderId="1" xfId="6" applyNumberFormat="1" applyFill="1" applyBorder="1"/>
    <xf numFmtId="42" fontId="5" fillId="37" borderId="44" xfId="6" applyNumberFormat="1" applyFill="1" applyBorder="1"/>
    <xf numFmtId="41" fontId="14" fillId="7" borderId="1" xfId="13" applyNumberFormat="1"/>
    <xf numFmtId="41" fontId="6" fillId="6" borderId="2" xfId="7" applyNumberFormat="1"/>
    <xf numFmtId="165" fontId="4" fillId="4" borderId="51" xfId="11" applyNumberFormat="1" applyFont="1" applyFill="1" applyBorder="1"/>
    <xf numFmtId="3" fontId="4" fillId="4" borderId="51" xfId="5" applyNumberFormat="1" applyBorder="1"/>
    <xf numFmtId="165" fontId="4" fillId="4" borderId="53" xfId="5" applyNumberFormat="1" applyBorder="1"/>
    <xf numFmtId="165" fontId="4" fillId="4" borderId="51" xfId="5" applyNumberFormat="1" applyBorder="1"/>
    <xf numFmtId="41" fontId="4" fillId="4" borderId="51" xfId="5" applyNumberFormat="1" applyBorder="1"/>
    <xf numFmtId="165" fontId="4" fillId="4" borderId="53" xfId="11" applyNumberFormat="1" applyFont="1" applyFill="1" applyBorder="1"/>
    <xf numFmtId="0" fontId="8" fillId="0" borderId="0" xfId="0" applyFont="1" applyAlignment="1">
      <alignment horizontal="left" vertical="center" wrapText="1"/>
    </xf>
    <xf numFmtId="44" fontId="6" fillId="6" borderId="54" xfId="7" applyNumberFormat="1" applyBorder="1"/>
    <xf numFmtId="165" fontId="5" fillId="0" borderId="11" xfId="6" applyNumberFormat="1" applyFill="1" applyBorder="1"/>
    <xf numFmtId="43" fontId="5" fillId="0" borderId="12" xfId="1" applyFont="1" applyFill="1" applyBorder="1"/>
    <xf numFmtId="43" fontId="5" fillId="0" borderId="0" xfId="1" applyFont="1" applyFill="1" applyBorder="1"/>
    <xf numFmtId="0" fontId="0" fillId="0" borderId="0" xfId="0" applyFill="1" applyBorder="1"/>
    <xf numFmtId="0" fontId="8" fillId="0" borderId="0" xfId="0" applyFont="1" applyFill="1" applyAlignment="1">
      <alignment horizontal="center" wrapText="1"/>
    </xf>
    <xf numFmtId="0" fontId="0" fillId="39" borderId="19" xfId="0" applyFill="1" applyBorder="1" applyAlignment="1">
      <alignment horizontal="center" wrapText="1"/>
    </xf>
    <xf numFmtId="43" fontId="8" fillId="0" borderId="0" xfId="1" applyNumberFormat="1" applyFont="1" applyAlignment="1">
      <alignment horizontal="center"/>
    </xf>
    <xf numFmtId="42" fontId="8" fillId="0" borderId="0" xfId="1" applyNumberFormat="1" applyFont="1" applyAlignment="1">
      <alignment horizontal="center"/>
    </xf>
    <xf numFmtId="42" fontId="11" fillId="0" borderId="0" xfId="0" applyNumberFormat="1" applyFont="1" applyBorder="1" applyAlignment="1">
      <alignment horizontal="right" wrapText="1"/>
    </xf>
    <xf numFmtId="170" fontId="0" fillId="0" borderId="0" xfId="0" applyNumberFormat="1"/>
    <xf numFmtId="172" fontId="11" fillId="0" borderId="6" xfId="0" applyNumberFormat="1" applyFont="1" applyBorder="1" applyAlignment="1">
      <alignment horizontal="right"/>
    </xf>
    <xf numFmtId="172" fontId="0" fillId="0" borderId="0" xfId="0" applyNumberFormat="1"/>
    <xf numFmtId="172" fontId="30" fillId="0" borderId="4" xfId="0" applyNumberFormat="1" applyFont="1" applyBorder="1" applyAlignment="1">
      <alignment horizontal="center"/>
    </xf>
    <xf numFmtId="165" fontId="4" fillId="4" borderId="55" xfId="5" applyNumberFormat="1" applyBorder="1"/>
    <xf numFmtId="41" fontId="4" fillId="4" borderId="56" xfId="5" applyNumberFormat="1" applyBorder="1"/>
    <xf numFmtId="165" fontId="4" fillId="4" borderId="56" xfId="5" applyNumberFormat="1" applyBorder="1"/>
    <xf numFmtId="165" fontId="4" fillId="4" borderId="57" xfId="11" applyNumberFormat="1" applyFont="1" applyFill="1" applyBorder="1"/>
    <xf numFmtId="165" fontId="14" fillId="7" borderId="52" xfId="13" applyNumberFormat="1" applyBorder="1"/>
    <xf numFmtId="44" fontId="6" fillId="6" borderId="58" xfId="7" applyNumberFormat="1" applyBorder="1"/>
    <xf numFmtId="44" fontId="6" fillId="6" borderId="59" xfId="7" applyNumberFormat="1" applyBorder="1"/>
    <xf numFmtId="165" fontId="5" fillId="5" borderId="14" xfId="6" applyNumberFormat="1" applyBorder="1"/>
    <xf numFmtId="0" fontId="7" fillId="0" borderId="10" xfId="8" applyBorder="1"/>
    <xf numFmtId="165" fontId="5" fillId="5" borderId="33" xfId="6" applyNumberFormat="1" applyBorder="1"/>
    <xf numFmtId="44" fontId="0" fillId="0" borderId="10" xfId="0" applyNumberFormat="1" applyFill="1" applyBorder="1"/>
    <xf numFmtId="44" fontId="7" fillId="0" borderId="10" xfId="8" applyNumberFormat="1" applyFill="1" applyBorder="1"/>
    <xf numFmtId="41" fontId="5" fillId="5" borderId="14" xfId="6" applyNumberFormat="1" applyBorder="1"/>
    <xf numFmtId="165" fontId="5" fillId="0" borderId="10" xfId="6" applyNumberFormat="1" applyFill="1" applyBorder="1"/>
    <xf numFmtId="165" fontId="5" fillId="5" borderId="60" xfId="11" applyNumberFormat="1" applyFont="1" applyFill="1" applyBorder="1"/>
    <xf numFmtId="165" fontId="5" fillId="0" borderId="10" xfId="11" applyNumberFormat="1" applyFont="1" applyFill="1" applyBorder="1"/>
    <xf numFmtId="10" fontId="5" fillId="0" borderId="10" xfId="2" applyNumberFormat="1" applyFont="1" applyFill="1" applyBorder="1"/>
    <xf numFmtId="165" fontId="4" fillId="4" borderId="56" xfId="11" applyNumberFormat="1" applyFont="1" applyFill="1" applyBorder="1"/>
    <xf numFmtId="3" fontId="4" fillId="4" borderId="56" xfId="5" applyNumberFormat="1" applyBorder="1"/>
    <xf numFmtId="165" fontId="4" fillId="4" borderId="57" xfId="5" applyNumberFormat="1" applyBorder="1"/>
    <xf numFmtId="42" fontId="5" fillId="5" borderId="14" xfId="1" applyNumberFormat="1" applyFont="1" applyFill="1" applyBorder="1"/>
    <xf numFmtId="165" fontId="5" fillId="5" borderId="21" xfId="11" applyNumberFormat="1" applyFont="1" applyFill="1" applyBorder="1"/>
    <xf numFmtId="41" fontId="5" fillId="5" borderId="33" xfId="6" applyNumberFormat="1" applyBorder="1"/>
    <xf numFmtId="0" fontId="8" fillId="0" borderId="0" xfId="0" applyFont="1" applyAlignment="1">
      <alignment horizontal="left" vertical="center" wrapText="1"/>
    </xf>
    <xf numFmtId="172" fontId="11" fillId="0" borderId="6" xfId="0" applyNumberFormat="1" applyFont="1" applyFill="1" applyBorder="1" applyAlignment="1">
      <alignment horizontal="right"/>
    </xf>
    <xf numFmtId="172" fontId="0" fillId="0" borderId="0" xfId="0" applyNumberFormat="1" applyFill="1"/>
    <xf numFmtId="172" fontId="30" fillId="0" borderId="4" xfId="0" applyNumberFormat="1" applyFont="1" applyFill="1" applyBorder="1" applyAlignment="1">
      <alignment horizontal="center"/>
    </xf>
    <xf numFmtId="41" fontId="5" fillId="5" borderId="61" xfId="6" applyNumberFormat="1" applyBorder="1"/>
    <xf numFmtId="42" fontId="5" fillId="5" borderId="13" xfId="6" applyNumberFormat="1" applyBorder="1"/>
    <xf numFmtId="42" fontId="5" fillId="37" borderId="22" xfId="6" applyNumberFormat="1" applyFill="1" applyBorder="1"/>
    <xf numFmtId="41" fontId="5" fillId="5" borderId="62" xfId="6" applyNumberFormat="1" applyBorder="1"/>
    <xf numFmtId="172" fontId="36" fillId="0" borderId="6" xfId="0" applyNumberFormat="1" applyFont="1" applyBorder="1" applyAlignment="1">
      <alignment horizontal="right"/>
    </xf>
    <xf numFmtId="10" fontId="8" fillId="0" borderId="0" xfId="0" applyNumberFormat="1" applyFont="1" applyAlignment="1">
      <alignment horizontal="center" wrapText="1"/>
    </xf>
    <xf numFmtId="44" fontId="33" fillId="0" borderId="0" xfId="1" applyNumberFormat="1" applyFont="1" applyAlignment="1">
      <alignment horizontal="right"/>
    </xf>
    <xf numFmtId="43" fontId="0" fillId="0" borderId="0" xfId="1" applyFont="1"/>
    <xf numFmtId="171" fontId="0" fillId="0" borderId="0" xfId="0" applyNumberFormat="1"/>
    <xf numFmtId="0" fontId="8" fillId="0" borderId="0" xfId="0" applyFont="1" applyFill="1" applyAlignment="1">
      <alignment horizontal="left" vertical="center" wrapText="1"/>
    </xf>
    <xf numFmtId="170" fontId="10" fillId="0" borderId="3" xfId="0" applyNumberFormat="1" applyFont="1" applyFill="1" applyBorder="1" applyAlignment="1">
      <alignment vertical="center"/>
    </xf>
    <xf numFmtId="170" fontId="10" fillId="0" borderId="5" xfId="0" applyNumberFormat="1" applyFont="1" applyFill="1" applyBorder="1" applyAlignment="1">
      <alignment vertical="center"/>
    </xf>
    <xf numFmtId="165" fontId="5" fillId="0" borderId="61" xfId="6" applyNumberFormat="1" applyFill="1" applyBorder="1"/>
    <xf numFmtId="41" fontId="5" fillId="0" borderId="61" xfId="6" applyNumberFormat="1" applyFill="1" applyBorder="1"/>
    <xf numFmtId="165" fontId="5" fillId="0" borderId="63" xfId="11" applyNumberFormat="1" applyFont="1" applyFill="1" applyBorder="1"/>
    <xf numFmtId="165" fontId="5" fillId="0" borderId="64" xfId="6" applyNumberFormat="1" applyFill="1" applyBorder="1"/>
    <xf numFmtId="0" fontId="0" fillId="0" borderId="65" xfId="0" applyFill="1" applyBorder="1"/>
    <xf numFmtId="44" fontId="0" fillId="0" borderId="65" xfId="0" applyNumberFormat="1" applyFill="1" applyBorder="1"/>
    <xf numFmtId="41" fontId="5" fillId="0" borderId="64" xfId="6" applyNumberFormat="1" applyFill="1" applyBorder="1"/>
    <xf numFmtId="165" fontId="5" fillId="0" borderId="65" xfId="6" applyNumberFormat="1" applyFill="1" applyBorder="1"/>
    <xf numFmtId="165" fontId="5" fillId="0" borderId="66" xfId="11" applyNumberFormat="1" applyFont="1" applyFill="1" applyBorder="1"/>
    <xf numFmtId="165" fontId="14" fillId="0" borderId="61" xfId="13" applyNumberFormat="1" applyFill="1" applyBorder="1"/>
    <xf numFmtId="44" fontId="6" fillId="0" borderId="68" xfId="7" applyNumberFormat="1" applyFill="1" applyBorder="1"/>
    <xf numFmtId="165" fontId="5" fillId="0" borderId="69" xfId="11" applyNumberFormat="1" applyFont="1" applyFill="1" applyBorder="1"/>
    <xf numFmtId="10" fontId="5" fillId="0" borderId="65" xfId="2" applyNumberFormat="1" applyFont="1" applyFill="1" applyBorder="1"/>
    <xf numFmtId="165" fontId="14" fillId="0" borderId="64" xfId="13" applyNumberFormat="1" applyFill="1" applyBorder="1"/>
    <xf numFmtId="171" fontId="0" fillId="0" borderId="65" xfId="0" applyNumberFormat="1" applyFill="1" applyBorder="1"/>
    <xf numFmtId="171" fontId="0" fillId="0" borderId="65" xfId="2" applyNumberFormat="1" applyFont="1" applyFill="1" applyBorder="1"/>
    <xf numFmtId="44" fontId="6" fillId="0" borderId="70" xfId="7" applyNumberFormat="1" applyFill="1" applyBorder="1"/>
    <xf numFmtId="0" fontId="0" fillId="0" borderId="65" xfId="0" applyBorder="1"/>
    <xf numFmtId="165" fontId="5" fillId="0" borderId="71" xfId="6" applyNumberFormat="1" applyFill="1" applyBorder="1"/>
    <xf numFmtId="0" fontId="0" fillId="39" borderId="67" xfId="0" applyFill="1" applyBorder="1" applyAlignment="1">
      <alignment horizontal="center" wrapText="1"/>
    </xf>
    <xf numFmtId="164" fontId="0" fillId="0" borderId="72" xfId="0" applyNumberFormat="1" applyFill="1" applyBorder="1"/>
    <xf numFmtId="173" fontId="0" fillId="0" borderId="0" xfId="0" applyNumberFormat="1"/>
    <xf numFmtId="171" fontId="0" fillId="0" borderId="0" xfId="2" applyNumberFormat="1" applyFont="1"/>
    <xf numFmtId="43" fontId="37" fillId="0" borderId="0" xfId="1" applyFont="1"/>
    <xf numFmtId="44" fontId="13" fillId="7" borderId="17" xfId="12" applyNumberFormat="1"/>
    <xf numFmtId="44" fontId="14" fillId="7" borderId="1" xfId="13" applyNumberFormat="1"/>
    <xf numFmtId="44" fontId="6" fillId="6" borderId="2" xfId="1" applyNumberFormat="1" applyFont="1" applyFill="1" applyBorder="1"/>
    <xf numFmtId="0" fontId="7" fillId="0" borderId="0" xfId="8" applyFill="1" applyBorder="1" applyAlignment="1">
      <alignment horizontal="right"/>
    </xf>
    <xf numFmtId="43" fontId="6" fillId="0" borderId="0" xfId="1" applyFont="1" applyFill="1" applyBorder="1"/>
    <xf numFmtId="165" fontId="13" fillId="7" borderId="74" xfId="12" applyNumberFormat="1" applyBorder="1"/>
    <xf numFmtId="42" fontId="14" fillId="7" borderId="73" xfId="13" applyNumberFormat="1" applyBorder="1"/>
    <xf numFmtId="172" fontId="11" fillId="0" borderId="6" xfId="0" quotePrefix="1" applyNumberFormat="1" applyFont="1" applyFill="1" applyBorder="1" applyAlignment="1">
      <alignment horizontal="right"/>
    </xf>
    <xf numFmtId="10" fontId="5" fillId="5" borderId="1" xfId="2" applyNumberFormat="1" applyFont="1" applyFill="1" applyBorder="1"/>
    <xf numFmtId="10" fontId="14" fillId="7" borderId="1" xfId="2" applyNumberFormat="1" applyFont="1" applyFill="1" applyBorder="1"/>
    <xf numFmtId="44" fontId="8" fillId="0" borderId="0" xfId="0" applyNumberFormat="1" applyFont="1" applyAlignment="1">
      <alignment wrapText="1"/>
    </xf>
    <xf numFmtId="165" fontId="6" fillId="0" borderId="0" xfId="1" applyNumberFormat="1" applyFont="1" applyFill="1" applyBorder="1"/>
    <xf numFmtId="165" fontId="6" fillId="0" borderId="0" xfId="7" applyNumberFormat="1" applyFill="1" applyBorder="1"/>
    <xf numFmtId="41" fontId="6" fillId="0" borderId="0" xfId="7" applyNumberFormat="1" applyFill="1" applyBorder="1"/>
    <xf numFmtId="165" fontId="13" fillId="7" borderId="73" xfId="12" applyNumberFormat="1" applyBorder="1"/>
    <xf numFmtId="165" fontId="14" fillId="7" borderId="73" xfId="13" applyNumberFormat="1" applyBorder="1"/>
    <xf numFmtId="0" fontId="8" fillId="0" borderId="73" xfId="0" applyFont="1" applyBorder="1" applyAlignment="1">
      <alignment horizont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6" fontId="10" fillId="0" borderId="6" xfId="1" applyNumberFormat="1" applyFont="1" applyFill="1" applyBorder="1" applyAlignment="1">
      <alignment vertical="center"/>
    </xf>
    <xf numFmtId="176" fontId="10" fillId="0" borderId="6" xfId="1" applyNumberFormat="1" applyFont="1" applyBorder="1" applyAlignment="1">
      <alignment horizontal="right" vertical="center"/>
    </xf>
    <xf numFmtId="176" fontId="11" fillId="0" borderId="6" xfId="1" applyNumberFormat="1" applyFont="1" applyBorder="1" applyAlignment="1">
      <alignment horizontal="right" vertical="center"/>
    </xf>
    <xf numFmtId="176" fontId="0" fillId="0" borderId="0" xfId="0" applyNumberFormat="1"/>
    <xf numFmtId="172" fontId="36" fillId="0" borderId="6" xfId="0" quotePrefix="1" applyNumberFormat="1" applyFont="1" applyFill="1" applyBorder="1" applyAlignment="1">
      <alignment horizontal="right"/>
    </xf>
    <xf numFmtId="172" fontId="38" fillId="0" borderId="0" xfId="0" applyNumberFormat="1" applyFont="1"/>
    <xf numFmtId="172" fontId="36" fillId="0" borderId="6" xfId="0" applyNumberFormat="1" applyFont="1" applyFill="1" applyBorder="1" applyAlignment="1">
      <alignment horizontal="right"/>
    </xf>
    <xf numFmtId="172" fontId="38" fillId="0" borderId="0" xfId="0" applyNumberFormat="1" applyFont="1" applyFill="1"/>
    <xf numFmtId="172" fontId="39" fillId="0" borderId="4" xfId="0" applyNumberFormat="1" applyFont="1" applyFill="1" applyBorder="1" applyAlignment="1">
      <alignment horizontal="center"/>
    </xf>
    <xf numFmtId="172" fontId="39" fillId="0" borderId="4" xfId="0" applyNumberFormat="1" applyFont="1" applyBorder="1" applyAlignment="1">
      <alignment horizontal="center"/>
    </xf>
    <xf numFmtId="165" fontId="14" fillId="7" borderId="75" xfId="13" applyNumberFormat="1" applyBorder="1"/>
    <xf numFmtId="165" fontId="14" fillId="7" borderId="76" xfId="13" applyNumberFormat="1" applyBorder="1"/>
    <xf numFmtId="44" fontId="14" fillId="7" borderId="22" xfId="13" applyNumberFormat="1" applyBorder="1"/>
    <xf numFmtId="44" fontId="14" fillId="7" borderId="1" xfId="13" applyNumberFormat="1" applyBorder="1"/>
    <xf numFmtId="165" fontId="14" fillId="7" borderId="5" xfId="13" applyNumberFormat="1" applyBorder="1"/>
    <xf numFmtId="165" fontId="14" fillId="7" borderId="77" xfId="13" applyNumberFormat="1" applyBorder="1"/>
    <xf numFmtId="165" fontId="14" fillId="7" borderId="78" xfId="13" applyNumberFormat="1" applyBorder="1"/>
    <xf numFmtId="172" fontId="40" fillId="0" borderId="6" xfId="0" applyNumberFormat="1" applyFont="1" applyFill="1" applyBorder="1" applyAlignment="1">
      <alignment horizontal="right"/>
    </xf>
    <xf numFmtId="172" fontId="40" fillId="0" borderId="6" xfId="0" applyNumberFormat="1" applyFont="1" applyBorder="1" applyAlignment="1">
      <alignment horizontal="right"/>
    </xf>
    <xf numFmtId="0" fontId="9" fillId="0" borderId="0" xfId="0" applyFont="1" applyAlignment="1">
      <alignment horizontal="center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 wrapText="1"/>
    </xf>
    <xf numFmtId="0" fontId="32" fillId="3" borderId="19" xfId="4" applyFont="1" applyBorder="1" applyAlignment="1">
      <alignment horizontal="center"/>
    </xf>
    <xf numFmtId="0" fontId="32" fillId="3" borderId="20" xfId="4" applyFont="1" applyBorder="1" applyAlignment="1">
      <alignment horizontal="center"/>
    </xf>
    <xf numFmtId="0" fontId="32" fillId="3" borderId="4" xfId="4" applyFont="1" applyBorder="1" applyAlignment="1">
      <alignment horizontal="center"/>
    </xf>
    <xf numFmtId="0" fontId="8" fillId="0" borderId="0" xfId="0" applyFont="1" applyFill="1" applyAlignment="1">
      <alignment horizontal="left" vertical="center" wrapText="1"/>
    </xf>
    <xf numFmtId="0" fontId="8" fillId="38" borderId="20" xfId="0" applyFont="1" applyFill="1" applyBorder="1" applyAlignment="1">
      <alignment horizontal="center"/>
    </xf>
    <xf numFmtId="0" fontId="8" fillId="38" borderId="4" xfId="0" applyFont="1" applyFill="1" applyBorder="1" applyAlignment="1">
      <alignment horizontal="center"/>
    </xf>
    <xf numFmtId="0" fontId="33" fillId="0" borderId="19" xfId="8" applyFont="1" applyBorder="1" applyAlignment="1">
      <alignment horizontal="center"/>
    </xf>
    <xf numFmtId="0" fontId="33" fillId="0" borderId="20" xfId="8" applyFont="1" applyBorder="1" applyAlignment="1">
      <alignment horizontal="center"/>
    </xf>
    <xf numFmtId="0" fontId="33" fillId="0" borderId="4" xfId="8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170" fontId="40" fillId="0" borderId="5" xfId="0" applyNumberFormat="1" applyFont="1" applyFill="1" applyBorder="1" applyAlignment="1">
      <alignment vertical="center"/>
    </xf>
    <xf numFmtId="174" fontId="0" fillId="0" borderId="0" xfId="1" applyNumberFormat="1" applyFont="1" applyFill="1" applyBorder="1"/>
    <xf numFmtId="0" fontId="34" fillId="0" borderId="0" xfId="0" applyFont="1" applyFill="1" applyBorder="1"/>
    <xf numFmtId="0" fontId="35" fillId="0" borderId="0" xfId="0" applyFont="1" applyFill="1" applyBorder="1"/>
    <xf numFmtId="168" fontId="0" fillId="0" borderId="0" xfId="2" applyNumberFormat="1" applyFont="1" applyFill="1" applyBorder="1"/>
    <xf numFmtId="0" fontId="35" fillId="0" borderId="0" xfId="0" applyFont="1" applyFill="1" applyBorder="1" applyAlignment="1">
      <alignment horizontal="left" indent="1"/>
    </xf>
    <xf numFmtId="168" fontId="0" fillId="0" borderId="0" xfId="0" applyNumberFormat="1" applyFill="1" applyBorder="1"/>
  </cellXfs>
  <cellStyles count="302">
    <cellStyle name="20% - Accent1" xfId="24" builtinId="30" customBuiltin="1"/>
    <cellStyle name="20% - Accent1 2" xfId="54" xr:uid="{00000000-0005-0000-0000-000001000000}"/>
    <cellStyle name="20% - Accent2" xfId="28" builtinId="34" customBuiltin="1"/>
    <cellStyle name="20% - Accent2 2" xfId="56" xr:uid="{00000000-0005-0000-0000-000003000000}"/>
    <cellStyle name="20% - Accent3" xfId="32" builtinId="38" customBuiltin="1"/>
    <cellStyle name="20% - Accent3 2" xfId="58" xr:uid="{00000000-0005-0000-0000-000005000000}"/>
    <cellStyle name="20% - Accent4" xfId="36" builtinId="42" customBuiltin="1"/>
    <cellStyle name="20% - Accent4 2" xfId="60" xr:uid="{00000000-0005-0000-0000-000007000000}"/>
    <cellStyle name="20% - Accent5" xfId="40" builtinId="46" customBuiltin="1"/>
    <cellStyle name="20% - Accent5 2" xfId="62" xr:uid="{00000000-0005-0000-0000-000009000000}"/>
    <cellStyle name="20% - Accent6" xfId="44" builtinId="50" customBuiltin="1"/>
    <cellStyle name="20% - Accent6 2" xfId="64" xr:uid="{00000000-0005-0000-0000-00000B000000}"/>
    <cellStyle name="40% - Accent1" xfId="25" builtinId="31" customBuiltin="1"/>
    <cellStyle name="40% - Accent1 2" xfId="55" xr:uid="{00000000-0005-0000-0000-00000D000000}"/>
    <cellStyle name="40% - Accent2" xfId="29" builtinId="35" customBuiltin="1"/>
    <cellStyle name="40% - Accent2 2" xfId="57" xr:uid="{00000000-0005-0000-0000-00000F000000}"/>
    <cellStyle name="40% - Accent3" xfId="33" builtinId="39" customBuiltin="1"/>
    <cellStyle name="40% - Accent3 2" xfId="59" xr:uid="{00000000-0005-0000-0000-000011000000}"/>
    <cellStyle name="40% - Accent4" xfId="37" builtinId="43" customBuiltin="1"/>
    <cellStyle name="40% - Accent4 2" xfId="61" xr:uid="{00000000-0005-0000-0000-000013000000}"/>
    <cellStyle name="40% - Accent5" xfId="41" builtinId="47" customBuiltin="1"/>
    <cellStyle name="40% - Accent5 2" xfId="63" xr:uid="{00000000-0005-0000-0000-000015000000}"/>
    <cellStyle name="40% - Accent6" xfId="45" builtinId="51" customBuiltin="1"/>
    <cellStyle name="40% - Accent6 2" xfId="65" xr:uid="{00000000-0005-0000-0000-000017000000}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68" xr:uid="{00000000-0005-0000-0000-000028000000}"/>
    <cellStyle name="Comma 2 2" xfId="282" xr:uid="{00000000-0005-0000-0000-000029000000}"/>
    <cellStyle name="Comma 3" xfId="66" xr:uid="{00000000-0005-0000-0000-00002A000000}"/>
    <cellStyle name="Comma 3 2" xfId="9" xr:uid="{00000000-0005-0000-0000-00002B000000}"/>
    <cellStyle name="Comma 4" xfId="192" xr:uid="{00000000-0005-0000-0000-00002C000000}"/>
    <cellStyle name="Comma 5" xfId="52" xr:uid="{00000000-0005-0000-0000-00002D000000}"/>
    <cellStyle name="Currency" xfId="11" builtinId="4"/>
    <cellStyle name="Currency [0] 2" xfId="114" xr:uid="{00000000-0005-0000-0000-00002F000000}"/>
    <cellStyle name="Currency [0] 2 2" xfId="203" xr:uid="{00000000-0005-0000-0000-000030000000}"/>
    <cellStyle name="Currency 10" xfId="193" xr:uid="{00000000-0005-0000-0000-000031000000}"/>
    <cellStyle name="Currency 11" xfId="112" xr:uid="{00000000-0005-0000-0000-000032000000}"/>
    <cellStyle name="Currency 12" xfId="197" xr:uid="{00000000-0005-0000-0000-000033000000}"/>
    <cellStyle name="Currency 13" xfId="50" xr:uid="{00000000-0005-0000-0000-000034000000}"/>
    <cellStyle name="Currency 13 2" xfId="288" xr:uid="{00000000-0005-0000-0000-000035000000}"/>
    <cellStyle name="Currency 14" xfId="285" xr:uid="{00000000-0005-0000-0000-000036000000}"/>
    <cellStyle name="Currency 15" xfId="289" xr:uid="{00000000-0005-0000-0000-000037000000}"/>
    <cellStyle name="Currency 16" xfId="291" xr:uid="{00000000-0005-0000-0000-000038000000}"/>
    <cellStyle name="Currency 17" xfId="292" xr:uid="{00000000-0005-0000-0000-000039000000}"/>
    <cellStyle name="Currency 18" xfId="293" xr:uid="{00000000-0005-0000-0000-00003A000000}"/>
    <cellStyle name="Currency 19" xfId="294" xr:uid="{00000000-0005-0000-0000-00003B000000}"/>
    <cellStyle name="Currency 2" xfId="69" xr:uid="{00000000-0005-0000-0000-00003C000000}"/>
    <cellStyle name="Currency 2 2" xfId="111" xr:uid="{00000000-0005-0000-0000-00003D000000}"/>
    <cellStyle name="Currency 2 2 2" xfId="202" xr:uid="{00000000-0005-0000-0000-00003E000000}"/>
    <cellStyle name="Currency 2 3" xfId="280" xr:uid="{00000000-0005-0000-0000-00003F000000}"/>
    <cellStyle name="Currency 20" xfId="295" xr:uid="{00000000-0005-0000-0000-000040000000}"/>
    <cellStyle name="Currency 21" xfId="296" xr:uid="{00000000-0005-0000-0000-000041000000}"/>
    <cellStyle name="Currency 22" xfId="297" xr:uid="{00000000-0005-0000-0000-000042000000}"/>
    <cellStyle name="Currency 3" xfId="67" xr:uid="{00000000-0005-0000-0000-000043000000}"/>
    <cellStyle name="Currency 3 2" xfId="279" xr:uid="{00000000-0005-0000-0000-000044000000}"/>
    <cellStyle name="Currency 4" xfId="115" xr:uid="{00000000-0005-0000-0000-000045000000}"/>
    <cellStyle name="Currency 4 2" xfId="204" xr:uid="{00000000-0005-0000-0000-000046000000}"/>
    <cellStyle name="Currency 4 3" xfId="281" xr:uid="{00000000-0005-0000-0000-000047000000}"/>
    <cellStyle name="Currency 5" xfId="116" xr:uid="{00000000-0005-0000-0000-000048000000}"/>
    <cellStyle name="Currency 5 2" xfId="205" xr:uid="{00000000-0005-0000-0000-000049000000}"/>
    <cellStyle name="Currency 6" xfId="117" xr:uid="{00000000-0005-0000-0000-00004A000000}"/>
    <cellStyle name="Currency 6 2" xfId="206" xr:uid="{00000000-0005-0000-0000-00004B000000}"/>
    <cellStyle name="Currency 7" xfId="118" xr:uid="{00000000-0005-0000-0000-00004C000000}"/>
    <cellStyle name="Currency 7 2" xfId="207" xr:uid="{00000000-0005-0000-0000-00004D000000}"/>
    <cellStyle name="Currency 8" xfId="194" xr:uid="{00000000-0005-0000-0000-00004E000000}"/>
    <cellStyle name="Currency 9" xfId="195" xr:uid="{00000000-0005-0000-0000-00004F000000}"/>
    <cellStyle name="Data Field" xfId="119" xr:uid="{00000000-0005-0000-0000-000050000000}"/>
    <cellStyle name="Data Field 2" xfId="208" xr:uid="{00000000-0005-0000-0000-000051000000}"/>
    <cellStyle name="Data Name" xfId="120" xr:uid="{00000000-0005-0000-0000-000052000000}"/>
    <cellStyle name="Data Name 2" xfId="209" xr:uid="{00000000-0005-0000-0000-000053000000}"/>
    <cellStyle name="Explanatory Text" xfId="8" builtinId="53" customBuiltin="1"/>
    <cellStyle name="Followed Hyperlink" xfId="287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6" builtinId="8" customBuiltin="1"/>
    <cellStyle name="Hyperlink 2" xfId="121" xr:uid="{00000000-0005-0000-0000-00005C000000}"/>
    <cellStyle name="Hyperlink 3" xfId="122" xr:uid="{00000000-0005-0000-0000-00005D000000}"/>
    <cellStyle name="Hyperlink 4" xfId="300" xr:uid="{00000000-0005-0000-0000-00005E000000}"/>
    <cellStyle name="Hyperlink 5" xfId="298" xr:uid="{00000000-0005-0000-0000-00005F000000}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3" xr:uid="{00000000-0005-0000-0000-000064000000}"/>
    <cellStyle name="Normal 10 2" xfId="124" xr:uid="{00000000-0005-0000-0000-000065000000}"/>
    <cellStyle name="Normal 10 2 2" xfId="211" xr:uid="{00000000-0005-0000-0000-000066000000}"/>
    <cellStyle name="Normal 10 3" xfId="210" xr:uid="{00000000-0005-0000-0000-000067000000}"/>
    <cellStyle name="Normal 11" xfId="125" xr:uid="{00000000-0005-0000-0000-000068000000}"/>
    <cellStyle name="Normal 11 2" xfId="212" xr:uid="{00000000-0005-0000-0000-000069000000}"/>
    <cellStyle name="Normal 12" xfId="126" xr:uid="{00000000-0005-0000-0000-00006A000000}"/>
    <cellStyle name="Normal 12 2" xfId="213" xr:uid="{00000000-0005-0000-0000-00006B000000}"/>
    <cellStyle name="Normal 13" xfId="127" xr:uid="{00000000-0005-0000-0000-00006C000000}"/>
    <cellStyle name="Normal 13 2" xfId="214" xr:uid="{00000000-0005-0000-0000-00006D000000}"/>
    <cellStyle name="Normal 14" xfId="128" xr:uid="{00000000-0005-0000-0000-00006E000000}"/>
    <cellStyle name="Normal 14 2" xfId="215" xr:uid="{00000000-0005-0000-0000-00006F000000}"/>
    <cellStyle name="Normal 15" xfId="129" xr:uid="{00000000-0005-0000-0000-000070000000}"/>
    <cellStyle name="Normal 16" xfId="130" xr:uid="{00000000-0005-0000-0000-000071000000}"/>
    <cellStyle name="Normal 16 2" xfId="216" xr:uid="{00000000-0005-0000-0000-000072000000}"/>
    <cellStyle name="Normal 17" xfId="48" xr:uid="{00000000-0005-0000-0000-000073000000}"/>
    <cellStyle name="Normal 18" xfId="131" xr:uid="{00000000-0005-0000-0000-000074000000}"/>
    <cellStyle name="Normal 18 2" xfId="217" xr:uid="{00000000-0005-0000-0000-000075000000}"/>
    <cellStyle name="Normal 19" xfId="132" xr:uid="{00000000-0005-0000-0000-000076000000}"/>
    <cellStyle name="Normal 19 2" xfId="218" xr:uid="{00000000-0005-0000-0000-000077000000}"/>
    <cellStyle name="Normal 2" xfId="51" xr:uid="{00000000-0005-0000-0000-000078000000}"/>
    <cellStyle name="Normal 2 2" xfId="71" xr:uid="{00000000-0005-0000-0000-000079000000}"/>
    <cellStyle name="Normal 2 2 2" xfId="72" xr:uid="{00000000-0005-0000-0000-00007A000000}"/>
    <cellStyle name="Normal 2 2 3" xfId="73" xr:uid="{00000000-0005-0000-0000-00007B000000}"/>
    <cellStyle name="Normal 2 2 4" xfId="74" xr:uid="{00000000-0005-0000-0000-00007C000000}"/>
    <cellStyle name="Normal 2 2 5" xfId="75" xr:uid="{00000000-0005-0000-0000-00007D000000}"/>
    <cellStyle name="Normal 2 2 6" xfId="76" xr:uid="{00000000-0005-0000-0000-00007E000000}"/>
    <cellStyle name="Normal 2 2 7" xfId="77" xr:uid="{00000000-0005-0000-0000-00007F000000}"/>
    <cellStyle name="Normal 2 2 8" xfId="78" xr:uid="{00000000-0005-0000-0000-000080000000}"/>
    <cellStyle name="Normal 2 2 9" xfId="79" xr:uid="{00000000-0005-0000-0000-000081000000}"/>
    <cellStyle name="Normal 2 3" xfId="80" xr:uid="{00000000-0005-0000-0000-000082000000}"/>
    <cellStyle name="Normal 2 4" xfId="81" xr:uid="{00000000-0005-0000-0000-000083000000}"/>
    <cellStyle name="Normal 2 4 2" xfId="82" xr:uid="{00000000-0005-0000-0000-000084000000}"/>
    <cellStyle name="Normal 2 5" xfId="110" xr:uid="{00000000-0005-0000-0000-000085000000}"/>
    <cellStyle name="Normal 2 5 2" xfId="201" xr:uid="{00000000-0005-0000-0000-000086000000}"/>
    <cellStyle name="Normal 2 6" xfId="47" xr:uid="{00000000-0005-0000-0000-000087000000}"/>
    <cellStyle name="Normal 2 6 2" xfId="70" xr:uid="{00000000-0005-0000-0000-000088000000}"/>
    <cellStyle name="Normal 2 7" xfId="299" xr:uid="{00000000-0005-0000-0000-000089000000}"/>
    <cellStyle name="Normal 26" xfId="106" xr:uid="{00000000-0005-0000-0000-00008A000000}"/>
    <cellStyle name="Normal 26 2" xfId="199" xr:uid="{00000000-0005-0000-0000-00008B000000}"/>
    <cellStyle name="Normal 27" xfId="107" xr:uid="{00000000-0005-0000-0000-00008C000000}"/>
    <cellStyle name="Normal 27 2" xfId="200" xr:uid="{00000000-0005-0000-0000-00008D000000}"/>
    <cellStyle name="Normal 28" xfId="133" xr:uid="{00000000-0005-0000-0000-00008E000000}"/>
    <cellStyle name="Normal 28 2" xfId="219" xr:uid="{00000000-0005-0000-0000-00008F000000}"/>
    <cellStyle name="Normal 3" xfId="83" xr:uid="{00000000-0005-0000-0000-000090000000}"/>
    <cellStyle name="Normal 3 2" xfId="84" xr:uid="{00000000-0005-0000-0000-000091000000}"/>
    <cellStyle name="Normal 3 2 2" xfId="85" xr:uid="{00000000-0005-0000-0000-000092000000}"/>
    <cellStyle name="Normal 3 2 3" xfId="86" xr:uid="{00000000-0005-0000-0000-000093000000}"/>
    <cellStyle name="Normal 3 2 4" xfId="87" xr:uid="{00000000-0005-0000-0000-000094000000}"/>
    <cellStyle name="Normal 3 2 5" xfId="88" xr:uid="{00000000-0005-0000-0000-000095000000}"/>
    <cellStyle name="Normal 3 2 6" xfId="89" xr:uid="{00000000-0005-0000-0000-000096000000}"/>
    <cellStyle name="Normal 3 2 7" xfId="90" xr:uid="{00000000-0005-0000-0000-000097000000}"/>
    <cellStyle name="Normal 3 2 8" xfId="91" xr:uid="{00000000-0005-0000-0000-000098000000}"/>
    <cellStyle name="Normal 3 2 9" xfId="92" xr:uid="{00000000-0005-0000-0000-000099000000}"/>
    <cellStyle name="Normal 3 3" xfId="108" xr:uid="{00000000-0005-0000-0000-00009A000000}"/>
    <cellStyle name="Normal 3 40" xfId="109" xr:uid="{00000000-0005-0000-0000-00009B000000}"/>
    <cellStyle name="Normal 33" xfId="277" xr:uid="{00000000-0005-0000-0000-00009C000000}"/>
    <cellStyle name="Normal 35" xfId="301" xr:uid="{00000000-0005-0000-0000-00009D000000}"/>
    <cellStyle name="Normal 36" xfId="134" xr:uid="{00000000-0005-0000-0000-00009E000000}"/>
    <cellStyle name="Normal 36 2" xfId="220" xr:uid="{00000000-0005-0000-0000-00009F000000}"/>
    <cellStyle name="Normal 37" xfId="135" xr:uid="{00000000-0005-0000-0000-0000A0000000}"/>
    <cellStyle name="Normal 37 2" xfId="221" xr:uid="{00000000-0005-0000-0000-0000A1000000}"/>
    <cellStyle name="Normal 38" xfId="136" xr:uid="{00000000-0005-0000-0000-0000A2000000}"/>
    <cellStyle name="Normal 38 2" xfId="222" xr:uid="{00000000-0005-0000-0000-0000A3000000}"/>
    <cellStyle name="Normal 39" xfId="137" xr:uid="{00000000-0005-0000-0000-0000A4000000}"/>
    <cellStyle name="Normal 39 2" xfId="223" xr:uid="{00000000-0005-0000-0000-0000A5000000}"/>
    <cellStyle name="Normal 4" xfId="10" xr:uid="{00000000-0005-0000-0000-0000A6000000}"/>
    <cellStyle name="Normal 4 2" xfId="94" xr:uid="{00000000-0005-0000-0000-0000A7000000}"/>
    <cellStyle name="Normal 4 3" xfId="93" xr:uid="{00000000-0005-0000-0000-0000A8000000}"/>
    <cellStyle name="Normal 4 4" xfId="278" xr:uid="{00000000-0005-0000-0000-0000A9000000}"/>
    <cellStyle name="Normal 40" xfId="138" xr:uid="{00000000-0005-0000-0000-0000AA000000}"/>
    <cellStyle name="Normal 40 2" xfId="224" xr:uid="{00000000-0005-0000-0000-0000AB000000}"/>
    <cellStyle name="Normal 41" xfId="139" xr:uid="{00000000-0005-0000-0000-0000AC000000}"/>
    <cellStyle name="Normal 41 2" xfId="225" xr:uid="{00000000-0005-0000-0000-0000AD000000}"/>
    <cellStyle name="Normal 42" xfId="140" xr:uid="{00000000-0005-0000-0000-0000AE000000}"/>
    <cellStyle name="Normal 42 2" xfId="226" xr:uid="{00000000-0005-0000-0000-0000AF000000}"/>
    <cellStyle name="Normal 43" xfId="141" xr:uid="{00000000-0005-0000-0000-0000B0000000}"/>
    <cellStyle name="Normal 43 2" xfId="227" xr:uid="{00000000-0005-0000-0000-0000B1000000}"/>
    <cellStyle name="Normal 44" xfId="142" xr:uid="{00000000-0005-0000-0000-0000B2000000}"/>
    <cellStyle name="Normal 44 2" xfId="228" xr:uid="{00000000-0005-0000-0000-0000B3000000}"/>
    <cellStyle name="Normal 45" xfId="143" xr:uid="{00000000-0005-0000-0000-0000B4000000}"/>
    <cellStyle name="Normal 45 2" xfId="229" xr:uid="{00000000-0005-0000-0000-0000B5000000}"/>
    <cellStyle name="Normal 46" xfId="144" xr:uid="{00000000-0005-0000-0000-0000B6000000}"/>
    <cellStyle name="Normal 46 2" xfId="230" xr:uid="{00000000-0005-0000-0000-0000B7000000}"/>
    <cellStyle name="Normal 47" xfId="145" xr:uid="{00000000-0005-0000-0000-0000B8000000}"/>
    <cellStyle name="Normal 47 2" xfId="231" xr:uid="{00000000-0005-0000-0000-0000B9000000}"/>
    <cellStyle name="Normal 48" xfId="146" xr:uid="{00000000-0005-0000-0000-0000BA000000}"/>
    <cellStyle name="Normal 48 2" xfId="232" xr:uid="{00000000-0005-0000-0000-0000BB000000}"/>
    <cellStyle name="Normal 49" xfId="147" xr:uid="{00000000-0005-0000-0000-0000BC000000}"/>
    <cellStyle name="Normal 49 2" xfId="233" xr:uid="{00000000-0005-0000-0000-0000BD000000}"/>
    <cellStyle name="Normal 5" xfId="95" xr:uid="{00000000-0005-0000-0000-0000BE000000}"/>
    <cellStyle name="Normal 5 2" xfId="96" xr:uid="{00000000-0005-0000-0000-0000BF000000}"/>
    <cellStyle name="Normal 5 3" xfId="97" xr:uid="{00000000-0005-0000-0000-0000C0000000}"/>
    <cellStyle name="Normal 5 4" xfId="98" xr:uid="{00000000-0005-0000-0000-0000C1000000}"/>
    <cellStyle name="Normal 50" xfId="148" xr:uid="{00000000-0005-0000-0000-0000C2000000}"/>
    <cellStyle name="Normal 50 2" xfId="234" xr:uid="{00000000-0005-0000-0000-0000C3000000}"/>
    <cellStyle name="Normal 51" xfId="149" xr:uid="{00000000-0005-0000-0000-0000C4000000}"/>
    <cellStyle name="Normal 51 2" xfId="235" xr:uid="{00000000-0005-0000-0000-0000C5000000}"/>
    <cellStyle name="Normal 52" xfId="150" xr:uid="{00000000-0005-0000-0000-0000C6000000}"/>
    <cellStyle name="Normal 52 2" xfId="236" xr:uid="{00000000-0005-0000-0000-0000C7000000}"/>
    <cellStyle name="Normal 53" xfId="151" xr:uid="{00000000-0005-0000-0000-0000C8000000}"/>
    <cellStyle name="Normal 53 2" xfId="237" xr:uid="{00000000-0005-0000-0000-0000C9000000}"/>
    <cellStyle name="Normal 54" xfId="152" xr:uid="{00000000-0005-0000-0000-0000CA000000}"/>
    <cellStyle name="Normal 54 2" xfId="238" xr:uid="{00000000-0005-0000-0000-0000CB000000}"/>
    <cellStyle name="Normal 55" xfId="153" xr:uid="{00000000-0005-0000-0000-0000CC000000}"/>
    <cellStyle name="Normal 55 2" xfId="239" xr:uid="{00000000-0005-0000-0000-0000CD000000}"/>
    <cellStyle name="Normal 56" xfId="154" xr:uid="{00000000-0005-0000-0000-0000CE000000}"/>
    <cellStyle name="Normal 56 2" xfId="240" xr:uid="{00000000-0005-0000-0000-0000CF000000}"/>
    <cellStyle name="Normal 57" xfId="155" xr:uid="{00000000-0005-0000-0000-0000D0000000}"/>
    <cellStyle name="Normal 57 2" xfId="241" xr:uid="{00000000-0005-0000-0000-0000D1000000}"/>
    <cellStyle name="Normal 58" xfId="156" xr:uid="{00000000-0005-0000-0000-0000D2000000}"/>
    <cellStyle name="Normal 58 2" xfId="242" xr:uid="{00000000-0005-0000-0000-0000D3000000}"/>
    <cellStyle name="Normal 59" xfId="157" xr:uid="{00000000-0005-0000-0000-0000D4000000}"/>
    <cellStyle name="Normal 59 2" xfId="243" xr:uid="{00000000-0005-0000-0000-0000D5000000}"/>
    <cellStyle name="Normal 6" xfId="99" xr:uid="{00000000-0005-0000-0000-0000D6000000}"/>
    <cellStyle name="Normal 6 2" xfId="100" xr:uid="{00000000-0005-0000-0000-0000D7000000}"/>
    <cellStyle name="Normal 6 3" xfId="101" xr:uid="{00000000-0005-0000-0000-0000D8000000}"/>
    <cellStyle name="Normal 60" xfId="158" xr:uid="{00000000-0005-0000-0000-0000D9000000}"/>
    <cellStyle name="Normal 60 2" xfId="244" xr:uid="{00000000-0005-0000-0000-0000DA000000}"/>
    <cellStyle name="Normal 61" xfId="159" xr:uid="{00000000-0005-0000-0000-0000DB000000}"/>
    <cellStyle name="Normal 61 2" xfId="245" xr:uid="{00000000-0005-0000-0000-0000DC000000}"/>
    <cellStyle name="Normal 62" xfId="160" xr:uid="{00000000-0005-0000-0000-0000DD000000}"/>
    <cellStyle name="Normal 62 2" xfId="246" xr:uid="{00000000-0005-0000-0000-0000DE000000}"/>
    <cellStyle name="Normal 63" xfId="161" xr:uid="{00000000-0005-0000-0000-0000DF000000}"/>
    <cellStyle name="Normal 63 2" xfId="247" xr:uid="{00000000-0005-0000-0000-0000E0000000}"/>
    <cellStyle name="Normal 64" xfId="162" xr:uid="{00000000-0005-0000-0000-0000E1000000}"/>
    <cellStyle name="Normal 64 2" xfId="248" xr:uid="{00000000-0005-0000-0000-0000E2000000}"/>
    <cellStyle name="Normal 65" xfId="163" xr:uid="{00000000-0005-0000-0000-0000E3000000}"/>
    <cellStyle name="Normal 65 2" xfId="249" xr:uid="{00000000-0005-0000-0000-0000E4000000}"/>
    <cellStyle name="Normal 66" xfId="164" xr:uid="{00000000-0005-0000-0000-0000E5000000}"/>
    <cellStyle name="Normal 66 2" xfId="250" xr:uid="{00000000-0005-0000-0000-0000E6000000}"/>
    <cellStyle name="Normal 67" xfId="165" xr:uid="{00000000-0005-0000-0000-0000E7000000}"/>
    <cellStyle name="Normal 67 2" xfId="251" xr:uid="{00000000-0005-0000-0000-0000E8000000}"/>
    <cellStyle name="Normal 69" xfId="166" xr:uid="{00000000-0005-0000-0000-0000E9000000}"/>
    <cellStyle name="Normal 69 2" xfId="252" xr:uid="{00000000-0005-0000-0000-0000EA000000}"/>
    <cellStyle name="Normal 7" xfId="102" xr:uid="{00000000-0005-0000-0000-0000EB000000}"/>
    <cellStyle name="Normal 70" xfId="167" xr:uid="{00000000-0005-0000-0000-0000EC000000}"/>
    <cellStyle name="Normal 70 2" xfId="253" xr:uid="{00000000-0005-0000-0000-0000ED000000}"/>
    <cellStyle name="Normal 71" xfId="168" xr:uid="{00000000-0005-0000-0000-0000EE000000}"/>
    <cellStyle name="Normal 71 2" xfId="254" xr:uid="{00000000-0005-0000-0000-0000EF000000}"/>
    <cellStyle name="Normal 72" xfId="169" xr:uid="{00000000-0005-0000-0000-0000F0000000}"/>
    <cellStyle name="Normal 72 2" xfId="255" xr:uid="{00000000-0005-0000-0000-0000F1000000}"/>
    <cellStyle name="Normal 73" xfId="170" xr:uid="{00000000-0005-0000-0000-0000F2000000}"/>
    <cellStyle name="Normal 73 2" xfId="256" xr:uid="{00000000-0005-0000-0000-0000F3000000}"/>
    <cellStyle name="Normal 74" xfId="171" xr:uid="{00000000-0005-0000-0000-0000F4000000}"/>
    <cellStyle name="Normal 74 2" xfId="257" xr:uid="{00000000-0005-0000-0000-0000F5000000}"/>
    <cellStyle name="Normal 75" xfId="172" xr:uid="{00000000-0005-0000-0000-0000F6000000}"/>
    <cellStyle name="Normal 75 2" xfId="258" xr:uid="{00000000-0005-0000-0000-0000F7000000}"/>
    <cellStyle name="Normal 76" xfId="173" xr:uid="{00000000-0005-0000-0000-0000F8000000}"/>
    <cellStyle name="Normal 76 2" xfId="259" xr:uid="{00000000-0005-0000-0000-0000F9000000}"/>
    <cellStyle name="Normal 77" xfId="174" xr:uid="{00000000-0005-0000-0000-0000FA000000}"/>
    <cellStyle name="Normal 77 2" xfId="260" xr:uid="{00000000-0005-0000-0000-0000FB000000}"/>
    <cellStyle name="Normal 78" xfId="175" xr:uid="{00000000-0005-0000-0000-0000FC000000}"/>
    <cellStyle name="Normal 78 2" xfId="261" xr:uid="{00000000-0005-0000-0000-0000FD000000}"/>
    <cellStyle name="Normal 79" xfId="176" xr:uid="{00000000-0005-0000-0000-0000FE000000}"/>
    <cellStyle name="Normal 79 2" xfId="262" xr:uid="{00000000-0005-0000-0000-0000FF000000}"/>
    <cellStyle name="Normal 8" xfId="103" xr:uid="{00000000-0005-0000-0000-000000010000}"/>
    <cellStyle name="Normal 80" xfId="177" xr:uid="{00000000-0005-0000-0000-000001010000}"/>
    <cellStyle name="Normal 80 2" xfId="263" xr:uid="{00000000-0005-0000-0000-000002010000}"/>
    <cellStyle name="Normal 81" xfId="178" xr:uid="{00000000-0005-0000-0000-000003010000}"/>
    <cellStyle name="Normal 81 2" xfId="264" xr:uid="{00000000-0005-0000-0000-000004010000}"/>
    <cellStyle name="Normal 82" xfId="179" xr:uid="{00000000-0005-0000-0000-000005010000}"/>
    <cellStyle name="Normal 82 2" xfId="265" xr:uid="{00000000-0005-0000-0000-000006010000}"/>
    <cellStyle name="Normal 83" xfId="180" xr:uid="{00000000-0005-0000-0000-000007010000}"/>
    <cellStyle name="Normal 83 2" xfId="266" xr:uid="{00000000-0005-0000-0000-000008010000}"/>
    <cellStyle name="Normal 84" xfId="181" xr:uid="{00000000-0005-0000-0000-000009010000}"/>
    <cellStyle name="Normal 84 2" xfId="267" xr:uid="{00000000-0005-0000-0000-00000A010000}"/>
    <cellStyle name="Normal 85" xfId="182" xr:uid="{00000000-0005-0000-0000-00000B010000}"/>
    <cellStyle name="Normal 85 2" xfId="268" xr:uid="{00000000-0005-0000-0000-00000C010000}"/>
    <cellStyle name="Normal 86" xfId="183" xr:uid="{00000000-0005-0000-0000-00000D010000}"/>
    <cellStyle name="Normal 86 2" xfId="269" xr:uid="{00000000-0005-0000-0000-00000E010000}"/>
    <cellStyle name="Normal 87" xfId="184" xr:uid="{00000000-0005-0000-0000-00000F010000}"/>
    <cellStyle name="Normal 87 2" xfId="270" xr:uid="{00000000-0005-0000-0000-000010010000}"/>
    <cellStyle name="Normal 9" xfId="104" xr:uid="{00000000-0005-0000-0000-000011010000}"/>
    <cellStyle name="Normal 9 2" xfId="105" xr:uid="{00000000-0005-0000-0000-000012010000}"/>
    <cellStyle name="Normal 9 2 2" xfId="198" xr:uid="{00000000-0005-0000-0000-000013010000}"/>
    <cellStyle name="Note" xfId="14" builtinId="10" customBuiltin="1"/>
    <cellStyle name="Note 2" xfId="53" xr:uid="{00000000-0005-0000-0000-000015010000}"/>
    <cellStyle name="Output" xfId="12" builtinId="21" customBuiltin="1"/>
    <cellStyle name="Percent" xfId="2" builtinId="5"/>
    <cellStyle name="Percent 10" xfId="113" xr:uid="{00000000-0005-0000-0000-000018010000}"/>
    <cellStyle name="Percent 11" xfId="49" xr:uid="{00000000-0005-0000-0000-000019010000}"/>
    <cellStyle name="Percent 11 2" xfId="290" xr:uid="{00000000-0005-0000-0000-00001A010000}"/>
    <cellStyle name="Percent 2" xfId="185" xr:uid="{00000000-0005-0000-0000-00001B010000}"/>
    <cellStyle name="Percent 2 2" xfId="271" xr:uid="{00000000-0005-0000-0000-00001C010000}"/>
    <cellStyle name="Percent 3" xfId="186" xr:uid="{00000000-0005-0000-0000-00001D010000}"/>
    <cellStyle name="Percent 3 2" xfId="272" xr:uid="{00000000-0005-0000-0000-00001E010000}"/>
    <cellStyle name="Percent 3 3" xfId="283" xr:uid="{00000000-0005-0000-0000-00001F010000}"/>
    <cellStyle name="Percent 4" xfId="187" xr:uid="{00000000-0005-0000-0000-000020010000}"/>
    <cellStyle name="Percent 4 2" xfId="273" xr:uid="{00000000-0005-0000-0000-000021010000}"/>
    <cellStyle name="Percent 4 3" xfId="284" xr:uid="{00000000-0005-0000-0000-000022010000}"/>
    <cellStyle name="Percent 5" xfId="188" xr:uid="{00000000-0005-0000-0000-000023010000}"/>
    <cellStyle name="Percent 5 2" xfId="274" xr:uid="{00000000-0005-0000-0000-000024010000}"/>
    <cellStyle name="Percent 6" xfId="189" xr:uid="{00000000-0005-0000-0000-000025010000}"/>
    <cellStyle name="Percent 6 2" xfId="275" xr:uid="{00000000-0005-0000-0000-000026010000}"/>
    <cellStyle name="Percent 7" xfId="190" xr:uid="{00000000-0005-0000-0000-000027010000}"/>
    <cellStyle name="Percent 8" xfId="191" xr:uid="{00000000-0005-0000-0000-000028010000}"/>
    <cellStyle name="Percent 8 2" xfId="276" xr:uid="{00000000-0005-0000-0000-000029010000}"/>
    <cellStyle name="Percent 9" xfId="196" xr:uid="{00000000-0005-0000-0000-00002A010000}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colors>
    <mruColors>
      <color rgb="FFFF00FF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21" Type="http://schemas.openxmlformats.org/officeDocument/2006/relationships/externalLink" Target="externalLinks/externalLink6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led%20kWh%20Budget%20Metro%20Missouri%202020-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02%202020%20Metro%20Spend%20Allocations%20Worksheet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03%202020%20Metro%20Spend%20Allocations%20Worksheet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04%202020%20Metro%20Spend%20Allocations%20Worksheet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TD%20Model%20Metro%20102019%2011202019%20v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Metro%20Cycle%203%20Monthly%20TD%20Calc%20042020%200510202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Metro%20EO%20Calculation%20PY1-PY3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vergy%20Metro%20Cycle%202%20EMV%20Estima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etro%20Cycle%202%20Monthly%20TD%20Calc%20042020%20051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EEIA%20Cycle%203%20Forecast%20Metro%200522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I%20Projects%20Metro%20112019-04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etro%20MEEIA%202019%20Revenue%20Analysi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Metro%20MEEIA%202020%20Revenue%20Analysi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etro%20Short-Term%20Borrowing%20Rate%20November%202019%20-%20April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2020%20Metro%20Spend%20Allocations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ed kWh Sales"/>
    </sheetNames>
    <sheetDataSet>
      <sheetData sheetId="0">
        <row r="24">
          <cell r="G24">
            <v>144888511</v>
          </cell>
          <cell r="H24">
            <v>186972950</v>
          </cell>
          <cell r="I24">
            <v>275984963</v>
          </cell>
        </row>
        <row r="25">
          <cell r="G25">
            <v>31758522</v>
          </cell>
          <cell r="H25">
            <v>34754612</v>
          </cell>
          <cell r="I25">
            <v>38207367</v>
          </cell>
        </row>
        <row r="26">
          <cell r="G26">
            <v>90446850</v>
          </cell>
          <cell r="H26">
            <v>98979579</v>
          </cell>
          <cell r="I26">
            <v>108812872</v>
          </cell>
        </row>
        <row r="27">
          <cell r="G27">
            <v>140244761</v>
          </cell>
          <cell r="H27">
            <v>153475411</v>
          </cell>
          <cell r="I27">
            <v>168722683</v>
          </cell>
        </row>
        <row r="28">
          <cell r="G28">
            <v>42425041</v>
          </cell>
          <cell r="H28">
            <v>46427407</v>
          </cell>
          <cell r="I28">
            <v>51039816</v>
          </cell>
        </row>
        <row r="36">
          <cell r="F36">
            <v>1341236962</v>
          </cell>
          <cell r="G36">
            <v>1194591049</v>
          </cell>
        </row>
        <row r="37">
          <cell r="F37">
            <v>210995801</v>
          </cell>
          <cell r="G37">
            <v>202168270</v>
          </cell>
        </row>
        <row r="38">
          <cell r="F38">
            <v>600906603</v>
          </cell>
          <cell r="G38">
            <v>575766189</v>
          </cell>
        </row>
        <row r="39">
          <cell r="F39">
            <v>931751668</v>
          </cell>
          <cell r="G39">
            <v>892769531</v>
          </cell>
        </row>
        <row r="40">
          <cell r="F40">
            <v>281861529</v>
          </cell>
          <cell r="G40">
            <v>270069155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SI Projects 022020"/>
      <sheetName val="Input"/>
      <sheetName val="Program Descriptions"/>
    </sheetNames>
    <sheetDataSet>
      <sheetData sheetId="0">
        <row r="26">
          <cell r="N26">
            <v>39708.58</v>
          </cell>
          <cell r="O26">
            <v>96593.37</v>
          </cell>
          <cell r="P26">
            <v>153993.28</v>
          </cell>
          <cell r="Q26">
            <v>54737.959999999992</v>
          </cell>
          <cell r="R26">
            <v>389131.04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SI Projects 032020"/>
      <sheetName val="Input"/>
      <sheetName val="Program Descriptions"/>
    </sheetNames>
    <sheetDataSet>
      <sheetData sheetId="0">
        <row r="28">
          <cell r="N28">
            <v>89669.39</v>
          </cell>
          <cell r="O28">
            <v>57853.81</v>
          </cell>
          <cell r="P28">
            <v>72277.539999999994</v>
          </cell>
          <cell r="Q28">
            <v>16716.109999999997</v>
          </cell>
          <cell r="R28">
            <v>376719.10000000003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SI Projects 042020 05222020"/>
      <sheetName val="Input"/>
      <sheetName val="Program Descriptions"/>
    </sheetNames>
    <sheetDataSet>
      <sheetData sheetId="0">
        <row r="28">
          <cell r="N28">
            <v>184687.46999999997</v>
          </cell>
          <cell r="O28">
            <v>33435.19</v>
          </cell>
          <cell r="P28">
            <v>123735.46</v>
          </cell>
          <cell r="Q28">
            <v>36365.509999999922</v>
          </cell>
          <cell r="R28">
            <v>360589.65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onthly TD Calc"/>
      <sheetName val="TD EO Ex Post Gross Adj"/>
      <sheetName val="TD EO NTG Adj"/>
      <sheetName val="EO TD Carrying Costs"/>
      <sheetName val="EM&amp;V Inputs"/>
      <sheetName val="kW Actuals (Gross)"/>
    </sheetNames>
    <sheetDataSet>
      <sheetData sheetId="0" refreshError="1"/>
      <sheetData sheetId="1">
        <row r="44">
          <cell r="CY44">
            <v>0.14267984863071587</v>
          </cell>
          <cell r="CZ44">
            <v>0.35708861589367091</v>
          </cell>
          <cell r="DA44">
            <v>0.40574599013503615</v>
          </cell>
          <cell r="DB44">
            <v>9.4485545340576932E-2</v>
          </cell>
        </row>
      </sheetData>
      <sheetData sheetId="2">
        <row r="363">
          <cell r="DD363">
            <v>-1041427.6034010575</v>
          </cell>
        </row>
        <row r="364">
          <cell r="DD364">
            <v>-37272.289999999964</v>
          </cell>
        </row>
        <row r="365">
          <cell r="DD365">
            <v>122147.32999999997</v>
          </cell>
        </row>
        <row r="366">
          <cell r="DD366">
            <v>169641.44</v>
          </cell>
        </row>
        <row r="367">
          <cell r="DD367">
            <v>34067.5</v>
          </cell>
        </row>
      </sheetData>
      <sheetData sheetId="3">
        <row r="370">
          <cell r="DD370">
            <v>537465.77340105735</v>
          </cell>
        </row>
        <row r="371">
          <cell r="DD371">
            <v>101225.01999999996</v>
          </cell>
        </row>
        <row r="372">
          <cell r="DD372">
            <v>340699.47000000009</v>
          </cell>
        </row>
        <row r="373">
          <cell r="DD373">
            <v>191871.41999999998</v>
          </cell>
        </row>
        <row r="374">
          <cell r="DD374">
            <v>28892.499999999993</v>
          </cell>
        </row>
      </sheetData>
      <sheetData sheetId="4">
        <row r="48">
          <cell r="AN48">
            <v>11386.110000000004</v>
          </cell>
        </row>
        <row r="49">
          <cell r="AN49">
            <v>4637.5600000000004</v>
          </cell>
        </row>
        <row r="50">
          <cell r="AN50">
            <v>19663.030000000002</v>
          </cell>
        </row>
        <row r="51">
          <cell r="AN51">
            <v>15454.890000000001</v>
          </cell>
        </row>
        <row r="52">
          <cell r="AN52">
            <v>1656.59</v>
          </cell>
        </row>
      </sheetData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Program Descriptions"/>
      <sheetName val="Monthly TD Calc"/>
    </sheetNames>
    <sheetDataSet>
      <sheetData sheetId="0" refreshError="1"/>
      <sheetData sheetId="1" refreshError="1"/>
      <sheetData sheetId="2">
        <row r="460">
          <cell r="E460">
            <v>1099287</v>
          </cell>
          <cell r="F460">
            <v>1116544.5428666724</v>
          </cell>
          <cell r="G460">
            <v>1234730.7835866385</v>
          </cell>
          <cell r="H460">
            <v>1382823.2035753452</v>
          </cell>
        </row>
        <row r="461">
          <cell r="E461">
            <v>943.66979092732504</v>
          </cell>
          <cell r="F461">
            <v>1093.2649058332815</v>
          </cell>
          <cell r="G461">
            <v>15459.150964094906</v>
          </cell>
          <cell r="H461">
            <v>83216.742137563604</v>
          </cell>
        </row>
        <row r="462">
          <cell r="E462">
            <v>2661.0325113919025</v>
          </cell>
          <cell r="F462">
            <v>3082.8722991411478</v>
          </cell>
          <cell r="G462">
            <v>6764.3776664299776</v>
          </cell>
          <cell r="H462">
            <v>12197.640336402095</v>
          </cell>
        </row>
        <row r="463">
          <cell r="E463">
            <v>4242.3314970522597</v>
          </cell>
          <cell r="F463">
            <v>4914.8464740836325</v>
          </cell>
          <cell r="G463">
            <v>9608.8803154617835</v>
          </cell>
          <cell r="H463">
            <v>35533.120918227934</v>
          </cell>
        </row>
        <row r="464">
          <cell r="E464">
            <v>1507.9662006285125</v>
          </cell>
          <cell r="F464">
            <v>1747.0163209419368</v>
          </cell>
          <cell r="G464">
            <v>2886.9775150461423</v>
          </cell>
          <cell r="H464">
            <v>9496.1202985337059</v>
          </cell>
        </row>
        <row r="562">
          <cell r="E562">
            <v>77543.7</v>
          </cell>
          <cell r="F562">
            <v>83065.23</v>
          </cell>
          <cell r="G562">
            <v>94664.71</v>
          </cell>
          <cell r="H562">
            <v>107823.09999999999</v>
          </cell>
        </row>
        <row r="563">
          <cell r="E563">
            <v>66.569999999999993</v>
          </cell>
          <cell r="F563">
            <v>81.569999999999993</v>
          </cell>
          <cell r="G563">
            <v>1133.22</v>
          </cell>
          <cell r="H563">
            <v>6366.61</v>
          </cell>
        </row>
        <row r="564">
          <cell r="E564">
            <v>187.71</v>
          </cell>
          <cell r="F564">
            <v>230.01</v>
          </cell>
          <cell r="G564">
            <v>466.79999999999995</v>
          </cell>
          <cell r="H564">
            <v>736.73</v>
          </cell>
        </row>
        <row r="565">
          <cell r="E565">
            <v>299.25</v>
          </cell>
          <cell r="F565">
            <v>366.7</v>
          </cell>
          <cell r="G565">
            <v>671.93000000000006</v>
          </cell>
          <cell r="H565">
            <v>1436.58</v>
          </cell>
        </row>
        <row r="566">
          <cell r="E566">
            <v>106.37</v>
          </cell>
          <cell r="F566">
            <v>130.34</v>
          </cell>
          <cell r="G566">
            <v>224.95</v>
          </cell>
          <cell r="H566">
            <v>300.43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 Matrix @Meter"/>
      <sheetName val="PY1-PY3 Final EM&amp;V"/>
    </sheetNames>
    <sheetDataSet>
      <sheetData sheetId="0">
        <row r="18">
          <cell r="S18">
            <v>3528190.0700000003</v>
          </cell>
          <cell r="T18">
            <v>4826270.37</v>
          </cell>
          <cell r="W18">
            <v>674006.21</v>
          </cell>
          <cell r="X18">
            <v>1713084.19</v>
          </cell>
          <cell r="Y18">
            <v>2024596.5400000003</v>
          </cell>
          <cell r="Z18">
            <v>414583.44999999995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&amp;V Forecast"/>
    </sheetNames>
    <sheetDataSet>
      <sheetData sheetId="0">
        <row r="37">
          <cell r="K37">
            <v>7398.7</v>
          </cell>
          <cell r="L37">
            <v>7398.7</v>
          </cell>
          <cell r="M37">
            <v>7398.7</v>
          </cell>
          <cell r="N37">
            <v>7398.7</v>
          </cell>
          <cell r="O37">
            <v>7398.7</v>
          </cell>
          <cell r="P37">
            <v>7398.7</v>
          </cell>
        </row>
        <row r="38">
          <cell r="K38">
            <v>10034.23</v>
          </cell>
          <cell r="L38">
            <v>10034.23</v>
          </cell>
          <cell r="M38">
            <v>10034.23</v>
          </cell>
          <cell r="N38">
            <v>10034.23</v>
          </cell>
          <cell r="O38">
            <v>10034.23</v>
          </cell>
          <cell r="P38">
            <v>10034.23</v>
          </cell>
        </row>
        <row r="39">
          <cell r="K39">
            <v>2163.62</v>
          </cell>
          <cell r="L39">
            <v>2163.62</v>
          </cell>
          <cell r="M39">
            <v>2163.62</v>
          </cell>
          <cell r="N39">
            <v>2163.62</v>
          </cell>
          <cell r="O39">
            <v>2163.62</v>
          </cell>
          <cell r="P39">
            <v>2163.62</v>
          </cell>
        </row>
        <row r="40"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onthly TD Calc"/>
    </sheetNames>
    <sheetDataSet>
      <sheetData sheetId="0" refreshError="1"/>
      <sheetData sheetId="1">
        <row r="44">
          <cell r="CY44">
            <v>0.13576441564001979</v>
          </cell>
          <cell r="CZ44">
            <v>0.35611574316442379</v>
          </cell>
          <cell r="DA44">
            <v>0.4183185730547726</v>
          </cell>
          <cell r="DB44">
            <v>8.9801268140783777E-2</v>
          </cell>
        </row>
        <row r="285">
          <cell r="AT285">
            <v>3249772.3699641498</v>
          </cell>
          <cell r="AU285">
            <v>4177030.5106265787</v>
          </cell>
          <cell r="AV285">
            <v>3670317.7984049888</v>
          </cell>
          <cell r="AW285">
            <v>3305717.5520906802</v>
          </cell>
          <cell r="AX285">
            <v>3281805.3874220303</v>
          </cell>
          <cell r="AY285">
            <v>3159237.1988244001</v>
          </cell>
          <cell r="AZ285">
            <v>3370413.5458254805</v>
          </cell>
          <cell r="BA285">
            <v>3266081.7171445102</v>
          </cell>
          <cell r="BB285">
            <v>3680422.2557181921</v>
          </cell>
          <cell r="BC285">
            <v>3515394.0907785045</v>
          </cell>
          <cell r="BD285">
            <v>3065941.0702093444</v>
          </cell>
          <cell r="BE285">
            <v>3188466.8000968723</v>
          </cell>
          <cell r="BF285">
            <v>3066562.9817966414</v>
          </cell>
          <cell r="BG285">
            <v>3662309.1959070778</v>
          </cell>
          <cell r="BH285">
            <v>3670317.7984049888</v>
          </cell>
          <cell r="BI285">
            <v>3305717.5520906802</v>
          </cell>
          <cell r="BJ285">
            <v>3281805.3874220303</v>
          </cell>
          <cell r="BK285">
            <v>3159237.1988244001</v>
          </cell>
          <cell r="BL285">
            <v>3370413.5458254805</v>
          </cell>
          <cell r="BM285">
            <v>3266081.7171445102</v>
          </cell>
        </row>
        <row r="286">
          <cell r="AT286">
            <v>353223.36928250454</v>
          </cell>
          <cell r="AU286">
            <v>450596.26731509669</v>
          </cell>
          <cell r="AV286">
            <v>546257.46031236276</v>
          </cell>
          <cell r="AW286">
            <v>496691.12885422038</v>
          </cell>
          <cell r="AX286">
            <v>556097.3657622321</v>
          </cell>
          <cell r="AY286">
            <v>524405.96288920077</v>
          </cell>
          <cell r="AZ286">
            <v>556499.47614329192</v>
          </cell>
          <cell r="BA286">
            <v>546992.58507852885</v>
          </cell>
          <cell r="BB286">
            <v>563211.1824736062</v>
          </cell>
          <cell r="BC286">
            <v>575288.93952046824</v>
          </cell>
          <cell r="BD286">
            <v>521940.09533534345</v>
          </cell>
          <cell r="BE286">
            <v>550893.96566210699</v>
          </cell>
          <cell r="BF286">
            <v>519241.44169683417</v>
          </cell>
          <cell r="BG286">
            <v>517792.72147182899</v>
          </cell>
          <cell r="BH286">
            <v>546257.46031236276</v>
          </cell>
          <cell r="BI286">
            <v>496691.12885422038</v>
          </cell>
          <cell r="BJ286">
            <v>556097.3657622321</v>
          </cell>
          <cell r="BK286">
            <v>524405.96288920077</v>
          </cell>
          <cell r="BL286">
            <v>556499.47614329192</v>
          </cell>
          <cell r="BM286">
            <v>546992.58507852885</v>
          </cell>
        </row>
        <row r="287">
          <cell r="AT287">
            <v>1405959.7046065426</v>
          </cell>
          <cell r="AU287">
            <v>1662530.1278343846</v>
          </cell>
          <cell r="AV287">
            <v>1998762.7110877649</v>
          </cell>
          <cell r="AW287">
            <v>1812660.5122951441</v>
          </cell>
          <cell r="AX287">
            <v>2044973.9453570289</v>
          </cell>
          <cell r="AY287">
            <v>1934325.6695846934</v>
          </cell>
          <cell r="AZ287">
            <v>2051435.6097464242</v>
          </cell>
          <cell r="BA287">
            <v>2034680.2422364058</v>
          </cell>
          <cell r="BB287">
            <v>2100193.7252263715</v>
          </cell>
          <cell r="BC287">
            <v>2134682.8023906159</v>
          </cell>
          <cell r="BD287">
            <v>1939903.2451075946</v>
          </cell>
          <cell r="BE287">
            <v>2014354.5312926706</v>
          </cell>
          <cell r="BF287">
            <v>1902188.3875856276</v>
          </cell>
          <cell r="BG287">
            <v>1896713.2328896965</v>
          </cell>
          <cell r="BH287">
            <v>1998762.7110877649</v>
          </cell>
          <cell r="BI287">
            <v>1812660.5122951441</v>
          </cell>
          <cell r="BJ287">
            <v>2044973.9453570289</v>
          </cell>
          <cell r="BK287">
            <v>1934325.6695846934</v>
          </cell>
          <cell r="BL287">
            <v>2051435.6097464242</v>
          </cell>
          <cell r="BM287">
            <v>2034680.2422364058</v>
          </cell>
        </row>
        <row r="288">
          <cell r="AT288">
            <v>1939933.1830691225</v>
          </cell>
          <cell r="AU288">
            <v>2401311.3134864406</v>
          </cell>
          <cell r="AV288">
            <v>2932655.5697997292</v>
          </cell>
          <cell r="AW288">
            <v>2664302.9772219518</v>
          </cell>
          <cell r="AX288">
            <v>2990023.4024577467</v>
          </cell>
          <cell r="AY288">
            <v>2822497.4988393728</v>
          </cell>
          <cell r="AZ288">
            <v>2991661.3414560268</v>
          </cell>
          <cell r="BA288">
            <v>2941625.7665488054</v>
          </cell>
          <cell r="BB288">
            <v>3026421.3147310298</v>
          </cell>
          <cell r="BC288">
            <v>3087695.406693608</v>
          </cell>
          <cell r="BD288">
            <v>2808644.072664205</v>
          </cell>
          <cell r="BE288">
            <v>2956303.3048945833</v>
          </cell>
          <cell r="BF288">
            <v>2788695.0613562055</v>
          </cell>
          <cell r="BG288">
            <v>2780898.9069368993</v>
          </cell>
          <cell r="BH288">
            <v>2932655.5697997292</v>
          </cell>
          <cell r="BI288">
            <v>2664302.9772219518</v>
          </cell>
          <cell r="BJ288">
            <v>2990023.4024577467</v>
          </cell>
          <cell r="BK288">
            <v>2822497.4988393728</v>
          </cell>
          <cell r="BL288">
            <v>2991661.3414560268</v>
          </cell>
          <cell r="BM288">
            <v>2941625.7665488054</v>
          </cell>
        </row>
        <row r="289">
          <cell r="AT289">
            <v>535052.74559777428</v>
          </cell>
          <cell r="AU289">
            <v>574337.10665173898</v>
          </cell>
          <cell r="AV289">
            <v>622361.83728781843</v>
          </cell>
          <cell r="AW289">
            <v>566446.16349277867</v>
          </cell>
          <cell r="AX289">
            <v>630750.72616422456</v>
          </cell>
          <cell r="AY289">
            <v>594515.60397069028</v>
          </cell>
          <cell r="AZ289">
            <v>629016.14873591927</v>
          </cell>
          <cell r="BA289">
            <v>610341.14270159625</v>
          </cell>
          <cell r="BB289">
            <v>625162.41647787194</v>
          </cell>
          <cell r="BC289">
            <v>640902.78208922653</v>
          </cell>
          <cell r="BD289">
            <v>585000.13350031408</v>
          </cell>
          <cell r="BE289">
            <v>627474.44586290943</v>
          </cell>
          <cell r="BF289">
            <v>591300.97023510153</v>
          </cell>
          <cell r="BG289">
            <v>590013.94408156979</v>
          </cell>
          <cell r="BH289">
            <v>622361.83728781843</v>
          </cell>
          <cell r="BI289">
            <v>566446.16349277867</v>
          </cell>
          <cell r="BJ289">
            <v>630750.72616422456</v>
          </cell>
          <cell r="BK289">
            <v>594515.60397069028</v>
          </cell>
          <cell r="BL289">
            <v>629016.14873591927</v>
          </cell>
          <cell r="BM289">
            <v>610341.14270159625</v>
          </cell>
        </row>
        <row r="326">
          <cell r="AT326">
            <v>208840.79</v>
          </cell>
          <cell r="AU326">
            <v>250689.46</v>
          </cell>
          <cell r="AV326">
            <v>202171.15</v>
          </cell>
          <cell r="AW326">
            <v>192644.15</v>
          </cell>
          <cell r="AX326">
            <v>199173.98</v>
          </cell>
          <cell r="AY326">
            <v>197578.37</v>
          </cell>
          <cell r="AZ326">
            <v>216990.47</v>
          </cell>
          <cell r="BA326">
            <v>310643.09000000003</v>
          </cell>
          <cell r="BB326">
            <v>359810.86</v>
          </cell>
          <cell r="BC326">
            <v>342311.19</v>
          </cell>
          <cell r="BD326">
            <v>291163.2</v>
          </cell>
          <cell r="BE326">
            <v>182673.63</v>
          </cell>
          <cell r="BF326">
            <v>195698.16</v>
          </cell>
          <cell r="BG326">
            <v>218434.81</v>
          </cell>
          <cell r="BH326">
            <v>202171.15</v>
          </cell>
          <cell r="BI326">
            <v>192644.15</v>
          </cell>
          <cell r="BJ326">
            <v>199173.98</v>
          </cell>
          <cell r="BK326">
            <v>197578.37</v>
          </cell>
          <cell r="BL326">
            <v>216990.47</v>
          </cell>
          <cell r="BM326">
            <v>310643.09000000003</v>
          </cell>
        </row>
        <row r="327">
          <cell r="AT327">
            <v>26503.8</v>
          </cell>
          <cell r="AU327">
            <v>31195.41</v>
          </cell>
          <cell r="AV327">
            <v>35524.21</v>
          </cell>
          <cell r="AW327">
            <v>33100.22</v>
          </cell>
          <cell r="AX327">
            <v>37824.6</v>
          </cell>
          <cell r="AY327">
            <v>37436.51</v>
          </cell>
          <cell r="AZ327">
            <v>41945.8</v>
          </cell>
          <cell r="BA327">
            <v>52319</v>
          </cell>
          <cell r="BB327">
            <v>51334.75</v>
          </cell>
          <cell r="BC327">
            <v>52372.19</v>
          </cell>
          <cell r="BD327">
            <v>48332.98</v>
          </cell>
          <cell r="BE327">
            <v>39120.79</v>
          </cell>
          <cell r="BF327">
            <v>38159.29</v>
          </cell>
          <cell r="BG327">
            <v>35422.89</v>
          </cell>
          <cell r="BH327">
            <v>35524.21</v>
          </cell>
          <cell r="BI327">
            <v>33100.22</v>
          </cell>
          <cell r="BJ327">
            <v>37824.6</v>
          </cell>
          <cell r="BK327">
            <v>37436.51</v>
          </cell>
          <cell r="BL327">
            <v>41945.8</v>
          </cell>
          <cell r="BM327">
            <v>52319</v>
          </cell>
        </row>
        <row r="328">
          <cell r="AT328">
            <v>66591.47</v>
          </cell>
          <cell r="AU328">
            <v>71234.710000000006</v>
          </cell>
          <cell r="AV328">
            <v>79538.84</v>
          </cell>
          <cell r="AW328">
            <v>73707.55</v>
          </cell>
          <cell r="AX328">
            <v>84193.01</v>
          </cell>
          <cell r="AY328">
            <v>85475.64</v>
          </cell>
          <cell r="AZ328">
            <v>98233.21</v>
          </cell>
          <cell r="BA328">
            <v>127653.97</v>
          </cell>
          <cell r="BB328">
            <v>126334.1</v>
          </cell>
          <cell r="BC328">
            <v>128917.53</v>
          </cell>
          <cell r="BD328">
            <v>117550.52</v>
          </cell>
          <cell r="BE328">
            <v>87309.38</v>
          </cell>
          <cell r="BF328">
            <v>88423.72</v>
          </cell>
          <cell r="BG328">
            <v>80119.53</v>
          </cell>
          <cell r="BH328">
            <v>79538.84</v>
          </cell>
          <cell r="BI328">
            <v>73707.55</v>
          </cell>
          <cell r="BJ328">
            <v>84193.01</v>
          </cell>
          <cell r="BK328">
            <v>85475.64</v>
          </cell>
          <cell r="BL328">
            <v>98233.21</v>
          </cell>
          <cell r="BM328">
            <v>127653.97</v>
          </cell>
        </row>
        <row r="329">
          <cell r="AT329">
            <v>58795.78</v>
          </cell>
          <cell r="AU329">
            <v>64878.400000000001</v>
          </cell>
          <cell r="AV329">
            <v>74099.460000000006</v>
          </cell>
          <cell r="AW329">
            <v>70145.59</v>
          </cell>
          <cell r="AX329">
            <v>80833.100000000006</v>
          </cell>
          <cell r="AY329">
            <v>80990.09</v>
          </cell>
          <cell r="AZ329">
            <v>89527.57</v>
          </cell>
          <cell r="BA329">
            <v>119153.73</v>
          </cell>
          <cell r="BB329">
            <v>115601.38</v>
          </cell>
          <cell r="BC329">
            <v>119766.95</v>
          </cell>
          <cell r="BD329">
            <v>105741.59</v>
          </cell>
          <cell r="BE329">
            <v>81169.53</v>
          </cell>
          <cell r="BF329">
            <v>81177.56</v>
          </cell>
          <cell r="BG329">
            <v>73142.13</v>
          </cell>
          <cell r="BH329">
            <v>74099.460000000006</v>
          </cell>
          <cell r="BI329">
            <v>70145.59</v>
          </cell>
          <cell r="BJ329">
            <v>80833.100000000006</v>
          </cell>
          <cell r="BK329">
            <v>80990.09</v>
          </cell>
          <cell r="BL329">
            <v>89527.57</v>
          </cell>
          <cell r="BM329">
            <v>119153.73</v>
          </cell>
        </row>
        <row r="330">
          <cell r="AT330">
            <v>8578.34</v>
          </cell>
          <cell r="AU330">
            <v>8365.4599999999991</v>
          </cell>
          <cell r="AV330">
            <v>8391.92</v>
          </cell>
          <cell r="AW330">
            <v>8368.7000000000007</v>
          </cell>
          <cell r="AX330">
            <v>8930.94</v>
          </cell>
          <cell r="AY330">
            <v>7970.27</v>
          </cell>
          <cell r="AZ330">
            <v>9841.15</v>
          </cell>
          <cell r="BA330">
            <v>11275.11</v>
          </cell>
          <cell r="BB330">
            <v>10469.42</v>
          </cell>
          <cell r="BC330">
            <v>11336.85</v>
          </cell>
          <cell r="BD330">
            <v>10391.39</v>
          </cell>
          <cell r="BE330">
            <v>8434.2900000000009</v>
          </cell>
          <cell r="BF330">
            <v>9240.15</v>
          </cell>
          <cell r="BG330">
            <v>8317.08</v>
          </cell>
          <cell r="BH330">
            <v>8391.92</v>
          </cell>
          <cell r="BI330">
            <v>8368.7000000000007</v>
          </cell>
          <cell r="BJ330">
            <v>8930.94</v>
          </cell>
          <cell r="BK330">
            <v>7970.27</v>
          </cell>
          <cell r="BL330">
            <v>9841.15</v>
          </cell>
          <cell r="BM330">
            <v>11275.11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Program Descriptions"/>
      <sheetName val="Monthly Program Costs"/>
      <sheetName val="Monthly TD Calc"/>
      <sheetName val="Monthly kWh-kW"/>
      <sheetName val="Implementer Contract Rates"/>
    </sheetNames>
    <sheetDataSet>
      <sheetData sheetId="0" refreshError="1"/>
      <sheetData sheetId="1" refreshError="1"/>
      <sheetData sheetId="2">
        <row r="277">
          <cell r="L277">
            <v>984355.34999999986</v>
          </cell>
          <cell r="M277">
            <v>567768.98</v>
          </cell>
          <cell r="N277">
            <v>564853.09</v>
          </cell>
          <cell r="O277">
            <v>573993.13</v>
          </cell>
          <cell r="P277">
            <v>481250.38</v>
          </cell>
          <cell r="Q277">
            <v>1032003.63</v>
          </cell>
          <cell r="R277">
            <v>491048.42000000004</v>
          </cell>
          <cell r="S277">
            <v>500180.85000000003</v>
          </cell>
          <cell r="T277">
            <v>464567.77</v>
          </cell>
          <cell r="U277">
            <v>467793.09</v>
          </cell>
          <cell r="V277">
            <v>458864.59</v>
          </cell>
          <cell r="W277">
            <v>597726.9</v>
          </cell>
          <cell r="X277">
            <v>451974.43000000005</v>
          </cell>
          <cell r="Y277">
            <v>506976.53</v>
          </cell>
        </row>
        <row r="278">
          <cell r="L278">
            <v>61562.339999999989</v>
          </cell>
          <cell r="M278">
            <v>63845.889999999992</v>
          </cell>
          <cell r="N278">
            <v>62962.259999999995</v>
          </cell>
          <cell r="O278">
            <v>72424.03</v>
          </cell>
          <cell r="P278">
            <v>64639.67</v>
          </cell>
          <cell r="Q278">
            <v>83657.670000000013</v>
          </cell>
          <cell r="R278">
            <v>72433.440000000002</v>
          </cell>
          <cell r="S278">
            <v>72808.490000000005</v>
          </cell>
          <cell r="T278">
            <v>46662.640000000007</v>
          </cell>
          <cell r="U278">
            <v>51197.180000000008</v>
          </cell>
          <cell r="V278">
            <v>69283.5</v>
          </cell>
          <cell r="W278">
            <v>76320.22</v>
          </cell>
          <cell r="X278">
            <v>67523.09</v>
          </cell>
          <cell r="Y278">
            <v>74704.33</v>
          </cell>
        </row>
        <row r="279">
          <cell r="L279">
            <v>149492.5</v>
          </cell>
          <cell r="M279">
            <v>155931.88</v>
          </cell>
          <cell r="N279">
            <v>153440.16999999998</v>
          </cell>
          <cell r="O279">
            <v>180121.16000000003</v>
          </cell>
          <cell r="P279">
            <v>158170.20000000001</v>
          </cell>
          <cell r="Q279">
            <v>184015.27</v>
          </cell>
          <cell r="R279">
            <v>181845.04</v>
          </cell>
          <cell r="S279">
            <v>182902.63</v>
          </cell>
          <cell r="T279">
            <v>99322.32</v>
          </cell>
          <cell r="U279">
            <v>112109.17000000001</v>
          </cell>
          <cell r="V279">
            <v>164369.06</v>
          </cell>
          <cell r="W279">
            <v>184301.63</v>
          </cell>
          <cell r="X279">
            <v>159404.90000000002</v>
          </cell>
          <cell r="Y279">
            <v>179745.03</v>
          </cell>
        </row>
        <row r="280">
          <cell r="L280">
            <v>241373.96</v>
          </cell>
          <cell r="M280">
            <v>251639.9</v>
          </cell>
          <cell r="N280">
            <v>247667.5</v>
          </cell>
          <cell r="O280">
            <v>290203.47000000009</v>
          </cell>
          <cell r="P280">
            <v>255208.34</v>
          </cell>
          <cell r="Q280">
            <v>298840.84999999998</v>
          </cell>
          <cell r="R280">
            <v>295337.81999999995</v>
          </cell>
          <cell r="S280">
            <v>297023.87</v>
          </cell>
          <cell r="T280">
            <v>163770.97000000003</v>
          </cell>
          <cell r="U280">
            <v>184156.31000000006</v>
          </cell>
          <cell r="V280">
            <v>269240.66000000003</v>
          </cell>
          <cell r="W280">
            <v>301144.44</v>
          </cell>
          <cell r="X280">
            <v>261326.60000000003</v>
          </cell>
          <cell r="Y280">
            <v>293880.10000000003</v>
          </cell>
        </row>
        <row r="281">
          <cell r="L281">
            <v>85654.21</v>
          </cell>
          <cell r="M281">
            <v>89303.309999999983</v>
          </cell>
          <cell r="N281">
            <v>87891.29</v>
          </cell>
          <cell r="O281">
            <v>103011.01</v>
          </cell>
          <cell r="P281">
            <v>90571.739999999976</v>
          </cell>
          <cell r="Q281">
            <v>105966.52</v>
          </cell>
          <cell r="R281">
            <v>104723.39</v>
          </cell>
          <cell r="S281">
            <v>105322.71</v>
          </cell>
          <cell r="T281">
            <v>57957.310000000005</v>
          </cell>
          <cell r="U281">
            <v>65203.420000000006</v>
          </cell>
          <cell r="V281">
            <v>95363.689999999988</v>
          </cell>
          <cell r="W281">
            <v>106698.14000000001</v>
          </cell>
          <cell r="X281">
            <v>92550.59</v>
          </cell>
          <cell r="Y281">
            <v>104115.98</v>
          </cell>
        </row>
      </sheetData>
      <sheetData sheetId="3">
        <row r="461">
          <cell r="I461">
            <v>1305521.8599215399</v>
          </cell>
          <cell r="J461">
            <v>1396922.8461304836</v>
          </cell>
          <cell r="K461">
            <v>1817822.0330971968</v>
          </cell>
          <cell r="L461">
            <v>2011922.8561084736</v>
          </cell>
          <cell r="M461">
            <v>1847072.190355689</v>
          </cell>
          <cell r="N461">
            <v>2088938.1467053497</v>
          </cell>
          <cell r="O461">
            <v>2240242.0606203047</v>
          </cell>
          <cell r="P461">
            <v>2721561.7792624477</v>
          </cell>
          <cell r="Q461">
            <v>2907476.4015787756</v>
          </cell>
          <cell r="R461">
            <v>2819576.1663013035</v>
          </cell>
          <cell r="S461">
            <v>2873801.4238623022</v>
          </cell>
          <cell r="T461">
            <v>2847679.2819343074</v>
          </cell>
          <cell r="U461">
            <v>3000126.5276674689</v>
          </cell>
          <cell r="V461">
            <v>2933725.1939693578</v>
          </cell>
        </row>
        <row r="462">
          <cell r="I462">
            <v>163207.41860450516</v>
          </cell>
          <cell r="J462">
            <v>175063.79869875833</v>
          </cell>
          <cell r="K462">
            <v>204742.31512842543</v>
          </cell>
          <cell r="L462">
            <v>233918.67321466815</v>
          </cell>
          <cell r="M462">
            <v>241297.20184185711</v>
          </cell>
          <cell r="N462">
            <v>287673.32955713262</v>
          </cell>
          <cell r="O462">
            <v>305377.64600999228</v>
          </cell>
          <cell r="P462">
            <v>338188.35845187429</v>
          </cell>
          <cell r="Q462">
            <v>375407.55637187307</v>
          </cell>
          <cell r="R462">
            <v>350437.10753031605</v>
          </cell>
          <cell r="S462">
            <v>406225.73132961447</v>
          </cell>
          <cell r="T462">
            <v>412909.21126735775</v>
          </cell>
          <cell r="U462">
            <v>458156.29941132088</v>
          </cell>
          <cell r="V462">
            <v>466051.69519040984</v>
          </cell>
        </row>
        <row r="463">
          <cell r="I463">
            <v>68331.900377668295</v>
          </cell>
          <cell r="J463">
            <v>117721.02210057694</v>
          </cell>
          <cell r="K463">
            <v>180084.45683064361</v>
          </cell>
          <cell r="L463">
            <v>252986.81061011204</v>
          </cell>
          <cell r="M463">
            <v>312729.41717889119</v>
          </cell>
          <cell r="N463">
            <v>418466.13954196015</v>
          </cell>
          <cell r="O463">
            <v>490379.99254291569</v>
          </cell>
          <cell r="P463">
            <v>582867.49303119094</v>
          </cell>
          <cell r="Q463">
            <v>671376.64123023872</v>
          </cell>
          <cell r="R463">
            <v>638176.42973164876</v>
          </cell>
          <cell r="S463">
            <v>758593.56795639219</v>
          </cell>
          <cell r="T463">
            <v>795178.99505672348</v>
          </cell>
          <cell r="U463">
            <v>906627.1609628126</v>
          </cell>
          <cell r="V463">
            <v>945565.16249969497</v>
          </cell>
        </row>
        <row r="464">
          <cell r="I464">
            <v>145120.59860269717</v>
          </cell>
          <cell r="J464">
            <v>222266.19296510721</v>
          </cell>
          <cell r="K464">
            <v>322618.23989692243</v>
          </cell>
          <cell r="L464">
            <v>439527.45685302152</v>
          </cell>
          <cell r="M464">
            <v>532270.09282085055</v>
          </cell>
          <cell r="N464">
            <v>704207.05142620404</v>
          </cell>
          <cell r="O464">
            <v>818624.86701659695</v>
          </cell>
          <cell r="P464">
            <v>968022.52513451851</v>
          </cell>
          <cell r="Q464">
            <v>1112081.8389409424</v>
          </cell>
          <cell r="R464">
            <v>1055164.6193302101</v>
          </cell>
          <cell r="S464">
            <v>1251890.0948425848</v>
          </cell>
          <cell r="T464">
            <v>1309574.3849955595</v>
          </cell>
          <cell r="U464">
            <v>1490810.5804952518</v>
          </cell>
          <cell r="V464">
            <v>1552304.4037138047</v>
          </cell>
        </row>
        <row r="465">
          <cell r="I465">
            <v>46057.65396512211</v>
          </cell>
          <cell r="J465">
            <v>73717.35933284479</v>
          </cell>
          <cell r="K465">
            <v>109244.89028168163</v>
          </cell>
          <cell r="L465">
            <v>150697.77121468252</v>
          </cell>
          <cell r="M465">
            <v>184040.05118893736</v>
          </cell>
          <cell r="N465">
            <v>244744.47083228486</v>
          </cell>
          <cell r="O465">
            <v>285631.8591844581</v>
          </cell>
          <cell r="P465">
            <v>338629.92543237936</v>
          </cell>
          <cell r="Q465">
            <v>389516.30411768734</v>
          </cell>
          <cell r="R465">
            <v>369837.69624106318</v>
          </cell>
          <cell r="S465">
            <v>439171.41222422721</v>
          </cell>
          <cell r="T465">
            <v>459882.03594298445</v>
          </cell>
          <cell r="U465">
            <v>523956.06691831979</v>
          </cell>
          <cell r="V465">
            <v>546004.56285607629</v>
          </cell>
        </row>
        <row r="563">
          <cell r="I563">
            <v>102439.88999999998</v>
          </cell>
          <cell r="J563">
            <v>159859.71000000002</v>
          </cell>
          <cell r="K563">
            <v>211065.81</v>
          </cell>
          <cell r="L563">
            <v>232158.57</v>
          </cell>
          <cell r="M563">
            <v>207303.91999999998</v>
          </cell>
          <cell r="N563">
            <v>140250.23999999999</v>
          </cell>
          <cell r="O563">
            <v>166838.65</v>
          </cell>
          <cell r="P563">
            <v>186249.55000000002</v>
          </cell>
          <cell r="Q563">
            <v>183086.16999999998</v>
          </cell>
          <cell r="R563">
            <v>188082.99</v>
          </cell>
          <cell r="S563">
            <v>200069.8</v>
          </cell>
          <cell r="T563">
            <v>204548.13000000003</v>
          </cell>
          <cell r="U563">
            <v>220354.09</v>
          </cell>
          <cell r="V563">
            <v>316892.06000000006</v>
          </cell>
        </row>
        <row r="564">
          <cell r="I564">
            <v>13215.16</v>
          </cell>
          <cell r="J564">
            <v>18107.88</v>
          </cell>
          <cell r="K564">
            <v>20206.54</v>
          </cell>
          <cell r="L564">
            <v>23044.309999999998</v>
          </cell>
          <cell r="M564">
            <v>24009.47</v>
          </cell>
          <cell r="N564">
            <v>21727.39</v>
          </cell>
          <cell r="O564">
            <v>23837.18</v>
          </cell>
          <cell r="P564">
            <v>24371.660000000003</v>
          </cell>
          <cell r="Q564">
            <v>25761.3</v>
          </cell>
          <cell r="R564">
            <v>24654.63</v>
          </cell>
          <cell r="S564">
            <v>29282.280000000002</v>
          </cell>
          <cell r="T564">
            <v>31175.410000000003</v>
          </cell>
          <cell r="U564">
            <v>36549.600000000006</v>
          </cell>
          <cell r="V564">
            <v>47397.65</v>
          </cell>
        </row>
        <row r="565">
          <cell r="I565">
            <v>4524.22</v>
          </cell>
          <cell r="J565">
            <v>9733.6999999999989</v>
          </cell>
          <cell r="K565">
            <v>13781.67</v>
          </cell>
          <cell r="L565">
            <v>18729.18</v>
          </cell>
          <cell r="M565">
            <v>22542.29</v>
          </cell>
          <cell r="N565">
            <v>20292.86</v>
          </cell>
          <cell r="O565">
            <v>25366</v>
          </cell>
          <cell r="P565">
            <v>26964.600000000002</v>
          </cell>
          <cell r="Q565">
            <v>29106.68</v>
          </cell>
          <cell r="R565">
            <v>28394.339999999997</v>
          </cell>
          <cell r="S565">
            <v>34269.4</v>
          </cell>
          <cell r="T565">
            <v>38290.600000000006</v>
          </cell>
          <cell r="U565">
            <v>47011.340000000004</v>
          </cell>
          <cell r="V565">
            <v>65142.979999999996</v>
          </cell>
        </row>
        <row r="566">
          <cell r="I566">
            <v>7207.26</v>
          </cell>
          <cell r="J566">
            <v>13710.430000000002</v>
          </cell>
          <cell r="K566">
            <v>17895.48</v>
          </cell>
          <cell r="L566">
            <v>23332.190000000002</v>
          </cell>
          <cell r="M566">
            <v>26458.269999999997</v>
          </cell>
          <cell r="N566">
            <v>22996.230000000003</v>
          </cell>
          <cell r="O566">
            <v>27981.799999999996</v>
          </cell>
          <cell r="P566">
            <v>28936.989999999998</v>
          </cell>
          <cell r="Q566">
            <v>31497.120000000003</v>
          </cell>
          <cell r="R566">
            <v>31313.62</v>
          </cell>
          <cell r="S566">
            <v>38134.959999999999</v>
          </cell>
          <cell r="T566">
            <v>41900.36</v>
          </cell>
          <cell r="U566">
            <v>49291.669999999991</v>
          </cell>
          <cell r="V566">
            <v>70809.900000000009</v>
          </cell>
        </row>
        <row r="567">
          <cell r="I567">
            <v>1929.6999999999998</v>
          </cell>
          <cell r="J567">
            <v>3230.14</v>
          </cell>
          <cell r="K567">
            <v>3877.1699999999996</v>
          </cell>
          <cell r="L567">
            <v>4835.4400000000005</v>
          </cell>
          <cell r="M567">
            <v>5321.27</v>
          </cell>
          <cell r="N567">
            <v>4291.0700000000006</v>
          </cell>
          <cell r="O567">
            <v>5447.7000000000007</v>
          </cell>
          <cell r="P567">
            <v>5292.49</v>
          </cell>
          <cell r="Q567">
            <v>5681.39</v>
          </cell>
          <cell r="R567">
            <v>5963.84</v>
          </cell>
          <cell r="S567">
            <v>6817.48</v>
          </cell>
          <cell r="T567">
            <v>6630.15</v>
          </cell>
          <cell r="U567">
            <v>8587.57</v>
          </cell>
          <cell r="V567">
            <v>11059.79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ycle 2"/>
      <sheetName val="Cycle 3"/>
      <sheetName val="SI Projects DSIM Rider 112019-0"/>
    </sheetNames>
    <sheetDataSet>
      <sheetData sheetId="0">
        <row r="26">
          <cell r="C26">
            <v>953322.72000000032</v>
          </cell>
          <cell r="D26">
            <v>719362.07999999984</v>
          </cell>
          <cell r="E26">
            <v>561050.23</v>
          </cell>
          <cell r="F26">
            <v>20373.730000000003</v>
          </cell>
          <cell r="G26">
            <v>51860.30000000001</v>
          </cell>
          <cell r="H26">
            <v>-277.09999999999633</v>
          </cell>
        </row>
        <row r="27">
          <cell r="C27">
            <v>684714.59</v>
          </cell>
          <cell r="D27">
            <v>690900.12000000011</v>
          </cell>
          <cell r="E27">
            <v>2012176.93</v>
          </cell>
          <cell r="F27">
            <v>-18949.290000000008</v>
          </cell>
          <cell r="G27">
            <v>97281.349999999977</v>
          </cell>
          <cell r="H27">
            <v>0</v>
          </cell>
        </row>
        <row r="28">
          <cell r="C28">
            <v>134731.33999999991</v>
          </cell>
          <cell r="D28">
            <v>177758.84000000003</v>
          </cell>
          <cell r="E28">
            <v>8810.4299999999967</v>
          </cell>
          <cell r="F28">
            <v>4706.5400000000081</v>
          </cell>
          <cell r="G28">
            <v>17126.8</v>
          </cell>
          <cell r="H28">
            <v>-7.2759576141834259E-12</v>
          </cell>
        </row>
        <row r="29">
          <cell r="C29">
            <v>22149.200000000004</v>
          </cell>
          <cell r="D29">
            <v>63029.700000000004</v>
          </cell>
          <cell r="E29">
            <v>-382.16999999999973</v>
          </cell>
          <cell r="F29">
            <v>382.16999999999962</v>
          </cell>
          <cell r="G29">
            <v>0</v>
          </cell>
          <cell r="H29">
            <v>38641.369999999995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CPL-MO Revenue Analysis"/>
      <sheetName val="January 2019 Combined"/>
      <sheetName val="February 2019 Combined"/>
      <sheetName val="March 2019 Combined"/>
      <sheetName val="April 2019 Combined"/>
      <sheetName val="May 2019 Combined"/>
      <sheetName val="June 2019 Combined"/>
      <sheetName val="July 2019 Combined"/>
      <sheetName val="August 2019 Combined"/>
      <sheetName val="September 2019 Combined"/>
      <sheetName val="October 2019 Combined"/>
      <sheetName val="November 2019 Combined"/>
      <sheetName val="December 2019 Combined"/>
      <sheetName val="KCP&amp;L MO DSIM Rate Table"/>
      <sheetName val="DSIM Rates - Initial RP"/>
      <sheetName val="DSIM Rates - 2nd RP"/>
      <sheetName val="DSIM Rates - 3rd RP"/>
      <sheetName val="DSIM Rates - 4th RP"/>
      <sheetName val="DSIM Rates - 4th RP Cycle 2"/>
      <sheetName val="DSIM Rates 5th RP"/>
      <sheetName val="DSIM Rates 6th RP"/>
      <sheetName val="DSIM Rates 7th RP"/>
      <sheetName val="DSIM Rates 8th RP"/>
      <sheetName val="DSIM Rates 9th RP"/>
      <sheetName val="DSIM Rates 10th RP"/>
      <sheetName val="DSIM Rates 11th R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4">
          <cell r="F24">
            <v>-1671.97</v>
          </cell>
        </row>
        <row r="25">
          <cell r="F25">
            <v>30.79</v>
          </cell>
        </row>
        <row r="34">
          <cell r="F34">
            <v>407676.67000000004</v>
          </cell>
        </row>
        <row r="35">
          <cell r="F35">
            <v>704524.51</v>
          </cell>
        </row>
        <row r="39">
          <cell r="F39">
            <v>95110.9</v>
          </cell>
        </row>
        <row r="40">
          <cell r="F40">
            <v>-18386.32</v>
          </cell>
        </row>
        <row r="44">
          <cell r="F44">
            <v>103676.31</v>
          </cell>
        </row>
        <row r="45">
          <cell r="F45">
            <v>86114.17</v>
          </cell>
        </row>
        <row r="61">
          <cell r="F61">
            <v>167151159.44839996</v>
          </cell>
        </row>
        <row r="62">
          <cell r="F62">
            <v>306209839.7143001</v>
          </cell>
        </row>
      </sheetData>
      <sheetData sheetId="12">
        <row r="24">
          <cell r="F24">
            <v>-2143.3000000000002</v>
          </cell>
        </row>
        <row r="25">
          <cell r="F25">
            <v>66.05</v>
          </cell>
        </row>
        <row r="34">
          <cell r="F34">
            <v>519392.97</v>
          </cell>
        </row>
        <row r="35">
          <cell r="F35">
            <v>795919.81</v>
          </cell>
        </row>
        <row r="39">
          <cell r="F39">
            <v>120867.93</v>
          </cell>
        </row>
        <row r="40">
          <cell r="F40">
            <v>-20802.62</v>
          </cell>
        </row>
        <row r="44">
          <cell r="F44">
            <v>132221.42000000001</v>
          </cell>
        </row>
        <row r="45">
          <cell r="F45">
            <v>97642.42</v>
          </cell>
        </row>
        <row r="61">
          <cell r="F61">
            <v>213127025.04459995</v>
          </cell>
        </row>
        <row r="62">
          <cell r="F62">
            <v>345849100.55479997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y 2020"/>
      <sheetName val="February 2020"/>
      <sheetName val="March 2020"/>
      <sheetName val="April 2020"/>
      <sheetName val="KCP&amp;L MO DSIM Rate Table"/>
      <sheetName val="DSIM Rates - Initial RP"/>
      <sheetName val="DSIM Rates - 2nd RP"/>
      <sheetName val="DSIM Rates - 3rd RP"/>
      <sheetName val="DSIM Rates - 4th RP"/>
      <sheetName val="DSIM Rates - 4th RP Cycle 2"/>
      <sheetName val="DSIM Rates 5th RP"/>
      <sheetName val="DSIM Rates 6th RP"/>
      <sheetName val="DSIM Rates 7th RP"/>
      <sheetName val="DSIM Rates 8th RP"/>
      <sheetName val="DSIM Rates 9th RP"/>
      <sheetName val="DSIM Rates 10th RP"/>
      <sheetName val="DSIM Rates 11th RP"/>
    </sheetNames>
    <sheetDataSet>
      <sheetData sheetId="0">
        <row r="29">
          <cell r="F29">
            <v>-2237.92</v>
          </cell>
        </row>
        <row r="30">
          <cell r="F30">
            <v>57.64</v>
          </cell>
        </row>
        <row r="39">
          <cell r="F39">
            <v>551227.51</v>
          </cell>
        </row>
        <row r="40">
          <cell r="F40">
            <v>763953.71000000008</v>
          </cell>
        </row>
        <row r="44">
          <cell r="F44">
            <v>128619.83999999998</v>
          </cell>
        </row>
        <row r="45">
          <cell r="F45">
            <v>-19885.23</v>
          </cell>
        </row>
        <row r="49">
          <cell r="F49">
            <v>140179.26</v>
          </cell>
        </row>
        <row r="50">
          <cell r="F50">
            <v>93226.37</v>
          </cell>
        </row>
        <row r="66">
          <cell r="F66">
            <v>225998161.62020007</v>
          </cell>
        </row>
        <row r="67">
          <cell r="F67">
            <v>331987552.64590001</v>
          </cell>
        </row>
      </sheetData>
      <sheetData sheetId="1">
        <row r="33">
          <cell r="F33">
            <v>-2316.1999999999998</v>
          </cell>
        </row>
        <row r="34">
          <cell r="F34">
            <v>62.93</v>
          </cell>
        </row>
        <row r="43">
          <cell r="F43">
            <v>563116.31999999995</v>
          </cell>
        </row>
        <row r="44">
          <cell r="F44">
            <v>65312.732939782356</v>
          </cell>
        </row>
        <row r="45">
          <cell r="F45">
            <v>139143.49911051351</v>
          </cell>
        </row>
        <row r="46">
          <cell r="F46">
            <v>333629.6790332754</v>
          </cell>
        </row>
        <row r="47">
          <cell r="F47">
            <v>229924.99891642871</v>
          </cell>
        </row>
        <row r="52">
          <cell r="F52">
            <v>131511.25</v>
          </cell>
        </row>
        <row r="53">
          <cell r="F53">
            <v>-1683.802826086627</v>
          </cell>
        </row>
        <row r="54">
          <cell r="F54">
            <v>-3516.2709684636775</v>
          </cell>
        </row>
        <row r="55">
          <cell r="F55">
            <v>-8626.4911096098549</v>
          </cell>
        </row>
        <row r="56">
          <cell r="F56">
            <v>-5978.2750816615571</v>
          </cell>
        </row>
        <row r="61">
          <cell r="F61">
            <v>143386.23999999999</v>
          </cell>
        </row>
        <row r="62">
          <cell r="F62">
            <v>7995.1714084639516</v>
          </cell>
        </row>
        <row r="63">
          <cell r="F63">
            <v>17117.044946476191</v>
          </cell>
        </row>
        <row r="64">
          <cell r="F64">
            <v>40712.55959636451</v>
          </cell>
        </row>
        <row r="65">
          <cell r="F65">
            <v>28006.084048695353</v>
          </cell>
        </row>
        <row r="70">
          <cell r="F70">
            <v>100.36</v>
          </cell>
        </row>
        <row r="71">
          <cell r="F71">
            <v>23.32</v>
          </cell>
        </row>
        <row r="72">
          <cell r="F72">
            <v>62.28</v>
          </cell>
        </row>
        <row r="73">
          <cell r="F73">
            <v>112.43</v>
          </cell>
        </row>
        <row r="74">
          <cell r="F74">
            <v>23.22</v>
          </cell>
        </row>
        <row r="79">
          <cell r="F79">
            <v>404.8</v>
          </cell>
        </row>
        <row r="80">
          <cell r="F80">
            <v>37.1</v>
          </cell>
        </row>
        <row r="81">
          <cell r="F81">
            <v>77.17</v>
          </cell>
        </row>
        <row r="82">
          <cell r="F82">
            <v>215.95</v>
          </cell>
        </row>
        <row r="83">
          <cell r="F83">
            <v>79.599999999999994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5">
          <cell r="F95">
            <v>125.45</v>
          </cell>
        </row>
        <row r="96">
          <cell r="F96">
            <v>5.3</v>
          </cell>
        </row>
        <row r="97">
          <cell r="F97">
            <v>8.1199999999999992</v>
          </cell>
        </row>
        <row r="98">
          <cell r="F98">
            <v>14.28</v>
          </cell>
        </row>
        <row r="99">
          <cell r="F99">
            <v>1.99</v>
          </cell>
        </row>
        <row r="117">
          <cell r="F117">
            <v>231023555.92100009</v>
          </cell>
        </row>
        <row r="118">
          <cell r="F118">
            <v>334061385.18400002</v>
          </cell>
        </row>
        <row r="123">
          <cell r="F123">
            <v>167271.89110000001</v>
          </cell>
        </row>
        <row r="124">
          <cell r="F124">
            <v>26501.613200000003</v>
          </cell>
        </row>
        <row r="125">
          <cell r="F125">
            <v>67691.012900000002</v>
          </cell>
        </row>
        <row r="126">
          <cell r="F126">
            <v>178468.02240000002</v>
          </cell>
        </row>
        <row r="127">
          <cell r="F127">
            <v>66331.354300000006</v>
          </cell>
        </row>
      </sheetData>
      <sheetData sheetId="2">
        <row r="33">
          <cell r="F33">
            <v>9659.5699999999943</v>
          </cell>
        </row>
        <row r="34">
          <cell r="F34">
            <v>-16301.329999999905</v>
          </cell>
        </row>
        <row r="43">
          <cell r="F43">
            <v>271882.33</v>
          </cell>
        </row>
        <row r="44">
          <cell r="F44">
            <v>55888.13685385188</v>
          </cell>
        </row>
        <row r="45">
          <cell r="F45">
            <v>124016.89520883463</v>
          </cell>
        </row>
        <row r="46">
          <cell r="F46">
            <v>188647.6431348382</v>
          </cell>
        </row>
        <row r="47">
          <cell r="F47">
            <v>39160.664802475294</v>
          </cell>
        </row>
        <row r="52">
          <cell r="F52">
            <v>119770.04000000001</v>
          </cell>
        </row>
        <row r="53">
          <cell r="F53">
            <v>10028.303398576794</v>
          </cell>
        </row>
        <row r="54">
          <cell r="F54">
            <v>19763.413189397368</v>
          </cell>
        </row>
        <row r="55">
          <cell r="F55">
            <v>23456.86863747843</v>
          </cell>
        </row>
        <row r="56">
          <cell r="F56">
            <v>4451.3947745474079</v>
          </cell>
        </row>
        <row r="61">
          <cell r="F61">
            <v>178219.41999999998</v>
          </cell>
        </row>
        <row r="62">
          <cell r="F62">
            <v>27173.906049619349</v>
          </cell>
        </row>
        <row r="63">
          <cell r="F63">
            <v>51169.95437505313</v>
          </cell>
        </row>
        <row r="64">
          <cell r="F64">
            <v>57479.399710958904</v>
          </cell>
        </row>
        <row r="65">
          <cell r="F65">
            <v>8172.5298643686219</v>
          </cell>
        </row>
        <row r="70">
          <cell r="F70">
            <v>38865.710000000006</v>
          </cell>
        </row>
        <row r="71">
          <cell r="F71">
            <v>17257.295255880672</v>
          </cell>
        </row>
        <row r="72">
          <cell r="F72">
            <v>40286.293203175162</v>
          </cell>
        </row>
        <row r="73">
          <cell r="F73">
            <v>49420.438821126772</v>
          </cell>
        </row>
        <row r="74">
          <cell r="F74">
            <v>7943.9427198172916</v>
          </cell>
        </row>
        <row r="79">
          <cell r="F79">
            <v>200045.46</v>
          </cell>
        </row>
        <row r="80">
          <cell r="F80">
            <v>23559.35</v>
          </cell>
        </row>
        <row r="81">
          <cell r="F81">
            <v>42837.04</v>
          </cell>
        </row>
        <row r="82">
          <cell r="F82">
            <v>81451.02</v>
          </cell>
        </row>
        <row r="83">
          <cell r="F83">
            <v>23371.9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5">
          <cell r="F95">
            <v>61997.57</v>
          </cell>
        </row>
        <row r="96">
          <cell r="F96">
            <v>3365.6099999999997</v>
          </cell>
        </row>
        <row r="97">
          <cell r="F97">
            <v>4509.16</v>
          </cell>
        </row>
        <row r="98">
          <cell r="F98">
            <v>5385.19</v>
          </cell>
        </row>
        <row r="99">
          <cell r="F99">
            <v>584.29999999999995</v>
          </cell>
        </row>
        <row r="117">
          <cell r="F117">
            <v>191417512.17350006</v>
          </cell>
        </row>
        <row r="118">
          <cell r="F118">
            <v>314404618.0194</v>
          </cell>
        </row>
        <row r="123">
          <cell r="F123">
            <v>82663413.682399988</v>
          </cell>
        </row>
        <row r="124">
          <cell r="F124">
            <v>16828106.7962</v>
          </cell>
        </row>
        <row r="125">
          <cell r="F125">
            <v>37576348.984000005</v>
          </cell>
        </row>
        <row r="126">
          <cell r="F126">
            <v>67314889.223399997</v>
          </cell>
        </row>
        <row r="127">
          <cell r="F127">
            <v>19476579.193</v>
          </cell>
        </row>
      </sheetData>
      <sheetData sheetId="3">
        <row r="33">
          <cell r="F33">
            <v>0</v>
          </cell>
        </row>
        <row r="34">
          <cell r="F34">
            <v>0</v>
          </cell>
        </row>
        <row r="43">
          <cell r="F43">
            <v>14338.880000000001</v>
          </cell>
        </row>
        <row r="44">
          <cell r="F44">
            <v>3526.4137851002038</v>
          </cell>
        </row>
        <row r="45">
          <cell r="F45">
            <v>7311.8979362983046</v>
          </cell>
        </row>
        <row r="46">
          <cell r="F46">
            <v>8779.6483605648627</v>
          </cell>
        </row>
        <row r="47">
          <cell r="F47">
            <v>5932.0499180366296</v>
          </cell>
        </row>
        <row r="52">
          <cell r="F52">
            <v>117498.76000000001</v>
          </cell>
        </row>
        <row r="53">
          <cell r="F53">
            <v>22585.040382471154</v>
          </cell>
        </row>
        <row r="54">
          <cell r="F54">
            <v>45538.722813695713</v>
          </cell>
        </row>
        <row r="55">
          <cell r="F55">
            <v>53790.593307852694</v>
          </cell>
        </row>
        <row r="56">
          <cell r="F56">
            <v>9869.5334959804386</v>
          </cell>
        </row>
        <row r="61">
          <cell r="F61">
            <v>224982.04</v>
          </cell>
        </row>
        <row r="62">
          <cell r="F62">
            <v>40635.137046235082</v>
          </cell>
        </row>
        <row r="63">
          <cell r="F63">
            <v>72688.022038175128</v>
          </cell>
        </row>
        <row r="64">
          <cell r="F64">
            <v>66774.490214262245</v>
          </cell>
        </row>
        <row r="65">
          <cell r="F65">
            <v>6882.5607013275376</v>
          </cell>
        </row>
        <row r="70">
          <cell r="F70">
            <v>100610.56000000001</v>
          </cell>
        </row>
        <row r="71">
          <cell r="F71">
            <v>29248.588808249784</v>
          </cell>
        </row>
        <row r="72">
          <cell r="F72">
            <v>68732.976201913218</v>
          </cell>
        </row>
        <row r="73">
          <cell r="F73">
            <v>80734.281093664205</v>
          </cell>
        </row>
        <row r="74">
          <cell r="F74">
            <v>12477.183896151864</v>
          </cell>
        </row>
        <row r="79">
          <cell r="F79">
            <v>405786.45</v>
          </cell>
        </row>
        <row r="80">
          <cell r="F80">
            <v>46531.94</v>
          </cell>
        </row>
        <row r="81">
          <cell r="F81">
            <v>85169.3</v>
          </cell>
        </row>
        <row r="82">
          <cell r="F82">
            <v>155061.4</v>
          </cell>
        </row>
        <row r="83">
          <cell r="F83">
            <v>42778.99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5">
          <cell r="F95">
            <v>125760.27</v>
          </cell>
        </row>
        <row r="96">
          <cell r="F96">
            <v>6647.42</v>
          </cell>
        </row>
        <row r="97">
          <cell r="F97">
            <v>8965.2000000000007</v>
          </cell>
        </row>
        <row r="98">
          <cell r="F98">
            <v>10252</v>
          </cell>
        </row>
        <row r="99">
          <cell r="F99">
            <v>1069.47</v>
          </cell>
        </row>
        <row r="117">
          <cell r="F117">
            <v>168111022.72119999</v>
          </cell>
        </row>
        <row r="118">
          <cell r="F118">
            <v>273993532.86109996</v>
          </cell>
        </row>
        <row r="123">
          <cell r="F123">
            <v>167680353.1221</v>
          </cell>
        </row>
        <row r="124">
          <cell r="F124">
            <v>33237101.348200001</v>
          </cell>
        </row>
        <row r="125">
          <cell r="F125">
            <v>74709910.693700001</v>
          </cell>
        </row>
        <row r="126">
          <cell r="F126">
            <v>128149920.19850001</v>
          </cell>
        </row>
        <row r="127">
          <cell r="F127">
            <v>35649159.291299999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2019"/>
      <sheetName val="Dec 2019"/>
      <sheetName val="Jan 2020"/>
      <sheetName val="Feb 2020"/>
      <sheetName val="Mar 2020"/>
      <sheetName val="Apr 2020"/>
    </sheetNames>
    <sheetDataSet>
      <sheetData sheetId="0">
        <row r="51">
          <cell r="F51">
            <v>2.4882900000000002E-3</v>
          </cell>
        </row>
      </sheetData>
      <sheetData sheetId="1">
        <row r="51">
          <cell r="F51">
            <v>2.5028199999999998E-3</v>
          </cell>
        </row>
      </sheetData>
      <sheetData sheetId="2">
        <row r="51">
          <cell r="F51">
            <v>2.43764E-3</v>
          </cell>
        </row>
      </sheetData>
      <sheetData sheetId="3">
        <row r="51">
          <cell r="F51">
            <v>2.4056699999999999E-3</v>
          </cell>
        </row>
      </sheetData>
      <sheetData sheetId="4">
        <row r="51">
          <cell r="F51">
            <v>1.8183299999999999E-3</v>
          </cell>
        </row>
      </sheetData>
      <sheetData sheetId="5">
        <row r="50">
          <cell r="F50">
            <v>1.62864E-3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SI Projects 012020"/>
      <sheetName val="Input"/>
      <sheetName val="Program Descriptions"/>
    </sheetNames>
    <sheetDataSet>
      <sheetData sheetId="0">
        <row r="27">
          <cell r="N27">
            <v>23730.400000000001</v>
          </cell>
          <cell r="O27">
            <v>53788.25</v>
          </cell>
          <cell r="P27">
            <v>85751.50999999998</v>
          </cell>
          <cell r="Q27">
            <v>30480.950000000088</v>
          </cell>
          <cell r="R27">
            <v>365173.44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4"/>
  <sheetViews>
    <sheetView workbookViewId="0">
      <pane xSplit="2" ySplit="3" topLeftCell="L17" activePane="bottomRight" state="frozen"/>
      <selection pane="topRight" activeCell="C1" sqref="C1"/>
      <selection pane="bottomLeft" activeCell="A4" sqref="A4"/>
      <selection pane="bottomRight" activeCell="Q43" sqref="Q43"/>
    </sheetView>
  </sheetViews>
  <sheetFormatPr defaultRowHeight="15" outlineLevelCol="1" x14ac:dyDescent="0.25"/>
  <cols>
    <col min="2" max="2" width="25.140625" customWidth="1"/>
    <col min="3" max="3" width="16" bestFit="1" customWidth="1"/>
    <col min="4" max="4" width="15.5703125" customWidth="1"/>
    <col min="5" max="5" width="14.85546875" bestFit="1" customWidth="1"/>
    <col min="6" max="6" width="11.28515625" bestFit="1" customWidth="1"/>
    <col min="7" max="7" width="18.42578125" bestFit="1" customWidth="1"/>
    <col min="8" max="8" width="13.42578125" customWidth="1"/>
    <col min="9" max="9" width="3.5703125" customWidth="1"/>
    <col min="10" max="10" width="13.7109375" bestFit="1" customWidth="1"/>
    <col min="11" max="11" width="12.42578125" bestFit="1" customWidth="1"/>
    <col min="12" max="13" width="13.7109375" bestFit="1" customWidth="1"/>
    <col min="15" max="15" width="37.140625" customWidth="1" outlineLevel="1"/>
    <col min="16" max="16" width="19.28515625" customWidth="1" outlineLevel="1"/>
    <col min="17" max="17" width="16" style="59" customWidth="1" outlineLevel="1"/>
    <col min="18" max="18" width="9.140625" customWidth="1" outlineLevel="1"/>
    <col min="19" max="20" width="16" customWidth="1" outlineLevel="1"/>
    <col min="21" max="21" width="16" style="59" customWidth="1" outlineLevel="1"/>
    <col min="22" max="22" width="16" customWidth="1" outlineLevel="1"/>
    <col min="23" max="23" width="9.140625" customWidth="1" outlineLevel="1"/>
    <col min="24" max="27" width="16" bestFit="1" customWidth="1" outlineLevel="1"/>
    <col min="28" max="28" width="12" bestFit="1" customWidth="1"/>
  </cols>
  <sheetData>
    <row r="1" spans="1:28" x14ac:dyDescent="0.25">
      <c r="A1" s="3" t="str">
        <f>+'PPC Cycle 2'!A1</f>
        <v>Evergy Metro, Inc. - DSIM Rider Update Filed 06/01/2020</v>
      </c>
    </row>
    <row r="2" spans="1:28" ht="15.75" thickBot="1" x14ac:dyDescent="0.3">
      <c r="H2" s="59"/>
      <c r="I2" s="59"/>
      <c r="J2" s="61"/>
      <c r="K2" s="61"/>
    </row>
    <row r="3" spans="1:28" ht="27.75" thickBot="1" x14ac:dyDescent="0.3">
      <c r="B3" s="105" t="s">
        <v>8</v>
      </c>
      <c r="C3" s="148" t="s">
        <v>21</v>
      </c>
      <c r="D3" s="148" t="s">
        <v>22</v>
      </c>
      <c r="E3" s="148" t="s">
        <v>59</v>
      </c>
      <c r="F3" s="148" t="s">
        <v>23</v>
      </c>
      <c r="G3" s="148" t="s">
        <v>40</v>
      </c>
      <c r="H3" s="107" t="s">
        <v>30</v>
      </c>
      <c r="I3" s="51"/>
      <c r="J3" s="106" t="s">
        <v>15</v>
      </c>
      <c r="K3" s="107" t="s">
        <v>58</v>
      </c>
      <c r="L3" s="107" t="s">
        <v>76</v>
      </c>
      <c r="M3" s="107" t="s">
        <v>77</v>
      </c>
    </row>
    <row r="4" spans="1:28" ht="15.75" thickBot="1" x14ac:dyDescent="0.3">
      <c r="B4" s="108" t="s">
        <v>26</v>
      </c>
      <c r="C4" s="146">
        <f t="shared" ref="C4:F8" si="0">C13+C22</f>
        <v>8462432.1399999987</v>
      </c>
      <c r="D4" s="147">
        <f t="shared" si="0"/>
        <v>6239250.1838400001</v>
      </c>
      <c r="E4" s="147">
        <f t="shared" si="0"/>
        <v>1520180.2955999998</v>
      </c>
      <c r="F4" s="147">
        <f t="shared" si="0"/>
        <v>0</v>
      </c>
      <c r="G4" s="150">
        <f>'PPC Cycle 2'!B5</f>
        <v>2535828011</v>
      </c>
      <c r="H4" s="151">
        <f>ROUND(SUM(C4:F4)/G4,5)</f>
        <v>6.4000000000000003E-3</v>
      </c>
      <c r="I4" s="152"/>
      <c r="J4" s="216">
        <f>ROUND((C13+C22)/G4,5)</f>
        <v>3.3400000000000001E-3</v>
      </c>
      <c r="K4" s="153">
        <f>ROUND((D13+D22)/G4,5)</f>
        <v>2.4599999999999999E-3</v>
      </c>
      <c r="L4" s="153">
        <f>ROUND((E13+E22)/G4,5)</f>
        <v>5.9999999999999995E-4</v>
      </c>
      <c r="M4" s="153">
        <f>ROUND((F13+F22)/G4,5)</f>
        <v>0</v>
      </c>
    </row>
    <row r="5" spans="1:28" ht="15.75" thickBot="1" x14ac:dyDescent="0.3">
      <c r="B5" s="108" t="s">
        <v>121</v>
      </c>
      <c r="C5" s="146">
        <f t="shared" si="0"/>
        <v>956306.41999999993</v>
      </c>
      <c r="D5" s="147">
        <f t="shared" si="0"/>
        <v>846762.41979999992</v>
      </c>
      <c r="E5" s="147">
        <f t="shared" si="0"/>
        <v>365554.21</v>
      </c>
      <c r="F5" s="147">
        <f t="shared" si="0"/>
        <v>0</v>
      </c>
      <c r="G5" s="150">
        <f>+'PPC Cycle 2'!B10</f>
        <v>413164071</v>
      </c>
      <c r="H5" s="151">
        <f>ROUND(SUM(C5:F5)/G5,5)</f>
        <v>5.2500000000000003E-3</v>
      </c>
      <c r="I5" s="152"/>
      <c r="J5" s="296">
        <f>ROUND((C14+C23)/G5,5)+0.00001</f>
        <v>2.32E-3</v>
      </c>
      <c r="K5" s="153">
        <f>ROUND((D14+D23)/G5,5)</f>
        <v>2.0500000000000002E-3</v>
      </c>
      <c r="L5" s="153">
        <f>ROUND((E14+E23)/G5,5)</f>
        <v>8.8000000000000003E-4</v>
      </c>
      <c r="M5" s="153">
        <f>ROUND((F14+F23)/G5,5)</f>
        <v>0</v>
      </c>
    </row>
    <row r="6" spans="1:28" s="59" customFormat="1" ht="15.75" thickBot="1" x14ac:dyDescent="0.3">
      <c r="B6" s="108" t="s">
        <v>122</v>
      </c>
      <c r="C6" s="146">
        <f t="shared" si="0"/>
        <v>1741181.22</v>
      </c>
      <c r="D6" s="147">
        <f t="shared" si="0"/>
        <v>1523932.98388</v>
      </c>
      <c r="E6" s="147">
        <f t="shared" si="0"/>
        <v>1082730.1499999999</v>
      </c>
      <c r="F6" s="147">
        <f t="shared" si="0"/>
        <v>0</v>
      </c>
      <c r="G6" s="150">
        <f>+'PPC Cycle 2'!B11</f>
        <v>1176672792</v>
      </c>
      <c r="H6" s="151">
        <f>ROUND(SUM(C6:F6)/G6,5)</f>
        <v>3.7000000000000002E-3</v>
      </c>
      <c r="I6" s="152"/>
      <c r="J6" s="217">
        <f>ROUND((C15+C24)/G6,5)</f>
        <v>1.48E-3</v>
      </c>
      <c r="K6" s="153">
        <f>ROUND((D15+D24)/G6,5)</f>
        <v>1.2999999999999999E-3</v>
      </c>
      <c r="L6" s="153">
        <f>ROUND((E15+E24)/G6,5)</f>
        <v>9.2000000000000003E-4</v>
      </c>
      <c r="M6" s="153">
        <f>ROUND((F15+F24)/G6,5)</f>
        <v>0</v>
      </c>
    </row>
    <row r="7" spans="1:28" s="59" customFormat="1" ht="15.75" thickBot="1" x14ac:dyDescent="0.3">
      <c r="B7" s="108" t="s">
        <v>123</v>
      </c>
      <c r="C7" s="146">
        <f t="shared" si="0"/>
        <v>2964792.0000000005</v>
      </c>
      <c r="D7" s="147">
        <f t="shared" si="0"/>
        <v>1484677.9116</v>
      </c>
      <c r="E7" s="147">
        <f t="shared" si="0"/>
        <v>1183083.5599999998</v>
      </c>
      <c r="F7" s="147">
        <f t="shared" si="0"/>
        <v>0</v>
      </c>
      <c r="G7" s="150">
        <f>+'PPC Cycle 2'!B12</f>
        <v>1824521199</v>
      </c>
      <c r="H7" s="151">
        <f>ROUND(SUM(C7:F7)/G7,5)</f>
        <v>3.0899999999999999E-3</v>
      </c>
      <c r="I7" s="152"/>
      <c r="J7" s="296">
        <f>ROUND((C16+C25)/G7,5)+0.00001</f>
        <v>1.6299999999999999E-3</v>
      </c>
      <c r="K7" s="153">
        <f>ROUND((D16+D25)/G7,5)</f>
        <v>8.0999999999999996E-4</v>
      </c>
      <c r="L7" s="153">
        <f>ROUND((E16+E25)/G7,5)</f>
        <v>6.4999999999999997E-4</v>
      </c>
      <c r="M7" s="153">
        <f>ROUND((F16+F25)/G7,5)</f>
        <v>0</v>
      </c>
    </row>
    <row r="8" spans="1:28" s="59" customFormat="1" ht="15.75" thickBot="1" x14ac:dyDescent="0.3">
      <c r="B8" s="108" t="s">
        <v>124</v>
      </c>
      <c r="C8" s="146">
        <f t="shared" si="0"/>
        <v>1128991.81</v>
      </c>
      <c r="D8" s="147">
        <f t="shared" si="0"/>
        <v>189375.47208000001</v>
      </c>
      <c r="E8" s="147">
        <f t="shared" si="0"/>
        <v>235800.62999999998</v>
      </c>
      <c r="F8" s="147">
        <f t="shared" si="0"/>
        <v>0</v>
      </c>
      <c r="G8" s="150">
        <f>+'PPC Cycle 2'!B13</f>
        <v>551930684</v>
      </c>
      <c r="H8" s="151">
        <f>ROUND(SUM(C8:F8)/G8,5)</f>
        <v>2.82E-3</v>
      </c>
      <c r="I8" s="152"/>
      <c r="J8" s="217">
        <f>ROUND((C17+C26)/G8,5)</f>
        <v>2.0500000000000002E-3</v>
      </c>
      <c r="K8" s="153">
        <f>ROUND((D17+D26)/G8,5)</f>
        <v>3.4000000000000002E-4</v>
      </c>
      <c r="L8" s="153">
        <f>ROUND((E17+E26)/G8,5)</f>
        <v>4.2999999999999999E-4</v>
      </c>
      <c r="M8" s="153">
        <f>ROUND((F17+F26)/G8,5)</f>
        <v>0</v>
      </c>
    </row>
    <row r="9" spans="1:28" x14ac:dyDescent="0.25">
      <c r="C9" s="145"/>
      <c r="D9" s="145"/>
      <c r="E9" s="145"/>
      <c r="F9" s="145"/>
      <c r="G9" s="144"/>
    </row>
    <row r="10" spans="1:28" x14ac:dyDescent="0.25">
      <c r="C10" s="145"/>
      <c r="D10" s="145"/>
      <c r="E10" s="145"/>
      <c r="F10" s="145"/>
      <c r="G10" s="144"/>
    </row>
    <row r="11" spans="1:28" ht="15.75" thickBot="1" x14ac:dyDescent="0.3">
      <c r="C11" s="145"/>
      <c r="D11" s="145"/>
      <c r="E11" s="145"/>
      <c r="F11" s="145"/>
      <c r="G11" s="144"/>
    </row>
    <row r="12" spans="1:28" ht="15.75" thickBot="1" x14ac:dyDescent="0.3">
      <c r="B12" s="105" t="s">
        <v>8</v>
      </c>
      <c r="C12" s="149" t="s">
        <v>7</v>
      </c>
      <c r="D12" s="149" t="s">
        <v>18</v>
      </c>
      <c r="E12" s="149" t="s">
        <v>60</v>
      </c>
      <c r="F12" s="149" t="s">
        <v>19</v>
      </c>
      <c r="G12" s="144"/>
      <c r="J12" s="17"/>
      <c r="K12" s="17"/>
      <c r="O12" s="149" t="s">
        <v>78</v>
      </c>
      <c r="P12" s="149" t="s">
        <v>79</v>
      </c>
      <c r="Q12" s="149" t="s">
        <v>86</v>
      </c>
      <c r="R12" s="59"/>
      <c r="S12" s="149" t="s">
        <v>80</v>
      </c>
      <c r="T12" s="149" t="s">
        <v>81</v>
      </c>
      <c r="U12" s="149" t="s">
        <v>116</v>
      </c>
      <c r="V12" s="149" t="s">
        <v>102</v>
      </c>
      <c r="X12" s="149" t="s">
        <v>131</v>
      </c>
      <c r="Y12" s="149" t="s">
        <v>132</v>
      </c>
      <c r="Z12" s="149" t="s">
        <v>133</v>
      </c>
      <c r="AA12" s="149" t="s">
        <v>134</v>
      </c>
    </row>
    <row r="13" spans="1:28" ht="15.75" thickBot="1" x14ac:dyDescent="0.3">
      <c r="B13" s="108" t="s">
        <v>26</v>
      </c>
      <c r="C13" s="147">
        <f>'PPC Cycle 2'!C5+'PPC Cycle 3'!B5</f>
        <v>6625154.8499999996</v>
      </c>
      <c r="D13" s="147">
        <f>'PTD Cycle 2'!C6+'PTD Cycle 3'!C6</f>
        <v>5366193.04</v>
      </c>
      <c r="E13" s="147">
        <f>+'EO Cycle 2'!G8</f>
        <v>1517807.18</v>
      </c>
      <c r="F13" s="146">
        <f>+'OA Cycle 2'!D8</f>
        <v>0</v>
      </c>
      <c r="G13" s="144"/>
      <c r="J13" s="174"/>
      <c r="K13" s="17"/>
      <c r="O13" s="203">
        <v>0</v>
      </c>
      <c r="P13" s="203">
        <v>0</v>
      </c>
      <c r="Q13" s="249">
        <v>0</v>
      </c>
      <c r="R13" s="177"/>
      <c r="S13" s="176">
        <f>ROUND(+'PPC Cycle 2'!C5/'tariff tables'!$G4,5)</f>
        <v>1.0000000000000001E-5</v>
      </c>
      <c r="T13" s="176">
        <f>ROUND(+'PTD Cycle 2'!C6/'tariff tables'!G4,5)</f>
        <v>1.15E-3</v>
      </c>
      <c r="U13" s="176">
        <f>ROUND('EO Cycle 2'!G8/'tariff tables'!G4,5)</f>
        <v>5.9999999999999995E-4</v>
      </c>
      <c r="V13" s="176">
        <f>ROUND('OA Cycle 2'!D8/'tariff tables'!G4,5)</f>
        <v>0</v>
      </c>
      <c r="X13" s="176">
        <f>ROUND('PPC Cycle 3'!B5/'tariff tables'!$G4,5)</f>
        <v>2.5999999999999999E-3</v>
      </c>
      <c r="Y13" s="176">
        <f>ROUND('PTD Cycle 3'!C6/'tariff tables'!G4,5)</f>
        <v>9.7000000000000005E-4</v>
      </c>
      <c r="Z13" s="176">
        <f>ROUND(0/'tariff tables'!G4,5)</f>
        <v>0</v>
      </c>
      <c r="AA13" s="176">
        <f>ROUND(0/'tariff tables'!G4,5)</f>
        <v>0</v>
      </c>
      <c r="AB13" s="177">
        <f>SUM(O13:AA13,O22:AA22)</f>
        <v>6.3999999999999994E-3</v>
      </c>
    </row>
    <row r="14" spans="1:28" ht="15.75" thickBot="1" x14ac:dyDescent="0.3">
      <c r="B14" s="108" t="s">
        <v>121</v>
      </c>
      <c r="C14" s="147">
        <f>'PPC Cycle 2'!C10+'PPC Cycle 3'!B6</f>
        <v>820653.17</v>
      </c>
      <c r="D14" s="147">
        <f>'PTD Cycle 2'!C10+'PTD Cycle 3'!C7</f>
        <v>834910.64999999991</v>
      </c>
      <c r="E14" s="147">
        <f>+'EO Cycle 2'!G12</f>
        <v>371298.25</v>
      </c>
      <c r="F14" s="146">
        <f>+'OA Cycle 2'!D13</f>
        <v>0</v>
      </c>
      <c r="G14" s="144"/>
      <c r="J14" s="174"/>
      <c r="K14" s="17"/>
      <c r="O14" s="203">
        <v>0</v>
      </c>
      <c r="P14" s="203">
        <v>0</v>
      </c>
      <c r="Q14" s="249">
        <v>0</v>
      </c>
      <c r="R14" s="177"/>
      <c r="S14" s="176">
        <f>ROUND(+'PPC Cycle 2'!C10/'tariff tables'!$G5,5)</f>
        <v>1.0000000000000001E-5</v>
      </c>
      <c r="T14" s="203">
        <f>ROUND(+'PTD Cycle 2'!C10/'tariff tables'!G5,5)</f>
        <v>1.2199999999999999E-3</v>
      </c>
      <c r="U14" s="249">
        <f>ROUND('EO Cycle 2'!G12/'tariff tables'!G5,5)</f>
        <v>8.9999999999999998E-4</v>
      </c>
      <c r="V14" s="203">
        <f>ROUND('OA Cycle 2'!D13/'tariff tables'!G5,5)</f>
        <v>0</v>
      </c>
      <c r="X14" s="176">
        <f>ROUND('PPC Cycle 3'!B6/'tariff tables'!$G5,5)</f>
        <v>1.97E-3</v>
      </c>
      <c r="Y14" s="176">
        <f>ROUND('PTD Cycle 3'!C7/'tariff tables'!G5,5)</f>
        <v>8.0000000000000004E-4</v>
      </c>
      <c r="Z14" s="176">
        <f>ROUND(0/'tariff tables'!G5,5)</f>
        <v>0</v>
      </c>
      <c r="AA14" s="176">
        <f>ROUND(0/'tariff tables'!G5,5)</f>
        <v>0</v>
      </c>
      <c r="AB14" s="177">
        <f t="shared" ref="AB14:AB17" si="1">SUM(O14:AA14,O23:AA23)</f>
        <v>5.2499999999999995E-3</v>
      </c>
    </row>
    <row r="15" spans="1:28" s="59" customFormat="1" ht="15.75" thickBot="1" x14ac:dyDescent="0.3">
      <c r="B15" s="108" t="s">
        <v>122</v>
      </c>
      <c r="C15" s="147">
        <f>'PPC Cycle 2'!C11+'PPC Cycle 3'!B7</f>
        <v>1955580.97</v>
      </c>
      <c r="D15" s="147">
        <f>'PTD Cycle 2'!C11+'PTD Cycle 3'!C8</f>
        <v>1547348.94</v>
      </c>
      <c r="E15" s="147">
        <f>+'EO Cycle 2'!G13</f>
        <v>1097797.01</v>
      </c>
      <c r="F15" s="146">
        <f>+'OA Cycle 2'!D14</f>
        <v>0</v>
      </c>
      <c r="G15" s="144"/>
      <c r="J15" s="174"/>
      <c r="K15" s="17"/>
      <c r="O15" s="203">
        <v>0</v>
      </c>
      <c r="P15" s="203">
        <v>0</v>
      </c>
      <c r="Q15" s="249">
        <v>0</v>
      </c>
      <c r="R15" s="177"/>
      <c r="S15" s="176">
        <f>ROUND(+'PPC Cycle 2'!C11/'tariff tables'!$G6,5)</f>
        <v>1.0000000000000001E-5</v>
      </c>
      <c r="T15" s="203">
        <f>ROUND(+'PTD Cycle 2'!C11/'tariff tables'!G6,5)</f>
        <v>1E-3</v>
      </c>
      <c r="U15" s="249">
        <f>ROUND('EO Cycle 2'!G13/'tariff tables'!G6,5)</f>
        <v>9.3000000000000005E-4</v>
      </c>
      <c r="V15" s="203">
        <f>ROUND('OA Cycle 2'!D14/'tariff tables'!G6,5)</f>
        <v>0</v>
      </c>
      <c r="X15" s="176">
        <f>ROUND('PPC Cycle 3'!B7/'tariff tables'!$G6,5)</f>
        <v>1.65E-3</v>
      </c>
      <c r="Y15" s="176">
        <f>ROUND('PTD Cycle 3'!C8/'tariff tables'!G6,5)</f>
        <v>3.1E-4</v>
      </c>
      <c r="Z15" s="176">
        <f>ROUND(0/'tariff tables'!G6,5)</f>
        <v>0</v>
      </c>
      <c r="AA15" s="176">
        <f>ROUND(0/'tariff tables'!G6,5)</f>
        <v>0</v>
      </c>
      <c r="AB15" s="177">
        <f t="shared" si="1"/>
        <v>3.7000000000000006E-3</v>
      </c>
    </row>
    <row r="16" spans="1:28" s="59" customFormat="1" ht="15.75" thickBot="1" x14ac:dyDescent="0.3">
      <c r="B16" s="108" t="s">
        <v>123</v>
      </c>
      <c r="C16" s="147">
        <f>'PPC Cycle 2'!C12+'PPC Cycle 3'!B8</f>
        <v>3176401.1100000003</v>
      </c>
      <c r="D16" s="147">
        <f>'PTD Cycle 2'!C12+'PTD Cycle 3'!C9</f>
        <v>1501897.27</v>
      </c>
      <c r="E16" s="147">
        <f>+'EO Cycle 2'!G14</f>
        <v>1200782.1499999999</v>
      </c>
      <c r="F16" s="146">
        <f>+'OA Cycle 2'!D15</f>
        <v>0</v>
      </c>
      <c r="G16" s="144"/>
      <c r="J16" s="174"/>
      <c r="K16" s="17"/>
      <c r="O16" s="203">
        <v>0</v>
      </c>
      <c r="P16" s="203">
        <v>0</v>
      </c>
      <c r="Q16" s="265">
        <v>0</v>
      </c>
      <c r="R16" s="266"/>
      <c r="S16" s="210">
        <f>ROUND(+'PPC Cycle 2'!C12/'tariff tables'!$G7,5)</f>
        <v>1.0000000000000001E-5</v>
      </c>
      <c r="T16" s="267">
        <f>ROUND(+'PTD Cycle 2'!C12/'tariff tables'!G7,5)</f>
        <v>5.9999999999999995E-4</v>
      </c>
      <c r="U16" s="265">
        <f>ROUND('EO Cycle 2'!G14/'tariff tables'!G7,5)</f>
        <v>6.6E-4</v>
      </c>
      <c r="V16" s="203">
        <f>ROUND('OA Cycle 2'!D15/'tariff tables'!G7,5)</f>
        <v>0</v>
      </c>
      <c r="X16" s="176">
        <f>ROUND('PPC Cycle 3'!B8/'tariff tables'!$G7,5)</f>
        <v>1.73E-3</v>
      </c>
      <c r="Y16" s="176">
        <f>ROUND('PTD Cycle 3'!C9/'tariff tables'!G7,5)</f>
        <v>2.3000000000000001E-4</v>
      </c>
      <c r="Z16" s="176">
        <f>ROUND(0/'tariff tables'!G7,5)</f>
        <v>0</v>
      </c>
      <c r="AA16" s="176">
        <f>ROUND(0/'tariff tables'!G7,5)</f>
        <v>0</v>
      </c>
      <c r="AB16" s="177">
        <f t="shared" si="1"/>
        <v>3.0900000000000003E-3</v>
      </c>
    </row>
    <row r="17" spans="2:28" s="59" customFormat="1" ht="15.75" thickBot="1" x14ac:dyDescent="0.3">
      <c r="B17" s="108" t="s">
        <v>124</v>
      </c>
      <c r="C17" s="147">
        <f>'PPC Cycle 2'!C13+'PPC Cycle 3'!B9</f>
        <v>1123368.73</v>
      </c>
      <c r="D17" s="147">
        <f>'PTD Cycle 2'!C13+'PTD Cycle 3'!C10</f>
        <v>186772.63</v>
      </c>
      <c r="E17" s="147">
        <f>+'EO Cycle 2'!G15</f>
        <v>239600.02</v>
      </c>
      <c r="F17" s="146">
        <f>+'OA Cycle 2'!D16</f>
        <v>0</v>
      </c>
      <c r="G17" s="144"/>
      <c r="J17" s="174"/>
      <c r="K17" s="17"/>
      <c r="O17" s="203">
        <v>0</v>
      </c>
      <c r="P17" s="203">
        <v>0</v>
      </c>
      <c r="Q17" s="265">
        <v>0</v>
      </c>
      <c r="R17" s="266"/>
      <c r="S17" s="210">
        <f>ROUND(+'PPC Cycle 2'!C13/'tariff tables'!$G8,5)</f>
        <v>1.0000000000000001E-5</v>
      </c>
      <c r="T17" s="267">
        <f>ROUND(+'PTD Cycle 2'!C13/'tariff tables'!G8,5)</f>
        <v>2.0000000000000001E-4</v>
      </c>
      <c r="U17" s="265">
        <f>ROUND('EO Cycle 2'!G15/'tariff tables'!G8,5)</f>
        <v>4.2999999999999999E-4</v>
      </c>
      <c r="V17" s="203">
        <f>ROUND('OA Cycle 2'!D16/'tariff tables'!G8,5)</f>
        <v>0</v>
      </c>
      <c r="X17" s="176">
        <f>ROUND('PPC Cycle 3'!B9/'tariff tables'!$G8,5)</f>
        <v>2.0300000000000001E-3</v>
      </c>
      <c r="Y17" s="176">
        <f>ROUND('PTD Cycle 3'!C10/'tariff tables'!G8,5)</f>
        <v>1.2999999999999999E-4</v>
      </c>
      <c r="Z17" s="176">
        <f>ROUND(0/'tariff tables'!G8,5)</f>
        <v>0</v>
      </c>
      <c r="AA17" s="176">
        <f>ROUND(0/'tariff tables'!G8,5)</f>
        <v>0</v>
      </c>
      <c r="AB17" s="177">
        <f t="shared" si="1"/>
        <v>2.82E-3</v>
      </c>
    </row>
    <row r="18" spans="2:28" x14ac:dyDescent="0.25">
      <c r="C18" s="145"/>
      <c r="D18" s="145"/>
      <c r="E18" s="145"/>
      <c r="F18" s="145"/>
      <c r="G18" s="144"/>
      <c r="J18" s="17"/>
      <c r="K18" s="17"/>
      <c r="O18" s="204"/>
      <c r="P18" s="204"/>
      <c r="Q18" s="268"/>
      <c r="R18" s="266"/>
      <c r="S18" s="266"/>
      <c r="T18" s="266"/>
      <c r="U18" s="266"/>
      <c r="V18" s="177"/>
      <c r="X18" s="177"/>
      <c r="Y18" s="177"/>
      <c r="Z18" s="177"/>
      <c r="AA18" s="177"/>
    </row>
    <row r="19" spans="2:28" x14ac:dyDescent="0.25">
      <c r="C19" s="145"/>
      <c r="D19" s="145"/>
      <c r="E19" s="145"/>
      <c r="F19" s="145"/>
      <c r="G19" s="144"/>
      <c r="J19" s="17"/>
      <c r="K19" s="17"/>
      <c r="O19" s="204"/>
      <c r="P19" s="204"/>
      <c r="Q19" s="268"/>
      <c r="R19" s="266"/>
      <c r="S19" s="266"/>
      <c r="T19" s="266"/>
      <c r="U19" s="266"/>
      <c r="V19" s="177"/>
      <c r="X19" s="177"/>
      <c r="Y19" s="177"/>
      <c r="Z19" s="177"/>
      <c r="AA19" s="177"/>
    </row>
    <row r="20" spans="2:28" ht="15.75" thickBot="1" x14ac:dyDescent="0.3">
      <c r="C20" s="145"/>
      <c r="D20" s="145"/>
      <c r="E20" s="145"/>
      <c r="F20" s="145"/>
      <c r="G20" s="144"/>
      <c r="J20" s="17"/>
      <c r="K20" s="17"/>
      <c r="O20" s="204"/>
      <c r="P20" s="204"/>
      <c r="Q20" s="268"/>
      <c r="R20" s="266"/>
      <c r="S20" s="266"/>
      <c r="T20" s="266"/>
      <c r="U20" s="266"/>
      <c r="V20" s="177"/>
      <c r="X20" s="177"/>
      <c r="Y20" s="177"/>
      <c r="Z20" s="177"/>
      <c r="AA20" s="177"/>
    </row>
    <row r="21" spans="2:28" ht="15.75" thickBot="1" x14ac:dyDescent="0.3">
      <c r="B21" s="105" t="s">
        <v>8</v>
      </c>
      <c r="C21" s="149" t="s">
        <v>4</v>
      </c>
      <c r="D21" s="149" t="s">
        <v>10</v>
      </c>
      <c r="E21" s="149" t="s">
        <v>61</v>
      </c>
      <c r="F21" s="149" t="s">
        <v>20</v>
      </c>
      <c r="G21" s="144"/>
      <c r="O21" s="205" t="s">
        <v>82</v>
      </c>
      <c r="P21" s="205" t="s">
        <v>83</v>
      </c>
      <c r="Q21" s="269" t="s">
        <v>87</v>
      </c>
      <c r="R21" s="266"/>
      <c r="S21" s="270" t="s">
        <v>84</v>
      </c>
      <c r="T21" s="270" t="s">
        <v>85</v>
      </c>
      <c r="U21" s="269" t="s">
        <v>120</v>
      </c>
      <c r="V21" s="178" t="s">
        <v>103</v>
      </c>
      <c r="X21" s="178" t="s">
        <v>135</v>
      </c>
      <c r="Y21" s="178" t="s">
        <v>136</v>
      </c>
      <c r="Z21" s="205" t="s">
        <v>137</v>
      </c>
      <c r="AA21" s="178" t="s">
        <v>138</v>
      </c>
    </row>
    <row r="22" spans="2:28" ht="15.75" thickBot="1" x14ac:dyDescent="0.3">
      <c r="B22" s="108" t="s">
        <v>26</v>
      </c>
      <c r="C22" s="147">
        <f>+'PCR Cycle 3'!J4+'PCR Cycle 2'!J4</f>
        <v>1837277.2899999996</v>
      </c>
      <c r="D22" s="147">
        <f>'TDR Cycle 3'!K4+'TDR Cycle 2'!K4</f>
        <v>873057.14383999968</v>
      </c>
      <c r="E22" s="147">
        <f>+'EOR Cycle 1'!I4+'EOR Cycle 2'!I4</f>
        <v>2373.1155999999864</v>
      </c>
      <c r="F22" s="146">
        <f>+'OAR Cycle 2'!I4</f>
        <v>0</v>
      </c>
      <c r="G22" s="144"/>
      <c r="O22" s="203">
        <v>0</v>
      </c>
      <c r="P22" s="203">
        <v>0</v>
      </c>
      <c r="Q22" s="267">
        <v>0</v>
      </c>
      <c r="R22" s="266"/>
      <c r="S22" s="279">
        <f>ROUND(+'PCR Cycle 2'!J4/'tariff tables'!G4,5)+0.00001</f>
        <v>3.5000000000000005E-4</v>
      </c>
      <c r="T22" s="210">
        <f>ROUND(+'TDR Cycle 2'!K4/'tariff tables'!G4,5)</f>
        <v>3.5E-4</v>
      </c>
      <c r="U22" s="210">
        <f>ROUND('EOR Cycle 2'!I4/'tariff tables'!G4,5)</f>
        <v>0</v>
      </c>
      <c r="V22" s="210">
        <f>ROUND('OAR Cycle 2'!I4/'tariff tables'!G4,5)</f>
        <v>0</v>
      </c>
      <c r="X22" s="176">
        <f>ROUND('PCR Cycle 3'!J4/'tariff tables'!G4,5)</f>
        <v>3.8000000000000002E-4</v>
      </c>
      <c r="Y22" s="210">
        <f>ROUND('TDR Cycle 3'!K4/'tariff tables'!G4,5)</f>
        <v>-1.0000000000000001E-5</v>
      </c>
      <c r="Z22" s="210">
        <f>ROUND(0/'tariff tables'!G4,5)</f>
        <v>0</v>
      </c>
      <c r="AA22" s="210">
        <f>ROUND(0/'tariff tables'!G4,5)</f>
        <v>0</v>
      </c>
    </row>
    <row r="23" spans="2:28" ht="15.75" thickBot="1" x14ac:dyDescent="0.3">
      <c r="B23" s="108" t="s">
        <v>121</v>
      </c>
      <c r="C23" s="147">
        <f>'PCR Cycle 3'!J5+'PCR Cycle 2'!J8</f>
        <v>135653.24999999994</v>
      </c>
      <c r="D23" s="147">
        <f>'TDR Cycle 3'!K5+'TDR Cycle 2'!K8</f>
        <v>11851.769799999993</v>
      </c>
      <c r="E23" s="147">
        <f>+'EOR Cycle 1'!I8+'EOR Cycle 2'!I8</f>
        <v>-5744.04</v>
      </c>
      <c r="F23" s="146">
        <f>+'OAR Cycle 2'!I8</f>
        <v>0</v>
      </c>
      <c r="G23" s="144"/>
      <c r="O23" s="203">
        <v>0</v>
      </c>
      <c r="P23" s="203">
        <v>0</v>
      </c>
      <c r="Q23" s="267">
        <v>0</v>
      </c>
      <c r="R23" s="266"/>
      <c r="S23" s="278">
        <f>ROUND(+'PCR Cycle 2'!J8/'tariff tables'!G5,5)+0.00001</f>
        <v>-2.5999999999999998E-4</v>
      </c>
      <c r="T23" s="267">
        <f>ROUND(+'TDR Cycle 2'!K8/'tariff tables'!G5,5)</f>
        <v>1.0000000000000001E-5</v>
      </c>
      <c r="U23" s="279">
        <f>ROUND('EOR Cycle 2'!I8/'tariff tables'!G5,5)-0.00001</f>
        <v>-2.0000000000000002E-5</v>
      </c>
      <c r="V23" s="210">
        <f>ROUND('OAR Cycle 2'!I8/'tariff tables'!G5,5)</f>
        <v>0</v>
      </c>
      <c r="X23" s="176">
        <f>ROUND('PCR Cycle 3'!J5/'tariff tables'!G5,5)</f>
        <v>5.9999999999999995E-4</v>
      </c>
      <c r="Y23" s="210">
        <f>ROUND('TDR Cycle 3'!K5/'tariff tables'!G5,5)</f>
        <v>2.0000000000000002E-5</v>
      </c>
      <c r="Z23" s="210">
        <f>ROUND(0/'tariff tables'!G5,5)</f>
        <v>0</v>
      </c>
      <c r="AA23" s="210">
        <f>ROUND(0/'tariff tables'!G5,5)</f>
        <v>0</v>
      </c>
    </row>
    <row r="24" spans="2:28" s="59" customFormat="1" ht="15.75" thickBot="1" x14ac:dyDescent="0.3">
      <c r="B24" s="108" t="s">
        <v>122</v>
      </c>
      <c r="C24" s="147">
        <f>'PCR Cycle 3'!J6+'PCR Cycle 2'!J9</f>
        <v>-214399.74999999997</v>
      </c>
      <c r="D24" s="147">
        <f>'TDR Cycle 3'!K6+'TDR Cycle 2'!K9</f>
        <v>-23415.956119999995</v>
      </c>
      <c r="E24" s="147">
        <f>+'EOR Cycle 1'!I9+'EOR Cycle 2'!I9</f>
        <v>-15066.86</v>
      </c>
      <c r="F24" s="146">
        <f>+'OAR Cycle 2'!I9</f>
        <v>0</v>
      </c>
      <c r="G24" s="144"/>
      <c r="O24" s="203">
        <v>0</v>
      </c>
      <c r="P24" s="203">
        <v>0</v>
      </c>
      <c r="Q24" s="267">
        <v>0</v>
      </c>
      <c r="R24" s="266"/>
      <c r="S24" s="267">
        <f>ROUND(+'PCR Cycle 2'!J9/'tariff tables'!G6,5)</f>
        <v>-2.5000000000000001E-4</v>
      </c>
      <c r="T24" s="278">
        <f>ROUND(+'TDR Cycle 2'!K9/'tariff tables'!G6,5)+0.00001</f>
        <v>2.0000000000000002E-5</v>
      </c>
      <c r="U24" s="210">
        <f>ROUND('EOR Cycle 2'!I9/'tariff tables'!G6,5)</f>
        <v>-1.0000000000000001E-5</v>
      </c>
      <c r="V24" s="210">
        <f>ROUND('OAR Cycle 2'!I9/'tariff tables'!G6,5)</f>
        <v>0</v>
      </c>
      <c r="X24" s="176">
        <f>ROUND('PCR Cycle 3'!J6/'tariff tables'!G6,5)</f>
        <v>6.9999999999999994E-5</v>
      </c>
      <c r="Y24" s="210">
        <f>ROUND('TDR Cycle 3'!K6/'tariff tables'!G6,5)</f>
        <v>-3.0000000000000001E-5</v>
      </c>
      <c r="Z24" s="210">
        <f>ROUND(0/'tariff tables'!G6,5)</f>
        <v>0</v>
      </c>
      <c r="AA24" s="210">
        <f>ROUND(0/'tariff tables'!G6,5)</f>
        <v>0</v>
      </c>
    </row>
    <row r="25" spans="2:28" s="59" customFormat="1" ht="15.75" thickBot="1" x14ac:dyDescent="0.3">
      <c r="B25" s="108" t="s">
        <v>123</v>
      </c>
      <c r="C25" s="147">
        <f>'PCR Cycle 3'!J7+'PCR Cycle 2'!J10</f>
        <v>-211609.10999999996</v>
      </c>
      <c r="D25" s="147">
        <f>'TDR Cycle 3'!K7+'TDR Cycle 2'!K10</f>
        <v>-17219.358400000005</v>
      </c>
      <c r="E25" s="147">
        <f>+'EOR Cycle 1'!I10+'EOR Cycle 2'!I10</f>
        <v>-17698.59</v>
      </c>
      <c r="F25" s="146">
        <f>+'OAR Cycle 2'!I10</f>
        <v>0</v>
      </c>
      <c r="G25" s="144"/>
      <c r="O25" s="203">
        <v>0</v>
      </c>
      <c r="P25" s="203">
        <v>0</v>
      </c>
      <c r="Q25" s="267">
        <v>0</v>
      </c>
      <c r="R25" s="266"/>
      <c r="S25" s="278">
        <f>ROUND(+'PCR Cycle 2'!J10/'tariff tables'!G7,5)+0.00001</f>
        <v>-1.8000000000000001E-4</v>
      </c>
      <c r="T25" s="278">
        <f>ROUND(+'TDR Cycle 2'!K10/'tariff tables'!G7,5)-0.00001</f>
        <v>0</v>
      </c>
      <c r="U25" s="210">
        <f>ROUND('EOR Cycle 2'!I10/'tariff tables'!G7,5)</f>
        <v>-1.0000000000000001E-5</v>
      </c>
      <c r="V25" s="210">
        <f>ROUND('OAR Cycle 2'!I10/'tariff tables'!G7,5)</f>
        <v>0</v>
      </c>
      <c r="X25" s="176">
        <f>ROUND('PCR Cycle 3'!J7/'tariff tables'!G7,5)</f>
        <v>6.9999999999999994E-5</v>
      </c>
      <c r="Y25" s="210">
        <f>ROUND('TDR Cycle 3'!K7/'tariff tables'!G7,5)</f>
        <v>-2.0000000000000002E-5</v>
      </c>
      <c r="Z25" s="210">
        <f>ROUND(0/'tariff tables'!G7,5)</f>
        <v>0</v>
      </c>
      <c r="AA25" s="210">
        <f>ROUND(0/'tariff tables'!G7,5)</f>
        <v>0</v>
      </c>
    </row>
    <row r="26" spans="2:28" s="59" customFormat="1" ht="15.75" thickBot="1" x14ac:dyDescent="0.3">
      <c r="B26" s="108" t="s">
        <v>124</v>
      </c>
      <c r="C26" s="147">
        <f>'PCR Cycle 3'!J8+'PCR Cycle 2'!J11</f>
        <v>5623.0799999999872</v>
      </c>
      <c r="D26" s="147">
        <f>'TDR Cycle 3'!K8+'TDR Cycle 2'!K11</f>
        <v>2602.8420799999999</v>
      </c>
      <c r="E26" s="147">
        <f>+'EOR Cycle 1'!I11+'EOR Cycle 2'!I11</f>
        <v>-3799.39</v>
      </c>
      <c r="F26" s="146">
        <f>+'OAR Cycle 2'!I11</f>
        <v>0</v>
      </c>
      <c r="G26" s="144"/>
      <c r="O26" s="203">
        <v>0</v>
      </c>
      <c r="P26" s="203">
        <v>0</v>
      </c>
      <c r="Q26" s="267">
        <v>0</v>
      </c>
      <c r="R26" s="266"/>
      <c r="S26" s="267">
        <f>ROUND(+'PCR Cycle 2'!J11/'tariff tables'!G8,5)</f>
        <v>-1.2999999999999999E-4</v>
      </c>
      <c r="T26" s="278">
        <f>ROUND(+'TDR Cycle 2'!K11/'tariff tables'!G8,5)+0.00001</f>
        <v>1.0000000000000001E-5</v>
      </c>
      <c r="U26" s="279">
        <f>ROUND('EOR Cycle 2'!I11/'tariff tables'!G8,5)+0.00001</f>
        <v>0</v>
      </c>
      <c r="V26" s="210">
        <f>ROUND('OAR Cycle 2'!I11/'tariff tables'!G8,5)</f>
        <v>0</v>
      </c>
      <c r="X26" s="176">
        <f>ROUND('PCR Cycle 3'!J8/'tariff tables'!G8,5)</f>
        <v>1.3999999999999999E-4</v>
      </c>
      <c r="Y26" s="210">
        <f>ROUND('TDR Cycle 3'!K8/'tariff tables'!G8,5)</f>
        <v>0</v>
      </c>
      <c r="Z26" s="210">
        <f>ROUND(0/'tariff tables'!G8,5)</f>
        <v>0</v>
      </c>
      <c r="AA26" s="210">
        <f>ROUND(0/'tariff tables'!G8,5)</f>
        <v>0</v>
      </c>
    </row>
    <row r="27" spans="2:28" x14ac:dyDescent="0.25">
      <c r="O27" s="59"/>
      <c r="P27" s="59"/>
      <c r="R27" s="59"/>
      <c r="S27" s="59"/>
      <c r="T27" s="59"/>
    </row>
    <row r="28" spans="2:28" x14ac:dyDescent="0.25">
      <c r="B28" s="111" t="s">
        <v>41</v>
      </c>
      <c r="N28" t="s">
        <v>195</v>
      </c>
      <c r="O28" s="175">
        <f>+J4-O13-O22-S13-S22-X13-X22</f>
        <v>0</v>
      </c>
      <c r="P28" s="175">
        <f t="shared" ref="P28:Q28" si="2">+K4-P13-P22-T13-T22-Y13-Y22</f>
        <v>-1.3383120566617945E-19</v>
      </c>
      <c r="Q28" s="175">
        <f t="shared" si="2"/>
        <v>0</v>
      </c>
      <c r="R28" s="59"/>
      <c r="S28" s="59"/>
      <c r="T28" s="59"/>
    </row>
    <row r="29" spans="2:28" x14ac:dyDescent="0.25">
      <c r="B29" s="112" t="s">
        <v>42</v>
      </c>
      <c r="N29" t="s">
        <v>196</v>
      </c>
      <c r="O29" s="175">
        <f t="shared" ref="O29:O32" si="3">+J5-O14-O23-S14-S23-X14-X23</f>
        <v>0</v>
      </c>
      <c r="P29" s="175">
        <f t="shared" ref="P29:P32" si="4">+K5-P14-P23-T14-T23-Y14-Y23</f>
        <v>1.5924219408380846E-19</v>
      </c>
      <c r="Q29" s="175">
        <f t="shared" ref="Q29:Q32" si="5">+L5-Q14-Q23-U14-U23-Z14-Z23</f>
        <v>5.7598240413292423E-20</v>
      </c>
      <c r="R29" s="59"/>
      <c r="S29" s="59"/>
      <c r="T29" s="59"/>
    </row>
    <row r="30" spans="2:28" x14ac:dyDescent="0.25">
      <c r="B30" s="112" t="s">
        <v>45</v>
      </c>
      <c r="N30" t="s">
        <v>197</v>
      </c>
      <c r="O30" s="175">
        <f t="shared" si="3"/>
        <v>0</v>
      </c>
      <c r="P30" s="175">
        <f t="shared" si="4"/>
        <v>-7.7927031147395631E-20</v>
      </c>
      <c r="Q30" s="175">
        <f t="shared" si="5"/>
        <v>-2.541098841762901E-20</v>
      </c>
      <c r="R30" s="59"/>
      <c r="S30" s="59"/>
      <c r="T30" s="59"/>
    </row>
    <row r="31" spans="2:28" x14ac:dyDescent="0.25">
      <c r="B31" s="112" t="s">
        <v>186</v>
      </c>
      <c r="N31" t="s">
        <v>198</v>
      </c>
      <c r="O31" s="175">
        <f t="shared" si="3"/>
        <v>0</v>
      </c>
      <c r="P31" s="175">
        <f t="shared" si="4"/>
        <v>0</v>
      </c>
      <c r="Q31" s="175">
        <f t="shared" si="5"/>
        <v>-2.541098841762901E-20</v>
      </c>
      <c r="R31" s="59"/>
      <c r="S31" s="59"/>
      <c r="T31" s="59"/>
    </row>
    <row r="32" spans="2:28" x14ac:dyDescent="0.25">
      <c r="B32" s="112" t="s">
        <v>43</v>
      </c>
      <c r="N32" t="s">
        <v>199</v>
      </c>
      <c r="O32" s="175">
        <f t="shared" si="3"/>
        <v>0</v>
      </c>
      <c r="P32" s="175">
        <f t="shared" si="4"/>
        <v>2.7105054312137611E-20</v>
      </c>
      <c r="Q32" s="175">
        <f t="shared" si="5"/>
        <v>0</v>
      </c>
      <c r="R32" s="59"/>
      <c r="S32" s="59"/>
      <c r="T32" s="59"/>
    </row>
    <row r="33" spans="2:20" x14ac:dyDescent="0.25">
      <c r="B33" s="112" t="s">
        <v>191</v>
      </c>
      <c r="O33" s="175"/>
      <c r="P33" s="175"/>
      <c r="Q33" s="175"/>
      <c r="R33" s="59"/>
      <c r="S33" s="59"/>
      <c r="T33" s="59"/>
    </row>
    <row r="34" spans="2:20" x14ac:dyDescent="0.25">
      <c r="B34" s="112" t="s">
        <v>185</v>
      </c>
      <c r="N34" s="169"/>
      <c r="O34" s="169"/>
      <c r="P34" s="169"/>
      <c r="Q34" s="297"/>
      <c r="R34" s="169"/>
      <c r="S34" s="169"/>
      <c r="T34" s="169"/>
    </row>
    <row r="35" spans="2:20" x14ac:dyDescent="0.25">
      <c r="B35" s="112" t="s">
        <v>50</v>
      </c>
      <c r="N35" s="169"/>
      <c r="O35" s="298"/>
      <c r="P35" s="169"/>
      <c r="Q35" s="297"/>
      <c r="R35" s="169"/>
      <c r="S35" s="169"/>
      <c r="T35" s="169"/>
    </row>
    <row r="36" spans="2:20" x14ac:dyDescent="0.25">
      <c r="B36" s="112" t="s">
        <v>190</v>
      </c>
      <c r="N36" s="169"/>
      <c r="O36" s="299"/>
      <c r="P36" s="300"/>
      <c r="Q36" s="297"/>
      <c r="R36" s="297"/>
      <c r="S36" s="169"/>
      <c r="T36" s="169"/>
    </row>
    <row r="37" spans="2:20" x14ac:dyDescent="0.25">
      <c r="B37" s="112" t="s">
        <v>187</v>
      </c>
      <c r="N37" s="169"/>
      <c r="O37" s="299"/>
      <c r="P37" s="300"/>
      <c r="Q37" s="297"/>
      <c r="R37" s="297"/>
      <c r="S37" s="169"/>
      <c r="T37" s="169"/>
    </row>
    <row r="38" spans="2:20" x14ac:dyDescent="0.25">
      <c r="B38" s="112" t="s">
        <v>188</v>
      </c>
      <c r="N38" s="169"/>
      <c r="O38" s="299"/>
      <c r="P38" s="300"/>
      <c r="Q38" s="297"/>
      <c r="R38" s="297"/>
      <c r="S38" s="169"/>
      <c r="T38" s="169"/>
    </row>
    <row r="39" spans="2:20" x14ac:dyDescent="0.25">
      <c r="B39" s="112" t="s">
        <v>192</v>
      </c>
      <c r="N39" s="169"/>
      <c r="O39" s="299"/>
      <c r="P39" s="300"/>
      <c r="Q39" s="297"/>
      <c r="R39" s="297"/>
      <c r="S39" s="169"/>
      <c r="T39" s="169"/>
    </row>
    <row r="40" spans="2:20" x14ac:dyDescent="0.25">
      <c r="B40" s="112" t="s">
        <v>44</v>
      </c>
      <c r="N40" s="169"/>
      <c r="O40" s="299"/>
      <c r="P40" s="300"/>
      <c r="Q40" s="297"/>
      <c r="R40" s="297"/>
      <c r="S40" s="169"/>
      <c r="T40" s="169"/>
    </row>
    <row r="41" spans="2:20" x14ac:dyDescent="0.25">
      <c r="B41" s="112" t="s">
        <v>189</v>
      </c>
      <c r="N41" s="169"/>
      <c r="O41" s="299"/>
      <c r="P41" s="300"/>
      <c r="Q41" s="297"/>
      <c r="R41" s="297"/>
      <c r="S41" s="169"/>
      <c r="T41" s="169"/>
    </row>
    <row r="42" spans="2:20" x14ac:dyDescent="0.25">
      <c r="B42" s="112" t="s">
        <v>193</v>
      </c>
      <c r="N42" s="169"/>
      <c r="O42" s="301"/>
      <c r="P42" s="300"/>
      <c r="Q42" s="297"/>
      <c r="R42" s="297"/>
      <c r="S42" s="169"/>
      <c r="T42" s="169"/>
    </row>
    <row r="43" spans="2:20" x14ac:dyDescent="0.25">
      <c r="B43" s="112" t="s">
        <v>194</v>
      </c>
      <c r="N43" s="169"/>
      <c r="O43" s="169"/>
      <c r="P43" s="302"/>
      <c r="Q43" s="297"/>
      <c r="R43" s="297"/>
      <c r="S43" s="169"/>
      <c r="T43" s="169"/>
    </row>
    <row r="44" spans="2:20" x14ac:dyDescent="0.25">
      <c r="N44" s="169"/>
      <c r="O44" s="298"/>
      <c r="P44" s="169"/>
      <c r="Q44" s="297"/>
      <c r="R44" s="297"/>
      <c r="S44" s="169"/>
      <c r="T44" s="169"/>
    </row>
    <row r="45" spans="2:20" x14ac:dyDescent="0.25">
      <c r="N45" s="169"/>
      <c r="O45" s="299"/>
      <c r="P45" s="300"/>
      <c r="Q45" s="297"/>
      <c r="R45" s="297"/>
      <c r="S45" s="169"/>
      <c r="T45" s="169"/>
    </row>
    <row r="46" spans="2:20" x14ac:dyDescent="0.25">
      <c r="N46" s="169"/>
      <c r="O46" s="299"/>
      <c r="P46" s="300"/>
      <c r="Q46" s="297"/>
      <c r="R46" s="297"/>
      <c r="S46" s="169"/>
      <c r="T46" s="169"/>
    </row>
    <row r="47" spans="2:20" x14ac:dyDescent="0.25">
      <c r="N47" s="169"/>
      <c r="O47" s="299"/>
      <c r="P47" s="300"/>
      <c r="Q47" s="297"/>
      <c r="R47" s="297"/>
      <c r="S47" s="169"/>
      <c r="T47" s="169"/>
    </row>
    <row r="48" spans="2:20" x14ac:dyDescent="0.25">
      <c r="N48" s="169"/>
      <c r="O48" s="299"/>
      <c r="P48" s="300"/>
      <c r="Q48" s="297"/>
      <c r="R48" s="297"/>
      <c r="S48" s="169"/>
      <c r="T48" s="169"/>
    </row>
    <row r="49" spans="14:20" x14ac:dyDescent="0.25">
      <c r="N49" s="169"/>
      <c r="O49" s="299"/>
      <c r="P49" s="300"/>
      <c r="Q49" s="297"/>
      <c r="R49" s="297"/>
      <c r="S49" s="169"/>
      <c r="T49" s="169"/>
    </row>
    <row r="50" spans="14:20" x14ac:dyDescent="0.25">
      <c r="N50" s="169"/>
      <c r="O50" s="299"/>
      <c r="P50" s="300"/>
      <c r="Q50" s="297"/>
      <c r="R50" s="297"/>
      <c r="S50" s="169"/>
      <c r="T50" s="169"/>
    </row>
    <row r="51" spans="14:20" x14ac:dyDescent="0.25">
      <c r="N51" s="169"/>
      <c r="O51" s="301"/>
      <c r="P51" s="300"/>
      <c r="Q51" s="297"/>
      <c r="R51" s="297"/>
      <c r="S51" s="169"/>
      <c r="T51" s="169"/>
    </row>
    <row r="52" spans="14:20" x14ac:dyDescent="0.25">
      <c r="N52" s="169"/>
      <c r="O52" s="169"/>
      <c r="P52" s="302"/>
      <c r="Q52" s="297"/>
      <c r="R52" s="297"/>
      <c r="S52" s="169"/>
      <c r="T52" s="169"/>
    </row>
    <row r="53" spans="14:20" x14ac:dyDescent="0.25">
      <c r="N53" s="169"/>
      <c r="O53" s="169"/>
      <c r="P53" s="169"/>
      <c r="Q53" s="297"/>
      <c r="R53" s="297"/>
      <c r="S53" s="169"/>
      <c r="T53" s="169"/>
    </row>
    <row r="54" spans="14:20" x14ac:dyDescent="0.25">
      <c r="N54" s="169"/>
      <c r="O54" s="169"/>
      <c r="P54" s="169"/>
      <c r="Q54" s="169"/>
      <c r="R54" s="169"/>
      <c r="S54" s="169"/>
      <c r="T54" s="169"/>
    </row>
  </sheetData>
  <pageMargins left="0.2" right="0.2" top="0.75" bottom="0.25" header="0.3" footer="0.3"/>
  <pageSetup scale="43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8C6FD-573A-4176-92FB-AA44C927F50B}">
  <sheetPr>
    <pageSetUpPr fitToPage="1"/>
  </sheetPr>
  <dimension ref="A1:AI79"/>
  <sheetViews>
    <sheetView zoomScaleNormal="100" workbookViewId="0">
      <pane xSplit="1" ySplit="2" topLeftCell="I51" activePane="bottomRight" state="frozen"/>
      <selection activeCell="J18" sqref="J18"/>
      <selection pane="topRight" activeCell="J18" sqref="J18"/>
      <selection pane="bottomLeft" activeCell="J18" sqref="J18"/>
      <selection pane="bottomRight" activeCell="P1" sqref="P1:P1048576"/>
    </sheetView>
  </sheetViews>
  <sheetFormatPr defaultRowHeight="15" outlineLevelCol="1" x14ac:dyDescent="0.25"/>
  <cols>
    <col min="1" max="1" width="61.7109375" style="59" customWidth="1"/>
    <col min="2" max="2" width="12.140625" style="59" customWidth="1"/>
    <col min="3" max="3" width="12.42578125" style="59" customWidth="1"/>
    <col min="4" max="4" width="12.42578125" style="59" hidden="1" customWidth="1" outlineLevel="1"/>
    <col min="5" max="5" width="15.42578125" style="59" customWidth="1" collapsed="1"/>
    <col min="6" max="6" width="15.85546875" style="59" customWidth="1"/>
    <col min="7" max="7" width="12.28515625" style="59" customWidth="1"/>
    <col min="8" max="9" width="13.28515625" style="59" customWidth="1"/>
    <col min="10" max="10" width="12.28515625" style="59" bestFit="1" customWidth="1"/>
    <col min="11" max="11" width="11.5703125" style="59" bestFit="1" customWidth="1"/>
    <col min="12" max="12" width="12.85546875" style="59" customWidth="1"/>
    <col min="13" max="13" width="10.7109375" style="59" bestFit="1" customWidth="1"/>
    <col min="14" max="14" width="15" style="59" bestFit="1" customWidth="1"/>
    <col min="15" max="15" width="16" style="59" bestFit="1" customWidth="1"/>
    <col min="16" max="16" width="15.28515625" style="59" bestFit="1" customWidth="1"/>
    <col min="17" max="17" width="17.42578125" style="59" bestFit="1" customWidth="1"/>
    <col min="18" max="18" width="16.28515625" style="59" bestFit="1" customWidth="1"/>
    <col min="19" max="19" width="15.28515625" style="59" bestFit="1" customWidth="1"/>
    <col min="20" max="20" width="12.42578125" style="59" customWidth="1"/>
    <col min="21" max="22" width="14.28515625" style="59" bestFit="1" customWidth="1"/>
    <col min="23" max="16384" width="9.140625" style="59"/>
  </cols>
  <sheetData>
    <row r="1" spans="1:23" x14ac:dyDescent="0.25">
      <c r="A1" s="3" t="str">
        <f>+'PPC Cycle 2'!A1</f>
        <v>Evergy Metro, Inc. - DSIM Rider Update Filed 06/01/2020</v>
      </c>
      <c r="B1" s="3"/>
      <c r="C1" s="3"/>
      <c r="D1" s="3"/>
    </row>
    <row r="2" spans="1:23" x14ac:dyDescent="0.25">
      <c r="E2" s="3" t="s">
        <v>181</v>
      </c>
    </row>
    <row r="3" spans="1:23" ht="30" x14ac:dyDescent="0.25">
      <c r="E3" s="61" t="s">
        <v>48</v>
      </c>
      <c r="F3" s="83" t="s">
        <v>75</v>
      </c>
      <c r="G3" s="83" t="s">
        <v>56</v>
      </c>
      <c r="H3" s="61" t="s">
        <v>3</v>
      </c>
      <c r="I3" s="83" t="s">
        <v>57</v>
      </c>
      <c r="J3" s="61" t="s">
        <v>11</v>
      </c>
      <c r="K3" s="61" t="s">
        <v>10</v>
      </c>
      <c r="S3" s="61"/>
    </row>
    <row r="4" spans="1:23" x14ac:dyDescent="0.25">
      <c r="A4" s="21" t="s">
        <v>26</v>
      </c>
      <c r="B4" s="21"/>
      <c r="C4" s="21"/>
      <c r="D4" s="21"/>
      <c r="E4" s="23">
        <f>SUM(C22:M22)</f>
        <v>643768.10800000001</v>
      </c>
      <c r="F4" s="156">
        <f>N29</f>
        <v>7535830.23608068</v>
      </c>
      <c r="G4" s="23">
        <f>SUM(C36:L36)</f>
        <v>625396.34</v>
      </c>
      <c r="H4" s="23">
        <f>G4-E4</f>
        <v>-18371.76800000004</v>
      </c>
      <c r="I4" s="23">
        <f>+B52</f>
        <v>0</v>
      </c>
      <c r="J4" s="23">
        <f>SUM(C60:L60)</f>
        <v>1579.57</v>
      </c>
      <c r="K4" s="35">
        <f>SUM(H4:J4)</f>
        <v>-16792.19800000004</v>
      </c>
      <c r="L4" s="60">
        <f>+K4-M52</f>
        <v>-4.7293724492192268E-11</v>
      </c>
    </row>
    <row r="5" spans="1:23" x14ac:dyDescent="0.25">
      <c r="A5" s="21" t="s">
        <v>121</v>
      </c>
      <c r="B5" s="21"/>
      <c r="C5" s="21"/>
      <c r="D5" s="21"/>
      <c r="E5" s="23">
        <f t="shared" ref="E5:E7" si="0">SUM(C23:M23)</f>
        <v>30962.430200000003</v>
      </c>
      <c r="F5" s="156">
        <f t="shared" ref="F5:F7" si="1">N30</f>
        <v>438984.04510168266</v>
      </c>
      <c r="G5" s="23">
        <f t="shared" ref="G5:G7" si="2">SUM(C37:L37)</f>
        <v>38971.009999999995</v>
      </c>
      <c r="H5" s="23">
        <f t="shared" ref="H5:H7" si="3">G5-E5</f>
        <v>8008.5797999999922</v>
      </c>
      <c r="I5" s="23">
        <f t="shared" ref="I5:I7" si="4">+B53</f>
        <v>0</v>
      </c>
      <c r="J5" s="23">
        <f t="shared" ref="J5:J7" si="5">SUM(C61:L61)</f>
        <v>13.049999999999997</v>
      </c>
      <c r="K5" s="35">
        <f t="shared" ref="K5:K7" si="6">SUM(H5:J5)</f>
        <v>8021.6297999999924</v>
      </c>
      <c r="L5" s="60">
        <f t="shared" ref="L5:L7" si="7">+K5-M53</f>
        <v>0</v>
      </c>
    </row>
    <row r="6" spans="1:23" x14ac:dyDescent="0.25">
      <c r="A6" s="21" t="s">
        <v>122</v>
      </c>
      <c r="B6" s="21"/>
      <c r="C6" s="21"/>
      <c r="D6" s="21"/>
      <c r="E6" s="23">
        <f t="shared" si="0"/>
        <v>49271.196120000001</v>
      </c>
      <c r="F6" s="156">
        <f t="shared" si="1"/>
        <v>210758.84529161034</v>
      </c>
      <c r="G6" s="23">
        <f t="shared" si="2"/>
        <v>15879.170000000002</v>
      </c>
      <c r="H6" s="23">
        <f t="shared" si="3"/>
        <v>-33392.026119999995</v>
      </c>
      <c r="I6" s="23">
        <f t="shared" si="4"/>
        <v>0</v>
      </c>
      <c r="J6" s="23">
        <f t="shared" si="5"/>
        <v>-70.540000000000006</v>
      </c>
      <c r="K6" s="35">
        <f t="shared" si="6"/>
        <v>-33462.566119999996</v>
      </c>
      <c r="L6" s="60">
        <f t="shared" si="7"/>
        <v>0</v>
      </c>
    </row>
    <row r="7" spans="1:23" x14ac:dyDescent="0.25">
      <c r="A7" s="21" t="s">
        <v>123</v>
      </c>
      <c r="B7" s="21"/>
      <c r="C7" s="21"/>
      <c r="D7" s="21"/>
      <c r="E7" s="23">
        <f t="shared" si="0"/>
        <v>52646.898400000005</v>
      </c>
      <c r="F7" s="156">
        <f t="shared" si="1"/>
        <v>421685.97077262995</v>
      </c>
      <c r="G7" s="23">
        <f t="shared" si="2"/>
        <v>23692.15</v>
      </c>
      <c r="H7" s="23">
        <f t="shared" si="3"/>
        <v>-28954.748400000004</v>
      </c>
      <c r="I7" s="23">
        <f t="shared" si="4"/>
        <v>0</v>
      </c>
      <c r="J7" s="23">
        <f t="shared" si="5"/>
        <v>-66.06</v>
      </c>
      <c r="K7" s="35">
        <f t="shared" si="6"/>
        <v>-29020.808400000005</v>
      </c>
      <c r="L7" s="60">
        <f t="shared" si="7"/>
        <v>0</v>
      </c>
    </row>
    <row r="8" spans="1:23" ht="15.75" thickBot="1" x14ac:dyDescent="0.3">
      <c r="A8" s="21" t="s">
        <v>124</v>
      </c>
      <c r="B8" s="21"/>
      <c r="C8" s="21"/>
      <c r="D8" s="21"/>
      <c r="E8" s="23">
        <f>SUM(C26:M26)</f>
        <v>5852.5279200000004</v>
      </c>
      <c r="F8" s="156">
        <f>N33</f>
        <v>135413.09363311721</v>
      </c>
      <c r="G8" s="23">
        <f>SUM(C40:L40)</f>
        <v>5921.93</v>
      </c>
      <c r="H8" s="23">
        <f>G8-E8</f>
        <v>69.402079999999842</v>
      </c>
      <c r="I8" s="23">
        <f>+B56</f>
        <v>0</v>
      </c>
      <c r="J8" s="23">
        <f>SUM(C64:L64)</f>
        <v>0</v>
      </c>
      <c r="K8" s="35">
        <f>SUM(H8:J8)</f>
        <v>69.402079999999842</v>
      </c>
      <c r="L8" s="60">
        <f>+K8-M56</f>
        <v>1.2789769243681803E-13</v>
      </c>
    </row>
    <row r="9" spans="1:23" ht="16.5" thickTop="1" thickBot="1" x14ac:dyDescent="0.3">
      <c r="E9" s="39">
        <f t="shared" ref="E9:I9" si="8">SUM(E4:E8)</f>
        <v>782501.16064000013</v>
      </c>
      <c r="F9" s="157">
        <f t="shared" si="8"/>
        <v>8742672.1908797193</v>
      </c>
      <c r="G9" s="39">
        <f t="shared" si="8"/>
        <v>709860.60000000009</v>
      </c>
      <c r="H9" s="39">
        <f t="shared" si="8"/>
        <v>-72640.56064000004</v>
      </c>
      <c r="I9" s="39">
        <f t="shared" si="8"/>
        <v>0</v>
      </c>
      <c r="J9" s="39">
        <f>SUM(J4:J8)</f>
        <v>1456.02</v>
      </c>
      <c r="K9" s="39">
        <f>SUM(K4:K8)</f>
        <v>-71184.54064000005</v>
      </c>
      <c r="T9" s="5"/>
    </row>
    <row r="10" spans="1:23" ht="45.75" thickTop="1" x14ac:dyDescent="0.25">
      <c r="K10" s="253"/>
      <c r="L10" s="252" t="s">
        <v>141</v>
      </c>
    </row>
    <row r="11" spans="1:23" x14ac:dyDescent="0.25">
      <c r="A11" s="21" t="s">
        <v>121</v>
      </c>
      <c r="K11" s="35">
        <f>ROUND($K$8*L11,2)</f>
        <v>9.9</v>
      </c>
      <c r="L11" s="250">
        <f>+'[13]Monthly TD Calc'!$CY$44</f>
        <v>0.14267984863071587</v>
      </c>
    </row>
    <row r="12" spans="1:23" x14ac:dyDescent="0.25">
      <c r="A12" s="21" t="s">
        <v>122</v>
      </c>
      <c r="K12" s="35">
        <f t="shared" ref="K12:K14" si="9">ROUND($K$8*L12,2)</f>
        <v>24.78</v>
      </c>
      <c r="L12" s="250">
        <f>+'[13]Monthly TD Calc'!$CZ$44</f>
        <v>0.35708861589367091</v>
      </c>
    </row>
    <row r="13" spans="1:23" x14ac:dyDescent="0.25">
      <c r="A13" s="21" t="s">
        <v>123</v>
      </c>
      <c r="K13" s="35">
        <f t="shared" si="9"/>
        <v>28.16</v>
      </c>
      <c r="L13" s="250">
        <f>+'[13]Monthly TD Calc'!$DA$44</f>
        <v>0.40574599013503615</v>
      </c>
    </row>
    <row r="14" spans="1:23" ht="15.75" thickBot="1" x14ac:dyDescent="0.3">
      <c r="A14" s="21" t="s">
        <v>124</v>
      </c>
      <c r="J14" s="4"/>
      <c r="K14" s="35">
        <f t="shared" si="9"/>
        <v>6.56</v>
      </c>
      <c r="L14" s="250">
        <f>+'[13]Monthly TD Calc'!$DB$44</f>
        <v>9.4485545340576932E-2</v>
      </c>
      <c r="V14" s="4"/>
    </row>
    <row r="15" spans="1:23" ht="16.5" thickTop="1" thickBot="1" x14ac:dyDescent="0.3">
      <c r="A15" s="21" t="s">
        <v>126</v>
      </c>
      <c r="K15" s="39">
        <f>SUM(K11:K14)</f>
        <v>69.400000000000006</v>
      </c>
      <c r="L15" s="251">
        <f>SUM(L11:L14)</f>
        <v>0.99999999999999989</v>
      </c>
      <c r="V15" s="4"/>
      <c r="W15" s="5"/>
    </row>
    <row r="16" spans="1:23" ht="16.5" thickTop="1" thickBot="1" x14ac:dyDescent="0.3">
      <c r="V16" s="4"/>
      <c r="W16" s="5"/>
    </row>
    <row r="17" spans="1:35" ht="120.75" thickBot="1" x14ac:dyDescent="0.3">
      <c r="B17" s="136" t="str">
        <f>+'PCR Cycle 2'!B14</f>
        <v>Cumulative Over/Under Carryover From 12/02/2020 Filing</v>
      </c>
      <c r="C17" s="171" t="str">
        <f>+'PCR Cycle 2'!C14</f>
        <v>Reverse November-19 - January 2020  Forecast From 12/02/2020 Filing</v>
      </c>
      <c r="D17" s="237"/>
      <c r="E17" s="290" t="s">
        <v>35</v>
      </c>
      <c r="F17" s="290"/>
      <c r="G17" s="291"/>
      <c r="H17" s="292" t="s">
        <v>35</v>
      </c>
      <c r="I17" s="293"/>
      <c r="J17" s="294"/>
      <c r="K17" s="286" t="s">
        <v>9</v>
      </c>
      <c r="L17" s="287"/>
      <c r="M17" s="288"/>
    </row>
    <row r="18" spans="1:35" x14ac:dyDescent="0.25">
      <c r="A18" s="59" t="s">
        <v>66</v>
      </c>
      <c r="C18" s="123"/>
      <c r="D18" s="238"/>
      <c r="E18" s="19">
        <f>+'PCR Cycle 2'!D15</f>
        <v>43799</v>
      </c>
      <c r="F18" s="19">
        <f t="shared" ref="F18:M18" si="10">EOMONTH(E18,1)</f>
        <v>43830</v>
      </c>
      <c r="G18" s="19">
        <f t="shared" si="10"/>
        <v>43861</v>
      </c>
      <c r="H18" s="14">
        <f t="shared" si="10"/>
        <v>43890</v>
      </c>
      <c r="I18" s="19">
        <f t="shared" si="10"/>
        <v>43921</v>
      </c>
      <c r="J18" s="15">
        <f t="shared" si="10"/>
        <v>43951</v>
      </c>
      <c r="K18" s="19">
        <f t="shared" si="10"/>
        <v>43982</v>
      </c>
      <c r="L18" s="19">
        <f t="shared" si="10"/>
        <v>44012</v>
      </c>
      <c r="M18" s="15">
        <f t="shared" si="10"/>
        <v>44043</v>
      </c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x14ac:dyDescent="0.25">
      <c r="A19" s="59" t="s">
        <v>6</v>
      </c>
      <c r="C19" s="218">
        <v>0</v>
      </c>
      <c r="D19" s="221">
        <f>SUM(D36:D40)</f>
        <v>0</v>
      </c>
      <c r="E19" s="127">
        <f t="shared" ref="E19:L19" si="11">SUM(E36:E40)</f>
        <v>0</v>
      </c>
      <c r="F19" s="127">
        <f t="shared" si="11"/>
        <v>0</v>
      </c>
      <c r="G19" s="128">
        <f t="shared" si="11"/>
        <v>78203.600000000006</v>
      </c>
      <c r="H19" s="16">
        <f t="shared" si="11"/>
        <v>83873.849999999991</v>
      </c>
      <c r="I19" s="68">
        <f t="shared" si="11"/>
        <v>97161.61</v>
      </c>
      <c r="J19" s="186">
        <f t="shared" si="11"/>
        <v>116663.45</v>
      </c>
      <c r="K19" s="179">
        <f t="shared" si="11"/>
        <v>129316.23</v>
      </c>
      <c r="L19" s="93">
        <f t="shared" si="11"/>
        <v>204641.86000000002</v>
      </c>
      <c r="M19" s="94"/>
    </row>
    <row r="20" spans="1:35" x14ac:dyDescent="0.25">
      <c r="C20" s="117"/>
      <c r="D20" s="222"/>
      <c r="E20" s="17"/>
      <c r="F20" s="17"/>
      <c r="G20" s="17"/>
      <c r="H20" s="10"/>
      <c r="I20" s="17"/>
      <c r="J20" s="11"/>
      <c r="K20" s="43"/>
      <c r="L20" s="43"/>
      <c r="M20" s="41"/>
    </row>
    <row r="21" spans="1:35" x14ac:dyDescent="0.25">
      <c r="A21" s="59" t="s">
        <v>65</v>
      </c>
      <c r="C21" s="117"/>
      <c r="D21" s="222"/>
      <c r="E21" s="18"/>
      <c r="F21" s="18"/>
      <c r="G21" s="18"/>
      <c r="H21" s="109"/>
      <c r="I21" s="18"/>
      <c r="J21" s="187"/>
      <c r="K21" s="43"/>
      <c r="L21" s="43"/>
      <c r="M21" s="41"/>
      <c r="N21" s="3" t="s">
        <v>72</v>
      </c>
      <c r="O21" s="51"/>
    </row>
    <row r="22" spans="1:35" x14ac:dyDescent="0.25">
      <c r="A22" s="59" t="s">
        <v>26</v>
      </c>
      <c r="C22" s="218">
        <v>0</v>
      </c>
      <c r="D22" s="221">
        <v>0</v>
      </c>
      <c r="E22" s="154">
        <v>0</v>
      </c>
      <c r="F22" s="154">
        <v>0</v>
      </c>
      <c r="G22" s="154">
        <v>0</v>
      </c>
      <c r="H22" s="16">
        <f>ROUND('[7]February 2020'!F95,2)</f>
        <v>125.45</v>
      </c>
      <c r="I22" s="139">
        <f>ROUND('[7]March 2020'!F95,2)</f>
        <v>61997.57</v>
      </c>
      <c r="J22" s="191">
        <f>ROUND('[7]April 2020'!F95,2)</f>
        <v>125760.27</v>
      </c>
      <c r="K22" s="141">
        <f>'PCR Cycle 2'!J27*'TDR Cycle 3'!$N22</f>
        <v>108666.38325</v>
      </c>
      <c r="L22" s="53">
        <f>'PCR Cycle 2'!K27*'TDR Cycle 3'!$N22</f>
        <v>140229.71249999999</v>
      </c>
      <c r="M22" s="74">
        <f>'PCR Cycle 2'!L27*'TDR Cycle 3'!$N22</f>
        <v>206988.72224999999</v>
      </c>
      <c r="N22" s="85">
        <v>7.5000000000000002E-4</v>
      </c>
      <c r="O22" s="4"/>
    </row>
    <row r="23" spans="1:35" x14ac:dyDescent="0.25">
      <c r="A23" s="59" t="s">
        <v>121</v>
      </c>
      <c r="C23" s="218"/>
      <c r="D23" s="221"/>
      <c r="E23" s="154">
        <v>0</v>
      </c>
      <c r="F23" s="154">
        <v>0</v>
      </c>
      <c r="G23" s="154">
        <v>0</v>
      </c>
      <c r="H23" s="16">
        <f>ROUND('[7]February 2020'!F96,2)</f>
        <v>5.3</v>
      </c>
      <c r="I23" s="139">
        <f>ROUND('[7]March 2020'!F96,2)</f>
        <v>3365.61</v>
      </c>
      <c r="J23" s="191">
        <f>ROUND('[7]April 2020'!F96,2)</f>
        <v>6647.42</v>
      </c>
      <c r="K23" s="141">
        <f>'PCR Cycle 2'!J28*'TDR Cycle 3'!$N23</f>
        <v>6351.7044000000005</v>
      </c>
      <c r="L23" s="53">
        <f>'PCR Cycle 2'!K28*'TDR Cycle 3'!$N23</f>
        <v>6950.9224000000004</v>
      </c>
      <c r="M23" s="74">
        <f>'PCR Cycle 2'!L28*'TDR Cycle 3'!$N23</f>
        <v>7641.4734000000008</v>
      </c>
      <c r="N23" s="85">
        <v>2.0000000000000001E-4</v>
      </c>
      <c r="O23" s="4"/>
    </row>
    <row r="24" spans="1:35" x14ac:dyDescent="0.25">
      <c r="A24" s="59" t="s">
        <v>122</v>
      </c>
      <c r="C24" s="218"/>
      <c r="D24" s="221"/>
      <c r="E24" s="154">
        <v>0</v>
      </c>
      <c r="F24" s="154">
        <v>0</v>
      </c>
      <c r="G24" s="154">
        <v>0</v>
      </c>
      <c r="H24" s="16">
        <f>ROUND('[7]February 2020'!F97,2)</f>
        <v>8.1199999999999992</v>
      </c>
      <c r="I24" s="139">
        <f>ROUND('[7]March 2020'!F97,2)</f>
        <v>4509.16</v>
      </c>
      <c r="J24" s="191">
        <f>ROUND('[7]April 2020'!F97,2)</f>
        <v>8965.2000000000007</v>
      </c>
      <c r="K24" s="141">
        <f>'PCR Cycle 2'!J29*'TDR Cycle 3'!$N24</f>
        <v>10853.621999999999</v>
      </c>
      <c r="L24" s="53">
        <f>'PCR Cycle 2'!K29*'TDR Cycle 3'!$N24</f>
        <v>11877.54948</v>
      </c>
      <c r="M24" s="74">
        <f>'PCR Cycle 2'!L29*'TDR Cycle 3'!$N24</f>
        <v>13057.54464</v>
      </c>
      <c r="N24" s="85">
        <v>1.2E-4</v>
      </c>
      <c r="O24" s="4"/>
    </row>
    <row r="25" spans="1:35" x14ac:dyDescent="0.25">
      <c r="A25" s="59" t="s">
        <v>123</v>
      </c>
      <c r="C25" s="218"/>
      <c r="D25" s="221"/>
      <c r="E25" s="154">
        <v>0</v>
      </c>
      <c r="F25" s="154">
        <v>0</v>
      </c>
      <c r="G25" s="154">
        <v>0</v>
      </c>
      <c r="H25" s="16">
        <f>ROUND('[7]February 2020'!F98,2)</f>
        <v>14.28</v>
      </c>
      <c r="I25" s="139">
        <f>ROUND('[7]March 2020'!F98,2)</f>
        <v>5385.19</v>
      </c>
      <c r="J25" s="191">
        <f>ROUND('[7]April 2020'!F98,2)</f>
        <v>10252</v>
      </c>
      <c r="K25" s="141">
        <f>'PCR Cycle 2'!J30*'TDR Cycle 3'!$N25</f>
        <v>11219.580880000001</v>
      </c>
      <c r="L25" s="53">
        <f>'PCR Cycle 2'!K30*'TDR Cycle 3'!$N25</f>
        <v>12278.032880000001</v>
      </c>
      <c r="M25" s="74">
        <f>'PCR Cycle 2'!L30*'TDR Cycle 3'!$N25</f>
        <v>13497.814640000001</v>
      </c>
      <c r="N25" s="85">
        <v>8.0000000000000007E-5</v>
      </c>
      <c r="O25" s="4"/>
    </row>
    <row r="26" spans="1:35" x14ac:dyDescent="0.25">
      <c r="A26" s="59" t="s">
        <v>124</v>
      </c>
      <c r="C26" s="218">
        <v>0</v>
      </c>
      <c r="D26" s="221">
        <v>0</v>
      </c>
      <c r="E26" s="154">
        <v>0</v>
      </c>
      <c r="F26" s="154">
        <v>0</v>
      </c>
      <c r="G26" s="154">
        <v>0</v>
      </c>
      <c r="H26" s="16">
        <f>ROUND('[7]February 2020'!F99,2)</f>
        <v>1.99</v>
      </c>
      <c r="I26" s="139">
        <f>ROUND('[7]March 2020'!F99,2)</f>
        <v>584.29999999999995</v>
      </c>
      <c r="J26" s="191">
        <f>ROUND('[7]April 2020'!F99,2)</f>
        <v>1069.47</v>
      </c>
      <c r="K26" s="141">
        <f>'PCR Cycle 2'!J31*'TDR Cycle 3'!$N26</f>
        <v>1272.7512300000001</v>
      </c>
      <c r="L26" s="53">
        <f>'PCR Cycle 2'!K31*'TDR Cycle 3'!$N26</f>
        <v>1392.82221</v>
      </c>
      <c r="M26" s="74">
        <f>'PCR Cycle 2'!L31*'TDR Cycle 3'!$N26</f>
        <v>1531.1944800000001</v>
      </c>
      <c r="N26" s="85">
        <v>3.0000000000000001E-5</v>
      </c>
      <c r="O26" s="4"/>
    </row>
    <row r="27" spans="1:35" x14ac:dyDescent="0.25">
      <c r="C27" s="80"/>
      <c r="D27" s="223"/>
      <c r="E27" s="81"/>
      <c r="F27" s="81"/>
      <c r="G27" s="81"/>
      <c r="H27" s="80"/>
      <c r="I27" s="81"/>
      <c r="J27" s="189"/>
      <c r="K27" s="69"/>
      <c r="L27" s="69"/>
      <c r="M27" s="13"/>
      <c r="O27" s="4"/>
    </row>
    <row r="28" spans="1:35" x14ac:dyDescent="0.25">
      <c r="A28" s="51" t="s">
        <v>70</v>
      </c>
      <c r="B28" s="51"/>
      <c r="C28" s="80"/>
      <c r="D28" s="223"/>
      <c r="E28" s="69"/>
      <c r="F28" s="69"/>
      <c r="G28" s="69"/>
      <c r="H28" s="12"/>
      <c r="I28" s="69"/>
      <c r="J28" s="190"/>
      <c r="K28" s="69"/>
      <c r="L28" s="69"/>
      <c r="M28" s="13"/>
      <c r="N28" s="7"/>
    </row>
    <row r="29" spans="1:35" x14ac:dyDescent="0.25">
      <c r="A29" s="59" t="s">
        <v>26</v>
      </c>
      <c r="C29" s="219">
        <v>0</v>
      </c>
      <c r="D29" s="224"/>
      <c r="E29" s="129">
        <v>0</v>
      </c>
      <c r="F29" s="129">
        <v>0</v>
      </c>
      <c r="G29" s="143">
        <f>+'[14]Monthly TD Calc'!E460</f>
        <v>1099287</v>
      </c>
      <c r="H29" s="89">
        <f>+'[14]Monthly TD Calc'!F460</f>
        <v>1116544.5428666724</v>
      </c>
      <c r="I29" s="90">
        <f>+'[14]Monthly TD Calc'!G460</f>
        <v>1234730.7835866385</v>
      </c>
      <c r="J29" s="191">
        <f>+'[14]Monthly TD Calc'!H460</f>
        <v>1382823.2035753452</v>
      </c>
      <c r="K29" s="180">
        <f>+'[4]Monthly TD Calc'!I461</f>
        <v>1305521.8599215399</v>
      </c>
      <c r="L29" s="162">
        <f>+'[4]Monthly TD Calc'!J461</f>
        <v>1396922.8461304836</v>
      </c>
      <c r="M29" s="95"/>
      <c r="N29" s="72">
        <f>SUM(C29:L29)</f>
        <v>7535830.23608068</v>
      </c>
    </row>
    <row r="30" spans="1:35" x14ac:dyDescent="0.25">
      <c r="A30" s="59" t="s">
        <v>121</v>
      </c>
      <c r="C30" s="219"/>
      <c r="D30" s="224"/>
      <c r="E30" s="129">
        <v>0</v>
      </c>
      <c r="F30" s="129">
        <v>0</v>
      </c>
      <c r="G30" s="143">
        <f>+'[14]Monthly TD Calc'!E461</f>
        <v>943.66979092732504</v>
      </c>
      <c r="H30" s="89">
        <f>+'[14]Monthly TD Calc'!F461</f>
        <v>1093.2649058332815</v>
      </c>
      <c r="I30" s="90">
        <f>+'[14]Monthly TD Calc'!G461</f>
        <v>15459.150964094906</v>
      </c>
      <c r="J30" s="191">
        <f>+'[14]Monthly TD Calc'!H461</f>
        <v>83216.742137563604</v>
      </c>
      <c r="K30" s="180">
        <f>+'[4]Monthly TD Calc'!I462</f>
        <v>163207.41860450516</v>
      </c>
      <c r="L30" s="162">
        <f>+'[4]Monthly TD Calc'!J462</f>
        <v>175063.79869875833</v>
      </c>
      <c r="M30" s="95"/>
      <c r="N30" s="72">
        <f t="shared" ref="N30:N33" si="12">SUM(C30:L30)</f>
        <v>438984.04510168266</v>
      </c>
    </row>
    <row r="31" spans="1:35" x14ac:dyDescent="0.25">
      <c r="A31" s="59" t="s">
        <v>122</v>
      </c>
      <c r="C31" s="219"/>
      <c r="D31" s="224"/>
      <c r="E31" s="129">
        <v>0</v>
      </c>
      <c r="F31" s="129">
        <v>0</v>
      </c>
      <c r="G31" s="143">
        <f>+'[14]Monthly TD Calc'!E462</f>
        <v>2661.0325113919025</v>
      </c>
      <c r="H31" s="89">
        <f>+'[14]Monthly TD Calc'!F462</f>
        <v>3082.8722991411478</v>
      </c>
      <c r="I31" s="90">
        <f>+'[14]Monthly TD Calc'!G462</f>
        <v>6764.3776664299776</v>
      </c>
      <c r="J31" s="191">
        <f>+'[14]Monthly TD Calc'!H462</f>
        <v>12197.640336402095</v>
      </c>
      <c r="K31" s="180">
        <f>+'[4]Monthly TD Calc'!I463</f>
        <v>68331.900377668295</v>
      </c>
      <c r="L31" s="162">
        <f>+'[4]Monthly TD Calc'!J463</f>
        <v>117721.02210057694</v>
      </c>
      <c r="M31" s="95"/>
      <c r="N31" s="72">
        <f t="shared" si="12"/>
        <v>210758.84529161034</v>
      </c>
    </row>
    <row r="32" spans="1:35" x14ac:dyDescent="0.25">
      <c r="A32" s="59" t="s">
        <v>123</v>
      </c>
      <c r="C32" s="219"/>
      <c r="D32" s="224"/>
      <c r="E32" s="129">
        <v>0</v>
      </c>
      <c r="F32" s="129">
        <v>0</v>
      </c>
      <c r="G32" s="143">
        <f>+'[14]Monthly TD Calc'!E463</f>
        <v>4242.3314970522597</v>
      </c>
      <c r="H32" s="89">
        <f>+'[14]Monthly TD Calc'!F463</f>
        <v>4914.8464740836325</v>
      </c>
      <c r="I32" s="90">
        <f>+'[14]Monthly TD Calc'!G463</f>
        <v>9608.8803154617835</v>
      </c>
      <c r="J32" s="191">
        <f>+'[14]Monthly TD Calc'!H463</f>
        <v>35533.120918227934</v>
      </c>
      <c r="K32" s="180">
        <f>+'[4]Monthly TD Calc'!I464</f>
        <v>145120.59860269717</v>
      </c>
      <c r="L32" s="162">
        <f>+'[4]Monthly TD Calc'!J464</f>
        <v>222266.19296510721</v>
      </c>
      <c r="M32" s="95"/>
      <c r="N32" s="72">
        <f t="shared" si="12"/>
        <v>421685.97077262995</v>
      </c>
    </row>
    <row r="33" spans="1:15" x14ac:dyDescent="0.25">
      <c r="A33" s="59" t="s">
        <v>124</v>
      </c>
      <c r="C33" s="219">
        <v>0</v>
      </c>
      <c r="D33" s="224"/>
      <c r="E33" s="129">
        <v>0</v>
      </c>
      <c r="F33" s="129">
        <v>0</v>
      </c>
      <c r="G33" s="143">
        <f>+'[14]Monthly TD Calc'!E464</f>
        <v>1507.9662006285125</v>
      </c>
      <c r="H33" s="89">
        <f>+'[14]Monthly TD Calc'!F464</f>
        <v>1747.0163209419368</v>
      </c>
      <c r="I33" s="90">
        <f>+'[14]Monthly TD Calc'!G464</f>
        <v>2886.9775150461423</v>
      </c>
      <c r="J33" s="191">
        <f>+'[14]Monthly TD Calc'!H464</f>
        <v>9496.1202985337059</v>
      </c>
      <c r="K33" s="180">
        <f>+'[4]Monthly TD Calc'!I465</f>
        <v>46057.65396512211</v>
      </c>
      <c r="L33" s="162">
        <f>+'[4]Monthly TD Calc'!J465</f>
        <v>73717.35933284479</v>
      </c>
      <c r="M33" s="95"/>
      <c r="N33" s="72">
        <f t="shared" si="12"/>
        <v>135413.09363311721</v>
      </c>
    </row>
    <row r="34" spans="1:15" x14ac:dyDescent="0.25">
      <c r="C34" s="80"/>
      <c r="D34" s="223"/>
      <c r="E34" s="81"/>
      <c r="F34" s="81"/>
      <c r="G34" s="81"/>
      <c r="H34" s="80"/>
      <c r="I34" s="81"/>
      <c r="J34" s="189"/>
      <c r="K34" s="69"/>
      <c r="L34" s="69"/>
      <c r="M34" s="13"/>
    </row>
    <row r="35" spans="1:15" x14ac:dyDescent="0.25">
      <c r="A35" s="59" t="s">
        <v>73</v>
      </c>
      <c r="C35" s="48"/>
      <c r="D35" s="225"/>
      <c r="E35" s="49"/>
      <c r="F35" s="49"/>
      <c r="G35" s="49"/>
      <c r="H35" s="48"/>
      <c r="I35" s="49"/>
      <c r="J35" s="192"/>
      <c r="K35" s="65"/>
      <c r="L35" s="65"/>
      <c r="M35" s="50"/>
    </row>
    <row r="36" spans="1:15" x14ac:dyDescent="0.25">
      <c r="A36" s="59" t="s">
        <v>26</v>
      </c>
      <c r="C36" s="218">
        <v>0</v>
      </c>
      <c r="D36" s="221"/>
      <c r="E36" s="127">
        <v>0</v>
      </c>
      <c r="F36" s="127">
        <v>0</v>
      </c>
      <c r="G36" s="128">
        <f>ROUND('[14]Monthly TD Calc'!E562,2)</f>
        <v>77543.7</v>
      </c>
      <c r="H36" s="16">
        <f>ROUND('[14]Monthly TD Calc'!F562,2)</f>
        <v>83065.23</v>
      </c>
      <c r="I36" s="68">
        <f>ROUND('[14]Monthly TD Calc'!G562,2)</f>
        <v>94664.71</v>
      </c>
      <c r="J36" s="191">
        <f>ROUND('[14]Monthly TD Calc'!H562,2)</f>
        <v>107823.1</v>
      </c>
      <c r="K36" s="181">
        <f>ROUND('[4]Monthly TD Calc'!I563,2)</f>
        <v>102439.89</v>
      </c>
      <c r="L36" s="161">
        <f>ROUND('[4]Monthly TD Calc'!J563,2)</f>
        <v>159859.71</v>
      </c>
      <c r="M36" s="94"/>
    </row>
    <row r="37" spans="1:15" x14ac:dyDescent="0.25">
      <c r="A37" s="59" t="s">
        <v>121</v>
      </c>
      <c r="C37" s="218"/>
      <c r="D37" s="221"/>
      <c r="E37" s="127">
        <v>0</v>
      </c>
      <c r="F37" s="127">
        <v>0</v>
      </c>
      <c r="G37" s="128">
        <f>ROUND('[14]Monthly TD Calc'!E563,2)</f>
        <v>66.569999999999993</v>
      </c>
      <c r="H37" s="16">
        <f>ROUND('[14]Monthly TD Calc'!F563,2)</f>
        <v>81.569999999999993</v>
      </c>
      <c r="I37" s="68">
        <f>ROUND('[14]Monthly TD Calc'!G563,2)</f>
        <v>1133.22</v>
      </c>
      <c r="J37" s="191">
        <f>ROUND('[14]Monthly TD Calc'!H563,2)</f>
        <v>6366.61</v>
      </c>
      <c r="K37" s="181">
        <f>ROUND('[4]Monthly TD Calc'!I564,2)</f>
        <v>13215.16</v>
      </c>
      <c r="L37" s="161">
        <f>ROUND('[4]Monthly TD Calc'!J564,2)</f>
        <v>18107.88</v>
      </c>
      <c r="M37" s="94"/>
    </row>
    <row r="38" spans="1:15" x14ac:dyDescent="0.25">
      <c r="A38" s="59" t="s">
        <v>122</v>
      </c>
      <c r="C38" s="218"/>
      <c r="D38" s="221"/>
      <c r="E38" s="127">
        <v>0</v>
      </c>
      <c r="F38" s="127">
        <v>0</v>
      </c>
      <c r="G38" s="128">
        <f>ROUND('[14]Monthly TD Calc'!E564,2)</f>
        <v>187.71</v>
      </c>
      <c r="H38" s="16">
        <f>ROUND('[14]Monthly TD Calc'!F564,2)</f>
        <v>230.01</v>
      </c>
      <c r="I38" s="68">
        <f>ROUND('[14]Monthly TD Calc'!G564,2)</f>
        <v>466.8</v>
      </c>
      <c r="J38" s="191">
        <f>ROUND('[14]Monthly TD Calc'!H564,2)</f>
        <v>736.73</v>
      </c>
      <c r="K38" s="181">
        <f>ROUND('[4]Monthly TD Calc'!I565,2)</f>
        <v>4524.22</v>
      </c>
      <c r="L38" s="161">
        <f>ROUND('[4]Monthly TD Calc'!J565,2)</f>
        <v>9733.7000000000007</v>
      </c>
      <c r="M38" s="94"/>
    </row>
    <row r="39" spans="1:15" x14ac:dyDescent="0.25">
      <c r="A39" s="59" t="s">
        <v>123</v>
      </c>
      <c r="C39" s="218"/>
      <c r="D39" s="221"/>
      <c r="E39" s="127">
        <v>0</v>
      </c>
      <c r="F39" s="127">
        <v>0</v>
      </c>
      <c r="G39" s="128">
        <f>ROUND('[14]Monthly TD Calc'!E565,2)</f>
        <v>299.25</v>
      </c>
      <c r="H39" s="16">
        <f>ROUND('[14]Monthly TD Calc'!F565,2)</f>
        <v>366.7</v>
      </c>
      <c r="I39" s="68">
        <f>ROUND('[14]Monthly TD Calc'!G565,2)</f>
        <v>671.93</v>
      </c>
      <c r="J39" s="191">
        <f>ROUND('[14]Monthly TD Calc'!H565,2)</f>
        <v>1436.58</v>
      </c>
      <c r="K39" s="181">
        <f>ROUND('[4]Monthly TD Calc'!I566,2)</f>
        <v>7207.26</v>
      </c>
      <c r="L39" s="161">
        <f>ROUND('[4]Monthly TD Calc'!J566,2)</f>
        <v>13710.43</v>
      </c>
      <c r="M39" s="94"/>
    </row>
    <row r="40" spans="1:15" x14ac:dyDescent="0.25">
      <c r="A40" s="59" t="s">
        <v>124</v>
      </c>
      <c r="C40" s="218">
        <v>0</v>
      </c>
      <c r="D40" s="221"/>
      <c r="E40" s="127">
        <v>0</v>
      </c>
      <c r="F40" s="127">
        <v>0</v>
      </c>
      <c r="G40" s="128">
        <f>ROUND('[14]Monthly TD Calc'!E566,2)</f>
        <v>106.37</v>
      </c>
      <c r="H40" s="16">
        <f>ROUND('[14]Monthly TD Calc'!F566,2)</f>
        <v>130.34</v>
      </c>
      <c r="I40" s="68">
        <f>ROUND('[14]Monthly TD Calc'!G566,2)</f>
        <v>224.95</v>
      </c>
      <c r="J40" s="191">
        <f>ROUND('[14]Monthly TD Calc'!H566,2)</f>
        <v>300.43</v>
      </c>
      <c r="K40" s="181">
        <f>ROUND('[4]Monthly TD Calc'!I567,2)</f>
        <v>1929.7</v>
      </c>
      <c r="L40" s="161">
        <f>ROUND('[4]Monthly TD Calc'!J567,2)</f>
        <v>3230.14</v>
      </c>
      <c r="M40" s="94"/>
      <c r="O40" s="60"/>
    </row>
    <row r="41" spans="1:15" x14ac:dyDescent="0.25">
      <c r="C41" s="117"/>
      <c r="D41" s="222"/>
      <c r="E41" s="18"/>
      <c r="F41" s="18"/>
      <c r="G41" s="18"/>
      <c r="H41" s="109"/>
      <c r="I41" s="18"/>
      <c r="J41" s="187"/>
      <c r="K41" s="69"/>
      <c r="L41" s="69"/>
      <c r="M41" s="13"/>
    </row>
    <row r="42" spans="1:15" ht="15.75" thickBot="1" x14ac:dyDescent="0.3">
      <c r="A42" s="3" t="s">
        <v>17</v>
      </c>
      <c r="B42" s="3"/>
      <c r="C42" s="220">
        <v>0</v>
      </c>
      <c r="D42" s="226"/>
      <c r="E42" s="154"/>
      <c r="F42" s="154"/>
      <c r="G42" s="155">
        <v>95.31</v>
      </c>
      <c r="H42" s="38">
        <v>289.05</v>
      </c>
      <c r="I42" s="140">
        <v>314.5</v>
      </c>
      <c r="J42" s="193">
        <v>270.23</v>
      </c>
      <c r="K42" s="182">
        <v>233.96000000000006</v>
      </c>
      <c r="L42" s="163">
        <v>252.97</v>
      </c>
      <c r="M42" s="97"/>
    </row>
    <row r="43" spans="1:15" x14ac:dyDescent="0.25">
      <c r="C43" s="77"/>
      <c r="D43" s="229"/>
      <c r="E43" s="79"/>
      <c r="F43" s="79"/>
      <c r="G43" s="45"/>
      <c r="H43" s="77"/>
      <c r="I43" s="45"/>
      <c r="J43" s="194"/>
      <c r="K43" s="46"/>
      <c r="L43" s="46"/>
      <c r="M43" s="73"/>
    </row>
    <row r="44" spans="1:15" x14ac:dyDescent="0.25">
      <c r="A44" s="59" t="s">
        <v>54</v>
      </c>
      <c r="C44" s="78"/>
      <c r="D44" s="230"/>
      <c r="E44" s="47"/>
      <c r="F44" s="47"/>
      <c r="G44" s="47"/>
      <c r="H44" s="78"/>
      <c r="I44" s="47"/>
      <c r="J44" s="195"/>
      <c r="K44" s="46"/>
      <c r="L44" s="46"/>
      <c r="M44" s="73"/>
    </row>
    <row r="45" spans="1:15" x14ac:dyDescent="0.25">
      <c r="A45" s="59" t="s">
        <v>26</v>
      </c>
      <c r="C45" s="227">
        <f t="shared" ref="C45" si="13">C36-C22</f>
        <v>0</v>
      </c>
      <c r="D45" s="231">
        <f t="shared" ref="D45" si="14">D36-D22</f>
        <v>0</v>
      </c>
      <c r="E45" s="53">
        <f t="shared" ref="E45:M45" si="15">E36-E22</f>
        <v>0</v>
      </c>
      <c r="F45" s="53">
        <f t="shared" si="15"/>
        <v>0</v>
      </c>
      <c r="G45" s="126">
        <f t="shared" si="15"/>
        <v>77543.7</v>
      </c>
      <c r="H45" s="52">
        <f t="shared" si="15"/>
        <v>82939.78</v>
      </c>
      <c r="I45" s="53">
        <f t="shared" si="15"/>
        <v>32667.140000000007</v>
      </c>
      <c r="J45" s="74">
        <f t="shared" si="15"/>
        <v>-17937.169999999998</v>
      </c>
      <c r="K45" s="141">
        <f t="shared" si="15"/>
        <v>-6226.4932499999995</v>
      </c>
      <c r="L45" s="53">
        <f t="shared" si="15"/>
        <v>19629.997499999998</v>
      </c>
      <c r="M45" s="74">
        <f t="shared" si="15"/>
        <v>-206988.72224999999</v>
      </c>
    </row>
    <row r="46" spans="1:15" x14ac:dyDescent="0.25">
      <c r="A46" s="59" t="s">
        <v>121</v>
      </c>
      <c r="C46" s="227">
        <f t="shared" ref="C46" si="16">C37-C23</f>
        <v>0</v>
      </c>
      <c r="D46" s="231">
        <f t="shared" ref="D46:M46" si="17">D37-D23</f>
        <v>0</v>
      </c>
      <c r="E46" s="53">
        <f t="shared" si="17"/>
        <v>0</v>
      </c>
      <c r="F46" s="53">
        <f t="shared" si="17"/>
        <v>0</v>
      </c>
      <c r="G46" s="126">
        <f t="shared" si="17"/>
        <v>66.569999999999993</v>
      </c>
      <c r="H46" s="52">
        <f t="shared" si="17"/>
        <v>76.27</v>
      </c>
      <c r="I46" s="53">
        <f t="shared" si="17"/>
        <v>-2232.3900000000003</v>
      </c>
      <c r="J46" s="74">
        <f t="shared" si="17"/>
        <v>-280.8100000000004</v>
      </c>
      <c r="K46" s="141">
        <f t="shared" si="17"/>
        <v>6863.4555999999993</v>
      </c>
      <c r="L46" s="53">
        <f t="shared" si="17"/>
        <v>11156.957600000002</v>
      </c>
      <c r="M46" s="74">
        <f t="shared" si="17"/>
        <v>-7641.4734000000008</v>
      </c>
    </row>
    <row r="47" spans="1:15" x14ac:dyDescent="0.25">
      <c r="A47" s="59" t="s">
        <v>122</v>
      </c>
      <c r="C47" s="227">
        <f t="shared" ref="C47" si="18">C38-C24</f>
        <v>0</v>
      </c>
      <c r="D47" s="231">
        <f t="shared" ref="D47:M47" si="19">D38-D24</f>
        <v>0</v>
      </c>
      <c r="E47" s="53">
        <f t="shared" si="19"/>
        <v>0</v>
      </c>
      <c r="F47" s="53">
        <f t="shared" si="19"/>
        <v>0</v>
      </c>
      <c r="G47" s="126">
        <f t="shared" si="19"/>
        <v>187.71</v>
      </c>
      <c r="H47" s="52">
        <f t="shared" si="19"/>
        <v>221.89</v>
      </c>
      <c r="I47" s="53">
        <f t="shared" si="19"/>
        <v>-4042.3599999999997</v>
      </c>
      <c r="J47" s="74">
        <f t="shared" si="19"/>
        <v>-8228.4700000000012</v>
      </c>
      <c r="K47" s="141">
        <f t="shared" si="19"/>
        <v>-6329.4019999999991</v>
      </c>
      <c r="L47" s="53">
        <f t="shared" si="19"/>
        <v>-2143.8494799999989</v>
      </c>
      <c r="M47" s="74">
        <f t="shared" si="19"/>
        <v>-13057.54464</v>
      </c>
    </row>
    <row r="48" spans="1:15" x14ac:dyDescent="0.25">
      <c r="A48" s="59" t="s">
        <v>123</v>
      </c>
      <c r="C48" s="227">
        <f t="shared" ref="C48" si="20">C39-C25</f>
        <v>0</v>
      </c>
      <c r="D48" s="231">
        <f t="shared" ref="D48:M48" si="21">D39-D25</f>
        <v>0</v>
      </c>
      <c r="E48" s="53">
        <f t="shared" si="21"/>
        <v>0</v>
      </c>
      <c r="F48" s="53">
        <f t="shared" si="21"/>
        <v>0</v>
      </c>
      <c r="G48" s="126">
        <f t="shared" si="21"/>
        <v>299.25</v>
      </c>
      <c r="H48" s="52">
        <f t="shared" si="21"/>
        <v>352.42</v>
      </c>
      <c r="I48" s="53">
        <f t="shared" si="21"/>
        <v>-4713.2599999999993</v>
      </c>
      <c r="J48" s="74">
        <f t="shared" si="21"/>
        <v>-8815.42</v>
      </c>
      <c r="K48" s="141">
        <f t="shared" si="21"/>
        <v>-4012.3208800000011</v>
      </c>
      <c r="L48" s="53">
        <f t="shared" si="21"/>
        <v>1432.3971199999996</v>
      </c>
      <c r="M48" s="74">
        <f t="shared" si="21"/>
        <v>-13497.814640000001</v>
      </c>
    </row>
    <row r="49" spans="1:13" x14ac:dyDescent="0.25">
      <c r="A49" s="59" t="s">
        <v>124</v>
      </c>
      <c r="C49" s="227">
        <f t="shared" ref="C49" si="22">C40-C26</f>
        <v>0</v>
      </c>
      <c r="D49" s="231">
        <f t="shared" ref="D49:M49" si="23">D40-D26</f>
        <v>0</v>
      </c>
      <c r="E49" s="53">
        <f t="shared" si="23"/>
        <v>0</v>
      </c>
      <c r="F49" s="53">
        <f t="shared" si="23"/>
        <v>0</v>
      </c>
      <c r="G49" s="126">
        <f t="shared" si="23"/>
        <v>106.37</v>
      </c>
      <c r="H49" s="52">
        <f t="shared" si="23"/>
        <v>128.35</v>
      </c>
      <c r="I49" s="53">
        <f t="shared" si="23"/>
        <v>-359.34999999999997</v>
      </c>
      <c r="J49" s="74">
        <f t="shared" si="23"/>
        <v>-769.04</v>
      </c>
      <c r="K49" s="141">
        <f t="shared" si="23"/>
        <v>656.94876999999997</v>
      </c>
      <c r="L49" s="53">
        <f t="shared" si="23"/>
        <v>1837.3177899999998</v>
      </c>
      <c r="M49" s="74">
        <f t="shared" si="23"/>
        <v>-1531.1944800000001</v>
      </c>
    </row>
    <row r="50" spans="1:13" x14ac:dyDescent="0.25">
      <c r="C50" s="117"/>
      <c r="D50" s="222"/>
      <c r="E50" s="17"/>
      <c r="F50" s="17"/>
      <c r="G50" s="17"/>
      <c r="H50" s="10"/>
      <c r="I50" s="17"/>
      <c r="J50" s="11"/>
      <c r="K50" s="17"/>
      <c r="L50" s="17"/>
      <c r="M50" s="11"/>
    </row>
    <row r="51" spans="1:13" ht="15.75" thickBot="1" x14ac:dyDescent="0.3">
      <c r="A51" s="59" t="s">
        <v>55</v>
      </c>
      <c r="C51" s="117"/>
      <c r="D51" s="222"/>
      <c r="E51" s="17"/>
      <c r="F51" s="17"/>
      <c r="G51" s="17"/>
      <c r="H51" s="10"/>
      <c r="I51" s="17"/>
      <c r="J51" s="11"/>
      <c r="K51" s="17"/>
      <c r="L51" s="17"/>
      <c r="M51" s="11"/>
    </row>
    <row r="52" spans="1:13" x14ac:dyDescent="0.25">
      <c r="A52" s="59" t="s">
        <v>26</v>
      </c>
      <c r="B52" s="134">
        <v>0</v>
      </c>
      <c r="C52" s="227">
        <f t="shared" ref="C52:C56" si="24">+B52+C45+B60</f>
        <v>0</v>
      </c>
      <c r="D52" s="231">
        <f t="shared" ref="D52:D56" si="25">+C52+D45+C60</f>
        <v>0</v>
      </c>
      <c r="E52" s="53">
        <f t="shared" ref="E52:E56" si="26">+D52+E45+D60</f>
        <v>0</v>
      </c>
      <c r="F52" s="53">
        <f t="shared" ref="F52:F56" si="27">+E52+F45+E60</f>
        <v>0</v>
      </c>
      <c r="G52" s="126">
        <f t="shared" ref="G52:G56" si="28">+F52+G45+F60</f>
        <v>77543.7</v>
      </c>
      <c r="H52" s="52">
        <f t="shared" ref="H52:H56" si="29">+G52+H45+G60</f>
        <v>160577.99</v>
      </c>
      <c r="I52" s="53">
        <f t="shared" ref="I52:I56" si="30">+H52+I45+H60</f>
        <v>193531.66</v>
      </c>
      <c r="J52" s="74">
        <f t="shared" ref="J52:J56" si="31">+I52+J45+I60</f>
        <v>175916.69</v>
      </c>
      <c r="K52" s="141">
        <f t="shared" ref="K52:K56" si="32">+J52+K45+J60</f>
        <v>169991.30674999999</v>
      </c>
      <c r="L52" s="53">
        <f t="shared" ref="L52:L56" si="33">+K52+L45+K60</f>
        <v>189903.22425</v>
      </c>
      <c r="M52" s="74">
        <f t="shared" ref="M52:M56" si="34">+L52+M45+L60</f>
        <v>-16792.197999999993</v>
      </c>
    </row>
    <row r="53" spans="1:13" x14ac:dyDescent="0.25">
      <c r="A53" s="59" t="s">
        <v>121</v>
      </c>
      <c r="B53" s="271">
        <v>0</v>
      </c>
      <c r="C53" s="227">
        <f t="shared" si="24"/>
        <v>0</v>
      </c>
      <c r="D53" s="231">
        <f t="shared" si="25"/>
        <v>0</v>
      </c>
      <c r="E53" s="53">
        <f t="shared" si="26"/>
        <v>0</v>
      </c>
      <c r="F53" s="53">
        <f t="shared" si="27"/>
        <v>0</v>
      </c>
      <c r="G53" s="126">
        <f t="shared" si="28"/>
        <v>66.569999999999993</v>
      </c>
      <c r="H53" s="52">
        <f t="shared" si="29"/>
        <v>142.91999999999999</v>
      </c>
      <c r="I53" s="53">
        <f t="shared" si="30"/>
        <v>-2089.2200000000003</v>
      </c>
      <c r="J53" s="74">
        <f t="shared" si="31"/>
        <v>-2371.8000000000006</v>
      </c>
      <c r="K53" s="141">
        <f t="shared" si="32"/>
        <v>4488.0255999999981</v>
      </c>
      <c r="L53" s="53">
        <f t="shared" si="33"/>
        <v>15646.703199999998</v>
      </c>
      <c r="M53" s="74">
        <f t="shared" si="34"/>
        <v>8021.629799999997</v>
      </c>
    </row>
    <row r="54" spans="1:13" x14ac:dyDescent="0.25">
      <c r="A54" s="59" t="s">
        <v>122</v>
      </c>
      <c r="B54" s="271">
        <v>0</v>
      </c>
      <c r="C54" s="227">
        <f t="shared" si="24"/>
        <v>0</v>
      </c>
      <c r="D54" s="231">
        <f t="shared" si="25"/>
        <v>0</v>
      </c>
      <c r="E54" s="53">
        <f t="shared" si="26"/>
        <v>0</v>
      </c>
      <c r="F54" s="53">
        <f t="shared" si="27"/>
        <v>0</v>
      </c>
      <c r="G54" s="126">
        <f t="shared" si="28"/>
        <v>187.71</v>
      </c>
      <c r="H54" s="52">
        <f t="shared" si="29"/>
        <v>409.83000000000004</v>
      </c>
      <c r="I54" s="53">
        <f t="shared" si="30"/>
        <v>-3631.81</v>
      </c>
      <c r="J54" s="74">
        <f t="shared" si="31"/>
        <v>-11863.210000000001</v>
      </c>
      <c r="K54" s="141">
        <f t="shared" si="32"/>
        <v>-18205.232</v>
      </c>
      <c r="L54" s="53">
        <f t="shared" si="33"/>
        <v>-20373.581480000001</v>
      </c>
      <c r="M54" s="74">
        <f t="shared" si="34"/>
        <v>-33462.566120000003</v>
      </c>
    </row>
    <row r="55" spans="1:13" x14ac:dyDescent="0.25">
      <c r="A55" s="59" t="s">
        <v>123</v>
      </c>
      <c r="B55" s="271">
        <v>0</v>
      </c>
      <c r="C55" s="227">
        <f t="shared" si="24"/>
        <v>0</v>
      </c>
      <c r="D55" s="231">
        <f t="shared" si="25"/>
        <v>0</v>
      </c>
      <c r="E55" s="53">
        <f t="shared" si="26"/>
        <v>0</v>
      </c>
      <c r="F55" s="53">
        <f t="shared" si="27"/>
        <v>0</v>
      </c>
      <c r="G55" s="126">
        <f t="shared" si="28"/>
        <v>299.25</v>
      </c>
      <c r="H55" s="52">
        <f t="shared" si="29"/>
        <v>652.03000000000009</v>
      </c>
      <c r="I55" s="53">
        <f t="shared" si="30"/>
        <v>-4060.0899999999992</v>
      </c>
      <c r="J55" s="74">
        <f t="shared" si="31"/>
        <v>-12878.609999999999</v>
      </c>
      <c r="K55" s="141">
        <f t="shared" si="32"/>
        <v>-16904.730879999999</v>
      </c>
      <c r="L55" s="53">
        <f t="shared" si="33"/>
        <v>-15496.59376</v>
      </c>
      <c r="M55" s="74">
        <f t="shared" si="34"/>
        <v>-29020.808400000002</v>
      </c>
    </row>
    <row r="56" spans="1:13" ht="15.75" thickBot="1" x14ac:dyDescent="0.3">
      <c r="A56" s="59" t="s">
        <v>124</v>
      </c>
      <c r="B56" s="135">
        <v>0</v>
      </c>
      <c r="C56" s="227">
        <f t="shared" si="24"/>
        <v>0</v>
      </c>
      <c r="D56" s="231">
        <f t="shared" si="25"/>
        <v>0</v>
      </c>
      <c r="E56" s="53">
        <f t="shared" si="26"/>
        <v>0</v>
      </c>
      <c r="F56" s="53">
        <f t="shared" si="27"/>
        <v>0</v>
      </c>
      <c r="G56" s="126">
        <f t="shared" si="28"/>
        <v>106.37</v>
      </c>
      <c r="H56" s="52">
        <f t="shared" si="29"/>
        <v>234.85</v>
      </c>
      <c r="I56" s="53">
        <f t="shared" si="30"/>
        <v>-124.08999999999997</v>
      </c>
      <c r="J56" s="74">
        <f t="shared" si="31"/>
        <v>-893.02999999999986</v>
      </c>
      <c r="K56" s="141">
        <f t="shared" si="32"/>
        <v>-236.9112299999999</v>
      </c>
      <c r="L56" s="53">
        <f t="shared" si="33"/>
        <v>1599.4865599999998</v>
      </c>
      <c r="M56" s="74">
        <f t="shared" si="34"/>
        <v>69.402079999999714</v>
      </c>
    </row>
    <row r="57" spans="1:13" x14ac:dyDescent="0.25">
      <c r="C57" s="117"/>
      <c r="D57" s="222"/>
      <c r="E57" s="17"/>
      <c r="F57" s="17"/>
      <c r="G57" s="17"/>
      <c r="H57" s="10"/>
      <c r="I57" s="17"/>
      <c r="J57" s="11"/>
      <c r="K57" s="17"/>
      <c r="L57" s="17"/>
      <c r="M57" s="11"/>
    </row>
    <row r="58" spans="1:13" x14ac:dyDescent="0.25">
      <c r="A58" s="51" t="s">
        <v>140</v>
      </c>
      <c r="B58" s="51"/>
      <c r="C58" s="122"/>
      <c r="D58" s="232"/>
      <c r="E58" s="98">
        <f>+'PCR Cycle 2'!D50</f>
        <v>2.4882900000000002E-3</v>
      </c>
      <c r="F58" s="98">
        <f>+'PCR Cycle 2'!E50</f>
        <v>2.5028199999999998E-3</v>
      </c>
      <c r="G58" s="98">
        <f>+'PCR Cycle 2'!F50</f>
        <v>2.43764E-3</v>
      </c>
      <c r="H58" s="99">
        <f>+'PCR Cycle 2'!G50</f>
        <v>2.4056699999999999E-3</v>
      </c>
      <c r="I58" s="98">
        <f>+'PCR Cycle 2'!H50</f>
        <v>1.8183299999999999E-3</v>
      </c>
      <c r="J58" s="110">
        <f>+'PCR Cycle 2'!I50</f>
        <v>1.62864E-3</v>
      </c>
      <c r="K58" s="98">
        <f>+'PCR Cycle 2'!J50</f>
        <v>1.62864E-3</v>
      </c>
      <c r="L58" s="98">
        <f>+'PCR Cycle 2'!K50</f>
        <v>1.62864E-3</v>
      </c>
      <c r="M58" s="100"/>
    </row>
    <row r="59" spans="1:13" x14ac:dyDescent="0.25">
      <c r="A59" s="51" t="s">
        <v>39</v>
      </c>
      <c r="B59" s="51"/>
      <c r="C59" s="124"/>
      <c r="D59" s="233"/>
      <c r="E59" s="98"/>
      <c r="F59" s="98"/>
      <c r="G59" s="98"/>
      <c r="H59" s="99"/>
      <c r="I59" s="98"/>
      <c r="J59" s="100"/>
      <c r="K59" s="98"/>
      <c r="L59" s="98"/>
      <c r="M59" s="100"/>
    </row>
    <row r="60" spans="1:13" x14ac:dyDescent="0.25">
      <c r="A60" s="59" t="s">
        <v>26</v>
      </c>
      <c r="C60" s="227">
        <v>0</v>
      </c>
      <c r="D60" s="231">
        <f t="shared" ref="D60:M64" si="35">ROUND((C52+C60+D45/2)*D$58,2)</f>
        <v>0</v>
      </c>
      <c r="E60" s="53">
        <f t="shared" si="35"/>
        <v>0</v>
      </c>
      <c r="F60" s="53">
        <f t="shared" ref="F60:F64" si="36">ROUND((E52+E60+F45/2)*F$58,2)</f>
        <v>0</v>
      </c>
      <c r="G60" s="126">
        <f t="shared" ref="G60:G64" si="37">ROUND((F52+F60+G45/2)*G$58,2)</f>
        <v>94.51</v>
      </c>
      <c r="H60" s="52">
        <f t="shared" ref="H60:H64" si="38">ROUND((G52+G60+H45/2)*H$58,2)</f>
        <v>286.52999999999997</v>
      </c>
      <c r="I60" s="141">
        <f t="shared" ref="I60:I64" si="39">ROUND((H52+H60+I45/2)*I$58,2)</f>
        <v>322.2</v>
      </c>
      <c r="J60" s="74">
        <f t="shared" ref="J60:J64" si="40">ROUND((I52+I60+J45/2)*J$58,2)</f>
        <v>301.11</v>
      </c>
      <c r="K60" s="183">
        <f t="shared" ref="K60:K64" si="41">ROUND((J52+J60+K45/2)*K$58,2)</f>
        <v>281.92</v>
      </c>
      <c r="L60" s="126">
        <f t="shared" ref="L60:L64" si="42">ROUND((K52+K60+L45/2)*L$58,2)</f>
        <v>293.3</v>
      </c>
      <c r="M60" s="74">
        <f t="shared" si="35"/>
        <v>0</v>
      </c>
    </row>
    <row r="61" spans="1:13" x14ac:dyDescent="0.25">
      <c r="A61" s="59" t="s">
        <v>121</v>
      </c>
      <c r="C61" s="227">
        <v>0</v>
      </c>
      <c r="D61" s="231">
        <f t="shared" si="35"/>
        <v>0</v>
      </c>
      <c r="E61" s="53">
        <f t="shared" si="35"/>
        <v>0</v>
      </c>
      <c r="F61" s="53">
        <f t="shared" si="36"/>
        <v>0</v>
      </c>
      <c r="G61" s="126">
        <f t="shared" si="37"/>
        <v>0.08</v>
      </c>
      <c r="H61" s="52">
        <f t="shared" si="38"/>
        <v>0.25</v>
      </c>
      <c r="I61" s="141">
        <f t="shared" si="39"/>
        <v>-1.77</v>
      </c>
      <c r="J61" s="74">
        <f t="shared" si="40"/>
        <v>-3.63</v>
      </c>
      <c r="K61" s="183">
        <f t="shared" si="41"/>
        <v>1.72</v>
      </c>
      <c r="L61" s="126">
        <f t="shared" si="42"/>
        <v>16.399999999999999</v>
      </c>
      <c r="M61" s="74"/>
    </row>
    <row r="62" spans="1:13" x14ac:dyDescent="0.25">
      <c r="A62" s="59" t="s">
        <v>122</v>
      </c>
      <c r="C62" s="227">
        <v>0</v>
      </c>
      <c r="D62" s="231">
        <f t="shared" si="35"/>
        <v>0</v>
      </c>
      <c r="E62" s="53">
        <f t="shared" si="35"/>
        <v>0</v>
      </c>
      <c r="F62" s="53">
        <f t="shared" si="36"/>
        <v>0</v>
      </c>
      <c r="G62" s="126">
        <f t="shared" si="37"/>
        <v>0.23</v>
      </c>
      <c r="H62" s="52">
        <f t="shared" si="38"/>
        <v>0.72</v>
      </c>
      <c r="I62" s="141">
        <f t="shared" si="39"/>
        <v>-2.93</v>
      </c>
      <c r="J62" s="74">
        <f t="shared" si="40"/>
        <v>-12.62</v>
      </c>
      <c r="K62" s="183">
        <f t="shared" si="41"/>
        <v>-24.5</v>
      </c>
      <c r="L62" s="126">
        <f t="shared" si="42"/>
        <v>-31.44</v>
      </c>
      <c r="M62" s="74"/>
    </row>
    <row r="63" spans="1:13" x14ac:dyDescent="0.25">
      <c r="A63" s="59" t="s">
        <v>123</v>
      </c>
      <c r="C63" s="227">
        <v>0</v>
      </c>
      <c r="D63" s="231">
        <f t="shared" si="35"/>
        <v>0</v>
      </c>
      <c r="E63" s="53">
        <f t="shared" si="35"/>
        <v>0</v>
      </c>
      <c r="F63" s="53">
        <f t="shared" si="36"/>
        <v>0</v>
      </c>
      <c r="G63" s="126">
        <f t="shared" si="37"/>
        <v>0.36</v>
      </c>
      <c r="H63" s="52">
        <f t="shared" si="38"/>
        <v>1.1399999999999999</v>
      </c>
      <c r="I63" s="141">
        <f t="shared" si="39"/>
        <v>-3.1</v>
      </c>
      <c r="J63" s="74">
        <f t="shared" si="40"/>
        <v>-13.8</v>
      </c>
      <c r="K63" s="183">
        <f t="shared" si="41"/>
        <v>-24.26</v>
      </c>
      <c r="L63" s="126">
        <f t="shared" si="42"/>
        <v>-26.4</v>
      </c>
      <c r="M63" s="74"/>
    </row>
    <row r="64" spans="1:13" ht="15.75" thickBot="1" x14ac:dyDescent="0.3">
      <c r="A64" s="59" t="s">
        <v>124</v>
      </c>
      <c r="C64" s="227">
        <v>0</v>
      </c>
      <c r="D64" s="231">
        <f t="shared" si="35"/>
        <v>0</v>
      </c>
      <c r="E64" s="53">
        <f t="shared" si="35"/>
        <v>0</v>
      </c>
      <c r="F64" s="53">
        <f t="shared" si="36"/>
        <v>0</v>
      </c>
      <c r="G64" s="126">
        <f t="shared" si="37"/>
        <v>0.13</v>
      </c>
      <c r="H64" s="52">
        <f t="shared" si="38"/>
        <v>0.41</v>
      </c>
      <c r="I64" s="141">
        <f t="shared" si="39"/>
        <v>0.1</v>
      </c>
      <c r="J64" s="74">
        <f t="shared" si="40"/>
        <v>-0.83</v>
      </c>
      <c r="K64" s="183">
        <f t="shared" si="41"/>
        <v>-0.92</v>
      </c>
      <c r="L64" s="126">
        <f t="shared" si="42"/>
        <v>1.1100000000000001</v>
      </c>
      <c r="M64" s="74">
        <f t="shared" ref="M64" si="43">ROUND((L56+L64+M49/2)*M$58,2)</f>
        <v>0</v>
      </c>
    </row>
    <row r="65" spans="1:13" ht="16.5" thickTop="1" thickBot="1" x14ac:dyDescent="0.3">
      <c r="A65" s="67" t="s">
        <v>24</v>
      </c>
      <c r="B65" s="67"/>
      <c r="C65" s="228">
        <v>0</v>
      </c>
      <c r="D65" s="234"/>
      <c r="E65" s="54">
        <f>SUM(E60:E64)+SUM(E52:E56)-E68</f>
        <v>0</v>
      </c>
      <c r="F65" s="54">
        <f t="shared" ref="F65:M65" si="44">SUM(F60:F64)+SUM(F52:F56)-F68</f>
        <v>0</v>
      </c>
      <c r="G65" s="63">
        <f t="shared" si="44"/>
        <v>0</v>
      </c>
      <c r="H65" s="64">
        <f t="shared" si="44"/>
        <v>0</v>
      </c>
      <c r="I65" s="54">
        <f t="shared" si="44"/>
        <v>0</v>
      </c>
      <c r="J65" s="75">
        <f t="shared" si="44"/>
        <v>0</v>
      </c>
      <c r="K65" s="184">
        <f t="shared" si="44"/>
        <v>0</v>
      </c>
      <c r="L65" s="63">
        <f t="shared" si="44"/>
        <v>0</v>
      </c>
      <c r="M65" s="75">
        <f t="shared" si="44"/>
        <v>0</v>
      </c>
    </row>
    <row r="66" spans="1:13" ht="16.5" thickTop="1" thickBot="1" x14ac:dyDescent="0.3">
      <c r="A66" s="67" t="s">
        <v>25</v>
      </c>
      <c r="B66" s="67"/>
      <c r="C66" s="228">
        <v>0</v>
      </c>
      <c r="D66" s="234"/>
      <c r="E66" s="54">
        <f>SUM(E60:E64)-E42</f>
        <v>0</v>
      </c>
      <c r="F66" s="54">
        <f t="shared" ref="F66:J66" si="45">SUM(F60:F64)-F42</f>
        <v>0</v>
      </c>
      <c r="G66" s="63">
        <f t="shared" ref="G66:I66" si="46">SUM(G60:G64)-G42</f>
        <v>0</v>
      </c>
      <c r="H66" s="64">
        <f t="shared" si="46"/>
        <v>0</v>
      </c>
      <c r="I66" s="54">
        <f t="shared" si="46"/>
        <v>0</v>
      </c>
      <c r="J66" s="75">
        <f t="shared" si="45"/>
        <v>0</v>
      </c>
      <c r="K66" s="185">
        <f t="shared" ref="K66:M66" si="47">SUM(K60:K64)-K42</f>
        <v>0</v>
      </c>
      <c r="L66" s="54">
        <f t="shared" si="47"/>
        <v>0</v>
      </c>
      <c r="M66" s="54">
        <f t="shared" si="47"/>
        <v>0</v>
      </c>
    </row>
    <row r="67" spans="1:13" ht="16.5" thickTop="1" thickBot="1" x14ac:dyDescent="0.3">
      <c r="C67" s="117"/>
      <c r="D67" s="222"/>
      <c r="E67" s="17"/>
      <c r="F67" s="17"/>
      <c r="G67" s="17"/>
      <c r="H67" s="10"/>
      <c r="I67" s="17"/>
      <c r="J67" s="11"/>
      <c r="K67" s="17"/>
      <c r="L67" s="17"/>
      <c r="M67" s="11"/>
    </row>
    <row r="68" spans="1:13" ht="15.75" thickBot="1" x14ac:dyDescent="0.3">
      <c r="A68" s="59" t="s">
        <v>38</v>
      </c>
      <c r="B68" s="137">
        <f>+B52+B56</f>
        <v>0</v>
      </c>
      <c r="C68" s="227">
        <f>(C19-SUM(C22:C26))+SUM(C60:C64)+B68</f>
        <v>0</v>
      </c>
      <c r="D68" s="231">
        <f>(D19-SUM(D22:D26))+SUM(D60:D64)+C68</f>
        <v>0</v>
      </c>
      <c r="E68" s="53">
        <f>(E19-SUM(E22:E26))+SUM(E60:E64)+D68</f>
        <v>0</v>
      </c>
      <c r="F68" s="53">
        <f t="shared" ref="F68:M68" si="48">(F19-SUM(F22:F26))+SUM(F60:F64)+E68</f>
        <v>0</v>
      </c>
      <c r="G68" s="126">
        <f t="shared" si="48"/>
        <v>78298.91</v>
      </c>
      <c r="H68" s="52">
        <f t="shared" si="48"/>
        <v>162306.66999999998</v>
      </c>
      <c r="I68" s="53">
        <f t="shared" si="48"/>
        <v>183940.94999999998</v>
      </c>
      <c r="J68" s="74">
        <f t="shared" si="48"/>
        <v>148180.26999999996</v>
      </c>
      <c r="K68" s="183">
        <f t="shared" si="48"/>
        <v>139366.41823999997</v>
      </c>
      <c r="L68" s="126">
        <f t="shared" si="48"/>
        <v>171532.20876999997</v>
      </c>
      <c r="M68" s="74">
        <f t="shared" si="48"/>
        <v>-71184.540640000021</v>
      </c>
    </row>
    <row r="69" spans="1:13" x14ac:dyDescent="0.25">
      <c r="A69" s="59" t="s">
        <v>14</v>
      </c>
      <c r="C69" s="138"/>
      <c r="D69" s="235"/>
      <c r="E69" s="17"/>
      <c r="F69" s="17"/>
      <c r="G69" s="17"/>
      <c r="H69" s="10"/>
      <c r="I69" s="17"/>
      <c r="J69" s="11"/>
      <c r="K69" s="17"/>
      <c r="L69" s="17"/>
      <c r="M69" s="11"/>
    </row>
    <row r="70" spans="1:13" ht="15.75" thickBot="1" x14ac:dyDescent="0.3">
      <c r="A70" s="49"/>
      <c r="B70" s="49"/>
      <c r="C70" s="166"/>
      <c r="D70" s="236"/>
      <c r="E70" s="56"/>
      <c r="F70" s="56"/>
      <c r="G70" s="56"/>
      <c r="H70" s="55"/>
      <c r="I70" s="56"/>
      <c r="J70" s="57"/>
      <c r="K70" s="56"/>
      <c r="L70" s="56"/>
      <c r="M70" s="57"/>
    </row>
    <row r="72" spans="1:13" x14ac:dyDescent="0.25">
      <c r="A72" s="82" t="s">
        <v>13</v>
      </c>
      <c r="B72" s="82"/>
      <c r="C72" s="82"/>
      <c r="D72" s="82"/>
    </row>
    <row r="73" spans="1:13" ht="34.5" customHeight="1" x14ac:dyDescent="0.25">
      <c r="A73" s="289" t="s">
        <v>204</v>
      </c>
      <c r="B73" s="289"/>
      <c r="C73" s="289"/>
      <c r="D73" s="289"/>
      <c r="E73" s="289"/>
      <c r="F73" s="289"/>
      <c r="G73" s="289"/>
      <c r="H73" s="289"/>
      <c r="I73" s="289"/>
      <c r="J73" s="289"/>
      <c r="K73" s="259"/>
      <c r="L73" s="260"/>
      <c r="M73" s="260"/>
    </row>
    <row r="74" spans="1:13" ht="42.75" customHeight="1" x14ac:dyDescent="0.25">
      <c r="A74" s="289" t="s">
        <v>170</v>
      </c>
      <c r="B74" s="289"/>
      <c r="C74" s="289"/>
      <c r="D74" s="289"/>
      <c r="E74" s="289"/>
      <c r="F74" s="289"/>
      <c r="G74" s="289"/>
      <c r="H74" s="289"/>
      <c r="I74" s="289"/>
      <c r="J74" s="289"/>
      <c r="K74" s="289"/>
      <c r="L74" s="260"/>
      <c r="M74" s="260"/>
    </row>
    <row r="75" spans="1:13" ht="33.75" customHeight="1" x14ac:dyDescent="0.25">
      <c r="A75" s="289" t="s">
        <v>205</v>
      </c>
      <c r="B75" s="289"/>
      <c r="C75" s="289"/>
      <c r="D75" s="289"/>
      <c r="E75" s="289"/>
      <c r="F75" s="289"/>
      <c r="G75" s="289"/>
      <c r="H75" s="289"/>
      <c r="I75" s="289"/>
      <c r="J75" s="289"/>
      <c r="K75" s="259"/>
      <c r="L75" s="260"/>
      <c r="M75" s="260"/>
    </row>
    <row r="76" spans="1:13" x14ac:dyDescent="0.25">
      <c r="A76" s="3" t="s">
        <v>71</v>
      </c>
      <c r="B76" s="3"/>
      <c r="C76" s="3"/>
      <c r="D76" s="3"/>
    </row>
    <row r="77" spans="1:13" x14ac:dyDescent="0.25">
      <c r="A77" s="76" t="s">
        <v>172</v>
      </c>
      <c r="B77" s="3"/>
      <c r="C77" s="3"/>
      <c r="D77" s="3"/>
    </row>
    <row r="78" spans="1:13" x14ac:dyDescent="0.25">
      <c r="A78" s="3" t="s">
        <v>74</v>
      </c>
      <c r="B78" s="3"/>
      <c r="C78" s="3"/>
      <c r="D78" s="3"/>
    </row>
    <row r="79" spans="1:13" x14ac:dyDescent="0.25">
      <c r="A79" s="3"/>
      <c r="B79" s="3"/>
      <c r="C79" s="3"/>
      <c r="D79" s="3"/>
    </row>
  </sheetData>
  <mergeCells count="6">
    <mergeCell ref="A75:J75"/>
    <mergeCell ref="E17:G17"/>
    <mergeCell ref="H17:J17"/>
    <mergeCell ref="K17:M17"/>
    <mergeCell ref="A73:J73"/>
    <mergeCell ref="A74:K74"/>
  </mergeCells>
  <pageMargins left="0.2" right="0.2" top="0.75" bottom="0.25" header="0.3" footer="0.3"/>
  <pageSetup scale="49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7"/>
  <sheetViews>
    <sheetView topLeftCell="A13" workbookViewId="0">
      <selection activeCell="C8" sqref="C8"/>
    </sheetView>
  </sheetViews>
  <sheetFormatPr defaultRowHeight="15" x14ac:dyDescent="0.25"/>
  <cols>
    <col min="1" max="1" width="22.42578125" customWidth="1"/>
    <col min="2" max="2" width="15.28515625" bestFit="1" customWidth="1"/>
    <col min="3" max="3" width="14.28515625" style="59" customWidth="1"/>
    <col min="4" max="4" width="13.28515625" bestFit="1" customWidth="1"/>
    <col min="6" max="6" width="11.5703125" bestFit="1" customWidth="1"/>
    <col min="7" max="7" width="13.140625" customWidth="1"/>
  </cols>
  <sheetData>
    <row r="1" spans="1:7" x14ac:dyDescent="0.25">
      <c r="A1" s="76" t="str">
        <f>+'PPC Cycle 2'!A1</f>
        <v>Evergy Metro, Inc. - DSIM Rider Update Filed 06/01/2020</v>
      </c>
      <c r="B1" s="59"/>
      <c r="D1" s="59"/>
      <c r="E1" s="59"/>
    </row>
    <row r="2" spans="1:7" x14ac:dyDescent="0.25">
      <c r="A2" s="9" t="str">
        <f>+'PPC Cycle 2'!A2</f>
        <v>Projections for Cycle 2 July 2020 - June 2021 DSIM</v>
      </c>
      <c r="B2" s="59"/>
      <c r="D2" s="59"/>
      <c r="E2" s="59"/>
    </row>
    <row r="3" spans="1:7" ht="45.75" customHeight="1" x14ac:dyDescent="0.25">
      <c r="A3" s="59"/>
      <c r="B3" s="280" t="s">
        <v>111</v>
      </c>
      <c r="C3" s="280"/>
      <c r="D3" s="280"/>
      <c r="E3" s="59"/>
    </row>
    <row r="4" spans="1:7" ht="90" x14ac:dyDescent="0.25">
      <c r="A4" s="59"/>
      <c r="B4" s="83" t="s">
        <v>113</v>
      </c>
      <c r="C4" s="83" t="s">
        <v>114</v>
      </c>
      <c r="D4" s="83" t="s">
        <v>117</v>
      </c>
      <c r="E4" s="83" t="s">
        <v>115</v>
      </c>
      <c r="F4" s="83" t="s">
        <v>112</v>
      </c>
      <c r="G4" s="83" t="s">
        <v>118</v>
      </c>
    </row>
    <row r="5" spans="1:7" s="59" customFormat="1" x14ac:dyDescent="0.25">
      <c r="A5" s="21"/>
      <c r="B5" s="83"/>
      <c r="C5" s="83"/>
      <c r="D5" s="173"/>
    </row>
    <row r="6" spans="1:7" s="59" customFormat="1" x14ac:dyDescent="0.25">
      <c r="A6" s="21"/>
      <c r="B6" s="83"/>
      <c r="C6" s="83"/>
      <c r="D6" s="172"/>
    </row>
    <row r="7" spans="1:7" s="59" customFormat="1" x14ac:dyDescent="0.25">
      <c r="A7" s="21"/>
      <c r="B7" s="83"/>
      <c r="C7" s="83"/>
      <c r="D7" s="172"/>
    </row>
    <row r="8" spans="1:7" s="59" customFormat="1" x14ac:dyDescent="0.25">
      <c r="A8" s="21" t="s">
        <v>26</v>
      </c>
      <c r="B8" s="35">
        <f>+'[15]EO Matrix @Meter'!$S$18</f>
        <v>3528190.0700000003</v>
      </c>
      <c r="C8" s="35">
        <f>+'[13]TD EO Ex Post Gross Adj'!$DD$363</f>
        <v>-1041427.6034010575</v>
      </c>
      <c r="D8" s="35">
        <f>+'[13]TD EO NTG Adj'!$DD$370</f>
        <v>537465.77340105735</v>
      </c>
      <c r="E8" s="35">
        <f>+'[13]EO TD Carrying Costs'!$AN$48</f>
        <v>11386.110000000004</v>
      </c>
      <c r="F8" s="248">
        <f>SUM(B8:E8)</f>
        <v>3035614.35</v>
      </c>
      <c r="G8" s="248">
        <f>ROUND(F8/4*2,2)</f>
        <v>1517807.18</v>
      </c>
    </row>
    <row r="9" spans="1:7" s="59" customFormat="1" x14ac:dyDescent="0.25">
      <c r="A9" s="21" t="s">
        <v>27</v>
      </c>
      <c r="B9" s="247">
        <f>+'[15]EO Matrix @Meter'!$T$18</f>
        <v>4826270.37</v>
      </c>
      <c r="C9" s="247">
        <f>SUM('[13]TD EO Ex Post Gross Adj'!$DD$364:$DD$367)</f>
        <v>288583.98</v>
      </c>
      <c r="D9" s="247">
        <f>SUM('[13]TD EO NTG Adj'!$DD$371:$DD$374)</f>
        <v>662688.41</v>
      </c>
      <c r="E9" s="247">
        <f>SUM('[13]EO TD Carrying Costs'!$AN$49:$AN$52)</f>
        <v>41412.07</v>
      </c>
      <c r="F9" s="248">
        <f>SUM(B9:E9)</f>
        <v>5818954.8300000001</v>
      </c>
      <c r="G9" s="248">
        <f>ROUND(F9/4*2,2)</f>
        <v>2909477.42</v>
      </c>
    </row>
    <row r="10" spans="1:7" s="59" customFormat="1" x14ac:dyDescent="0.25">
      <c r="A10" s="21" t="s">
        <v>6</v>
      </c>
      <c r="B10" s="248">
        <f t="shared" ref="B10:G10" si="0">SUM(B8:B9)</f>
        <v>8354460.4400000004</v>
      </c>
      <c r="C10" s="248">
        <f t="shared" si="0"/>
        <v>-752843.62340105756</v>
      </c>
      <c r="D10" s="248">
        <f t="shared" si="0"/>
        <v>1200154.1834010575</v>
      </c>
      <c r="E10" s="248">
        <f t="shared" si="0"/>
        <v>52798.180000000008</v>
      </c>
      <c r="F10" s="248">
        <f t="shared" si="0"/>
        <v>8854569.1799999997</v>
      </c>
      <c r="G10" s="248">
        <f t="shared" si="0"/>
        <v>4427284.5999999996</v>
      </c>
    </row>
    <row r="11" spans="1:7" s="59" customFormat="1" x14ac:dyDescent="0.25">
      <c r="B11" s="245"/>
      <c r="C11" s="245"/>
      <c r="D11" s="246"/>
    </row>
    <row r="12" spans="1:7" x14ac:dyDescent="0.25">
      <c r="A12" s="21" t="s">
        <v>121</v>
      </c>
      <c r="B12" s="35">
        <f>+'[15]EO Matrix @Meter'!$W$18</f>
        <v>674006.21</v>
      </c>
      <c r="C12" s="35">
        <f>SUM('[13]TD EO Ex Post Gross Adj'!DD364)</f>
        <v>-37272.289999999964</v>
      </c>
      <c r="D12" s="35">
        <f>SUM('[13]TD EO NTG Adj'!DD371)</f>
        <v>101225.01999999996</v>
      </c>
      <c r="E12" s="247">
        <f>SUM('[13]EO TD Carrying Costs'!AN49)</f>
        <v>4637.5600000000004</v>
      </c>
      <c r="F12" s="248">
        <f t="shared" ref="F12:F15" si="1">SUM(B12:E12)</f>
        <v>742596.5</v>
      </c>
      <c r="G12" s="248">
        <f t="shared" ref="G12:G15" si="2">ROUND(F12/4*2,2)</f>
        <v>371298.25</v>
      </c>
    </row>
    <row r="13" spans="1:7" x14ac:dyDescent="0.25">
      <c r="A13" s="21" t="s">
        <v>122</v>
      </c>
      <c r="B13" s="247">
        <f>+'[15]EO Matrix @Meter'!$X$18</f>
        <v>1713084.19</v>
      </c>
      <c r="C13" s="247">
        <f>SUM('[13]TD EO Ex Post Gross Adj'!DD365)</f>
        <v>122147.32999999997</v>
      </c>
      <c r="D13" s="247">
        <f>SUM('[13]TD EO NTG Adj'!DD372)</f>
        <v>340699.47000000009</v>
      </c>
      <c r="E13" s="247">
        <f>SUM('[13]EO TD Carrying Costs'!AN50)</f>
        <v>19663.030000000002</v>
      </c>
      <c r="F13" s="248">
        <f t="shared" si="1"/>
        <v>2195594.02</v>
      </c>
      <c r="G13" s="248">
        <f t="shared" si="2"/>
        <v>1097797.01</v>
      </c>
    </row>
    <row r="14" spans="1:7" x14ac:dyDescent="0.25">
      <c r="A14" s="21" t="s">
        <v>123</v>
      </c>
      <c r="B14" s="35">
        <f>+'[15]EO Matrix @Meter'!$Y$18</f>
        <v>2024596.5400000003</v>
      </c>
      <c r="C14" s="35">
        <f>SUM('[13]TD EO Ex Post Gross Adj'!DD366)</f>
        <v>169641.44</v>
      </c>
      <c r="D14" s="35">
        <f>SUM('[13]TD EO NTG Adj'!DD373)</f>
        <v>191871.41999999998</v>
      </c>
      <c r="E14" s="35">
        <f>SUM('[13]EO TD Carrying Costs'!AN51)</f>
        <v>15454.890000000001</v>
      </c>
      <c r="F14" s="248">
        <f t="shared" si="1"/>
        <v>2401564.2900000005</v>
      </c>
      <c r="G14" s="248">
        <f t="shared" si="2"/>
        <v>1200782.1499999999</v>
      </c>
    </row>
    <row r="15" spans="1:7" x14ac:dyDescent="0.25">
      <c r="A15" s="21" t="s">
        <v>124</v>
      </c>
      <c r="B15" s="247">
        <f>+'[15]EO Matrix @Meter'!$Z$18</f>
        <v>414583.44999999995</v>
      </c>
      <c r="C15" s="247">
        <f>SUM('[13]TD EO Ex Post Gross Adj'!DD367)</f>
        <v>34067.5</v>
      </c>
      <c r="D15" s="247">
        <f>SUM('[13]TD EO NTG Adj'!DD374)</f>
        <v>28892.499999999993</v>
      </c>
      <c r="E15" s="247">
        <f>SUM('[13]EO TD Carrying Costs'!AN52)</f>
        <v>1656.59</v>
      </c>
      <c r="F15" s="248">
        <f t="shared" si="1"/>
        <v>479200.04</v>
      </c>
      <c r="G15" s="248">
        <f t="shared" si="2"/>
        <v>239600.02</v>
      </c>
    </row>
    <row r="16" spans="1:7" x14ac:dyDescent="0.25">
      <c r="A16" s="42" t="s">
        <v>126</v>
      </c>
      <c r="B16" s="248">
        <f>SUM(B12:B15)</f>
        <v>4826270.3900000006</v>
      </c>
      <c r="C16" s="248">
        <f>SUM(C12:C15)</f>
        <v>288583.98</v>
      </c>
      <c r="D16" s="248">
        <f t="shared" ref="D16:G16" si="3">SUM(D12:D15)</f>
        <v>662688.41</v>
      </c>
      <c r="E16" s="248">
        <f t="shared" si="3"/>
        <v>41412.07</v>
      </c>
      <c r="F16" s="248">
        <f t="shared" si="3"/>
        <v>5818954.8500000006</v>
      </c>
      <c r="G16" s="248">
        <f t="shared" si="3"/>
        <v>2909477.43</v>
      </c>
    </row>
    <row r="17" spans="1:5" x14ac:dyDescent="0.25">
      <c r="A17" s="59"/>
      <c r="B17" s="59"/>
      <c r="D17" s="59"/>
      <c r="E17" s="4"/>
    </row>
    <row r="18" spans="1:5" x14ac:dyDescent="0.25">
      <c r="A18" s="59"/>
      <c r="B18" s="59"/>
      <c r="D18" s="59"/>
      <c r="E18" s="59"/>
    </row>
    <row r="19" spans="1:5" x14ac:dyDescent="0.25">
      <c r="A19" s="59"/>
      <c r="B19" s="59"/>
      <c r="D19" s="59"/>
      <c r="E19" s="59"/>
    </row>
    <row r="20" spans="1:5" x14ac:dyDescent="0.25">
      <c r="A20" s="59"/>
      <c r="B20" s="59"/>
      <c r="D20" s="59"/>
      <c r="E20" s="59"/>
    </row>
    <row r="21" spans="1:5" x14ac:dyDescent="0.25">
      <c r="A21" s="66" t="s">
        <v>13</v>
      </c>
      <c r="B21" s="59"/>
      <c r="D21" s="59"/>
      <c r="E21" s="59"/>
    </row>
    <row r="22" spans="1:5" x14ac:dyDescent="0.25">
      <c r="A22" s="3" t="s">
        <v>143</v>
      </c>
      <c r="B22" s="59"/>
      <c r="D22" s="59"/>
      <c r="E22" s="59"/>
    </row>
    <row r="23" spans="1:5" s="59" customFormat="1" x14ac:dyDescent="0.25">
      <c r="A23" s="3" t="s">
        <v>144</v>
      </c>
    </row>
    <row r="24" spans="1:5" s="59" customFormat="1" x14ac:dyDescent="0.25">
      <c r="A24" s="3" t="s">
        <v>145</v>
      </c>
    </row>
    <row r="25" spans="1:5" x14ac:dyDescent="0.25">
      <c r="A25" s="3" t="s">
        <v>146</v>
      </c>
      <c r="B25" s="59"/>
      <c r="D25" s="59"/>
      <c r="E25" s="59"/>
    </row>
    <row r="26" spans="1:5" s="59" customFormat="1" x14ac:dyDescent="0.25">
      <c r="A26" s="3" t="s">
        <v>119</v>
      </c>
    </row>
    <row r="27" spans="1:5" x14ac:dyDescent="0.25">
      <c r="A27" s="3" t="s">
        <v>142</v>
      </c>
    </row>
  </sheetData>
  <mergeCells count="1">
    <mergeCell ref="B3:D3"/>
  </mergeCells>
  <pageMargins left="0.2" right="0.2" top="0.75" bottom="0.25" header="0.3" footer="0.3"/>
  <pageSetup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54"/>
  <sheetViews>
    <sheetView topLeftCell="D1" workbookViewId="0">
      <selection activeCell="O1" sqref="O1:O1048576"/>
    </sheetView>
  </sheetViews>
  <sheetFormatPr defaultRowHeight="15" x14ac:dyDescent="0.25"/>
  <cols>
    <col min="1" max="1" width="37.7109375" style="59" customWidth="1"/>
    <col min="2" max="2" width="12.28515625" style="59" bestFit="1" customWidth="1"/>
    <col min="3" max="3" width="12.42578125" style="59" bestFit="1" customWidth="1"/>
    <col min="4" max="4" width="15.42578125" style="59" customWidth="1"/>
    <col min="5" max="5" width="15.85546875" style="59" bestFit="1" customWidth="1"/>
    <col min="6" max="6" width="12.28515625" style="59" bestFit="1" customWidth="1"/>
    <col min="7" max="8" width="13.28515625" style="59" bestFit="1" customWidth="1"/>
    <col min="9" max="9" width="12.28515625" style="59" bestFit="1" customWidth="1"/>
    <col min="10" max="10" width="12.5703125" style="59" customWidth="1"/>
    <col min="11" max="11" width="12.85546875" style="59" customWidth="1"/>
    <col min="12" max="12" width="16" style="59" customWidth="1"/>
    <col min="13" max="13" width="15" style="59" bestFit="1" customWidth="1"/>
    <col min="14" max="14" width="16" style="59" bestFit="1" customWidth="1"/>
    <col min="15" max="15" width="15.28515625" style="59" bestFit="1" customWidth="1"/>
    <col min="16" max="16" width="17.42578125" style="59" bestFit="1" customWidth="1"/>
    <col min="17" max="17" width="16.28515625" style="59" bestFit="1" customWidth="1"/>
    <col min="18" max="18" width="15.28515625" style="59" bestFit="1" customWidth="1"/>
    <col min="19" max="19" width="12.42578125" style="59" customWidth="1"/>
    <col min="20" max="21" width="14.28515625" style="59" bestFit="1" customWidth="1"/>
    <col min="22" max="16384" width="9.140625" style="59"/>
  </cols>
  <sheetData>
    <row r="1" spans="1:34" x14ac:dyDescent="0.25">
      <c r="A1" s="3" t="str">
        <f>+'PPC Cycle 2'!A1</f>
        <v>Evergy Metro, Inc. - DSIM Rider Update Filed 06/01/2020</v>
      </c>
      <c r="B1" s="3"/>
      <c r="C1" s="3"/>
    </row>
    <row r="2" spans="1:34" x14ac:dyDescent="0.25">
      <c r="D2" s="3" t="s">
        <v>90</v>
      </c>
    </row>
    <row r="3" spans="1:34" ht="30" x14ac:dyDescent="0.25">
      <c r="D3" s="61" t="s">
        <v>48</v>
      </c>
      <c r="E3" s="83" t="s">
        <v>60</v>
      </c>
      <c r="F3" s="61" t="s">
        <v>3</v>
      </c>
      <c r="G3" s="83" t="s">
        <v>57</v>
      </c>
      <c r="H3" s="61" t="s">
        <v>11</v>
      </c>
      <c r="I3" s="61" t="s">
        <v>61</v>
      </c>
      <c r="R3" s="61"/>
    </row>
    <row r="4" spans="1:34" x14ac:dyDescent="0.25">
      <c r="A4" s="21" t="s">
        <v>26</v>
      </c>
      <c r="B4" s="21"/>
      <c r="C4" s="21"/>
      <c r="D4" s="23">
        <f>SUM(C19:L19)</f>
        <v>5194.7347399999999</v>
      </c>
      <c r="E4" s="23">
        <f>SUM(C23:K23)</f>
        <v>0</v>
      </c>
      <c r="F4" s="23">
        <f>E4-D4</f>
        <v>-5194.7347399999999</v>
      </c>
      <c r="G4" s="23">
        <f>+B33</f>
        <v>5195.2947399999721</v>
      </c>
      <c r="H4" s="23">
        <f>SUM(C38:K38)</f>
        <v>-0.53000000000000114</v>
      </c>
      <c r="I4" s="35">
        <f>SUM(F4:H4)</f>
        <v>2.9999999972204705E-2</v>
      </c>
      <c r="J4" s="60">
        <f>+I4-L33</f>
        <v>-1.1652900866465643E-12</v>
      </c>
      <c r="M4" s="60"/>
    </row>
    <row r="5" spans="1:34" ht="15.75" thickBot="1" x14ac:dyDescent="0.3">
      <c r="A5" s="21" t="s">
        <v>27</v>
      </c>
      <c r="B5" s="21"/>
      <c r="C5" s="21"/>
      <c r="D5" s="23">
        <f>SUM(C20:L20)</f>
        <v>-16083.92</v>
      </c>
      <c r="E5" s="23">
        <f>SUM(C24:K24)</f>
        <v>0</v>
      </c>
      <c r="F5" s="23">
        <f>E5-D5</f>
        <v>16083.92</v>
      </c>
      <c r="G5" s="23">
        <f>+B34</f>
        <v>-16087.350000000213</v>
      </c>
      <c r="H5" s="23">
        <f>SUM(C39:K39)</f>
        <v>3.4399999999999977</v>
      </c>
      <c r="I5" s="35">
        <f>SUM(F5:H5)</f>
        <v>9.9999997868849277E-3</v>
      </c>
      <c r="J5" s="60">
        <f>+I5-L34</f>
        <v>-5.1159076974727213E-13</v>
      </c>
      <c r="M5" s="60"/>
    </row>
    <row r="6" spans="1:34" ht="16.5" thickTop="1" thickBot="1" x14ac:dyDescent="0.3">
      <c r="D6" s="39">
        <f t="shared" ref="D6" si="0">SUM(D4:D5)</f>
        <v>-10889.18526</v>
      </c>
      <c r="E6" s="39">
        <f>SUM(E4:E5)</f>
        <v>0</v>
      </c>
      <c r="F6" s="39">
        <f>SUM(F4:F5)</f>
        <v>10889.18526</v>
      </c>
      <c r="G6" s="39">
        <f>SUM(G4:G5)</f>
        <v>-10892.055260000241</v>
      </c>
      <c r="H6" s="39">
        <f>SUM(H4:H5)</f>
        <v>2.9099999999999966</v>
      </c>
      <c r="I6" s="39">
        <f>SUM(I4:I5)</f>
        <v>3.9999999759089633E-2</v>
      </c>
      <c r="S6" s="5"/>
    </row>
    <row r="7" spans="1:34" ht="45.75" thickTop="1" x14ac:dyDescent="0.25">
      <c r="I7" s="253"/>
      <c r="J7" s="252" t="s">
        <v>139</v>
      </c>
    </row>
    <row r="8" spans="1:34" ht="17.25" customHeight="1" x14ac:dyDescent="0.25">
      <c r="A8" s="21" t="s">
        <v>121</v>
      </c>
      <c r="I8" s="35">
        <f>ROUND($I$5*J8,2)</f>
        <v>0</v>
      </c>
      <c r="J8" s="250">
        <f>+'[3]Monthly TD Calc'!$CY$44</f>
        <v>0.13576441564001979</v>
      </c>
    </row>
    <row r="9" spans="1:34" ht="17.25" customHeight="1" x14ac:dyDescent="0.25">
      <c r="A9" s="21" t="s">
        <v>122</v>
      </c>
      <c r="I9" s="35">
        <f t="shared" ref="I9:I11" si="1">ROUND($I$5*J9,2)</f>
        <v>0</v>
      </c>
      <c r="J9" s="250">
        <f>+'[3]Monthly TD Calc'!$CZ$44</f>
        <v>0.35611574316442379</v>
      </c>
    </row>
    <row r="10" spans="1:34" ht="17.25" customHeight="1" x14ac:dyDescent="0.25">
      <c r="A10" s="21" t="s">
        <v>123</v>
      </c>
      <c r="I10" s="35">
        <f t="shared" si="1"/>
        <v>0</v>
      </c>
      <c r="J10" s="250">
        <f>+'[3]Monthly TD Calc'!$DA$44</f>
        <v>0.4183185730547726</v>
      </c>
    </row>
    <row r="11" spans="1:34" ht="17.25" customHeight="1" thickBot="1" x14ac:dyDescent="0.3">
      <c r="A11" s="21" t="s">
        <v>124</v>
      </c>
      <c r="I11" s="35">
        <f t="shared" si="1"/>
        <v>0</v>
      </c>
      <c r="J11" s="250">
        <f>+'[3]Monthly TD Calc'!$DB$44</f>
        <v>8.9801268140783777E-2</v>
      </c>
    </row>
    <row r="12" spans="1:34" ht="17.25" customHeight="1" thickTop="1" thickBot="1" x14ac:dyDescent="0.3">
      <c r="A12" s="21" t="s">
        <v>126</v>
      </c>
      <c r="I12" s="39">
        <f>SUM(I8:I11)</f>
        <v>0</v>
      </c>
      <c r="J12" s="251">
        <f>SUM(J8:J11)</f>
        <v>1</v>
      </c>
    </row>
    <row r="13" spans="1:34" ht="16.5" thickTop="1" thickBot="1" x14ac:dyDescent="0.3">
      <c r="U13" s="4"/>
      <c r="V13" s="5"/>
    </row>
    <row r="14" spans="1:34" ht="120.75" thickBot="1" x14ac:dyDescent="0.3">
      <c r="B14" s="136" t="str">
        <f>+'PCR Cycle 2'!B14</f>
        <v>Cumulative Over/Under Carryover From 12/02/2020 Filing</v>
      </c>
      <c r="C14" s="171" t="str">
        <f>+'PCR Cycle 2'!C14</f>
        <v>Reverse November-19 - January 2020  Forecast From 12/02/2020 Filing</v>
      </c>
      <c r="D14" s="290" t="s">
        <v>35</v>
      </c>
      <c r="E14" s="290"/>
      <c r="F14" s="291"/>
      <c r="G14" s="292" t="s">
        <v>35</v>
      </c>
      <c r="H14" s="293"/>
      <c r="I14" s="294"/>
      <c r="J14" s="286" t="s">
        <v>9</v>
      </c>
      <c r="K14" s="287"/>
      <c r="L14" s="288"/>
    </row>
    <row r="15" spans="1:34" x14ac:dyDescent="0.25">
      <c r="A15" s="59" t="s">
        <v>91</v>
      </c>
      <c r="C15" s="123"/>
      <c r="D15" s="19">
        <f>+'PCR Cycle 2'!D15</f>
        <v>43799</v>
      </c>
      <c r="E15" s="19">
        <f t="shared" ref="E15:L15" si="2">EOMONTH(D15,1)</f>
        <v>43830</v>
      </c>
      <c r="F15" s="19">
        <f t="shared" si="2"/>
        <v>43861</v>
      </c>
      <c r="G15" s="14">
        <f t="shared" si="2"/>
        <v>43890</v>
      </c>
      <c r="H15" s="19">
        <f t="shared" si="2"/>
        <v>43921</v>
      </c>
      <c r="I15" s="15">
        <f t="shared" si="2"/>
        <v>43951</v>
      </c>
      <c r="J15" s="19">
        <f t="shared" si="2"/>
        <v>43982</v>
      </c>
      <c r="K15" s="19">
        <f t="shared" si="2"/>
        <v>44012</v>
      </c>
      <c r="L15" s="15">
        <f t="shared" si="2"/>
        <v>44043</v>
      </c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25">
      <c r="A16" s="59" t="s">
        <v>6</v>
      </c>
      <c r="C16" s="115">
        <v>0</v>
      </c>
      <c r="D16" s="127">
        <f t="shared" ref="D16:H16" si="3">SUM(D23:D24)</f>
        <v>0</v>
      </c>
      <c r="E16" s="127">
        <f t="shared" si="3"/>
        <v>0</v>
      </c>
      <c r="F16" s="128">
        <f t="shared" si="3"/>
        <v>0</v>
      </c>
      <c r="G16" s="16">
        <f t="shared" si="3"/>
        <v>0</v>
      </c>
      <c r="H16" s="68">
        <f t="shared" si="3"/>
        <v>0</v>
      </c>
      <c r="I16" s="186">
        <f>+I23+I24</f>
        <v>0</v>
      </c>
      <c r="J16" s="179">
        <f t="shared" ref="J16:K16" si="4">+J23+J24</f>
        <v>0</v>
      </c>
      <c r="K16" s="93">
        <f t="shared" si="4"/>
        <v>0</v>
      </c>
      <c r="L16" s="94"/>
    </row>
    <row r="17" spans="1:14" x14ac:dyDescent="0.25">
      <c r="C17" s="117"/>
      <c r="D17" s="17"/>
      <c r="E17" s="17"/>
      <c r="F17" s="17"/>
      <c r="G17" s="10"/>
      <c r="H17" s="17"/>
      <c r="I17" s="11"/>
      <c r="J17" s="43"/>
      <c r="K17" s="43"/>
      <c r="L17" s="41"/>
    </row>
    <row r="18" spans="1:14" x14ac:dyDescent="0.25">
      <c r="A18" s="59" t="s">
        <v>92</v>
      </c>
      <c r="C18" s="117"/>
      <c r="D18" s="18"/>
      <c r="E18" s="18"/>
      <c r="F18" s="18"/>
      <c r="G18" s="109"/>
      <c r="H18" s="18"/>
      <c r="I18" s="187"/>
      <c r="J18" s="43"/>
      <c r="K18" s="43"/>
      <c r="L18" s="41"/>
      <c r="M18" s="3" t="s">
        <v>52</v>
      </c>
      <c r="N18" s="51"/>
    </row>
    <row r="19" spans="1:14" x14ac:dyDescent="0.25">
      <c r="A19" s="59" t="s">
        <v>26</v>
      </c>
      <c r="C19" s="115">
        <v>3904.5547400000005</v>
      </c>
      <c r="D19" s="154">
        <f>ROUND('[6]November 2019 Combined'!F24,2)</f>
        <v>-1671.97</v>
      </c>
      <c r="E19" s="154">
        <f>ROUND('[6]December 2019 Combined'!F24,2)</f>
        <v>-2143.3000000000002</v>
      </c>
      <c r="F19" s="154">
        <f>+'[7]January 2020'!F29</f>
        <v>-2237.92</v>
      </c>
      <c r="G19" s="207">
        <f>ROUND('[7]February 2020'!F33,2)</f>
        <v>-2316.1999999999998</v>
      </c>
      <c r="H19" s="139">
        <f>ROUND('[7]March 2020'!F33,2)</f>
        <v>9659.57</v>
      </c>
      <c r="I19" s="188">
        <f>ROUND('[7]April 2020'!F33,2)</f>
        <v>0</v>
      </c>
      <c r="J19" s="141">
        <f>'PCR Cycle 2'!J27*$M19</f>
        <v>0</v>
      </c>
      <c r="K19" s="53">
        <f>'PCR Cycle 2'!K27*$M19</f>
        <v>0</v>
      </c>
      <c r="L19" s="74">
        <f>'PCR Cycle 2'!L27*$M19</f>
        <v>0</v>
      </c>
      <c r="M19" s="85">
        <v>0</v>
      </c>
      <c r="N19" s="4"/>
    </row>
    <row r="20" spans="1:14" x14ac:dyDescent="0.25">
      <c r="A20" s="59" t="s">
        <v>27</v>
      </c>
      <c r="C20" s="115">
        <v>0</v>
      </c>
      <c r="D20" s="154">
        <f>ROUND('[6]November 2019 Combined'!F25,2)</f>
        <v>30.79</v>
      </c>
      <c r="E20" s="154">
        <f>ROUND('[6]December 2019 Combined'!F25,2)</f>
        <v>66.05</v>
      </c>
      <c r="F20" s="154">
        <f>+'[7]January 2020'!F30</f>
        <v>57.64</v>
      </c>
      <c r="G20" s="207">
        <f>ROUND('[7]February 2020'!F34,2)</f>
        <v>62.93</v>
      </c>
      <c r="H20" s="139">
        <f>ROUND('[7]March 2020'!F34,2)</f>
        <v>-16301.33</v>
      </c>
      <c r="I20" s="188">
        <f>ROUND('[7]April 2020'!F34,2)</f>
        <v>0</v>
      </c>
      <c r="J20" s="141">
        <f>SUM('PCR Cycle 2'!J28:J31)*$M20</f>
        <v>0</v>
      </c>
      <c r="K20" s="53">
        <f>SUM('PCR Cycle 2'!K28:K31)*$M20</f>
        <v>0</v>
      </c>
      <c r="L20" s="74">
        <f>SUM('PCR Cycle 2'!L28:L31)*$M20</f>
        <v>0</v>
      </c>
      <c r="M20" s="85">
        <v>0</v>
      </c>
      <c r="N20" s="4"/>
    </row>
    <row r="21" spans="1:14" x14ac:dyDescent="0.25">
      <c r="C21" s="80"/>
      <c r="D21" s="81"/>
      <c r="E21" s="81"/>
      <c r="F21" s="81"/>
      <c r="G21" s="80"/>
      <c r="H21" s="81"/>
      <c r="I21" s="189"/>
      <c r="J21" s="69"/>
      <c r="K21" s="69"/>
      <c r="L21" s="13"/>
      <c r="N21" s="4"/>
    </row>
    <row r="22" spans="1:14" x14ac:dyDescent="0.25">
      <c r="A22" s="59" t="s">
        <v>94</v>
      </c>
      <c r="C22" s="48"/>
      <c r="D22" s="49"/>
      <c r="E22" s="49"/>
      <c r="F22" s="49"/>
      <c r="G22" s="48"/>
      <c r="H22" s="49"/>
      <c r="I22" s="192"/>
      <c r="J22" s="65"/>
      <c r="K22" s="65"/>
      <c r="L22" s="50"/>
    </row>
    <row r="23" spans="1:14" x14ac:dyDescent="0.25">
      <c r="A23" s="59" t="s">
        <v>26</v>
      </c>
      <c r="C23" s="115">
        <v>0</v>
      </c>
      <c r="D23" s="127">
        <v>0</v>
      </c>
      <c r="E23" s="127">
        <v>0</v>
      </c>
      <c r="F23" s="128">
        <v>0</v>
      </c>
      <c r="G23" s="16">
        <v>0</v>
      </c>
      <c r="H23" s="68">
        <v>0</v>
      </c>
      <c r="I23" s="186">
        <v>0</v>
      </c>
      <c r="J23" s="181">
        <v>0</v>
      </c>
      <c r="K23" s="161">
        <v>0</v>
      </c>
      <c r="L23" s="94"/>
    </row>
    <row r="24" spans="1:14" x14ac:dyDescent="0.25">
      <c r="A24" s="59" t="s">
        <v>27</v>
      </c>
      <c r="C24" s="115">
        <v>0</v>
      </c>
      <c r="D24" s="127">
        <v>0</v>
      </c>
      <c r="E24" s="127">
        <v>0</v>
      </c>
      <c r="F24" s="128">
        <v>0</v>
      </c>
      <c r="G24" s="16">
        <v>0</v>
      </c>
      <c r="H24" s="68">
        <v>0</v>
      </c>
      <c r="I24" s="186">
        <v>0</v>
      </c>
      <c r="J24" s="181">
        <v>0</v>
      </c>
      <c r="K24" s="161">
        <v>0</v>
      </c>
      <c r="L24" s="94"/>
      <c r="N24" s="60"/>
    </row>
    <row r="25" spans="1:14" x14ac:dyDescent="0.25">
      <c r="C25" s="117"/>
      <c r="D25" s="18"/>
      <c r="E25" s="18"/>
      <c r="F25" s="18"/>
      <c r="G25" s="109"/>
      <c r="H25" s="18"/>
      <c r="I25" s="187"/>
      <c r="J25" s="69"/>
      <c r="K25" s="69"/>
      <c r="L25" s="13"/>
    </row>
    <row r="26" spans="1:14" ht="15.75" thickBot="1" x14ac:dyDescent="0.3">
      <c r="A26" s="3" t="s">
        <v>16</v>
      </c>
      <c r="B26" s="3"/>
      <c r="C26" s="121">
        <v>67.760000000000005</v>
      </c>
      <c r="D26" s="154">
        <v>-34.61</v>
      </c>
      <c r="E26" s="154">
        <v>-30.240000000000002</v>
      </c>
      <c r="F26" s="155">
        <v>0</v>
      </c>
      <c r="G26" s="38">
        <v>0</v>
      </c>
      <c r="H26" s="140">
        <v>0</v>
      </c>
      <c r="I26" s="193">
        <v>0</v>
      </c>
      <c r="J26" s="182"/>
      <c r="K26" s="163"/>
      <c r="L26" s="97"/>
    </row>
    <row r="27" spans="1:14" x14ac:dyDescent="0.25">
      <c r="C27" s="77"/>
      <c r="D27" s="167"/>
      <c r="E27" s="167"/>
      <c r="F27" s="168"/>
      <c r="G27" s="77"/>
      <c r="H27" s="45"/>
      <c r="I27" s="194"/>
      <c r="J27" s="46"/>
      <c r="K27" s="46"/>
      <c r="L27" s="73"/>
    </row>
    <row r="28" spans="1:14" x14ac:dyDescent="0.25">
      <c r="A28" s="59" t="s">
        <v>54</v>
      </c>
      <c r="C28" s="78"/>
      <c r="D28" s="168"/>
      <c r="E28" s="168"/>
      <c r="F28" s="168"/>
      <c r="G28" s="78"/>
      <c r="H28" s="47"/>
      <c r="I28" s="195"/>
      <c r="J28" s="46"/>
      <c r="K28" s="46"/>
      <c r="L28" s="73"/>
    </row>
    <row r="29" spans="1:14" x14ac:dyDescent="0.25">
      <c r="A29" s="59" t="s">
        <v>26</v>
      </c>
      <c r="C29" s="118">
        <f t="shared" ref="C29:L29" si="5">C23-C19</f>
        <v>-3904.5547400000005</v>
      </c>
      <c r="D29" s="53">
        <f t="shared" si="5"/>
        <v>1671.97</v>
      </c>
      <c r="E29" s="53">
        <f t="shared" si="5"/>
        <v>2143.3000000000002</v>
      </c>
      <c r="F29" s="126">
        <f t="shared" si="5"/>
        <v>2237.92</v>
      </c>
      <c r="G29" s="52">
        <f t="shared" si="5"/>
        <v>2316.1999999999998</v>
      </c>
      <c r="H29" s="53">
        <f t="shared" si="5"/>
        <v>-9659.57</v>
      </c>
      <c r="I29" s="74">
        <f t="shared" si="5"/>
        <v>0</v>
      </c>
      <c r="J29" s="141">
        <f t="shared" si="5"/>
        <v>0</v>
      </c>
      <c r="K29" s="53">
        <f t="shared" si="5"/>
        <v>0</v>
      </c>
      <c r="L29" s="74">
        <f t="shared" si="5"/>
        <v>0</v>
      </c>
    </row>
    <row r="30" spans="1:14" x14ac:dyDescent="0.25">
      <c r="A30" s="59" t="s">
        <v>27</v>
      </c>
      <c r="C30" s="118">
        <f t="shared" ref="C30:L30" si="6">C24-C20</f>
        <v>0</v>
      </c>
      <c r="D30" s="53">
        <f t="shared" si="6"/>
        <v>-30.79</v>
      </c>
      <c r="E30" s="53">
        <f t="shared" si="6"/>
        <v>-66.05</v>
      </c>
      <c r="F30" s="126">
        <f t="shared" si="6"/>
        <v>-57.64</v>
      </c>
      <c r="G30" s="52">
        <f t="shared" si="6"/>
        <v>-62.93</v>
      </c>
      <c r="H30" s="53">
        <f t="shared" si="6"/>
        <v>16301.33</v>
      </c>
      <c r="I30" s="74">
        <f t="shared" si="6"/>
        <v>0</v>
      </c>
      <c r="J30" s="141">
        <f t="shared" si="6"/>
        <v>0</v>
      </c>
      <c r="K30" s="53">
        <f t="shared" si="6"/>
        <v>0</v>
      </c>
      <c r="L30" s="74">
        <f t="shared" si="6"/>
        <v>0</v>
      </c>
    </row>
    <row r="31" spans="1:14" x14ac:dyDescent="0.25">
      <c r="C31" s="117"/>
      <c r="D31" s="17"/>
      <c r="E31" s="17"/>
      <c r="F31" s="17"/>
      <c r="G31" s="10"/>
      <c r="H31" s="17"/>
      <c r="I31" s="11"/>
      <c r="J31" s="17"/>
      <c r="K31" s="17"/>
      <c r="L31" s="11"/>
    </row>
    <row r="32" spans="1:14" ht="15.75" thickBot="1" x14ac:dyDescent="0.3">
      <c r="A32" s="59" t="s">
        <v>55</v>
      </c>
      <c r="C32" s="117"/>
      <c r="D32" s="17"/>
      <c r="E32" s="17"/>
      <c r="F32" s="17"/>
      <c r="G32" s="10"/>
      <c r="H32" s="17"/>
      <c r="I32" s="11"/>
      <c r="J32" s="17"/>
      <c r="K32" s="17"/>
      <c r="L32" s="11"/>
    </row>
    <row r="33" spans="1:12" x14ac:dyDescent="0.25">
      <c r="A33" s="59" t="s">
        <v>26</v>
      </c>
      <c r="B33" s="134">
        <v>5195.2947399999721</v>
      </c>
      <c r="C33" s="118">
        <f>B33+C29+B38</f>
        <v>1290.7399999999716</v>
      </c>
      <c r="D33" s="53">
        <f t="shared" ref="D33:L34" si="7">C33+D29+C38</f>
        <v>2946.8599999999719</v>
      </c>
      <c r="E33" s="53">
        <f t="shared" si="7"/>
        <v>5095.4099999999726</v>
      </c>
      <c r="F33" s="126">
        <f t="shared" si="7"/>
        <v>7343.3999999999724</v>
      </c>
      <c r="G33" s="52">
        <f t="shared" si="7"/>
        <v>9659.5999999999731</v>
      </c>
      <c r="H33" s="53">
        <f t="shared" si="7"/>
        <v>2.9999999973369995E-2</v>
      </c>
      <c r="I33" s="74">
        <f t="shared" si="7"/>
        <v>2.9999999973369995E-2</v>
      </c>
      <c r="J33" s="141">
        <f t="shared" si="7"/>
        <v>2.9999999973369995E-2</v>
      </c>
      <c r="K33" s="53">
        <f t="shared" si="7"/>
        <v>2.9999999973369995E-2</v>
      </c>
      <c r="L33" s="74">
        <f t="shared" si="7"/>
        <v>2.9999999973369995E-2</v>
      </c>
    </row>
    <row r="34" spans="1:12" ht="15.75" thickBot="1" x14ac:dyDescent="0.3">
      <c r="A34" s="59" t="s">
        <v>27</v>
      </c>
      <c r="B34" s="135">
        <v>-16087.350000000213</v>
      </c>
      <c r="C34" s="118">
        <f>B34+C30+B39</f>
        <v>-16087.350000000213</v>
      </c>
      <c r="D34" s="53">
        <f t="shared" si="7"/>
        <v>-16034.530000000213</v>
      </c>
      <c r="E34" s="53">
        <f t="shared" si="7"/>
        <v>-16140.440000000213</v>
      </c>
      <c r="F34" s="126">
        <f t="shared" si="7"/>
        <v>-16238.390000000212</v>
      </c>
      <c r="G34" s="52">
        <f t="shared" si="7"/>
        <v>-16301.320000000213</v>
      </c>
      <c r="H34" s="53">
        <f t="shared" si="7"/>
        <v>9.9999997873965185E-3</v>
      </c>
      <c r="I34" s="74">
        <f t="shared" si="7"/>
        <v>9.9999997873965185E-3</v>
      </c>
      <c r="J34" s="141">
        <f t="shared" si="7"/>
        <v>9.9999997873965185E-3</v>
      </c>
      <c r="K34" s="53">
        <f t="shared" si="7"/>
        <v>9.9999997873965185E-3</v>
      </c>
      <c r="L34" s="74">
        <f t="shared" si="7"/>
        <v>9.9999997873965185E-3</v>
      </c>
    </row>
    <row r="35" spans="1:12" x14ac:dyDescent="0.25">
      <c r="C35" s="117"/>
      <c r="D35" s="17"/>
      <c r="E35" s="17"/>
      <c r="F35" s="17"/>
      <c r="G35" s="10"/>
      <c r="H35" s="17"/>
      <c r="I35" s="11"/>
      <c r="J35" s="17"/>
      <c r="K35" s="17"/>
      <c r="L35" s="11"/>
    </row>
    <row r="36" spans="1:12" x14ac:dyDescent="0.25">
      <c r="A36" s="51" t="s">
        <v>93</v>
      </c>
      <c r="B36" s="51"/>
      <c r="C36" s="122"/>
      <c r="D36" s="98">
        <f>+'PCR Cycle 2'!D50</f>
        <v>2.4882900000000002E-3</v>
      </c>
      <c r="E36" s="98">
        <f>+'PCR Cycle 2'!E50</f>
        <v>2.5028199999999998E-3</v>
      </c>
      <c r="F36" s="98">
        <f>+'PCR Cycle 2'!F50</f>
        <v>2.43764E-3</v>
      </c>
      <c r="G36" s="99">
        <f>+'PCR Cycle 2'!G50</f>
        <v>2.4056699999999999E-3</v>
      </c>
      <c r="H36" s="98">
        <f>+'PCR Cycle 2'!H50</f>
        <v>1.8183299999999999E-3</v>
      </c>
      <c r="I36" s="110">
        <f>+'PCR Cycle 2'!I50</f>
        <v>1.62864E-3</v>
      </c>
      <c r="J36" s="98">
        <f>+'PCR Cycle 2'!J50</f>
        <v>1.62864E-3</v>
      </c>
      <c r="K36" s="98">
        <f>+'PCR Cycle 2'!K50</f>
        <v>1.62864E-3</v>
      </c>
      <c r="L36" s="100"/>
    </row>
    <row r="37" spans="1:12" x14ac:dyDescent="0.25">
      <c r="A37" s="51" t="s">
        <v>39</v>
      </c>
      <c r="B37" s="51"/>
      <c r="C37" s="124"/>
      <c r="D37" s="98"/>
      <c r="E37" s="98"/>
      <c r="F37" s="98"/>
      <c r="G37" s="99"/>
      <c r="H37" s="98"/>
      <c r="I37" s="100"/>
      <c r="J37" s="98"/>
      <c r="K37" s="98"/>
      <c r="L37" s="100"/>
    </row>
    <row r="38" spans="1:12" x14ac:dyDescent="0.25">
      <c r="A38" s="59" t="s">
        <v>26</v>
      </c>
      <c r="C38" s="118">
        <v>-15.850000000000001</v>
      </c>
      <c r="D38" s="53">
        <f t="shared" ref="D38:E39" si="8">ROUND((C33+C38+D29/2)*D$36,2)</f>
        <v>5.25</v>
      </c>
      <c r="E38" s="53">
        <f t="shared" si="8"/>
        <v>10.07</v>
      </c>
      <c r="F38" s="126">
        <f>ROUND((E33+E38+F29/2)*F$36,2)*0</f>
        <v>0</v>
      </c>
      <c r="G38" s="52">
        <f t="shared" ref="G38:L38" si="9">ROUND((F33+F38+G29/2)*G$36,2)*0</f>
        <v>0</v>
      </c>
      <c r="H38" s="141">
        <f t="shared" si="9"/>
        <v>0</v>
      </c>
      <c r="I38" s="62">
        <f t="shared" si="9"/>
        <v>0</v>
      </c>
      <c r="J38" s="183">
        <f t="shared" si="9"/>
        <v>0</v>
      </c>
      <c r="K38" s="126">
        <f t="shared" si="9"/>
        <v>0</v>
      </c>
      <c r="L38" s="74">
        <f t="shared" si="9"/>
        <v>0</v>
      </c>
    </row>
    <row r="39" spans="1:12" ht="15.75" thickBot="1" x14ac:dyDescent="0.3">
      <c r="A39" s="59" t="s">
        <v>27</v>
      </c>
      <c r="C39" s="118">
        <v>83.61</v>
      </c>
      <c r="D39" s="53">
        <f t="shared" si="8"/>
        <v>-39.86</v>
      </c>
      <c r="E39" s="53">
        <f t="shared" si="8"/>
        <v>-40.31</v>
      </c>
      <c r="F39" s="126">
        <f>ROUND((E34+E39+F30/2)*F$36,2)*0</f>
        <v>0</v>
      </c>
      <c r="G39" s="52">
        <f t="shared" ref="G39:L39" si="10">ROUND((F34+F39+G30/2)*G$36,2)*0</f>
        <v>0</v>
      </c>
      <c r="H39" s="141">
        <f t="shared" si="10"/>
        <v>0</v>
      </c>
      <c r="I39" s="62">
        <f t="shared" si="10"/>
        <v>0</v>
      </c>
      <c r="J39" s="183">
        <f t="shared" si="10"/>
        <v>0</v>
      </c>
      <c r="K39" s="126">
        <f t="shared" si="10"/>
        <v>0</v>
      </c>
      <c r="L39" s="74">
        <f t="shared" si="10"/>
        <v>0</v>
      </c>
    </row>
    <row r="40" spans="1:12" ht="16.5" thickTop="1" thickBot="1" x14ac:dyDescent="0.3">
      <c r="A40" s="67" t="s">
        <v>24</v>
      </c>
      <c r="B40" s="67"/>
      <c r="C40" s="125">
        <v>0</v>
      </c>
      <c r="D40" s="54">
        <f t="shared" ref="D40:I40" si="11">SUM(D38:D39)+SUM(D33:D34)-D43</f>
        <v>0</v>
      </c>
      <c r="E40" s="54">
        <f t="shared" si="11"/>
        <v>0</v>
      </c>
      <c r="F40" s="63">
        <f t="shared" ref="F40:H40" si="12">SUM(F38:F39)+SUM(F33:F34)-F43</f>
        <v>0</v>
      </c>
      <c r="G40" s="165">
        <f t="shared" si="12"/>
        <v>0</v>
      </c>
      <c r="H40" s="63">
        <f t="shared" si="12"/>
        <v>1.8189894035458565E-12</v>
      </c>
      <c r="I40" s="75">
        <f t="shared" si="11"/>
        <v>1.8189894035458565E-12</v>
      </c>
      <c r="J40" s="184">
        <f t="shared" ref="J40:L40" si="13">SUM(J38:J39)+SUM(J33:J34)-J43</f>
        <v>1.8189894035458565E-12</v>
      </c>
      <c r="K40" s="63">
        <f t="shared" si="13"/>
        <v>1.8189894035458565E-12</v>
      </c>
      <c r="L40" s="75">
        <f t="shared" si="13"/>
        <v>1.8189894035458565E-12</v>
      </c>
    </row>
    <row r="41" spans="1:12" ht="16.5" thickTop="1" thickBot="1" x14ac:dyDescent="0.3">
      <c r="A41" s="67" t="s">
        <v>25</v>
      </c>
      <c r="B41" s="67"/>
      <c r="C41" s="125">
        <v>0</v>
      </c>
      <c r="D41" s="54">
        <f t="shared" ref="D41:I41" si="14">SUM(D38:D39)-D26</f>
        <v>0</v>
      </c>
      <c r="E41" s="54">
        <f t="shared" si="14"/>
        <v>0</v>
      </c>
      <c r="F41" s="63">
        <f t="shared" ref="F41:H41" si="15">SUM(F38:F39)-F26</f>
        <v>0</v>
      </c>
      <c r="G41" s="165">
        <f t="shared" si="15"/>
        <v>0</v>
      </c>
      <c r="H41" s="63">
        <f t="shared" si="15"/>
        <v>0</v>
      </c>
      <c r="I41" s="75">
        <f t="shared" si="14"/>
        <v>0</v>
      </c>
      <c r="J41" s="185">
        <f t="shared" ref="J41:L41" si="16">SUM(J38:J39)-J26</f>
        <v>0</v>
      </c>
      <c r="K41" s="54">
        <f t="shared" si="16"/>
        <v>0</v>
      </c>
      <c r="L41" s="54">
        <f t="shared" si="16"/>
        <v>0</v>
      </c>
    </row>
    <row r="42" spans="1:12" ht="16.5" thickTop="1" thickBot="1" x14ac:dyDescent="0.3">
      <c r="C42" s="117"/>
      <c r="D42" s="17"/>
      <c r="E42" s="17"/>
      <c r="F42" s="17"/>
      <c r="G42" s="10"/>
      <c r="H42" s="17"/>
      <c r="I42" s="11"/>
      <c r="J42" s="17"/>
      <c r="K42" s="17"/>
      <c r="L42" s="11"/>
    </row>
    <row r="43" spans="1:12" ht="15.75" thickBot="1" x14ac:dyDescent="0.3">
      <c r="A43" s="59" t="s">
        <v>38</v>
      </c>
      <c r="B43" s="137">
        <f>+B33+B34</f>
        <v>-10892.055260000241</v>
      </c>
      <c r="C43" s="118">
        <f t="shared" ref="C43:L43" si="17">(C16-SUM(C19:C20))+SUM(C38:C39)+B43</f>
        <v>-14728.850000000242</v>
      </c>
      <c r="D43" s="53">
        <f t="shared" si="17"/>
        <v>-13122.280000000243</v>
      </c>
      <c r="E43" s="53">
        <f t="shared" si="17"/>
        <v>-11075.270000000242</v>
      </c>
      <c r="F43" s="126">
        <f t="shared" si="17"/>
        <v>-8894.9900000002417</v>
      </c>
      <c r="G43" s="52">
        <f t="shared" si="17"/>
        <v>-6641.7200000002413</v>
      </c>
      <c r="H43" s="53">
        <f t="shared" si="17"/>
        <v>3.9999999758947524E-2</v>
      </c>
      <c r="I43" s="74">
        <f t="shared" si="17"/>
        <v>3.9999999758947524E-2</v>
      </c>
      <c r="J43" s="183">
        <f t="shared" si="17"/>
        <v>3.9999999758947524E-2</v>
      </c>
      <c r="K43" s="126">
        <f t="shared" si="17"/>
        <v>3.9999999758947524E-2</v>
      </c>
      <c r="L43" s="74">
        <f t="shared" si="17"/>
        <v>3.9999999758947524E-2</v>
      </c>
    </row>
    <row r="44" spans="1:12" x14ac:dyDescent="0.25">
      <c r="A44" s="59" t="s">
        <v>14</v>
      </c>
      <c r="C44" s="138"/>
      <c r="D44" s="17"/>
      <c r="E44" s="17"/>
      <c r="F44" s="17"/>
      <c r="G44" s="10"/>
      <c r="H44" s="17"/>
      <c r="I44" s="11"/>
      <c r="J44" s="17"/>
      <c r="K44" s="17"/>
      <c r="L44" s="11"/>
    </row>
    <row r="45" spans="1:12" ht="15.75" thickBot="1" x14ac:dyDescent="0.3">
      <c r="A45" s="49"/>
      <c r="B45" s="49"/>
      <c r="C45" s="166"/>
      <c r="D45" s="56"/>
      <c r="E45" s="56"/>
      <c r="F45" s="56"/>
      <c r="G45" s="55"/>
      <c r="H45" s="56"/>
      <c r="I45" s="57"/>
      <c r="J45" s="56"/>
      <c r="K45" s="56"/>
      <c r="L45" s="57"/>
    </row>
    <row r="47" spans="1:12" x14ac:dyDescent="0.25">
      <c r="A47" s="82" t="s">
        <v>13</v>
      </c>
      <c r="B47" s="82"/>
      <c r="C47" s="82"/>
    </row>
    <row r="48" spans="1:12" ht="31.5" customHeight="1" x14ac:dyDescent="0.25">
      <c r="A48" s="289" t="s">
        <v>104</v>
      </c>
      <c r="B48" s="289"/>
      <c r="C48" s="289"/>
      <c r="D48" s="289"/>
      <c r="E48" s="289"/>
      <c r="F48" s="289"/>
      <c r="G48" s="289"/>
      <c r="H48" s="289"/>
      <c r="I48" s="289"/>
      <c r="J48" s="202"/>
      <c r="K48" s="202"/>
      <c r="L48" s="202"/>
    </row>
    <row r="49" spans="1:12" ht="45" customHeight="1" x14ac:dyDescent="0.25">
      <c r="A49" s="289" t="s">
        <v>183</v>
      </c>
      <c r="B49" s="289"/>
      <c r="C49" s="289"/>
      <c r="D49" s="289"/>
      <c r="E49" s="289"/>
      <c r="F49" s="289"/>
      <c r="G49" s="289"/>
      <c r="H49" s="289"/>
      <c r="I49" s="289"/>
      <c r="J49" s="202"/>
      <c r="K49" s="202"/>
    </row>
    <row r="50" spans="1:12" ht="18.75" customHeight="1" x14ac:dyDescent="0.25">
      <c r="A50" s="289" t="s">
        <v>98</v>
      </c>
      <c r="B50" s="289"/>
      <c r="C50" s="289"/>
      <c r="D50" s="289"/>
      <c r="E50" s="289"/>
      <c r="F50" s="289"/>
      <c r="G50" s="289"/>
      <c r="H50" s="289"/>
      <c r="I50" s="289"/>
      <c r="J50" s="202"/>
      <c r="K50" s="202"/>
      <c r="L50" s="202"/>
    </row>
    <row r="51" spans="1:12" x14ac:dyDescent="0.25">
      <c r="A51" s="76" t="s">
        <v>33</v>
      </c>
      <c r="B51" s="76"/>
      <c r="C51" s="76"/>
      <c r="D51" s="51"/>
      <c r="E51" s="51"/>
      <c r="F51" s="51"/>
      <c r="G51" s="51"/>
      <c r="H51" s="51"/>
      <c r="I51" s="51"/>
    </row>
    <row r="52" spans="1:12" x14ac:dyDescent="0.25">
      <c r="A52" s="76" t="s">
        <v>174</v>
      </c>
      <c r="B52" s="76"/>
      <c r="C52" s="76"/>
      <c r="D52" s="51"/>
      <c r="E52" s="51"/>
      <c r="F52" s="51"/>
      <c r="G52" s="51"/>
      <c r="H52" s="51"/>
      <c r="I52" s="51"/>
    </row>
    <row r="53" spans="1:12" x14ac:dyDescent="0.25">
      <c r="A53" s="76" t="s">
        <v>105</v>
      </c>
      <c r="B53" s="76"/>
      <c r="C53" s="76"/>
      <c r="D53" s="51"/>
      <c r="E53" s="51"/>
      <c r="F53" s="51"/>
      <c r="G53" s="51"/>
      <c r="H53" s="51"/>
      <c r="I53" s="51"/>
    </row>
    <row r="54" spans="1:12" x14ac:dyDescent="0.25">
      <c r="A54" s="3" t="s">
        <v>175</v>
      </c>
      <c r="B54" s="3"/>
      <c r="C54" s="3"/>
    </row>
  </sheetData>
  <mergeCells count="6">
    <mergeCell ref="A50:I50"/>
    <mergeCell ref="A49:I49"/>
    <mergeCell ref="D14:F14"/>
    <mergeCell ref="G14:I14"/>
    <mergeCell ref="J14:L14"/>
    <mergeCell ref="A48:I48"/>
  </mergeCells>
  <pageMargins left="0.2" right="0.2" top="0.75" bottom="0.25" header="0.3" footer="0.3"/>
  <pageSetup scale="57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2D9B7-C354-47DA-B8E5-0C6783072B70}">
  <sheetPr>
    <pageSetUpPr fitToPage="1"/>
  </sheetPr>
  <dimension ref="A1:AH69"/>
  <sheetViews>
    <sheetView topLeftCell="E1" workbookViewId="0">
      <selection activeCell="O1" sqref="O1:O1048576"/>
    </sheetView>
  </sheetViews>
  <sheetFormatPr defaultRowHeight="15" x14ac:dyDescent="0.25"/>
  <cols>
    <col min="1" max="1" width="37.7109375" style="59" customWidth="1"/>
    <col min="2" max="2" width="12.28515625" style="59" bestFit="1" customWidth="1"/>
    <col min="3" max="3" width="12.42578125" style="59" bestFit="1" customWidth="1"/>
    <col min="4" max="4" width="15.42578125" style="59" customWidth="1"/>
    <col min="5" max="5" width="15.85546875" style="59" bestFit="1" customWidth="1"/>
    <col min="6" max="6" width="12.28515625" style="59" bestFit="1" customWidth="1"/>
    <col min="7" max="8" width="13.28515625" style="59" bestFit="1" customWidth="1"/>
    <col min="9" max="9" width="12.28515625" style="59" bestFit="1" customWidth="1"/>
    <col min="10" max="10" width="12.5703125" style="59" customWidth="1"/>
    <col min="11" max="11" width="12.85546875" style="59" customWidth="1"/>
    <col min="12" max="12" width="16" style="59" customWidth="1"/>
    <col min="13" max="13" width="15" style="59" bestFit="1" customWidth="1"/>
    <col min="14" max="14" width="16" style="59" bestFit="1" customWidth="1"/>
    <col min="15" max="15" width="15.28515625" style="59" bestFit="1" customWidth="1"/>
    <col min="16" max="16" width="17.42578125" style="59" bestFit="1" customWidth="1"/>
    <col min="17" max="17" width="16.28515625" style="59" bestFit="1" customWidth="1"/>
    <col min="18" max="18" width="15.28515625" style="59" bestFit="1" customWidth="1"/>
    <col min="19" max="19" width="12.42578125" style="59" customWidth="1"/>
    <col min="20" max="21" width="14.28515625" style="59" bestFit="1" customWidth="1"/>
    <col min="22" max="16384" width="9.140625" style="59"/>
  </cols>
  <sheetData>
    <row r="1" spans="1:34" x14ac:dyDescent="0.25">
      <c r="A1" s="3" t="str">
        <f>+'PPC Cycle 2'!A1</f>
        <v>Evergy Metro, Inc. - DSIM Rider Update Filed 06/01/2020</v>
      </c>
      <c r="B1" s="3"/>
      <c r="C1" s="3"/>
    </row>
    <row r="2" spans="1:34" x14ac:dyDescent="0.25">
      <c r="D2" s="3" t="s">
        <v>182</v>
      </c>
    </row>
    <row r="3" spans="1:34" ht="30" x14ac:dyDescent="0.25">
      <c r="D3" s="61" t="s">
        <v>48</v>
      </c>
      <c r="E3" s="83" t="s">
        <v>60</v>
      </c>
      <c r="F3" s="61" t="s">
        <v>3</v>
      </c>
      <c r="G3" s="83" t="s">
        <v>57</v>
      </c>
      <c r="H3" s="61" t="s">
        <v>11</v>
      </c>
      <c r="I3" s="61" t="s">
        <v>61</v>
      </c>
      <c r="R3" s="61"/>
    </row>
    <row r="4" spans="1:34" x14ac:dyDescent="0.25">
      <c r="A4" s="21" t="s">
        <v>26</v>
      </c>
      <c r="B4" s="21"/>
      <c r="C4" s="21"/>
      <c r="D4" s="23">
        <f>SUM(C19:L19)</f>
        <v>504284.48439999996</v>
      </c>
      <c r="E4" s="23">
        <f>SUM(C26:K26)</f>
        <v>505935.72</v>
      </c>
      <c r="F4" s="23">
        <f>E4-D4</f>
        <v>1651.2356000000145</v>
      </c>
      <c r="G4" s="23">
        <f>+B42</f>
        <v>0</v>
      </c>
      <c r="H4" s="23">
        <f>SUM(C50:K50)</f>
        <v>721.85</v>
      </c>
      <c r="I4" s="35">
        <f>SUM(F4:H4)</f>
        <v>2373.0856000000144</v>
      </c>
      <c r="J4" s="60">
        <f>+I4-L42</f>
        <v>4.5474735088646412E-12</v>
      </c>
      <c r="M4" s="60"/>
    </row>
    <row r="5" spans="1:34" ht="15.75" thickBot="1" x14ac:dyDescent="0.3">
      <c r="A5" s="21" t="s">
        <v>27</v>
      </c>
      <c r="B5" s="21"/>
      <c r="C5" s="21"/>
      <c r="D5" s="23">
        <f>SUM(C20:L23)</f>
        <v>1013157.73885</v>
      </c>
      <c r="E5" s="23">
        <f>SUM(C27:K30)</f>
        <v>969825.8</v>
      </c>
      <c r="F5" s="23">
        <f>E5-D5</f>
        <v>-43331.938849999919</v>
      </c>
      <c r="G5" s="23">
        <f>+B46</f>
        <v>0</v>
      </c>
      <c r="H5" s="23">
        <f>SUM(C51:K54)</f>
        <v>1023.0600000000001</v>
      </c>
      <c r="I5" s="35">
        <f>SUM(F5:H5)</f>
        <v>-42308.878849999921</v>
      </c>
      <c r="J5" s="60">
        <f>+I5-SUM(L43:L46)</f>
        <v>1.3824319466948509E-10</v>
      </c>
      <c r="M5" s="60"/>
    </row>
    <row r="6" spans="1:34" ht="16.5" thickTop="1" thickBot="1" x14ac:dyDescent="0.3">
      <c r="D6" s="39">
        <f t="shared" ref="D6:I6" si="0">SUM(D4:D5)</f>
        <v>1517442.2232499998</v>
      </c>
      <c r="E6" s="39">
        <f t="shared" si="0"/>
        <v>1475761.52</v>
      </c>
      <c r="F6" s="39">
        <f t="shared" si="0"/>
        <v>-41680.703249999904</v>
      </c>
      <c r="G6" s="39">
        <f t="shared" si="0"/>
        <v>0</v>
      </c>
      <c r="H6" s="39">
        <f t="shared" si="0"/>
        <v>1744.91</v>
      </c>
      <c r="I6" s="39">
        <f t="shared" si="0"/>
        <v>-39935.793249999908</v>
      </c>
      <c r="S6" s="5"/>
    </row>
    <row r="7" spans="1:34" ht="45.75" thickTop="1" x14ac:dyDescent="0.25">
      <c r="I7" s="253"/>
      <c r="J7" s="252" t="s">
        <v>139</v>
      </c>
    </row>
    <row r="8" spans="1:34" ht="17.25" customHeight="1" x14ac:dyDescent="0.25">
      <c r="A8" s="21" t="s">
        <v>121</v>
      </c>
      <c r="I8" s="35">
        <f>ROUND($I$5*J8,2)</f>
        <v>-5744.04</v>
      </c>
      <c r="J8" s="250">
        <f>+'[3]Monthly TD Calc'!$CY$44</f>
        <v>0.13576441564001979</v>
      </c>
    </row>
    <row r="9" spans="1:34" ht="17.25" customHeight="1" x14ac:dyDescent="0.25">
      <c r="A9" s="21" t="s">
        <v>122</v>
      </c>
      <c r="I9" s="35">
        <f t="shared" ref="I9:I11" si="1">ROUND($I$5*J9,2)</f>
        <v>-15066.86</v>
      </c>
      <c r="J9" s="250">
        <f>+'[3]Monthly TD Calc'!$CZ$44</f>
        <v>0.35611574316442379</v>
      </c>
    </row>
    <row r="10" spans="1:34" ht="17.25" customHeight="1" x14ac:dyDescent="0.25">
      <c r="A10" s="21" t="s">
        <v>123</v>
      </c>
      <c r="I10" s="35">
        <f t="shared" si="1"/>
        <v>-17698.59</v>
      </c>
      <c r="J10" s="250">
        <f>+'[3]Monthly TD Calc'!$DA$44</f>
        <v>0.4183185730547726</v>
      </c>
    </row>
    <row r="11" spans="1:34" ht="17.25" customHeight="1" thickBot="1" x14ac:dyDescent="0.3">
      <c r="A11" s="21" t="s">
        <v>124</v>
      </c>
      <c r="I11" s="35">
        <f t="shared" si="1"/>
        <v>-3799.39</v>
      </c>
      <c r="J11" s="250">
        <f>+'[3]Monthly TD Calc'!$DB$44</f>
        <v>8.9801268140783777E-2</v>
      </c>
    </row>
    <row r="12" spans="1:34" ht="17.25" customHeight="1" thickTop="1" thickBot="1" x14ac:dyDescent="0.3">
      <c r="A12" s="21" t="s">
        <v>126</v>
      </c>
      <c r="I12" s="39">
        <f>SUM(I8:I11)</f>
        <v>-42308.880000000005</v>
      </c>
      <c r="J12" s="251">
        <f>SUM(J8:J11)</f>
        <v>1</v>
      </c>
    </row>
    <row r="13" spans="1:34" ht="16.5" thickTop="1" thickBot="1" x14ac:dyDescent="0.3">
      <c r="U13" s="4"/>
      <c r="V13" s="5"/>
    </row>
    <row r="14" spans="1:34" ht="120.75" thickBot="1" x14ac:dyDescent="0.3">
      <c r="B14" s="136" t="str">
        <f>+'PCR Cycle 2'!B14</f>
        <v>Cumulative Over/Under Carryover From 12/02/2020 Filing</v>
      </c>
      <c r="C14" s="171" t="str">
        <f>+'PCR Cycle 2'!C14</f>
        <v>Reverse November-19 - January 2020  Forecast From 12/02/2020 Filing</v>
      </c>
      <c r="D14" s="290" t="s">
        <v>35</v>
      </c>
      <c r="E14" s="290"/>
      <c r="F14" s="291"/>
      <c r="G14" s="292" t="s">
        <v>35</v>
      </c>
      <c r="H14" s="293"/>
      <c r="I14" s="294"/>
      <c r="J14" s="286" t="s">
        <v>9</v>
      </c>
      <c r="K14" s="287"/>
      <c r="L14" s="288"/>
    </row>
    <row r="15" spans="1:34" x14ac:dyDescent="0.25">
      <c r="A15" s="59" t="s">
        <v>91</v>
      </c>
      <c r="C15" s="123"/>
      <c r="D15" s="19">
        <f>+'PCR Cycle 2'!D15</f>
        <v>43799</v>
      </c>
      <c r="E15" s="19">
        <f t="shared" ref="E15:L15" si="2">EOMONTH(D15,1)</f>
        <v>43830</v>
      </c>
      <c r="F15" s="19">
        <f t="shared" si="2"/>
        <v>43861</v>
      </c>
      <c r="G15" s="14">
        <f t="shared" si="2"/>
        <v>43890</v>
      </c>
      <c r="H15" s="19">
        <f t="shared" si="2"/>
        <v>43921</v>
      </c>
      <c r="I15" s="15">
        <f t="shared" si="2"/>
        <v>43951</v>
      </c>
      <c r="J15" s="19">
        <f t="shared" si="2"/>
        <v>43982</v>
      </c>
      <c r="K15" s="19">
        <f t="shared" si="2"/>
        <v>44012</v>
      </c>
      <c r="L15" s="15">
        <f t="shared" si="2"/>
        <v>44043</v>
      </c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25">
      <c r="A16" s="59" t="s">
        <v>6</v>
      </c>
      <c r="C16" s="115">
        <v>0</v>
      </c>
      <c r="D16" s="127">
        <f t="shared" ref="D16:K16" si="3">SUM(D26:D30)</f>
        <v>0</v>
      </c>
      <c r="E16" s="127">
        <f t="shared" si="3"/>
        <v>0</v>
      </c>
      <c r="F16" s="128">
        <f t="shared" si="3"/>
        <v>0</v>
      </c>
      <c r="G16" s="16">
        <f t="shared" si="3"/>
        <v>0</v>
      </c>
      <c r="H16" s="68">
        <f t="shared" si="3"/>
        <v>368940.37999999995</v>
      </c>
      <c r="I16" s="186">
        <f t="shared" si="3"/>
        <v>368940.37999999995</v>
      </c>
      <c r="J16" s="179">
        <f t="shared" si="3"/>
        <v>368940.37999999995</v>
      </c>
      <c r="K16" s="93">
        <f t="shared" si="3"/>
        <v>368940.37999999995</v>
      </c>
      <c r="L16" s="94"/>
    </row>
    <row r="17" spans="1:14" x14ac:dyDescent="0.25">
      <c r="C17" s="117"/>
      <c r="D17" s="17"/>
      <c r="E17" s="17"/>
      <c r="F17" s="17"/>
      <c r="G17" s="10"/>
      <c r="H17" s="17"/>
      <c r="I17" s="11"/>
      <c r="J17" s="43"/>
      <c r="K17" s="43"/>
      <c r="L17" s="41"/>
    </row>
    <row r="18" spans="1:14" x14ac:dyDescent="0.25">
      <c r="A18" s="59" t="s">
        <v>92</v>
      </c>
      <c r="C18" s="117"/>
      <c r="D18" s="18"/>
      <c r="E18" s="18"/>
      <c r="F18" s="18"/>
      <c r="G18" s="109"/>
      <c r="H18" s="18"/>
      <c r="I18" s="187"/>
      <c r="J18" s="43"/>
      <c r="K18" s="43"/>
      <c r="L18" s="41"/>
      <c r="M18" s="3" t="s">
        <v>52</v>
      </c>
      <c r="N18" s="51"/>
    </row>
    <row r="19" spans="1:14" x14ac:dyDescent="0.25">
      <c r="A19" s="59" t="s">
        <v>26</v>
      </c>
      <c r="C19" s="115"/>
      <c r="D19" s="154">
        <v>0</v>
      </c>
      <c r="E19" s="154">
        <v>0</v>
      </c>
      <c r="F19" s="154">
        <v>0</v>
      </c>
      <c r="G19" s="207">
        <f>ROUND('[7]February 2020'!F70,2)</f>
        <v>100.36</v>
      </c>
      <c r="H19" s="139">
        <f>ROUND('[7]March 2020'!F70,2)</f>
        <v>38865.71</v>
      </c>
      <c r="I19" s="188">
        <f>ROUND('[7]April 2020'!F70,2)</f>
        <v>100610.56</v>
      </c>
      <c r="J19" s="141">
        <f>'PCR Cycle 2'!J27*$M19</f>
        <v>86933.106599999999</v>
      </c>
      <c r="K19" s="53">
        <f>'PCR Cycle 2'!K27*$M19</f>
        <v>112183.76999999999</v>
      </c>
      <c r="L19" s="74">
        <f>'PCR Cycle 2'!L27*$M19</f>
        <v>165590.97779999999</v>
      </c>
      <c r="M19" s="85">
        <v>5.9999999999999995E-4</v>
      </c>
      <c r="N19" s="4"/>
    </row>
    <row r="20" spans="1:14" x14ac:dyDescent="0.25">
      <c r="A20" s="59" t="s">
        <v>161</v>
      </c>
      <c r="C20" s="115"/>
      <c r="D20" s="154">
        <v>0</v>
      </c>
      <c r="E20" s="154">
        <v>0</v>
      </c>
      <c r="F20" s="154">
        <v>0</v>
      </c>
      <c r="G20" s="207">
        <f>ROUND('[7]February 2020'!F71,2)</f>
        <v>23.32</v>
      </c>
      <c r="H20" s="139">
        <f>ROUND('[7]March 2020'!F71,2)</f>
        <v>17257.3</v>
      </c>
      <c r="I20" s="188">
        <f>ROUND('[7]April 2020'!F71,2)</f>
        <v>29248.59</v>
      </c>
      <c r="J20" s="141">
        <f>'PCR Cycle 2'!J28*$M20</f>
        <v>27947.499360000002</v>
      </c>
      <c r="K20" s="53">
        <f>'PCR Cycle 2'!K28*$M20</f>
        <v>30584.058560000001</v>
      </c>
      <c r="L20" s="74">
        <f>'PCR Cycle 2'!L28*$M20</f>
        <v>33622.482960000001</v>
      </c>
      <c r="M20" s="85">
        <v>8.8000000000000003E-4</v>
      </c>
      <c r="N20" s="4"/>
    </row>
    <row r="21" spans="1:14" x14ac:dyDescent="0.25">
      <c r="A21" s="59" t="s">
        <v>162</v>
      </c>
      <c r="C21" s="115"/>
      <c r="D21" s="154">
        <v>0</v>
      </c>
      <c r="E21" s="154">
        <v>0</v>
      </c>
      <c r="F21" s="154">
        <v>0</v>
      </c>
      <c r="G21" s="207">
        <f>ROUND('[7]February 2020'!F72,2)</f>
        <v>62.28</v>
      </c>
      <c r="H21" s="139">
        <f>ROUND('[7]March 2020'!F72,2)</f>
        <v>40286.29</v>
      </c>
      <c r="I21" s="188">
        <f>ROUND('[7]April 2020'!F72,2)</f>
        <v>68732.98</v>
      </c>
      <c r="J21" s="141">
        <f>'PCR Cycle 2'!J29*$M21</f>
        <v>83211.101999999999</v>
      </c>
      <c r="K21" s="53">
        <f>'PCR Cycle 2'!K29*$M21</f>
        <v>91061.212679999997</v>
      </c>
      <c r="L21" s="74">
        <f>'PCR Cycle 2'!L29*$M21</f>
        <v>100107.84224</v>
      </c>
      <c r="M21" s="85">
        <v>9.2000000000000003E-4</v>
      </c>
      <c r="N21" s="4"/>
    </row>
    <row r="22" spans="1:14" x14ac:dyDescent="0.25">
      <c r="A22" s="59" t="s">
        <v>163</v>
      </c>
      <c r="C22" s="115"/>
      <c r="D22" s="154">
        <v>0</v>
      </c>
      <c r="E22" s="154">
        <v>0</v>
      </c>
      <c r="F22" s="154">
        <v>0</v>
      </c>
      <c r="G22" s="207">
        <f>ROUND('[7]February 2020'!F73,2)</f>
        <v>112.43</v>
      </c>
      <c r="H22" s="139">
        <f>ROUND('[7]March 2020'!F73,2)</f>
        <v>49420.44</v>
      </c>
      <c r="I22" s="188">
        <f>ROUND('[7]April 2020'!F73,2)</f>
        <v>80734.28</v>
      </c>
      <c r="J22" s="141">
        <f>'PCR Cycle 2'!J30*$M22</f>
        <v>88354.199430000008</v>
      </c>
      <c r="K22" s="53">
        <f>'PCR Cycle 2'!K30*$M22</f>
        <v>96689.508930000011</v>
      </c>
      <c r="L22" s="74">
        <f>'PCR Cycle 2'!L30*$M22</f>
        <v>106295.29029</v>
      </c>
      <c r="M22" s="85">
        <v>6.3000000000000003E-4</v>
      </c>
      <c r="N22" s="4"/>
    </row>
    <row r="23" spans="1:14" x14ac:dyDescent="0.25">
      <c r="A23" s="59" t="s">
        <v>164</v>
      </c>
      <c r="C23" s="115"/>
      <c r="D23" s="154">
        <v>0</v>
      </c>
      <c r="E23" s="154">
        <v>0</v>
      </c>
      <c r="F23" s="154">
        <v>0</v>
      </c>
      <c r="G23" s="207">
        <f>ROUND('[7]February 2020'!F74,2)</f>
        <v>23.22</v>
      </c>
      <c r="H23" s="139">
        <f>ROUND('[7]March 2020'!F74,2)</f>
        <v>7943.94</v>
      </c>
      <c r="I23" s="188">
        <f>ROUND('[7]April 2020'!F74,2)</f>
        <v>12477.18</v>
      </c>
      <c r="J23" s="141">
        <f>'PCR Cycle 2'!J31*$M23</f>
        <v>14848.764349999999</v>
      </c>
      <c r="K23" s="53">
        <f>'PCR Cycle 2'!K31*$M23</f>
        <v>16249.59245</v>
      </c>
      <c r="L23" s="74">
        <f>'PCR Cycle 2'!L31*$M23</f>
        <v>17863.935600000001</v>
      </c>
      <c r="M23" s="85">
        <v>3.5E-4</v>
      </c>
      <c r="N23" s="4"/>
    </row>
    <row r="24" spans="1:14" x14ac:dyDescent="0.25">
      <c r="C24" s="80"/>
      <c r="D24" s="81"/>
      <c r="E24" s="81"/>
      <c r="F24" s="81"/>
      <c r="G24" s="80"/>
      <c r="H24" s="81"/>
      <c r="I24" s="189"/>
      <c r="J24" s="69"/>
      <c r="K24" s="69"/>
      <c r="L24" s="13"/>
      <c r="N24" s="4"/>
    </row>
    <row r="25" spans="1:14" x14ac:dyDescent="0.25">
      <c r="A25" s="59" t="s">
        <v>94</v>
      </c>
      <c r="C25" s="48"/>
      <c r="D25" s="49"/>
      <c r="E25" s="49"/>
      <c r="F25" s="49"/>
      <c r="G25" s="48"/>
      <c r="H25" s="49"/>
      <c r="I25" s="192"/>
      <c r="J25" s="65"/>
      <c r="K25" s="65"/>
      <c r="L25" s="50"/>
    </row>
    <row r="26" spans="1:14" x14ac:dyDescent="0.25">
      <c r="A26" s="59" t="s">
        <v>26</v>
      </c>
      <c r="C26" s="115">
        <v>0</v>
      </c>
      <c r="D26" s="127">
        <v>0</v>
      </c>
      <c r="E26" s="127">
        <v>0</v>
      </c>
      <c r="F26" s="128">
        <v>0</v>
      </c>
      <c r="G26" s="16">
        <v>0</v>
      </c>
      <c r="H26" s="68">
        <f>ROUND('EO Cycle 2'!$G$8/12,2)</f>
        <v>126483.93</v>
      </c>
      <c r="I26" s="186">
        <f>ROUND('EO Cycle 2'!$G$8/12,2)</f>
        <v>126483.93</v>
      </c>
      <c r="J26" s="181">
        <f>ROUND('EO Cycle 2'!$G$8/12,2)</f>
        <v>126483.93</v>
      </c>
      <c r="K26" s="161">
        <f>ROUND('EO Cycle 2'!$G$8/12,2)</f>
        <v>126483.93</v>
      </c>
      <c r="L26" s="94"/>
    </row>
    <row r="27" spans="1:14" x14ac:dyDescent="0.25">
      <c r="A27" s="59" t="s">
        <v>161</v>
      </c>
      <c r="C27" s="115"/>
      <c r="D27" s="127">
        <v>0</v>
      </c>
      <c r="E27" s="127">
        <v>0</v>
      </c>
      <c r="F27" s="128">
        <v>0</v>
      </c>
      <c r="G27" s="16">
        <v>0</v>
      </c>
      <c r="H27" s="68">
        <f>ROUND('EO Cycle 2'!$G$12/12,2)</f>
        <v>30941.52</v>
      </c>
      <c r="I27" s="186">
        <f>ROUND('EO Cycle 2'!$G$12/12,2)</f>
        <v>30941.52</v>
      </c>
      <c r="J27" s="181">
        <f>ROUND('EO Cycle 2'!$G$12/12,2)</f>
        <v>30941.52</v>
      </c>
      <c r="K27" s="161">
        <f>ROUND('EO Cycle 2'!$G$12/12,2)</f>
        <v>30941.52</v>
      </c>
      <c r="L27" s="94"/>
    </row>
    <row r="28" spans="1:14" x14ac:dyDescent="0.25">
      <c r="A28" s="59" t="s">
        <v>162</v>
      </c>
      <c r="C28" s="115"/>
      <c r="D28" s="127">
        <v>0</v>
      </c>
      <c r="E28" s="127">
        <v>0</v>
      </c>
      <c r="F28" s="128">
        <v>0</v>
      </c>
      <c r="G28" s="16">
        <v>0</v>
      </c>
      <c r="H28" s="68">
        <f>ROUND('EO Cycle 2'!$G$13/12,2)</f>
        <v>91483.08</v>
      </c>
      <c r="I28" s="186">
        <f>ROUND('EO Cycle 2'!$G$13/12,2)</f>
        <v>91483.08</v>
      </c>
      <c r="J28" s="181">
        <f>ROUND('EO Cycle 2'!$G$13/12,2)</f>
        <v>91483.08</v>
      </c>
      <c r="K28" s="161">
        <f>ROUND('EO Cycle 2'!$G$13/12,2)</f>
        <v>91483.08</v>
      </c>
      <c r="L28" s="94"/>
    </row>
    <row r="29" spans="1:14" x14ac:dyDescent="0.25">
      <c r="A29" s="59" t="s">
        <v>163</v>
      </c>
      <c r="C29" s="115"/>
      <c r="D29" s="127">
        <v>0</v>
      </c>
      <c r="E29" s="127">
        <v>0</v>
      </c>
      <c r="F29" s="128">
        <v>0</v>
      </c>
      <c r="G29" s="16">
        <v>0</v>
      </c>
      <c r="H29" s="68">
        <f>ROUND('EO Cycle 2'!$G$14/12,2)</f>
        <v>100065.18</v>
      </c>
      <c r="I29" s="186">
        <f>ROUND('EO Cycle 2'!$G$14/12,2)</f>
        <v>100065.18</v>
      </c>
      <c r="J29" s="181">
        <f>ROUND('EO Cycle 2'!$G$14/12,2)</f>
        <v>100065.18</v>
      </c>
      <c r="K29" s="161">
        <f>ROUND('EO Cycle 2'!$G$14/12,2)</f>
        <v>100065.18</v>
      </c>
      <c r="L29" s="94"/>
    </row>
    <row r="30" spans="1:14" x14ac:dyDescent="0.25">
      <c r="A30" s="59" t="s">
        <v>164</v>
      </c>
      <c r="C30" s="115">
        <v>0</v>
      </c>
      <c r="D30" s="127">
        <v>0</v>
      </c>
      <c r="E30" s="127">
        <v>0</v>
      </c>
      <c r="F30" s="128">
        <v>0</v>
      </c>
      <c r="G30" s="16">
        <v>0</v>
      </c>
      <c r="H30" s="68">
        <f>ROUND('EO Cycle 2'!$G$15/12,2)</f>
        <v>19966.669999999998</v>
      </c>
      <c r="I30" s="186">
        <f>ROUND('EO Cycle 2'!$G$15/12,2)</f>
        <v>19966.669999999998</v>
      </c>
      <c r="J30" s="181">
        <f>ROUND('EO Cycle 2'!$G$15/12,2)</f>
        <v>19966.669999999998</v>
      </c>
      <c r="K30" s="161">
        <f>ROUND('EO Cycle 2'!$G$15/12,2)</f>
        <v>19966.669999999998</v>
      </c>
      <c r="L30" s="94"/>
      <c r="N30" s="60"/>
    </row>
    <row r="31" spans="1:14" x14ac:dyDescent="0.25">
      <c r="C31" s="117"/>
      <c r="D31" s="18"/>
      <c r="E31" s="18"/>
      <c r="F31" s="18"/>
      <c r="G31" s="109"/>
      <c r="H31" s="18"/>
      <c r="I31" s="187"/>
      <c r="J31" s="69"/>
      <c r="K31" s="69"/>
      <c r="L31" s="13"/>
    </row>
    <row r="32" spans="1:14" ht="15.75" thickBot="1" x14ac:dyDescent="0.3">
      <c r="A32" s="3" t="s">
        <v>16</v>
      </c>
      <c r="B32" s="3"/>
      <c r="C32" s="121"/>
      <c r="D32" s="154"/>
      <c r="E32" s="154"/>
      <c r="F32" s="155"/>
      <c r="G32" s="38">
        <v>-0.39</v>
      </c>
      <c r="H32" s="140">
        <v>195.04000000000002</v>
      </c>
      <c r="I32" s="193">
        <v>413.03000000000003</v>
      </c>
      <c r="J32" s="182">
        <v>531.61</v>
      </c>
      <c r="K32" s="163">
        <v>605.62</v>
      </c>
      <c r="L32" s="97"/>
    </row>
    <row r="33" spans="1:12" x14ac:dyDescent="0.25">
      <c r="C33" s="77"/>
      <c r="D33" s="167"/>
      <c r="E33" s="167"/>
      <c r="F33" s="168"/>
      <c r="G33" s="77"/>
      <c r="H33" s="45"/>
      <c r="I33" s="194"/>
      <c r="J33" s="46"/>
      <c r="K33" s="46"/>
      <c r="L33" s="73"/>
    </row>
    <row r="34" spans="1:12" x14ac:dyDescent="0.25">
      <c r="A34" s="59" t="s">
        <v>54</v>
      </c>
      <c r="C34" s="78"/>
      <c r="D34" s="168"/>
      <c r="E34" s="168"/>
      <c r="F34" s="168"/>
      <c r="G34" s="78"/>
      <c r="H34" s="47"/>
      <c r="I34" s="195"/>
      <c r="J34" s="46"/>
      <c r="K34" s="46"/>
      <c r="L34" s="73"/>
    </row>
    <row r="35" spans="1:12" x14ac:dyDescent="0.25">
      <c r="A35" s="59" t="s">
        <v>26</v>
      </c>
      <c r="C35" s="118">
        <f t="shared" ref="C35:L35" si="4">C26-C19</f>
        <v>0</v>
      </c>
      <c r="D35" s="53">
        <f t="shared" si="4"/>
        <v>0</v>
      </c>
      <c r="E35" s="53">
        <f t="shared" si="4"/>
        <v>0</v>
      </c>
      <c r="F35" s="126">
        <f t="shared" si="4"/>
        <v>0</v>
      </c>
      <c r="G35" s="52">
        <f t="shared" si="4"/>
        <v>-100.36</v>
      </c>
      <c r="H35" s="53">
        <f t="shared" si="4"/>
        <v>87618.22</v>
      </c>
      <c r="I35" s="74">
        <f t="shared" si="4"/>
        <v>25873.369999999995</v>
      </c>
      <c r="J35" s="141">
        <f t="shared" si="4"/>
        <v>39550.823399999994</v>
      </c>
      <c r="K35" s="53">
        <f t="shared" si="4"/>
        <v>14300.160000000003</v>
      </c>
      <c r="L35" s="74">
        <f t="shared" si="4"/>
        <v>-165590.97779999999</v>
      </c>
    </row>
    <row r="36" spans="1:12" x14ac:dyDescent="0.25">
      <c r="A36" s="59" t="s">
        <v>161</v>
      </c>
      <c r="C36" s="118">
        <f t="shared" ref="C36:L36" si="5">C27-C20</f>
        <v>0</v>
      </c>
      <c r="D36" s="53">
        <f t="shared" si="5"/>
        <v>0</v>
      </c>
      <c r="E36" s="53">
        <f t="shared" si="5"/>
        <v>0</v>
      </c>
      <c r="F36" s="126">
        <f t="shared" si="5"/>
        <v>0</v>
      </c>
      <c r="G36" s="52">
        <f t="shared" si="5"/>
        <v>-23.32</v>
      </c>
      <c r="H36" s="53">
        <f t="shared" si="5"/>
        <v>13684.220000000001</v>
      </c>
      <c r="I36" s="74">
        <f t="shared" si="5"/>
        <v>1692.9300000000003</v>
      </c>
      <c r="J36" s="141">
        <f t="shared" si="5"/>
        <v>2994.0206399999988</v>
      </c>
      <c r="K36" s="53">
        <f t="shared" si="5"/>
        <v>357.46143999999913</v>
      </c>
      <c r="L36" s="74">
        <f t="shared" si="5"/>
        <v>-33622.482960000001</v>
      </c>
    </row>
    <row r="37" spans="1:12" x14ac:dyDescent="0.25">
      <c r="A37" s="59" t="s">
        <v>162</v>
      </c>
      <c r="C37" s="118">
        <f t="shared" ref="C37:L37" si="6">C28-C21</f>
        <v>0</v>
      </c>
      <c r="D37" s="53">
        <f t="shared" si="6"/>
        <v>0</v>
      </c>
      <c r="E37" s="53">
        <f t="shared" si="6"/>
        <v>0</v>
      </c>
      <c r="F37" s="126">
        <f t="shared" si="6"/>
        <v>0</v>
      </c>
      <c r="G37" s="52">
        <f t="shared" si="6"/>
        <v>-62.28</v>
      </c>
      <c r="H37" s="53">
        <f t="shared" si="6"/>
        <v>51196.79</v>
      </c>
      <c r="I37" s="74">
        <f t="shared" si="6"/>
        <v>22750.100000000006</v>
      </c>
      <c r="J37" s="141">
        <f t="shared" si="6"/>
        <v>8271.9780000000028</v>
      </c>
      <c r="K37" s="53">
        <f t="shared" si="6"/>
        <v>421.86732000000484</v>
      </c>
      <c r="L37" s="74">
        <f t="shared" si="6"/>
        <v>-100107.84224</v>
      </c>
    </row>
    <row r="38" spans="1:12" x14ac:dyDescent="0.25">
      <c r="A38" s="59" t="s">
        <v>163</v>
      </c>
      <c r="C38" s="118">
        <f t="shared" ref="C38:L38" si="7">C29-C22</f>
        <v>0</v>
      </c>
      <c r="D38" s="53">
        <f t="shared" si="7"/>
        <v>0</v>
      </c>
      <c r="E38" s="53">
        <f t="shared" si="7"/>
        <v>0</v>
      </c>
      <c r="F38" s="126">
        <f t="shared" si="7"/>
        <v>0</v>
      </c>
      <c r="G38" s="52">
        <f t="shared" si="7"/>
        <v>-112.43</v>
      </c>
      <c r="H38" s="53">
        <f t="shared" si="7"/>
        <v>50644.739999999991</v>
      </c>
      <c r="I38" s="74">
        <f t="shared" si="7"/>
        <v>19330.899999999994</v>
      </c>
      <c r="J38" s="141">
        <f t="shared" si="7"/>
        <v>11710.980569999985</v>
      </c>
      <c r="K38" s="53">
        <f t="shared" si="7"/>
        <v>3375.6710699999821</v>
      </c>
      <c r="L38" s="74">
        <f t="shared" si="7"/>
        <v>-106295.29029</v>
      </c>
    </row>
    <row r="39" spans="1:12" x14ac:dyDescent="0.25">
      <c r="A39" s="59" t="s">
        <v>164</v>
      </c>
      <c r="C39" s="118">
        <f t="shared" ref="C39:L39" si="8">C30-C23</f>
        <v>0</v>
      </c>
      <c r="D39" s="53">
        <f t="shared" si="8"/>
        <v>0</v>
      </c>
      <c r="E39" s="53">
        <f t="shared" si="8"/>
        <v>0</v>
      </c>
      <c r="F39" s="126">
        <f t="shared" si="8"/>
        <v>0</v>
      </c>
      <c r="G39" s="52">
        <f t="shared" si="8"/>
        <v>-23.22</v>
      </c>
      <c r="H39" s="53">
        <f t="shared" si="8"/>
        <v>12022.73</v>
      </c>
      <c r="I39" s="74">
        <f t="shared" si="8"/>
        <v>7489.489999999998</v>
      </c>
      <c r="J39" s="141">
        <f t="shared" si="8"/>
        <v>5117.9056499999988</v>
      </c>
      <c r="K39" s="53">
        <f t="shared" si="8"/>
        <v>3717.0775499999982</v>
      </c>
      <c r="L39" s="74">
        <f t="shared" si="8"/>
        <v>-17863.935600000001</v>
      </c>
    </row>
    <row r="40" spans="1:12" x14ac:dyDescent="0.25">
      <c r="C40" s="117"/>
      <c r="D40" s="17"/>
      <c r="E40" s="17"/>
      <c r="F40" s="17"/>
      <c r="G40" s="10"/>
      <c r="H40" s="17"/>
      <c r="I40" s="11"/>
      <c r="J40" s="17"/>
      <c r="K40" s="17"/>
      <c r="L40" s="11"/>
    </row>
    <row r="41" spans="1:12" ht="15.75" thickBot="1" x14ac:dyDescent="0.3">
      <c r="A41" s="59" t="s">
        <v>55</v>
      </c>
      <c r="C41" s="117"/>
      <c r="D41" s="17"/>
      <c r="E41" s="17"/>
      <c r="F41" s="17"/>
      <c r="G41" s="10"/>
      <c r="H41" s="17"/>
      <c r="I41" s="11"/>
      <c r="J41" s="17"/>
      <c r="K41" s="17"/>
      <c r="L41" s="11"/>
    </row>
    <row r="42" spans="1:12" x14ac:dyDescent="0.25">
      <c r="A42" s="59" t="s">
        <v>26</v>
      </c>
      <c r="B42" s="134">
        <v>0</v>
      </c>
      <c r="C42" s="118">
        <f t="shared" ref="C42:L42" si="9">B42+C35+B50</f>
        <v>0</v>
      </c>
      <c r="D42" s="53">
        <f t="shared" si="9"/>
        <v>0</v>
      </c>
      <c r="E42" s="53">
        <f t="shared" si="9"/>
        <v>0</v>
      </c>
      <c r="F42" s="126">
        <f t="shared" si="9"/>
        <v>0</v>
      </c>
      <c r="G42" s="52">
        <f t="shared" si="9"/>
        <v>-100.36</v>
      </c>
      <c r="H42" s="53">
        <f t="shared" si="9"/>
        <v>87517.74</v>
      </c>
      <c r="I42" s="74">
        <f t="shared" si="9"/>
        <v>113470.59</v>
      </c>
      <c r="J42" s="141">
        <f t="shared" si="9"/>
        <v>153185.1434</v>
      </c>
      <c r="K42" s="53">
        <f t="shared" si="9"/>
        <v>167702.5834</v>
      </c>
      <c r="L42" s="74">
        <f t="shared" si="9"/>
        <v>2373.0856000000099</v>
      </c>
    </row>
    <row r="43" spans="1:12" x14ac:dyDescent="0.25">
      <c r="A43" s="59" t="s">
        <v>161</v>
      </c>
      <c r="B43" s="276">
        <v>0</v>
      </c>
      <c r="C43" s="118">
        <f t="shared" ref="C43:L43" si="10">B43+C36+B51</f>
        <v>0</v>
      </c>
      <c r="D43" s="53">
        <f t="shared" si="10"/>
        <v>0</v>
      </c>
      <c r="E43" s="53">
        <f t="shared" si="10"/>
        <v>0</v>
      </c>
      <c r="F43" s="126">
        <f t="shared" si="10"/>
        <v>0</v>
      </c>
      <c r="G43" s="52">
        <f t="shared" si="10"/>
        <v>-23.32</v>
      </c>
      <c r="H43" s="53">
        <f t="shared" si="10"/>
        <v>13660.87</v>
      </c>
      <c r="I43" s="74">
        <f t="shared" si="10"/>
        <v>15366.2</v>
      </c>
      <c r="J43" s="141">
        <f t="shared" si="10"/>
        <v>18383.870640000001</v>
      </c>
      <c r="K43" s="53">
        <f t="shared" si="10"/>
        <v>18768.83208</v>
      </c>
      <c r="L43" s="74">
        <f t="shared" si="10"/>
        <v>-14823.37088</v>
      </c>
    </row>
    <row r="44" spans="1:12" x14ac:dyDescent="0.25">
      <c r="A44" s="59" t="s">
        <v>162</v>
      </c>
      <c r="B44" s="271">
        <v>0</v>
      </c>
      <c r="C44" s="118">
        <f t="shared" ref="C44:L44" si="11">B44+C37+B52</f>
        <v>0</v>
      </c>
      <c r="D44" s="53">
        <f t="shared" si="11"/>
        <v>0</v>
      </c>
      <c r="E44" s="53">
        <f t="shared" si="11"/>
        <v>0</v>
      </c>
      <c r="F44" s="126">
        <f t="shared" si="11"/>
        <v>0</v>
      </c>
      <c r="G44" s="52">
        <f t="shared" si="11"/>
        <v>-62.28</v>
      </c>
      <c r="H44" s="53">
        <f t="shared" si="11"/>
        <v>51134.44</v>
      </c>
      <c r="I44" s="74">
        <f t="shared" si="11"/>
        <v>73930.97</v>
      </c>
      <c r="J44" s="141">
        <f t="shared" si="11"/>
        <v>82304.828000000009</v>
      </c>
      <c r="K44" s="53">
        <f t="shared" si="11"/>
        <v>82854.005320000011</v>
      </c>
      <c r="L44" s="74">
        <f t="shared" si="11"/>
        <v>-17119.236919999988</v>
      </c>
    </row>
    <row r="45" spans="1:12" x14ac:dyDescent="0.25">
      <c r="A45" s="59" t="s">
        <v>163</v>
      </c>
      <c r="B45" s="277">
        <v>0</v>
      </c>
      <c r="C45" s="118">
        <f t="shared" ref="C45:L45" si="12">B45+C38+B53</f>
        <v>0</v>
      </c>
      <c r="D45" s="53">
        <f t="shared" si="12"/>
        <v>0</v>
      </c>
      <c r="E45" s="53">
        <f t="shared" si="12"/>
        <v>0</v>
      </c>
      <c r="F45" s="126">
        <f t="shared" si="12"/>
        <v>0</v>
      </c>
      <c r="G45" s="52">
        <f t="shared" si="12"/>
        <v>-112.43</v>
      </c>
      <c r="H45" s="53">
        <f t="shared" si="12"/>
        <v>50532.169999999991</v>
      </c>
      <c r="I45" s="74">
        <f t="shared" si="12"/>
        <v>69908.909999999974</v>
      </c>
      <c r="J45" s="141">
        <f t="shared" si="12"/>
        <v>81718.00056999996</v>
      </c>
      <c r="K45" s="53">
        <f t="shared" si="12"/>
        <v>85217.221639999945</v>
      </c>
      <c r="L45" s="74">
        <f t="shared" si="12"/>
        <v>-20942.028650000058</v>
      </c>
    </row>
    <row r="46" spans="1:12" ht="15.75" thickBot="1" x14ac:dyDescent="0.3">
      <c r="A46" s="59" t="s">
        <v>164</v>
      </c>
      <c r="B46" s="275">
        <v>0</v>
      </c>
      <c r="C46" s="118">
        <f>B46+C39+B54</f>
        <v>0</v>
      </c>
      <c r="D46" s="53">
        <f t="shared" ref="D46:L46" si="13">C46+D39+C54</f>
        <v>0</v>
      </c>
      <c r="E46" s="53">
        <f t="shared" si="13"/>
        <v>0</v>
      </c>
      <c r="F46" s="126">
        <f t="shared" si="13"/>
        <v>0</v>
      </c>
      <c r="G46" s="52">
        <f t="shared" si="13"/>
        <v>-23.22</v>
      </c>
      <c r="H46" s="53">
        <f t="shared" si="13"/>
        <v>11999.48</v>
      </c>
      <c r="I46" s="74">
        <f t="shared" si="13"/>
        <v>19499.859999999997</v>
      </c>
      <c r="J46" s="141">
        <f t="shared" si="13"/>
        <v>24643.425649999994</v>
      </c>
      <c r="K46" s="53">
        <f t="shared" si="13"/>
        <v>28396.473199999993</v>
      </c>
      <c r="L46" s="74">
        <f t="shared" si="13"/>
        <v>10575.757599999992</v>
      </c>
    </row>
    <row r="47" spans="1:12" x14ac:dyDescent="0.25">
      <c r="C47" s="117"/>
      <c r="D47" s="17"/>
      <c r="E47" s="17"/>
      <c r="F47" s="17"/>
      <c r="G47" s="10"/>
      <c r="H47" s="17"/>
      <c r="I47" s="11"/>
      <c r="J47" s="17"/>
      <c r="K47" s="17"/>
      <c r="L47" s="11"/>
    </row>
    <row r="48" spans="1:12" x14ac:dyDescent="0.25">
      <c r="A48" s="51" t="s">
        <v>93</v>
      </c>
      <c r="B48" s="51"/>
      <c r="C48" s="122"/>
      <c r="D48" s="98">
        <f>+'PCR Cycle 2'!D50</f>
        <v>2.4882900000000002E-3</v>
      </c>
      <c r="E48" s="98">
        <f>+'PCR Cycle 2'!E50</f>
        <v>2.5028199999999998E-3</v>
      </c>
      <c r="F48" s="98">
        <f>+'PCR Cycle 2'!F50</f>
        <v>2.43764E-3</v>
      </c>
      <c r="G48" s="99">
        <f>+'PCR Cycle 2'!G50</f>
        <v>2.4056699999999999E-3</v>
      </c>
      <c r="H48" s="98">
        <f>+'PCR Cycle 2'!H50</f>
        <v>1.8183299999999999E-3</v>
      </c>
      <c r="I48" s="110">
        <f>+'PCR Cycle 2'!I50</f>
        <v>1.62864E-3</v>
      </c>
      <c r="J48" s="98">
        <f>+'PCR Cycle 2'!J50</f>
        <v>1.62864E-3</v>
      </c>
      <c r="K48" s="98">
        <f>+'PCR Cycle 2'!K50</f>
        <v>1.62864E-3</v>
      </c>
      <c r="L48" s="100"/>
    </row>
    <row r="49" spans="1:12" x14ac:dyDescent="0.25">
      <c r="A49" s="51" t="s">
        <v>39</v>
      </c>
      <c r="B49" s="51"/>
      <c r="C49" s="124"/>
      <c r="D49" s="98"/>
      <c r="E49" s="98"/>
      <c r="F49" s="98"/>
      <c r="G49" s="99"/>
      <c r="H49" s="98"/>
      <c r="I49" s="100"/>
      <c r="J49" s="98"/>
      <c r="K49" s="98"/>
      <c r="L49" s="100"/>
    </row>
    <row r="50" spans="1:12" x14ac:dyDescent="0.25">
      <c r="A50" s="59" t="s">
        <v>26</v>
      </c>
      <c r="C50" s="118"/>
      <c r="D50" s="53">
        <f t="shared" ref="D50:L50" si="14">ROUND((C42+C50+D35/2)*D$48,2)</f>
        <v>0</v>
      </c>
      <c r="E50" s="53">
        <f t="shared" si="14"/>
        <v>0</v>
      </c>
      <c r="F50" s="126">
        <f t="shared" si="14"/>
        <v>0</v>
      </c>
      <c r="G50" s="52">
        <f t="shared" si="14"/>
        <v>-0.12</v>
      </c>
      <c r="H50" s="141">
        <f t="shared" si="14"/>
        <v>79.48</v>
      </c>
      <c r="I50" s="62">
        <f t="shared" si="14"/>
        <v>163.72999999999999</v>
      </c>
      <c r="J50" s="183">
        <f t="shared" si="14"/>
        <v>217.28</v>
      </c>
      <c r="K50" s="126">
        <f t="shared" si="14"/>
        <v>261.48</v>
      </c>
      <c r="L50" s="74">
        <f t="shared" si="14"/>
        <v>0</v>
      </c>
    </row>
    <row r="51" spans="1:12" x14ac:dyDescent="0.25">
      <c r="A51" s="59" t="s">
        <v>161</v>
      </c>
      <c r="C51" s="118"/>
      <c r="D51" s="53">
        <f t="shared" ref="D51:L51" si="15">ROUND((C43+C51+D36/2)*D$48,2)</f>
        <v>0</v>
      </c>
      <c r="E51" s="53">
        <f t="shared" si="15"/>
        <v>0</v>
      </c>
      <c r="F51" s="126">
        <f t="shared" si="15"/>
        <v>0</v>
      </c>
      <c r="G51" s="52">
        <f t="shared" si="15"/>
        <v>-0.03</v>
      </c>
      <c r="H51" s="141">
        <f t="shared" si="15"/>
        <v>12.4</v>
      </c>
      <c r="I51" s="62">
        <f t="shared" si="15"/>
        <v>23.65</v>
      </c>
      <c r="J51" s="183">
        <f t="shared" si="15"/>
        <v>27.5</v>
      </c>
      <c r="K51" s="126">
        <f t="shared" si="15"/>
        <v>30.28</v>
      </c>
      <c r="L51" s="74">
        <f t="shared" si="15"/>
        <v>0</v>
      </c>
    </row>
    <row r="52" spans="1:12" x14ac:dyDescent="0.25">
      <c r="A52" s="59" t="s">
        <v>162</v>
      </c>
      <c r="C52" s="118"/>
      <c r="D52" s="53">
        <f t="shared" ref="D52:L52" si="16">ROUND((C44+C52+D37/2)*D$48,2)</f>
        <v>0</v>
      </c>
      <c r="E52" s="53">
        <f t="shared" si="16"/>
        <v>0</v>
      </c>
      <c r="F52" s="126">
        <f t="shared" si="16"/>
        <v>0</v>
      </c>
      <c r="G52" s="52">
        <f t="shared" si="16"/>
        <v>-7.0000000000000007E-2</v>
      </c>
      <c r="H52" s="141">
        <f t="shared" si="16"/>
        <v>46.43</v>
      </c>
      <c r="I52" s="62">
        <f t="shared" si="16"/>
        <v>101.88</v>
      </c>
      <c r="J52" s="183">
        <f t="shared" si="16"/>
        <v>127.31</v>
      </c>
      <c r="K52" s="126">
        <f t="shared" si="16"/>
        <v>134.6</v>
      </c>
      <c r="L52" s="74">
        <f t="shared" si="16"/>
        <v>0</v>
      </c>
    </row>
    <row r="53" spans="1:12" x14ac:dyDescent="0.25">
      <c r="A53" s="59" t="s">
        <v>163</v>
      </c>
      <c r="C53" s="118"/>
      <c r="D53" s="53">
        <f t="shared" ref="D53:L53" si="17">ROUND((C45+C53+D38/2)*D$48,2)</f>
        <v>0</v>
      </c>
      <c r="E53" s="53">
        <f t="shared" si="17"/>
        <v>0</v>
      </c>
      <c r="F53" s="126">
        <f t="shared" si="17"/>
        <v>0</v>
      </c>
      <c r="G53" s="52">
        <f t="shared" si="17"/>
        <v>-0.14000000000000001</v>
      </c>
      <c r="H53" s="141">
        <f t="shared" si="17"/>
        <v>45.84</v>
      </c>
      <c r="I53" s="62">
        <f t="shared" si="17"/>
        <v>98.11</v>
      </c>
      <c r="J53" s="183">
        <f t="shared" si="17"/>
        <v>123.55</v>
      </c>
      <c r="K53" s="126">
        <f t="shared" si="17"/>
        <v>136.04</v>
      </c>
      <c r="L53" s="74">
        <f t="shared" si="17"/>
        <v>0</v>
      </c>
    </row>
    <row r="54" spans="1:12" ht="15.75" thickBot="1" x14ac:dyDescent="0.3">
      <c r="A54" s="59" t="s">
        <v>164</v>
      </c>
      <c r="C54" s="118"/>
      <c r="D54" s="53">
        <f t="shared" ref="D54:L54" si="18">ROUND((C46+C54+D39/2)*D$48,2)</f>
        <v>0</v>
      </c>
      <c r="E54" s="53">
        <f t="shared" si="18"/>
        <v>0</v>
      </c>
      <c r="F54" s="126">
        <f t="shared" si="18"/>
        <v>0</v>
      </c>
      <c r="G54" s="52">
        <f t="shared" si="18"/>
        <v>-0.03</v>
      </c>
      <c r="H54" s="141">
        <f t="shared" si="18"/>
        <v>10.89</v>
      </c>
      <c r="I54" s="62">
        <f t="shared" si="18"/>
        <v>25.66</v>
      </c>
      <c r="J54" s="183">
        <f t="shared" si="18"/>
        <v>35.97</v>
      </c>
      <c r="K54" s="126">
        <f t="shared" si="18"/>
        <v>43.22</v>
      </c>
      <c r="L54" s="74">
        <f t="shared" si="18"/>
        <v>0</v>
      </c>
    </row>
    <row r="55" spans="1:12" ht="16.5" thickTop="1" thickBot="1" x14ac:dyDescent="0.3">
      <c r="A55" s="67" t="s">
        <v>24</v>
      </c>
      <c r="B55" s="67"/>
      <c r="C55" s="125">
        <v>0</v>
      </c>
      <c r="D55" s="54">
        <f t="shared" ref="D55:I55" si="19">SUM(D50:D54)+SUM(D42:D46)-D58</f>
        <v>0</v>
      </c>
      <c r="E55" s="54">
        <f t="shared" si="19"/>
        <v>0</v>
      </c>
      <c r="F55" s="63">
        <f t="shared" ref="F55:H55" si="20">SUM(F50:F54)+SUM(F42:F46)-F58</f>
        <v>0</v>
      </c>
      <c r="G55" s="165">
        <f t="shared" si="20"/>
        <v>0</v>
      </c>
      <c r="H55" s="63">
        <f t="shared" si="20"/>
        <v>0</v>
      </c>
      <c r="I55" s="75">
        <f t="shared" si="19"/>
        <v>0</v>
      </c>
      <c r="J55" s="184">
        <f t="shared" ref="J55:L55" si="21">SUM(J50:J54)+SUM(J42:J46)-J58</f>
        <v>0</v>
      </c>
      <c r="K55" s="63">
        <f t="shared" si="21"/>
        <v>0</v>
      </c>
      <c r="L55" s="75">
        <f t="shared" si="21"/>
        <v>2.3283064365386963E-10</v>
      </c>
    </row>
    <row r="56" spans="1:12" ht="16.5" thickTop="1" thickBot="1" x14ac:dyDescent="0.3">
      <c r="A56" s="67" t="s">
        <v>25</v>
      </c>
      <c r="B56" s="67"/>
      <c r="C56" s="125">
        <v>0</v>
      </c>
      <c r="D56" s="54">
        <f t="shared" ref="D56:I56" si="22">SUM(D50:D54)-D32</f>
        <v>0</v>
      </c>
      <c r="E56" s="54">
        <f t="shared" si="22"/>
        <v>0</v>
      </c>
      <c r="F56" s="63">
        <f t="shared" ref="F56:H56" si="23">SUM(F50:F54)-F32</f>
        <v>0</v>
      </c>
      <c r="G56" s="165">
        <f t="shared" si="23"/>
        <v>0</v>
      </c>
      <c r="H56" s="63">
        <f t="shared" si="23"/>
        <v>0</v>
      </c>
      <c r="I56" s="75">
        <f t="shared" si="22"/>
        <v>0</v>
      </c>
      <c r="J56" s="185">
        <f t="shared" ref="J56:L56" si="24">SUM(J50:J54)-J32</f>
        <v>0</v>
      </c>
      <c r="K56" s="54">
        <f t="shared" si="24"/>
        <v>0</v>
      </c>
      <c r="L56" s="54">
        <f t="shared" si="24"/>
        <v>0</v>
      </c>
    </row>
    <row r="57" spans="1:12" ht="16.5" thickTop="1" thickBot="1" x14ac:dyDescent="0.3">
      <c r="C57" s="117"/>
      <c r="D57" s="17"/>
      <c r="E57" s="17"/>
      <c r="F57" s="17"/>
      <c r="G57" s="10"/>
      <c r="H57" s="17"/>
      <c r="I57" s="11"/>
      <c r="J57" s="17"/>
      <c r="K57" s="17"/>
      <c r="L57" s="11"/>
    </row>
    <row r="58" spans="1:12" ht="15.75" thickBot="1" x14ac:dyDescent="0.3">
      <c r="A58" s="59" t="s">
        <v>38</v>
      </c>
      <c r="B58" s="137">
        <f>+B42+B46</f>
        <v>0</v>
      </c>
      <c r="C58" s="118">
        <f t="shared" ref="C58:L58" si="25">(C16-SUM(C19:C23))+SUM(C50:C54)+B58</f>
        <v>0</v>
      </c>
      <c r="D58" s="53">
        <f t="shared" si="25"/>
        <v>0</v>
      </c>
      <c r="E58" s="53">
        <f t="shared" si="25"/>
        <v>0</v>
      </c>
      <c r="F58" s="126">
        <f t="shared" si="25"/>
        <v>0</v>
      </c>
      <c r="G58" s="52">
        <f t="shared" si="25"/>
        <v>-322</v>
      </c>
      <c r="H58" s="53">
        <f t="shared" si="25"/>
        <v>215039.73999999996</v>
      </c>
      <c r="I58" s="74">
        <f t="shared" si="25"/>
        <v>292589.55999999988</v>
      </c>
      <c r="J58" s="183">
        <f t="shared" si="25"/>
        <v>360766.87825999979</v>
      </c>
      <c r="K58" s="126">
        <f t="shared" si="25"/>
        <v>383544.73563999974</v>
      </c>
      <c r="L58" s="74">
        <f t="shared" si="25"/>
        <v>-39935.793250000279</v>
      </c>
    </row>
    <row r="59" spans="1:12" x14ac:dyDescent="0.25">
      <c r="A59" s="59" t="s">
        <v>14</v>
      </c>
      <c r="C59" s="138"/>
      <c r="D59" s="17"/>
      <c r="E59" s="17"/>
      <c r="F59" s="17"/>
      <c r="G59" s="10"/>
      <c r="H59" s="17"/>
      <c r="I59" s="11"/>
      <c r="J59" s="17"/>
      <c r="K59" s="17"/>
      <c r="L59" s="11"/>
    </row>
    <row r="60" spans="1:12" ht="15.75" thickBot="1" x14ac:dyDescent="0.3">
      <c r="A60" s="49"/>
      <c r="B60" s="49"/>
      <c r="C60" s="166"/>
      <c r="D60" s="56"/>
      <c r="E60" s="56"/>
      <c r="F60" s="56"/>
      <c r="G60" s="55"/>
      <c r="H60" s="56"/>
      <c r="I60" s="57"/>
      <c r="J60" s="56"/>
      <c r="K60" s="56"/>
      <c r="L60" s="57"/>
    </row>
    <row r="62" spans="1:12" x14ac:dyDescent="0.25">
      <c r="A62" s="82" t="s">
        <v>13</v>
      </c>
      <c r="B62" s="82"/>
      <c r="C62" s="82"/>
    </row>
    <row r="63" spans="1:12" ht="31.5" customHeight="1" x14ac:dyDescent="0.25">
      <c r="A63" s="289" t="s">
        <v>184</v>
      </c>
      <c r="B63" s="289"/>
      <c r="C63" s="289"/>
      <c r="D63" s="289"/>
      <c r="E63" s="289"/>
      <c r="F63" s="289"/>
      <c r="G63" s="289"/>
      <c r="H63" s="289"/>
      <c r="I63" s="289"/>
      <c r="J63" s="260"/>
      <c r="K63" s="260"/>
      <c r="L63" s="260"/>
    </row>
    <row r="64" spans="1:12" ht="45" customHeight="1" x14ac:dyDescent="0.25">
      <c r="A64" s="289" t="s">
        <v>183</v>
      </c>
      <c r="B64" s="289"/>
      <c r="C64" s="289"/>
      <c r="D64" s="289"/>
      <c r="E64" s="289"/>
      <c r="F64" s="289"/>
      <c r="G64" s="289"/>
      <c r="H64" s="289"/>
      <c r="I64" s="289"/>
      <c r="J64" s="260"/>
      <c r="K64" s="260"/>
    </row>
    <row r="65" spans="1:12" ht="18.75" customHeight="1" x14ac:dyDescent="0.25">
      <c r="A65" s="289" t="s">
        <v>212</v>
      </c>
      <c r="B65" s="289"/>
      <c r="C65" s="289"/>
      <c r="D65" s="289"/>
      <c r="E65" s="289"/>
      <c r="F65" s="289"/>
      <c r="G65" s="289"/>
      <c r="H65" s="289"/>
      <c r="I65" s="289"/>
      <c r="J65" s="260"/>
      <c r="K65" s="260"/>
      <c r="L65" s="260"/>
    </row>
    <row r="66" spans="1:12" x14ac:dyDescent="0.25">
      <c r="A66" s="76" t="s">
        <v>33</v>
      </c>
      <c r="B66" s="76"/>
      <c r="C66" s="76"/>
      <c r="D66" s="51"/>
      <c r="E66" s="51"/>
      <c r="F66" s="51"/>
      <c r="G66" s="51"/>
      <c r="H66" s="51"/>
      <c r="I66" s="51"/>
    </row>
    <row r="67" spans="1:12" x14ac:dyDescent="0.25">
      <c r="A67" s="76" t="s">
        <v>174</v>
      </c>
      <c r="B67" s="76"/>
      <c r="C67" s="76"/>
      <c r="D67" s="51"/>
      <c r="E67" s="51"/>
      <c r="F67" s="51"/>
      <c r="G67" s="51"/>
      <c r="H67" s="51"/>
      <c r="I67" s="51"/>
    </row>
    <row r="68" spans="1:12" x14ac:dyDescent="0.25">
      <c r="A68" s="76" t="s">
        <v>105</v>
      </c>
      <c r="B68" s="76"/>
      <c r="C68" s="76"/>
      <c r="D68" s="51"/>
      <c r="E68" s="51"/>
      <c r="F68" s="51"/>
      <c r="G68" s="51"/>
      <c r="H68" s="51"/>
      <c r="I68" s="51"/>
    </row>
    <row r="69" spans="1:12" x14ac:dyDescent="0.25">
      <c r="A69" s="3"/>
      <c r="B69" s="3"/>
      <c r="C69" s="3"/>
    </row>
  </sheetData>
  <mergeCells count="6">
    <mergeCell ref="A65:I65"/>
    <mergeCell ref="D14:F14"/>
    <mergeCell ref="G14:I14"/>
    <mergeCell ref="J14:L14"/>
    <mergeCell ref="A63:I63"/>
    <mergeCell ref="A64:I64"/>
  </mergeCells>
  <pageMargins left="0.2" right="0.2" top="0.75" bottom="0.25" header="0.3" footer="0.3"/>
  <pageSetup scale="57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34"/>
  <sheetViews>
    <sheetView workbookViewId="0">
      <selection activeCell="D17" sqref="D17"/>
    </sheetView>
  </sheetViews>
  <sheetFormatPr defaultRowHeight="15" x14ac:dyDescent="0.25"/>
  <cols>
    <col min="1" max="1" width="43.140625" style="59" customWidth="1"/>
    <col min="2" max="2" width="14.28515625" style="59" bestFit="1" customWidth="1"/>
    <col min="3" max="3" width="14.28515625" style="59" customWidth="1"/>
    <col min="4" max="4" width="13.28515625" style="59" bestFit="1" customWidth="1"/>
    <col min="5" max="16384" width="9.140625" style="59"/>
  </cols>
  <sheetData>
    <row r="1" spans="1:5" x14ac:dyDescent="0.25">
      <c r="A1" s="76" t="str">
        <f>+'PPC Cycle 2'!A1</f>
        <v>Evergy Metro, Inc. - DSIM Rider Update Filed 06/01/2020</v>
      </c>
    </row>
    <row r="2" spans="1:5" x14ac:dyDescent="0.25">
      <c r="A2" s="9" t="str">
        <f>+'PPC Cycle 2'!A2</f>
        <v>Projections for Cycle 2 July 2020 - June 2021 DSIM</v>
      </c>
    </row>
    <row r="3" spans="1:5" ht="45.75" customHeight="1" x14ac:dyDescent="0.25">
      <c r="B3" s="280" t="s">
        <v>107</v>
      </c>
      <c r="C3" s="280"/>
      <c r="D3" s="280"/>
    </row>
    <row r="4" spans="1:5" x14ac:dyDescent="0.25">
      <c r="B4" s="83"/>
      <c r="C4" s="83"/>
      <c r="D4" s="61" t="s">
        <v>19</v>
      </c>
    </row>
    <row r="5" spans="1:5" x14ac:dyDescent="0.25">
      <c r="A5" s="21" t="s">
        <v>88</v>
      </c>
      <c r="B5" s="83"/>
      <c r="C5" s="83"/>
      <c r="D5" s="212">
        <f>+D24</f>
        <v>0</v>
      </c>
    </row>
    <row r="6" spans="1:5" x14ac:dyDescent="0.25">
      <c r="A6" s="21" t="s">
        <v>89</v>
      </c>
      <c r="B6" s="83"/>
      <c r="C6" s="83"/>
      <c r="D6" s="212">
        <f>+D34</f>
        <v>0</v>
      </c>
    </row>
    <row r="7" spans="1:5" ht="30" x14ac:dyDescent="0.25">
      <c r="A7" s="21"/>
      <c r="B7" s="83"/>
      <c r="C7" s="83" t="s">
        <v>99</v>
      </c>
      <c r="D7" s="172"/>
    </row>
    <row r="8" spans="1:5" x14ac:dyDescent="0.25">
      <c r="A8" s="21" t="s">
        <v>26</v>
      </c>
      <c r="B8" s="83"/>
      <c r="C8" s="211">
        <v>0.5</v>
      </c>
      <c r="D8" s="242">
        <f>ROUND(SUM(D5:D6)*C8,2)</f>
        <v>0</v>
      </c>
      <c r="E8" s="4"/>
    </row>
    <row r="9" spans="1:5" x14ac:dyDescent="0.25">
      <c r="A9" s="21" t="s">
        <v>27</v>
      </c>
      <c r="B9" s="83"/>
      <c r="C9" s="211">
        <v>0.5</v>
      </c>
      <c r="D9" s="242">
        <f>ROUND(SUM(D5:D6)*C9,2)</f>
        <v>0</v>
      </c>
      <c r="E9" s="4"/>
    </row>
    <row r="10" spans="1:5" ht="15.75" thickBot="1" x14ac:dyDescent="0.3">
      <c r="A10" s="21" t="s">
        <v>6</v>
      </c>
      <c r="B10" s="83"/>
      <c r="C10" s="211">
        <f>SUM(C8:C9)</f>
        <v>1</v>
      </c>
      <c r="D10" s="243">
        <f>SUM(D8:D9)</f>
        <v>0</v>
      </c>
      <c r="E10" s="4"/>
    </row>
    <row r="11" spans="1:5" ht="16.5" thickTop="1" thickBot="1" x14ac:dyDescent="0.3">
      <c r="B11" s="32"/>
      <c r="C11" s="32"/>
      <c r="D11" s="244">
        <f>ROUND(D5+D6,2)-D10</f>
        <v>0</v>
      </c>
      <c r="E11" s="2"/>
    </row>
    <row r="12" spans="1:5" ht="60.75" thickTop="1" x14ac:dyDescent="0.25">
      <c r="D12" s="253"/>
      <c r="E12" s="252" t="s">
        <v>125</v>
      </c>
    </row>
    <row r="13" spans="1:5" x14ac:dyDescent="0.25">
      <c r="A13" s="21" t="s">
        <v>121</v>
      </c>
      <c r="D13" s="35">
        <f>ROUND($D$9*E13,2)</f>
        <v>0</v>
      </c>
      <c r="E13" s="250">
        <f>+'[13]Monthly TD Calc'!$CY$44</f>
        <v>0.14267984863071587</v>
      </c>
    </row>
    <row r="14" spans="1:5" x14ac:dyDescent="0.25">
      <c r="A14" s="21" t="s">
        <v>122</v>
      </c>
      <c r="D14" s="35">
        <f t="shared" ref="D14:D16" si="0">ROUND($D$9*E14,2)</f>
        <v>0</v>
      </c>
      <c r="E14" s="250">
        <f>+'[13]Monthly TD Calc'!$CZ$44</f>
        <v>0.35708861589367091</v>
      </c>
    </row>
    <row r="15" spans="1:5" x14ac:dyDescent="0.25">
      <c r="A15" s="21" t="s">
        <v>123</v>
      </c>
      <c r="D15" s="35">
        <f t="shared" si="0"/>
        <v>0</v>
      </c>
      <c r="E15" s="250">
        <f>+'[13]Monthly TD Calc'!$DA$44</f>
        <v>0.40574599013503615</v>
      </c>
    </row>
    <row r="16" spans="1:5" ht="15.75" thickBot="1" x14ac:dyDescent="0.3">
      <c r="A16" s="21" t="s">
        <v>124</v>
      </c>
      <c r="D16" s="35">
        <f t="shared" si="0"/>
        <v>0</v>
      </c>
      <c r="E16" s="250">
        <f>+'[13]Monthly TD Calc'!$DB$44</f>
        <v>9.4485545340576932E-2</v>
      </c>
    </row>
    <row r="17" spans="1:5" ht="16.5" thickTop="1" thickBot="1" x14ac:dyDescent="0.3">
      <c r="A17" s="21" t="s">
        <v>126</v>
      </c>
      <c r="D17" s="39">
        <f>SUM(D13:D16)</f>
        <v>0</v>
      </c>
      <c r="E17" s="251">
        <f>SUM(E13:E16)</f>
        <v>0.99999999999999989</v>
      </c>
    </row>
    <row r="18" spans="1:5" ht="15.75" thickTop="1" x14ac:dyDescent="0.25"/>
    <row r="19" spans="1:5" x14ac:dyDescent="0.25">
      <c r="A19" s="66" t="s">
        <v>13</v>
      </c>
    </row>
    <row r="20" spans="1:5" s="51" customFormat="1" x14ac:dyDescent="0.25">
      <c r="A20" s="3" t="s">
        <v>109</v>
      </c>
      <c r="B20" s="59"/>
      <c r="C20" s="59"/>
      <c r="D20" s="59"/>
    </row>
    <row r="21" spans="1:5" s="51" customFormat="1" x14ac:dyDescent="0.25">
      <c r="A21" s="3" t="s">
        <v>100</v>
      </c>
      <c r="B21" s="59"/>
      <c r="C21" s="59"/>
      <c r="D21" s="59"/>
    </row>
    <row r="22" spans="1:5" s="51" customFormat="1" x14ac:dyDescent="0.25">
      <c r="A22" s="3" t="s">
        <v>110</v>
      </c>
      <c r="B22" s="59"/>
      <c r="C22" s="59"/>
      <c r="D22" s="59"/>
    </row>
    <row r="24" spans="1:5" x14ac:dyDescent="0.25">
      <c r="A24" s="3" t="s">
        <v>108</v>
      </c>
      <c r="D24" s="213">
        <v>0</v>
      </c>
    </row>
    <row r="25" spans="1:5" x14ac:dyDescent="0.25">
      <c r="D25" s="213"/>
    </row>
    <row r="26" spans="1:5" ht="45" x14ac:dyDescent="0.25">
      <c r="B26" s="83" t="s">
        <v>101</v>
      </c>
      <c r="D26" s="213"/>
    </row>
    <row r="27" spans="1:5" x14ac:dyDescent="0.25">
      <c r="A27" s="239"/>
      <c r="B27" s="240"/>
      <c r="D27" s="213">
        <f>ROUND(SUM(D$24:D26)*B27,2)</f>
        <v>0</v>
      </c>
    </row>
    <row r="28" spans="1:5" x14ac:dyDescent="0.25">
      <c r="A28" s="239"/>
      <c r="B28" s="240"/>
      <c r="D28" s="213">
        <f>ROUND(SUM(D$24:D27)*B28,2)</f>
        <v>0</v>
      </c>
    </row>
    <row r="29" spans="1:5" x14ac:dyDescent="0.25">
      <c r="A29" s="239"/>
      <c r="B29" s="240"/>
      <c r="D29" s="213">
        <f>ROUND(SUM(D$24:D28)*B29,2)</f>
        <v>0</v>
      </c>
    </row>
    <row r="30" spans="1:5" x14ac:dyDescent="0.25">
      <c r="A30" s="239"/>
      <c r="B30" s="240"/>
      <c r="D30" s="213">
        <f>ROUND(SUM(D$24:D29)*B30,2)</f>
        <v>0</v>
      </c>
    </row>
    <row r="31" spans="1:5" x14ac:dyDescent="0.25">
      <c r="A31" s="239"/>
      <c r="B31" s="214"/>
      <c r="D31" s="213">
        <f>ROUND(SUM(D$24:D30)*B31,2)</f>
        <v>0</v>
      </c>
    </row>
    <row r="32" spans="1:5" x14ac:dyDescent="0.25">
      <c r="A32" s="239"/>
      <c r="B32" s="214"/>
      <c r="D32" s="213">
        <f>ROUND(SUM(D$24:D31)*B32,2)</f>
        <v>0</v>
      </c>
    </row>
    <row r="33" spans="1:4" ht="17.25" x14ac:dyDescent="0.4">
      <c r="A33" s="239"/>
      <c r="B33" s="214"/>
      <c r="D33" s="241">
        <f>ROUND(SUM(D$24:D32)*B33,2)</f>
        <v>0</v>
      </c>
    </row>
    <row r="34" spans="1:4" x14ac:dyDescent="0.25">
      <c r="A34" s="239"/>
      <c r="D34" s="213">
        <f>SUM(D27:D33)</f>
        <v>0</v>
      </c>
    </row>
  </sheetData>
  <mergeCells count="1">
    <mergeCell ref="B3:D3"/>
  </mergeCells>
  <pageMargins left="0.2" right="0.2" top="0.75" bottom="0.25" header="0.3" footer="0.3"/>
  <pageSetup scale="99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I54"/>
  <sheetViews>
    <sheetView tabSelected="1" workbookViewId="0">
      <selection activeCell="D36" sqref="D36"/>
    </sheetView>
  </sheetViews>
  <sheetFormatPr defaultRowHeight="15" x14ac:dyDescent="0.25"/>
  <cols>
    <col min="1" max="1" width="37.7109375" style="59" customWidth="1"/>
    <col min="2" max="2" width="12.28515625" style="59" bestFit="1" customWidth="1"/>
    <col min="3" max="3" width="12.42578125" style="59" bestFit="1" customWidth="1"/>
    <col min="4" max="4" width="15.42578125" style="59" customWidth="1"/>
    <col min="5" max="5" width="15.85546875" style="59" bestFit="1" customWidth="1"/>
    <col min="6" max="6" width="12.28515625" style="59" bestFit="1" customWidth="1"/>
    <col min="7" max="8" width="13.28515625" style="59" bestFit="1" customWidth="1"/>
    <col min="9" max="9" width="12.28515625" style="59" bestFit="1" customWidth="1"/>
    <col min="10" max="10" width="12.42578125" style="59" customWidth="1"/>
    <col min="11" max="11" width="12.85546875" style="59" customWidth="1"/>
    <col min="12" max="12" width="16" style="59" customWidth="1"/>
    <col min="13" max="13" width="15" style="59" bestFit="1" customWidth="1"/>
    <col min="14" max="14" width="16" style="59" bestFit="1" customWidth="1"/>
    <col min="15" max="15" width="17.85546875" style="59" customWidth="1"/>
    <col min="16" max="16" width="15.28515625" style="59" bestFit="1" customWidth="1"/>
    <col min="17" max="17" width="17.42578125" style="59" bestFit="1" customWidth="1"/>
    <col min="18" max="18" width="16.28515625" style="59" bestFit="1" customWidth="1"/>
    <col min="19" max="19" width="15.28515625" style="59" bestFit="1" customWidth="1"/>
    <col min="20" max="20" width="12.42578125" style="59" customWidth="1"/>
    <col min="21" max="22" width="14.28515625" style="59" bestFit="1" customWidth="1"/>
    <col min="23" max="16384" width="9.140625" style="59"/>
  </cols>
  <sheetData>
    <row r="1" spans="1:35" x14ac:dyDescent="0.25">
      <c r="A1" s="3" t="str">
        <f>+'PPC Cycle 2'!A1</f>
        <v>Evergy Metro, Inc. - DSIM Rider Update Filed 06/01/2020</v>
      </c>
      <c r="B1" s="3"/>
      <c r="C1" s="3"/>
    </row>
    <row r="2" spans="1:35" x14ac:dyDescent="0.25">
      <c r="D2" s="3" t="s">
        <v>106</v>
      </c>
    </row>
    <row r="3" spans="1:35" ht="30" x14ac:dyDescent="0.25">
      <c r="D3" s="61" t="s">
        <v>48</v>
      </c>
      <c r="E3" s="83" t="s">
        <v>19</v>
      </c>
      <c r="F3" s="61" t="s">
        <v>3</v>
      </c>
      <c r="G3" s="83" t="s">
        <v>57</v>
      </c>
      <c r="H3" s="61" t="s">
        <v>11</v>
      </c>
      <c r="I3" s="61" t="s">
        <v>20</v>
      </c>
      <c r="S3" s="61"/>
    </row>
    <row r="4" spans="1:35" x14ac:dyDescent="0.25">
      <c r="A4" s="21" t="s">
        <v>26</v>
      </c>
      <c r="B4" s="21"/>
      <c r="C4" s="21"/>
      <c r="D4" s="23">
        <f>SUM(C19:L19)</f>
        <v>0</v>
      </c>
      <c r="E4" s="23">
        <f>SUM(C23:K23)</f>
        <v>0</v>
      </c>
      <c r="F4" s="23">
        <f>E4-D4</f>
        <v>0</v>
      </c>
      <c r="G4" s="23">
        <f>+B33</f>
        <v>0</v>
      </c>
      <c r="H4" s="23">
        <f>SUM(C38:K38)</f>
        <v>0</v>
      </c>
      <c r="I4" s="35">
        <f>SUM(F4:H4)</f>
        <v>0</v>
      </c>
      <c r="J4" s="60">
        <f>+I4-L33</f>
        <v>0</v>
      </c>
      <c r="M4" s="60"/>
    </row>
    <row r="5" spans="1:35" ht="15.75" thickBot="1" x14ac:dyDescent="0.3">
      <c r="A5" s="21" t="s">
        <v>27</v>
      </c>
      <c r="B5" s="21"/>
      <c r="C5" s="21"/>
      <c r="D5" s="23">
        <f>SUM(C20:L20)</f>
        <v>0</v>
      </c>
      <c r="E5" s="23">
        <f>SUM(C24:K24)</f>
        <v>0</v>
      </c>
      <c r="F5" s="23">
        <f>E5-D5</f>
        <v>0</v>
      </c>
      <c r="G5" s="23">
        <f>+B34</f>
        <v>0</v>
      </c>
      <c r="H5" s="23">
        <f>SUM(C39:K39)</f>
        <v>0</v>
      </c>
      <c r="I5" s="35">
        <f>SUM(F5:H5)</f>
        <v>0</v>
      </c>
      <c r="J5" s="60">
        <f>+I5-L34</f>
        <v>0</v>
      </c>
      <c r="M5" s="60"/>
    </row>
    <row r="6" spans="1:35" ht="16.5" thickTop="1" thickBot="1" x14ac:dyDescent="0.3">
      <c r="D6" s="39">
        <f t="shared" ref="D6" si="0">SUM(D4:D5)</f>
        <v>0</v>
      </c>
      <c r="E6" s="39">
        <f>SUM(E4:E5)</f>
        <v>0</v>
      </c>
      <c r="F6" s="39">
        <f>SUM(F4:F5)</f>
        <v>0</v>
      </c>
      <c r="G6" s="39">
        <f>SUM(G4:G5)</f>
        <v>0</v>
      </c>
      <c r="H6" s="39">
        <f>SUM(H4:H5)</f>
        <v>0</v>
      </c>
      <c r="I6" s="39">
        <f>SUM(I4:I5)</f>
        <v>0</v>
      </c>
      <c r="T6" s="5"/>
    </row>
    <row r="7" spans="1:35" ht="45.75" thickTop="1" x14ac:dyDescent="0.25">
      <c r="I7" s="253"/>
      <c r="J7" s="252" t="s">
        <v>139</v>
      </c>
    </row>
    <row r="8" spans="1:35" x14ac:dyDescent="0.25">
      <c r="A8" s="21" t="s">
        <v>121</v>
      </c>
      <c r="I8" s="35">
        <f>ROUND($I$5*J8,2)</f>
        <v>0</v>
      </c>
      <c r="J8" s="250">
        <v>0</v>
      </c>
    </row>
    <row r="9" spans="1:35" x14ac:dyDescent="0.25">
      <c r="A9" s="21" t="s">
        <v>122</v>
      </c>
      <c r="I9" s="35">
        <f t="shared" ref="I9:I11" si="1">ROUND($I$5*J9,2)</f>
        <v>0</v>
      </c>
      <c r="J9" s="250">
        <v>0</v>
      </c>
    </row>
    <row r="10" spans="1:35" x14ac:dyDescent="0.25">
      <c r="A10" s="21" t="s">
        <v>123</v>
      </c>
      <c r="I10" s="35">
        <f t="shared" si="1"/>
        <v>0</v>
      </c>
      <c r="J10" s="250">
        <v>0</v>
      </c>
    </row>
    <row r="11" spans="1:35" ht="15.75" thickBot="1" x14ac:dyDescent="0.3">
      <c r="A11" s="21" t="s">
        <v>124</v>
      </c>
      <c r="I11" s="35">
        <f t="shared" si="1"/>
        <v>0</v>
      </c>
      <c r="J11" s="250">
        <v>0</v>
      </c>
    </row>
    <row r="12" spans="1:35" ht="16.5" thickTop="1" thickBot="1" x14ac:dyDescent="0.3">
      <c r="A12" s="21" t="s">
        <v>126</v>
      </c>
      <c r="I12" s="39">
        <f>SUM(I8:I11)</f>
        <v>0</v>
      </c>
      <c r="J12" s="251">
        <f>SUM(J8:J11)</f>
        <v>0</v>
      </c>
      <c r="V12" s="4"/>
    </row>
    <row r="13" spans="1:35" ht="16.5" thickTop="1" thickBot="1" x14ac:dyDescent="0.3">
      <c r="V13" s="4"/>
      <c r="W13" s="5"/>
    </row>
    <row r="14" spans="1:35" ht="120.75" thickBot="1" x14ac:dyDescent="0.3">
      <c r="B14" s="136" t="str">
        <f>+'PCR Cycle 2'!B14</f>
        <v>Cumulative Over/Under Carryover From 12/02/2020 Filing</v>
      </c>
      <c r="C14" s="171" t="str">
        <f>+'PCR Cycle 2'!C14</f>
        <v>Reverse November-19 - January 2020  Forecast From 12/02/2020 Filing</v>
      </c>
      <c r="D14" s="290" t="s">
        <v>35</v>
      </c>
      <c r="E14" s="290"/>
      <c r="F14" s="291"/>
      <c r="G14" s="292" t="s">
        <v>35</v>
      </c>
      <c r="H14" s="293"/>
      <c r="I14" s="294"/>
      <c r="J14" s="286" t="s">
        <v>9</v>
      </c>
      <c r="K14" s="287"/>
      <c r="L14" s="288"/>
    </row>
    <row r="15" spans="1:35" x14ac:dyDescent="0.25">
      <c r="A15" s="59" t="s">
        <v>96</v>
      </c>
      <c r="C15" s="123"/>
      <c r="D15" s="19">
        <f>+'PCR Cycle 2'!D15</f>
        <v>43799</v>
      </c>
      <c r="E15" s="19">
        <f t="shared" ref="E15:L15" si="2">EOMONTH(D15,1)</f>
        <v>43830</v>
      </c>
      <c r="F15" s="19">
        <f t="shared" si="2"/>
        <v>43861</v>
      </c>
      <c r="G15" s="14">
        <f t="shared" si="2"/>
        <v>43890</v>
      </c>
      <c r="H15" s="19">
        <f t="shared" si="2"/>
        <v>43921</v>
      </c>
      <c r="I15" s="15">
        <f t="shared" si="2"/>
        <v>43951</v>
      </c>
      <c r="J15" s="19">
        <f t="shared" si="2"/>
        <v>43982</v>
      </c>
      <c r="K15" s="19">
        <f t="shared" si="2"/>
        <v>44012</v>
      </c>
      <c r="L15" s="15">
        <f t="shared" si="2"/>
        <v>44043</v>
      </c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25">
      <c r="A16" s="59" t="s">
        <v>6</v>
      </c>
      <c r="C16" s="115">
        <v>0</v>
      </c>
      <c r="D16" s="127">
        <f>SUM(D23:D24)</f>
        <v>0</v>
      </c>
      <c r="E16" s="127">
        <f t="shared" ref="E16:H16" si="3">SUM(E23:E24)</f>
        <v>0</v>
      </c>
      <c r="F16" s="128">
        <f t="shared" si="3"/>
        <v>0</v>
      </c>
      <c r="G16" s="16">
        <f t="shared" si="3"/>
        <v>0</v>
      </c>
      <c r="H16" s="68">
        <f t="shared" si="3"/>
        <v>0</v>
      </c>
      <c r="I16" s="186">
        <f>+I23+I24</f>
        <v>0</v>
      </c>
      <c r="J16" s="179">
        <f t="shared" ref="J16:K16" si="4">+J23+J24</f>
        <v>0</v>
      </c>
      <c r="K16" s="93">
        <f t="shared" si="4"/>
        <v>0</v>
      </c>
      <c r="L16" s="94"/>
    </row>
    <row r="17" spans="1:14" x14ac:dyDescent="0.25">
      <c r="C17" s="117"/>
      <c r="D17" s="17"/>
      <c r="E17" s="17"/>
      <c r="F17" s="17"/>
      <c r="G17" s="10"/>
      <c r="H17" s="17"/>
      <c r="I17" s="11"/>
      <c r="J17" s="43"/>
      <c r="K17" s="43"/>
      <c r="L17" s="41"/>
    </row>
    <row r="18" spans="1:14" x14ac:dyDescent="0.25">
      <c r="A18" s="59" t="s">
        <v>95</v>
      </c>
      <c r="C18" s="117"/>
      <c r="D18" s="18"/>
      <c r="E18" s="18"/>
      <c r="F18" s="18"/>
      <c r="G18" s="109"/>
      <c r="H18" s="18"/>
      <c r="I18" s="187"/>
      <c r="J18" s="43"/>
      <c r="K18" s="43"/>
      <c r="L18" s="41"/>
      <c r="M18" s="3" t="s">
        <v>52</v>
      </c>
      <c r="N18" s="51"/>
    </row>
    <row r="19" spans="1:14" x14ac:dyDescent="0.25">
      <c r="A19" s="59" t="s">
        <v>26</v>
      </c>
      <c r="C19" s="115">
        <v>0</v>
      </c>
      <c r="D19" s="154">
        <v>0</v>
      </c>
      <c r="E19" s="154">
        <v>0</v>
      </c>
      <c r="F19" s="208">
        <v>0</v>
      </c>
      <c r="G19" s="16">
        <v>0</v>
      </c>
      <c r="H19" s="139">
        <v>0</v>
      </c>
      <c r="I19" s="188">
        <v>0</v>
      </c>
      <c r="J19" s="141">
        <f>'PCR Cycle 2'!J27*$M19</f>
        <v>0</v>
      </c>
      <c r="K19" s="53">
        <f>'PCR Cycle 2'!K27*$M19</f>
        <v>0</v>
      </c>
      <c r="L19" s="74">
        <f>'PCR Cycle 2'!L27*$M19</f>
        <v>0</v>
      </c>
      <c r="M19" s="85">
        <v>0</v>
      </c>
      <c r="N19" s="4"/>
    </row>
    <row r="20" spans="1:14" x14ac:dyDescent="0.25">
      <c r="A20" s="59" t="s">
        <v>27</v>
      </c>
      <c r="C20" s="115">
        <v>0</v>
      </c>
      <c r="D20" s="154">
        <v>0</v>
      </c>
      <c r="E20" s="154">
        <v>0</v>
      </c>
      <c r="F20" s="208">
        <v>0</v>
      </c>
      <c r="G20" s="16">
        <v>0</v>
      </c>
      <c r="H20" s="139">
        <v>0</v>
      </c>
      <c r="I20" s="188">
        <v>0</v>
      </c>
      <c r="J20" s="141">
        <f>SUM('PCR Cycle 2'!J28:J31)*$M20</f>
        <v>0</v>
      </c>
      <c r="K20" s="53">
        <f>SUM('PCR Cycle 2'!K28:K31)*$M20</f>
        <v>0</v>
      </c>
      <c r="L20" s="74">
        <f>SUM('PCR Cycle 2'!L28:L31)*$M20</f>
        <v>0</v>
      </c>
      <c r="M20" s="85">
        <v>0</v>
      </c>
      <c r="N20" s="4"/>
    </row>
    <row r="21" spans="1:14" x14ac:dyDescent="0.25">
      <c r="C21" s="80"/>
      <c r="D21" s="81"/>
      <c r="E21" s="81"/>
      <c r="F21" s="81"/>
      <c r="G21" s="116"/>
      <c r="H21" s="81"/>
      <c r="I21" s="189"/>
      <c r="J21" s="69"/>
      <c r="K21" s="69"/>
      <c r="L21" s="13"/>
      <c r="N21" s="4"/>
    </row>
    <row r="22" spans="1:14" x14ac:dyDescent="0.25">
      <c r="A22" s="59" t="s">
        <v>97</v>
      </c>
      <c r="C22" s="48"/>
      <c r="D22" s="49"/>
      <c r="E22" s="49"/>
      <c r="F22" s="49"/>
      <c r="G22" s="48"/>
      <c r="H22" s="49"/>
      <c r="I22" s="192"/>
      <c r="J22" s="65"/>
      <c r="K22" s="65"/>
      <c r="L22" s="50"/>
    </row>
    <row r="23" spans="1:14" x14ac:dyDescent="0.25">
      <c r="A23" s="59" t="s">
        <v>26</v>
      </c>
      <c r="C23" s="115">
        <v>0</v>
      </c>
      <c r="D23" s="127">
        <v>0</v>
      </c>
      <c r="E23" s="127">
        <v>0</v>
      </c>
      <c r="F23" s="128">
        <v>0</v>
      </c>
      <c r="G23" s="16">
        <v>0</v>
      </c>
      <c r="H23" s="68">
        <v>0</v>
      </c>
      <c r="I23" s="186">
        <v>0</v>
      </c>
      <c r="J23" s="181">
        <v>0</v>
      </c>
      <c r="K23" s="161">
        <v>0</v>
      </c>
      <c r="L23" s="94"/>
    </row>
    <row r="24" spans="1:14" x14ac:dyDescent="0.25">
      <c r="A24" s="59" t="s">
        <v>27</v>
      </c>
      <c r="C24" s="115">
        <v>0</v>
      </c>
      <c r="D24" s="127">
        <v>0</v>
      </c>
      <c r="E24" s="127">
        <v>0</v>
      </c>
      <c r="F24" s="128">
        <v>0</v>
      </c>
      <c r="G24" s="16">
        <v>0</v>
      </c>
      <c r="H24" s="68">
        <v>0</v>
      </c>
      <c r="I24" s="186">
        <v>0</v>
      </c>
      <c r="J24" s="181">
        <v>0</v>
      </c>
      <c r="K24" s="161">
        <v>0</v>
      </c>
      <c r="L24" s="94"/>
      <c r="N24" s="60"/>
    </row>
    <row r="25" spans="1:14" x14ac:dyDescent="0.25">
      <c r="C25" s="117"/>
      <c r="D25" s="18"/>
      <c r="E25" s="18"/>
      <c r="F25" s="18"/>
      <c r="G25" s="109"/>
      <c r="H25" s="18"/>
      <c r="I25" s="187"/>
      <c r="J25" s="69"/>
      <c r="K25" s="69"/>
      <c r="L25" s="13"/>
    </row>
    <row r="26" spans="1:14" ht="15.75" thickBot="1" x14ac:dyDescent="0.3">
      <c r="A26" s="3" t="s">
        <v>16</v>
      </c>
      <c r="B26" s="3"/>
      <c r="C26" s="121">
        <v>0</v>
      </c>
      <c r="D26" s="154">
        <v>0</v>
      </c>
      <c r="E26" s="154">
        <v>0</v>
      </c>
      <c r="F26" s="155">
        <v>0</v>
      </c>
      <c r="G26" s="38">
        <v>0</v>
      </c>
      <c r="H26" s="140">
        <v>0</v>
      </c>
      <c r="I26" s="193">
        <v>0</v>
      </c>
      <c r="J26" s="182"/>
      <c r="K26" s="163"/>
      <c r="L26" s="97"/>
    </row>
    <row r="27" spans="1:14" x14ac:dyDescent="0.25">
      <c r="C27" s="77"/>
      <c r="D27" s="167"/>
      <c r="E27" s="167"/>
      <c r="F27" s="168"/>
      <c r="G27" s="77"/>
      <c r="H27" s="45"/>
      <c r="I27" s="194"/>
      <c r="J27" s="46"/>
      <c r="K27" s="46"/>
      <c r="L27" s="73"/>
    </row>
    <row r="28" spans="1:14" x14ac:dyDescent="0.25">
      <c r="A28" s="59" t="s">
        <v>54</v>
      </c>
      <c r="C28" s="78"/>
      <c r="D28" s="168"/>
      <c r="E28" s="168"/>
      <c r="F28" s="168"/>
      <c r="G28" s="78"/>
      <c r="H28" s="47"/>
      <c r="I28" s="195"/>
      <c r="J28" s="46"/>
      <c r="K28" s="46"/>
      <c r="L28" s="73"/>
    </row>
    <row r="29" spans="1:14" x14ac:dyDescent="0.25">
      <c r="A29" s="59" t="s">
        <v>26</v>
      </c>
      <c r="C29" s="118">
        <f t="shared" ref="C29:L29" si="5">C23-C19</f>
        <v>0</v>
      </c>
      <c r="D29" s="53">
        <f t="shared" si="5"/>
        <v>0</v>
      </c>
      <c r="E29" s="53">
        <f t="shared" si="5"/>
        <v>0</v>
      </c>
      <c r="F29" s="126">
        <f t="shared" si="5"/>
        <v>0</v>
      </c>
      <c r="G29" s="52">
        <f t="shared" si="5"/>
        <v>0</v>
      </c>
      <c r="H29" s="53">
        <f t="shared" si="5"/>
        <v>0</v>
      </c>
      <c r="I29" s="74">
        <f t="shared" si="5"/>
        <v>0</v>
      </c>
      <c r="J29" s="141">
        <f t="shared" si="5"/>
        <v>0</v>
      </c>
      <c r="K29" s="53">
        <f t="shared" si="5"/>
        <v>0</v>
      </c>
      <c r="L29" s="74">
        <f t="shared" si="5"/>
        <v>0</v>
      </c>
    </row>
    <row r="30" spans="1:14" x14ac:dyDescent="0.25">
      <c r="A30" s="59" t="s">
        <v>27</v>
      </c>
      <c r="C30" s="118">
        <f t="shared" ref="C30:L30" si="6">C24-C20</f>
        <v>0</v>
      </c>
      <c r="D30" s="53">
        <f t="shared" si="6"/>
        <v>0</v>
      </c>
      <c r="E30" s="53">
        <f t="shared" si="6"/>
        <v>0</v>
      </c>
      <c r="F30" s="126">
        <f t="shared" si="6"/>
        <v>0</v>
      </c>
      <c r="G30" s="52">
        <f t="shared" si="6"/>
        <v>0</v>
      </c>
      <c r="H30" s="53">
        <f t="shared" si="6"/>
        <v>0</v>
      </c>
      <c r="I30" s="74">
        <f t="shared" si="6"/>
        <v>0</v>
      </c>
      <c r="J30" s="141">
        <f t="shared" si="6"/>
        <v>0</v>
      </c>
      <c r="K30" s="53">
        <f t="shared" si="6"/>
        <v>0</v>
      </c>
      <c r="L30" s="74">
        <f t="shared" si="6"/>
        <v>0</v>
      </c>
    </row>
    <row r="31" spans="1:14" x14ac:dyDescent="0.25">
      <c r="C31" s="117"/>
      <c r="D31" s="17"/>
      <c r="E31" s="17"/>
      <c r="F31" s="17"/>
      <c r="G31" s="10"/>
      <c r="H31" s="17"/>
      <c r="I31" s="11"/>
      <c r="J31" s="17"/>
      <c r="K31" s="17"/>
      <c r="L31" s="11"/>
    </row>
    <row r="32" spans="1:14" ht="15.75" thickBot="1" x14ac:dyDescent="0.3">
      <c r="A32" s="59" t="s">
        <v>55</v>
      </c>
      <c r="C32" s="117"/>
      <c r="D32" s="17"/>
      <c r="E32" s="17"/>
      <c r="F32" s="17"/>
      <c r="G32" s="10"/>
      <c r="H32" s="17"/>
      <c r="I32" s="11"/>
      <c r="J32" s="17"/>
      <c r="K32" s="17"/>
      <c r="L32" s="11"/>
    </row>
    <row r="33" spans="1:12" x14ac:dyDescent="0.25">
      <c r="A33" s="59" t="s">
        <v>26</v>
      </c>
      <c r="B33" s="134">
        <v>0</v>
      </c>
      <c r="C33" s="118">
        <f>B33+C29+B38</f>
        <v>0</v>
      </c>
      <c r="D33" s="53">
        <f t="shared" ref="D33:L34" si="7">C33+D29+C38</f>
        <v>0</v>
      </c>
      <c r="E33" s="53">
        <f t="shared" si="7"/>
        <v>0</v>
      </c>
      <c r="F33" s="126">
        <f t="shared" si="7"/>
        <v>0</v>
      </c>
      <c r="G33" s="52">
        <f t="shared" si="7"/>
        <v>0</v>
      </c>
      <c r="H33" s="53">
        <f t="shared" si="7"/>
        <v>0</v>
      </c>
      <c r="I33" s="74">
        <f t="shared" si="7"/>
        <v>0</v>
      </c>
      <c r="J33" s="141">
        <f t="shared" si="7"/>
        <v>0</v>
      </c>
      <c r="K33" s="53">
        <f t="shared" si="7"/>
        <v>0</v>
      </c>
      <c r="L33" s="74">
        <f t="shared" si="7"/>
        <v>0</v>
      </c>
    </row>
    <row r="34" spans="1:12" ht="15.75" thickBot="1" x14ac:dyDescent="0.3">
      <c r="A34" s="59" t="s">
        <v>27</v>
      </c>
      <c r="B34" s="135">
        <v>0</v>
      </c>
      <c r="C34" s="118">
        <f>B34+C30+B39</f>
        <v>0</v>
      </c>
      <c r="D34" s="53">
        <f t="shared" si="7"/>
        <v>0</v>
      </c>
      <c r="E34" s="53">
        <f t="shared" si="7"/>
        <v>0</v>
      </c>
      <c r="F34" s="126">
        <f t="shared" si="7"/>
        <v>0</v>
      </c>
      <c r="G34" s="52">
        <f t="shared" si="7"/>
        <v>0</v>
      </c>
      <c r="H34" s="53">
        <f t="shared" si="7"/>
        <v>0</v>
      </c>
      <c r="I34" s="74">
        <f t="shared" si="7"/>
        <v>0</v>
      </c>
      <c r="J34" s="141">
        <f t="shared" si="7"/>
        <v>0</v>
      </c>
      <c r="K34" s="53">
        <f t="shared" si="7"/>
        <v>0</v>
      </c>
      <c r="L34" s="74">
        <f t="shared" si="7"/>
        <v>0</v>
      </c>
    </row>
    <row r="35" spans="1:12" x14ac:dyDescent="0.25">
      <c r="C35" s="117"/>
      <c r="D35" s="17"/>
      <c r="E35" s="17"/>
      <c r="F35" s="17"/>
      <c r="G35" s="10"/>
      <c r="H35" s="17"/>
      <c r="I35" s="11"/>
      <c r="J35" s="17"/>
      <c r="K35" s="17"/>
      <c r="L35" s="11"/>
    </row>
    <row r="36" spans="1:12" x14ac:dyDescent="0.25">
      <c r="A36" s="51" t="s">
        <v>93</v>
      </c>
      <c r="B36" s="51"/>
      <c r="C36" s="122"/>
      <c r="D36" s="98">
        <f>+'PCR Cycle 2'!D50</f>
        <v>2.4882900000000002E-3</v>
      </c>
      <c r="E36" s="98">
        <f>+'PCR Cycle 2'!E50</f>
        <v>2.5028199999999998E-3</v>
      </c>
      <c r="F36" s="98">
        <f>+'PCR Cycle 2'!F50</f>
        <v>2.43764E-3</v>
      </c>
      <c r="G36" s="99">
        <f>+'PCR Cycle 2'!G50</f>
        <v>2.4056699999999999E-3</v>
      </c>
      <c r="H36" s="98">
        <f>+'PCR Cycle 2'!H50</f>
        <v>1.8183299999999999E-3</v>
      </c>
      <c r="I36" s="110">
        <f>+'PCR Cycle 2'!I50</f>
        <v>1.62864E-3</v>
      </c>
      <c r="J36" s="98">
        <f>+'PCR Cycle 2'!J50</f>
        <v>1.62864E-3</v>
      </c>
      <c r="K36" s="98">
        <f>+'PCR Cycle 2'!K50</f>
        <v>1.62864E-3</v>
      </c>
      <c r="L36" s="100"/>
    </row>
    <row r="37" spans="1:12" x14ac:dyDescent="0.25">
      <c r="A37" s="51" t="s">
        <v>39</v>
      </c>
      <c r="B37" s="51"/>
      <c r="C37" s="124"/>
      <c r="D37" s="98"/>
      <c r="E37" s="98"/>
      <c r="F37" s="98"/>
      <c r="G37" s="99"/>
      <c r="H37" s="98"/>
      <c r="I37" s="100"/>
      <c r="J37" s="98"/>
      <c r="K37" s="98"/>
      <c r="L37" s="100"/>
    </row>
    <row r="38" spans="1:12" x14ac:dyDescent="0.25">
      <c r="A38" s="59" t="s">
        <v>26</v>
      </c>
      <c r="C38" s="118">
        <v>0</v>
      </c>
      <c r="D38" s="53">
        <f t="shared" ref="D38:L39" si="8">ROUND((C33+C38+D29/2)*D$36,2)</f>
        <v>0</v>
      </c>
      <c r="E38" s="53">
        <f t="shared" si="8"/>
        <v>0</v>
      </c>
      <c r="F38" s="126">
        <f t="shared" si="8"/>
        <v>0</v>
      </c>
      <c r="G38" s="52">
        <f t="shared" si="8"/>
        <v>0</v>
      </c>
      <c r="H38" s="141">
        <f t="shared" si="8"/>
        <v>0</v>
      </c>
      <c r="I38" s="62">
        <f t="shared" si="8"/>
        <v>0</v>
      </c>
      <c r="J38" s="183">
        <f t="shared" si="8"/>
        <v>0</v>
      </c>
      <c r="K38" s="126">
        <f t="shared" si="8"/>
        <v>0</v>
      </c>
      <c r="L38" s="74">
        <f t="shared" si="8"/>
        <v>0</v>
      </c>
    </row>
    <row r="39" spans="1:12" ht="15.75" thickBot="1" x14ac:dyDescent="0.3">
      <c r="A39" s="59" t="s">
        <v>27</v>
      </c>
      <c r="C39" s="118">
        <v>0</v>
      </c>
      <c r="D39" s="53">
        <f t="shared" si="8"/>
        <v>0</v>
      </c>
      <c r="E39" s="53">
        <f t="shared" si="8"/>
        <v>0</v>
      </c>
      <c r="F39" s="126">
        <f t="shared" si="8"/>
        <v>0</v>
      </c>
      <c r="G39" s="52">
        <f t="shared" si="8"/>
        <v>0</v>
      </c>
      <c r="H39" s="141">
        <f t="shared" si="8"/>
        <v>0</v>
      </c>
      <c r="I39" s="62">
        <f t="shared" si="8"/>
        <v>0</v>
      </c>
      <c r="J39" s="183">
        <f t="shared" si="8"/>
        <v>0</v>
      </c>
      <c r="K39" s="126">
        <f t="shared" si="8"/>
        <v>0</v>
      </c>
      <c r="L39" s="74">
        <f t="shared" si="8"/>
        <v>0</v>
      </c>
    </row>
    <row r="40" spans="1:12" ht="16.5" thickTop="1" thickBot="1" x14ac:dyDescent="0.3">
      <c r="A40" s="67" t="s">
        <v>24</v>
      </c>
      <c r="B40" s="67"/>
      <c r="C40" s="125">
        <v>0</v>
      </c>
      <c r="D40" s="54">
        <f t="shared" ref="D40:I40" si="9">SUM(D38:D39)+SUM(D33:D34)-D43</f>
        <v>0</v>
      </c>
      <c r="E40" s="54">
        <f t="shared" si="9"/>
        <v>0</v>
      </c>
      <c r="F40" s="63">
        <f t="shared" ref="F40:H40" si="10">SUM(F38:F39)+SUM(F33:F34)-F43</f>
        <v>0</v>
      </c>
      <c r="G40" s="165">
        <f t="shared" si="10"/>
        <v>0</v>
      </c>
      <c r="H40" s="63">
        <f t="shared" si="10"/>
        <v>0</v>
      </c>
      <c r="I40" s="75">
        <f t="shared" si="9"/>
        <v>0</v>
      </c>
      <c r="J40" s="184">
        <f t="shared" ref="J40:L40" si="11">SUM(J38:J39)+SUM(J33:J34)-J43</f>
        <v>0</v>
      </c>
      <c r="K40" s="63">
        <f t="shared" si="11"/>
        <v>0</v>
      </c>
      <c r="L40" s="75">
        <f t="shared" si="11"/>
        <v>0</v>
      </c>
    </row>
    <row r="41" spans="1:12" ht="16.5" thickTop="1" thickBot="1" x14ac:dyDescent="0.3">
      <c r="A41" s="67" t="s">
        <v>25</v>
      </c>
      <c r="B41" s="67"/>
      <c r="C41" s="125">
        <v>0</v>
      </c>
      <c r="D41" s="54">
        <f t="shared" ref="D41:I41" si="12">SUM(D38:D39)-D26</f>
        <v>0</v>
      </c>
      <c r="E41" s="54">
        <f t="shared" si="12"/>
        <v>0</v>
      </c>
      <c r="F41" s="63">
        <f t="shared" ref="F41:H41" si="13">SUM(F38:F39)-F26</f>
        <v>0</v>
      </c>
      <c r="G41" s="165">
        <f t="shared" si="13"/>
        <v>0</v>
      </c>
      <c r="H41" s="63">
        <f t="shared" si="13"/>
        <v>0</v>
      </c>
      <c r="I41" s="75">
        <f t="shared" si="12"/>
        <v>0</v>
      </c>
      <c r="J41" s="185">
        <f t="shared" ref="J41:L41" si="14">SUM(J38:J39)-J26</f>
        <v>0</v>
      </c>
      <c r="K41" s="54">
        <f t="shared" si="14"/>
        <v>0</v>
      </c>
      <c r="L41" s="54">
        <f t="shared" si="14"/>
        <v>0</v>
      </c>
    </row>
    <row r="42" spans="1:12" ht="16.5" thickTop="1" thickBot="1" x14ac:dyDescent="0.3">
      <c r="C42" s="117"/>
      <c r="D42" s="17"/>
      <c r="E42" s="17"/>
      <c r="F42" s="17"/>
      <c r="G42" s="10"/>
      <c r="H42" s="17"/>
      <c r="I42" s="11"/>
      <c r="J42" s="17"/>
      <c r="K42" s="17"/>
      <c r="L42" s="11"/>
    </row>
    <row r="43" spans="1:12" ht="15.75" thickBot="1" x14ac:dyDescent="0.3">
      <c r="A43" s="59" t="s">
        <v>38</v>
      </c>
      <c r="B43" s="137">
        <v>0</v>
      </c>
      <c r="C43" s="118">
        <f t="shared" ref="C43:L43" si="15">(C16-SUM(C19:C20))+SUM(C38:C39)+B43</f>
        <v>0</v>
      </c>
      <c r="D43" s="53">
        <f t="shared" si="15"/>
        <v>0</v>
      </c>
      <c r="E43" s="53">
        <f t="shared" si="15"/>
        <v>0</v>
      </c>
      <c r="F43" s="126">
        <f t="shared" si="15"/>
        <v>0</v>
      </c>
      <c r="G43" s="52">
        <f t="shared" si="15"/>
        <v>0</v>
      </c>
      <c r="H43" s="53">
        <f t="shared" si="15"/>
        <v>0</v>
      </c>
      <c r="I43" s="74">
        <f t="shared" si="15"/>
        <v>0</v>
      </c>
      <c r="J43" s="183">
        <f t="shared" si="15"/>
        <v>0</v>
      </c>
      <c r="K43" s="126">
        <f t="shared" si="15"/>
        <v>0</v>
      </c>
      <c r="L43" s="74">
        <f t="shared" si="15"/>
        <v>0</v>
      </c>
    </row>
    <row r="44" spans="1:12" x14ac:dyDescent="0.25">
      <c r="A44" s="59" t="s">
        <v>14</v>
      </c>
      <c r="C44" s="138"/>
      <c r="D44" s="17"/>
      <c r="E44" s="17"/>
      <c r="F44" s="17"/>
      <c r="G44" s="10"/>
      <c r="H44" s="17"/>
      <c r="I44" s="11"/>
      <c r="J44" s="17"/>
      <c r="K44" s="17"/>
      <c r="L44" s="11"/>
    </row>
    <row r="45" spans="1:12" ht="15.75" thickBot="1" x14ac:dyDescent="0.3">
      <c r="A45" s="49"/>
      <c r="B45" s="49"/>
      <c r="C45" s="166"/>
      <c r="D45" s="56"/>
      <c r="E45" s="56"/>
      <c r="F45" s="56"/>
      <c r="G45" s="55"/>
      <c r="H45" s="56"/>
      <c r="I45" s="57"/>
      <c r="J45" s="56"/>
      <c r="K45" s="56"/>
      <c r="L45" s="57"/>
    </row>
    <row r="47" spans="1:12" x14ac:dyDescent="0.25">
      <c r="A47" s="82" t="s">
        <v>13</v>
      </c>
      <c r="B47" s="82"/>
      <c r="C47" s="82"/>
    </row>
    <row r="48" spans="1:12" x14ac:dyDescent="0.25">
      <c r="A48" s="295" t="s">
        <v>206</v>
      </c>
      <c r="B48" s="295"/>
      <c r="C48" s="295"/>
      <c r="D48" s="295"/>
      <c r="E48" s="295"/>
      <c r="F48" s="295"/>
      <c r="G48" s="295"/>
      <c r="H48" s="295"/>
      <c r="I48" s="295"/>
      <c r="J48" s="202"/>
      <c r="K48" s="202"/>
      <c r="L48" s="202"/>
    </row>
    <row r="49" spans="1:12" ht="32.25" customHeight="1" x14ac:dyDescent="0.25">
      <c r="A49" s="295" t="s">
        <v>207</v>
      </c>
      <c r="B49" s="295"/>
      <c r="C49" s="295"/>
      <c r="D49" s="295"/>
      <c r="E49" s="295"/>
      <c r="F49" s="295"/>
      <c r="G49" s="295"/>
      <c r="H49" s="295"/>
      <c r="I49" s="295"/>
      <c r="J49" s="202"/>
      <c r="K49" s="202"/>
    </row>
    <row r="50" spans="1:12" ht="18.75" customHeight="1" x14ac:dyDescent="0.25">
      <c r="A50" s="3" t="s">
        <v>33</v>
      </c>
      <c r="B50" s="3"/>
      <c r="C50" s="3"/>
      <c r="I50" s="4"/>
      <c r="J50" s="202"/>
      <c r="K50" s="202"/>
      <c r="L50" s="202"/>
    </row>
    <row r="51" spans="1:12" x14ac:dyDescent="0.25">
      <c r="A51" s="3" t="s">
        <v>208</v>
      </c>
      <c r="B51" s="3"/>
      <c r="C51" s="3"/>
      <c r="I51" s="4"/>
    </row>
    <row r="52" spans="1:12" x14ac:dyDescent="0.25">
      <c r="A52" s="3" t="s">
        <v>147</v>
      </c>
      <c r="B52" s="3"/>
      <c r="C52" s="3"/>
      <c r="I52" s="4"/>
    </row>
    <row r="53" spans="1:12" x14ac:dyDescent="0.25">
      <c r="A53" s="3" t="s">
        <v>209</v>
      </c>
      <c r="B53" s="76"/>
      <c r="C53" s="76"/>
      <c r="D53" s="51"/>
      <c r="E53" s="51"/>
      <c r="F53" s="51"/>
      <c r="G53" s="51"/>
      <c r="H53" s="51"/>
      <c r="I53" s="51"/>
    </row>
    <row r="54" spans="1:12" x14ac:dyDescent="0.25">
      <c r="A54" s="3"/>
      <c r="B54" s="3"/>
      <c r="C54" s="3"/>
    </row>
  </sheetData>
  <mergeCells count="5">
    <mergeCell ref="D14:F14"/>
    <mergeCell ref="G14:I14"/>
    <mergeCell ref="J14:L14"/>
    <mergeCell ref="A48:I48"/>
    <mergeCell ref="A49:I49"/>
  </mergeCells>
  <pageMargins left="0.2" right="0.2" top="0.75" bottom="0.25" header="0.3" footer="0.3"/>
  <pageSetup scale="62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EC481-2195-45D8-994C-377275A1914C}">
  <dimension ref="A3:G33"/>
  <sheetViews>
    <sheetView workbookViewId="0">
      <selection activeCell="B17" sqref="B17"/>
    </sheetView>
  </sheetViews>
  <sheetFormatPr defaultRowHeight="15" x14ac:dyDescent="0.25"/>
  <cols>
    <col min="1" max="1" width="24.140625" customWidth="1"/>
    <col min="2" max="2" width="11.28515625" bestFit="1" customWidth="1"/>
    <col min="3" max="5" width="10.140625" bestFit="1" customWidth="1"/>
    <col min="6" max="6" width="11.7109375" customWidth="1"/>
  </cols>
  <sheetData>
    <row r="3" spans="1:6" ht="15.75" thickBot="1" x14ac:dyDescent="0.3">
      <c r="A3" s="3" t="s">
        <v>148</v>
      </c>
    </row>
    <row r="4" spans="1:6" ht="27.75" thickBot="1" x14ac:dyDescent="0.3">
      <c r="A4" s="105" t="s">
        <v>155</v>
      </c>
      <c r="B4" s="148" t="s">
        <v>154</v>
      </c>
      <c r="C4" s="148" t="s">
        <v>153</v>
      </c>
      <c r="D4" s="148" t="s">
        <v>152</v>
      </c>
      <c r="E4" s="148" t="s">
        <v>151</v>
      </c>
      <c r="F4" s="107" t="s">
        <v>211</v>
      </c>
    </row>
    <row r="5" spans="1:6" ht="15.75" thickBot="1" x14ac:dyDescent="0.3">
      <c r="A5" s="108" t="s">
        <v>26</v>
      </c>
      <c r="B5" s="262">
        <f>+'tariff tables'!S13+'tariff tables'!S22</f>
        <v>3.6000000000000008E-4</v>
      </c>
      <c r="C5" s="263">
        <f>+'tariff tables'!T13+'tariff tables'!T22</f>
        <v>1.5E-3</v>
      </c>
      <c r="D5" s="263">
        <f>+'tariff tables'!U13+'tariff tables'!U22</f>
        <v>5.9999999999999995E-4</v>
      </c>
      <c r="E5" s="263">
        <f>+'tariff tables'!V13+'tariff tables'!V22</f>
        <v>0</v>
      </c>
      <c r="F5" s="261">
        <f>SUM(B5:E5)</f>
        <v>2.4599999999999999E-3</v>
      </c>
    </row>
    <row r="6" spans="1:6" ht="15.75" thickBot="1" x14ac:dyDescent="0.3">
      <c r="A6" s="108" t="s">
        <v>121</v>
      </c>
      <c r="B6" s="262">
        <f>+'tariff tables'!S14+'tariff tables'!S23</f>
        <v>-2.4999999999999995E-4</v>
      </c>
      <c r="C6" s="263">
        <f>+'tariff tables'!T14+'tariff tables'!T23</f>
        <v>1.23E-3</v>
      </c>
      <c r="D6" s="263">
        <f>+'tariff tables'!U14+'tariff tables'!U23</f>
        <v>8.7999999999999992E-4</v>
      </c>
      <c r="E6" s="263">
        <f>+'tariff tables'!V14+'tariff tables'!V23</f>
        <v>0</v>
      </c>
      <c r="F6" s="261">
        <f t="shared" ref="F6:F9" si="0">SUM(B6:E6)</f>
        <v>1.8599999999999999E-3</v>
      </c>
    </row>
    <row r="7" spans="1:6" ht="15.75" thickBot="1" x14ac:dyDescent="0.3">
      <c r="A7" s="108" t="s">
        <v>122</v>
      </c>
      <c r="B7" s="262">
        <f>+'tariff tables'!S15+'tariff tables'!S24</f>
        <v>-2.4000000000000001E-4</v>
      </c>
      <c r="C7" s="263">
        <f>+'tariff tables'!T15+'tariff tables'!T24</f>
        <v>1.0200000000000001E-3</v>
      </c>
      <c r="D7" s="263">
        <f>+'tariff tables'!U15+'tariff tables'!U24</f>
        <v>9.2000000000000003E-4</v>
      </c>
      <c r="E7" s="263">
        <f>+'tariff tables'!V15+'tariff tables'!V24</f>
        <v>0</v>
      </c>
      <c r="F7" s="261">
        <f t="shared" si="0"/>
        <v>1.7000000000000001E-3</v>
      </c>
    </row>
    <row r="8" spans="1:6" ht="15.75" thickBot="1" x14ac:dyDescent="0.3">
      <c r="A8" s="108" t="s">
        <v>123</v>
      </c>
      <c r="B8" s="262">
        <f>+'tariff tables'!S16+'tariff tables'!S25</f>
        <v>-1.7000000000000001E-4</v>
      </c>
      <c r="C8" s="263">
        <f>+'tariff tables'!T16+'tariff tables'!T25</f>
        <v>5.9999999999999995E-4</v>
      </c>
      <c r="D8" s="263">
        <f>+'tariff tables'!U16+'tariff tables'!U25</f>
        <v>6.4999999999999997E-4</v>
      </c>
      <c r="E8" s="263">
        <f>+'tariff tables'!V16+'tariff tables'!V25</f>
        <v>0</v>
      </c>
      <c r="F8" s="261">
        <f t="shared" si="0"/>
        <v>1.0799999999999998E-3</v>
      </c>
    </row>
    <row r="9" spans="1:6" ht="15.75" thickBot="1" x14ac:dyDescent="0.3">
      <c r="A9" s="108" t="s">
        <v>124</v>
      </c>
      <c r="B9" s="262">
        <f>+'tariff tables'!S17+'tariff tables'!S26</f>
        <v>-1.1999999999999999E-4</v>
      </c>
      <c r="C9" s="263">
        <f>+'tariff tables'!T17+'tariff tables'!T26</f>
        <v>2.1000000000000001E-4</v>
      </c>
      <c r="D9" s="263">
        <f>+'tariff tables'!U17+'tariff tables'!U26</f>
        <v>4.2999999999999999E-4</v>
      </c>
      <c r="E9" s="263">
        <f>+'tariff tables'!V17+'tariff tables'!V26</f>
        <v>0</v>
      </c>
      <c r="F9" s="261">
        <f t="shared" si="0"/>
        <v>5.2000000000000006E-4</v>
      </c>
    </row>
    <row r="12" spans="1:6" ht="15.75" thickBot="1" x14ac:dyDescent="0.3">
      <c r="A12" s="3" t="s">
        <v>149</v>
      </c>
      <c r="B12" s="59"/>
      <c r="C12" s="59"/>
      <c r="D12" s="59"/>
      <c r="E12" s="59"/>
      <c r="F12" s="59"/>
    </row>
    <row r="13" spans="1:6" ht="27.75" thickBot="1" x14ac:dyDescent="0.3">
      <c r="A13" s="105" t="s">
        <v>155</v>
      </c>
      <c r="B13" s="148" t="s">
        <v>154</v>
      </c>
      <c r="C13" s="148" t="s">
        <v>153</v>
      </c>
      <c r="D13" s="148" t="s">
        <v>152</v>
      </c>
      <c r="E13" s="148" t="s">
        <v>151</v>
      </c>
      <c r="F13" s="107" t="s">
        <v>211</v>
      </c>
    </row>
    <row r="14" spans="1:6" ht="15.75" thickBot="1" x14ac:dyDescent="0.3">
      <c r="A14" s="108" t="s">
        <v>26</v>
      </c>
      <c r="B14" s="262">
        <f>+'tariff tables'!X13+'tariff tables'!X22</f>
        <v>2.98E-3</v>
      </c>
      <c r="C14" s="263">
        <f>+'tariff tables'!Y13+'tariff tables'!Y22</f>
        <v>9.6000000000000002E-4</v>
      </c>
      <c r="D14" s="263">
        <f>+'tariff tables'!Z13+'tariff tables'!Z22</f>
        <v>0</v>
      </c>
      <c r="E14" s="263">
        <f>+'tariff tables'!AA13+'tariff tables'!AA22</f>
        <v>0</v>
      </c>
      <c r="F14" s="261">
        <f>SUM(B14:E14)</f>
        <v>3.9399999999999999E-3</v>
      </c>
    </row>
    <row r="15" spans="1:6" ht="15.75" thickBot="1" x14ac:dyDescent="0.3">
      <c r="A15" s="108" t="s">
        <v>121</v>
      </c>
      <c r="B15" s="262">
        <f>+'tariff tables'!X14+'tariff tables'!X23</f>
        <v>2.5699999999999998E-3</v>
      </c>
      <c r="C15" s="263">
        <f>+'tariff tables'!Y14+'tariff tables'!Y23</f>
        <v>8.2000000000000009E-4</v>
      </c>
      <c r="D15" s="263">
        <f>+'tariff tables'!Z14+'tariff tables'!Z23</f>
        <v>0</v>
      </c>
      <c r="E15" s="263">
        <f>+'tariff tables'!AA14+'tariff tables'!AA23</f>
        <v>0</v>
      </c>
      <c r="F15" s="261">
        <f t="shared" ref="F15:F18" si="1">SUM(B15:E15)</f>
        <v>3.3899999999999998E-3</v>
      </c>
    </row>
    <row r="16" spans="1:6" ht="15.75" thickBot="1" x14ac:dyDescent="0.3">
      <c r="A16" s="108" t="s">
        <v>122</v>
      </c>
      <c r="B16" s="262">
        <f>+'tariff tables'!X15+'tariff tables'!X24</f>
        <v>1.72E-3</v>
      </c>
      <c r="C16" s="263">
        <f>+'tariff tables'!Y15+'tariff tables'!Y24</f>
        <v>2.7999999999999998E-4</v>
      </c>
      <c r="D16" s="263">
        <f>+'tariff tables'!Z15+'tariff tables'!Z24</f>
        <v>0</v>
      </c>
      <c r="E16" s="263">
        <f>+'tariff tables'!AA15+'tariff tables'!AA24</f>
        <v>0</v>
      </c>
      <c r="F16" s="261">
        <f t="shared" si="1"/>
        <v>2E-3</v>
      </c>
    </row>
    <row r="17" spans="1:7" ht="15.75" thickBot="1" x14ac:dyDescent="0.3">
      <c r="A17" s="108" t="s">
        <v>123</v>
      </c>
      <c r="B17" s="262">
        <f>+'tariff tables'!X16+'tariff tables'!X25</f>
        <v>1.8E-3</v>
      </c>
      <c r="C17" s="263">
        <f>+'tariff tables'!Y16+'tariff tables'!Y25</f>
        <v>2.1000000000000001E-4</v>
      </c>
      <c r="D17" s="263">
        <f>+'tariff tables'!Z16+'tariff tables'!Z25</f>
        <v>0</v>
      </c>
      <c r="E17" s="263">
        <f>+'tariff tables'!AA16+'tariff tables'!AA25</f>
        <v>0</v>
      </c>
      <c r="F17" s="261">
        <f t="shared" si="1"/>
        <v>2.0100000000000001E-3</v>
      </c>
    </row>
    <row r="18" spans="1:7" ht="15.75" thickBot="1" x14ac:dyDescent="0.3">
      <c r="A18" s="108" t="s">
        <v>124</v>
      </c>
      <c r="B18" s="262">
        <f>+'tariff tables'!X17+'tariff tables'!X26</f>
        <v>2.1700000000000001E-3</v>
      </c>
      <c r="C18" s="263">
        <f>+'tariff tables'!Y17+'tariff tables'!Y26</f>
        <v>1.2999999999999999E-4</v>
      </c>
      <c r="D18" s="263">
        <f>+'tariff tables'!Z17+'tariff tables'!Z26</f>
        <v>0</v>
      </c>
      <c r="E18" s="263">
        <f>+'tariff tables'!AA17+'tariff tables'!AA26</f>
        <v>0</v>
      </c>
      <c r="F18" s="261">
        <f t="shared" si="1"/>
        <v>2.3E-3</v>
      </c>
    </row>
    <row r="21" spans="1:7" ht="15.75" thickBot="1" x14ac:dyDescent="0.3">
      <c r="A21" s="3" t="s">
        <v>150</v>
      </c>
      <c r="B21" s="59"/>
      <c r="C21" s="59"/>
      <c r="D21" s="59"/>
      <c r="E21" s="59"/>
      <c r="F21" s="59"/>
    </row>
    <row r="22" spans="1:7" ht="27.75" thickBot="1" x14ac:dyDescent="0.3">
      <c r="A22" s="105" t="s">
        <v>155</v>
      </c>
      <c r="B22" s="148" t="s">
        <v>154</v>
      </c>
      <c r="C22" s="148" t="s">
        <v>153</v>
      </c>
      <c r="D22" s="148" t="s">
        <v>152</v>
      </c>
      <c r="E22" s="148" t="s">
        <v>151</v>
      </c>
      <c r="F22" s="107" t="s">
        <v>211</v>
      </c>
    </row>
    <row r="23" spans="1:7" ht="15.75" thickBot="1" x14ac:dyDescent="0.3">
      <c r="A23" s="108" t="s">
        <v>26</v>
      </c>
      <c r="B23" s="262">
        <f>+B5+B14</f>
        <v>3.3400000000000001E-3</v>
      </c>
      <c r="C23" s="263">
        <f t="shared" ref="C23:E23" si="2">+C5+C14</f>
        <v>2.4599999999999999E-3</v>
      </c>
      <c r="D23" s="263">
        <f t="shared" si="2"/>
        <v>5.9999999999999995E-4</v>
      </c>
      <c r="E23" s="263">
        <f t="shared" si="2"/>
        <v>0</v>
      </c>
      <c r="F23" s="261">
        <f>SUM(B23:E23)</f>
        <v>6.3999999999999994E-3</v>
      </c>
      <c r="G23" s="264">
        <f>+F23-'tariff tables'!H4</f>
        <v>0</v>
      </c>
    </row>
    <row r="24" spans="1:7" ht="15.75" thickBot="1" x14ac:dyDescent="0.3">
      <c r="A24" s="108" t="s">
        <v>121</v>
      </c>
      <c r="B24" s="262">
        <f t="shared" ref="B24:E24" si="3">+B6+B15</f>
        <v>2.32E-3</v>
      </c>
      <c r="C24" s="263">
        <f t="shared" si="3"/>
        <v>2.0500000000000002E-3</v>
      </c>
      <c r="D24" s="263">
        <f t="shared" si="3"/>
        <v>8.7999999999999992E-4</v>
      </c>
      <c r="E24" s="263">
        <f t="shared" si="3"/>
        <v>0</v>
      </c>
      <c r="F24" s="261">
        <f t="shared" ref="F24:F27" si="4">SUM(B24:E24)</f>
        <v>5.2500000000000003E-3</v>
      </c>
      <c r="G24" s="264">
        <f>+F24-'tariff tables'!H5</f>
        <v>0</v>
      </c>
    </row>
    <row r="25" spans="1:7" ht="15.75" thickBot="1" x14ac:dyDescent="0.3">
      <c r="A25" s="108" t="s">
        <v>122</v>
      </c>
      <c r="B25" s="262">
        <f t="shared" ref="B25:E25" si="5">+B7+B16</f>
        <v>1.48E-3</v>
      </c>
      <c r="C25" s="263">
        <f t="shared" si="5"/>
        <v>1.2999999999999999E-3</v>
      </c>
      <c r="D25" s="263">
        <f t="shared" si="5"/>
        <v>9.2000000000000003E-4</v>
      </c>
      <c r="E25" s="263">
        <f t="shared" si="5"/>
        <v>0</v>
      </c>
      <c r="F25" s="261">
        <f t="shared" si="4"/>
        <v>3.7000000000000002E-3</v>
      </c>
      <c r="G25" s="264">
        <f>+F25-'tariff tables'!H6</f>
        <v>0</v>
      </c>
    </row>
    <row r="26" spans="1:7" ht="15.75" thickBot="1" x14ac:dyDescent="0.3">
      <c r="A26" s="108" t="s">
        <v>123</v>
      </c>
      <c r="B26" s="262">
        <f t="shared" ref="B26:E26" si="6">+B8+B17</f>
        <v>1.6299999999999999E-3</v>
      </c>
      <c r="C26" s="263">
        <f t="shared" si="6"/>
        <v>8.0999999999999996E-4</v>
      </c>
      <c r="D26" s="263">
        <f t="shared" si="6"/>
        <v>6.4999999999999997E-4</v>
      </c>
      <c r="E26" s="263">
        <f t="shared" si="6"/>
        <v>0</v>
      </c>
      <c r="F26" s="261">
        <f t="shared" si="4"/>
        <v>3.0899999999999999E-3</v>
      </c>
      <c r="G26" s="264">
        <f>+F26-'tariff tables'!H7</f>
        <v>0</v>
      </c>
    </row>
    <row r="27" spans="1:7" ht="15.75" thickBot="1" x14ac:dyDescent="0.3">
      <c r="A27" s="108" t="s">
        <v>124</v>
      </c>
      <c r="B27" s="262">
        <f t="shared" ref="B27:E27" si="7">+B9+B18</f>
        <v>2.0500000000000002E-3</v>
      </c>
      <c r="C27" s="263">
        <f t="shared" si="7"/>
        <v>3.4000000000000002E-4</v>
      </c>
      <c r="D27" s="263">
        <f t="shared" si="7"/>
        <v>4.2999999999999999E-4</v>
      </c>
      <c r="E27" s="263">
        <f t="shared" si="7"/>
        <v>0</v>
      </c>
      <c r="F27" s="261">
        <f t="shared" si="4"/>
        <v>2.82E-3</v>
      </c>
      <c r="G27" s="264">
        <f>+F27-'tariff tables'!H8</f>
        <v>0</v>
      </c>
    </row>
    <row r="29" spans="1:7" x14ac:dyDescent="0.25">
      <c r="B29" s="264">
        <f>+B23-'tariff tables'!J4</f>
        <v>0</v>
      </c>
      <c r="C29" s="264">
        <f>+C23-'tariff tables'!K4</f>
        <v>0</v>
      </c>
      <c r="D29" s="264">
        <f>+D23-'tariff tables'!L4</f>
        <v>0</v>
      </c>
      <c r="E29" s="264">
        <f>+E23-'tariff tables'!M4</f>
        <v>0</v>
      </c>
      <c r="F29" s="264"/>
    </row>
    <row r="30" spans="1:7" x14ac:dyDescent="0.25">
      <c r="B30" s="264">
        <f>+B24-'tariff tables'!J5</f>
        <v>0</v>
      </c>
      <c r="C30" s="264">
        <f>+C24-'tariff tables'!K5</f>
        <v>0</v>
      </c>
      <c r="D30" s="264">
        <f>+D24-'tariff tables'!L5</f>
        <v>0</v>
      </c>
      <c r="E30" s="264">
        <f>+E24-'tariff tables'!M5</f>
        <v>0</v>
      </c>
      <c r="F30" s="264"/>
    </row>
    <row r="31" spans="1:7" x14ac:dyDescent="0.25">
      <c r="B31" s="264">
        <f>+B25-'tariff tables'!J6</f>
        <v>0</v>
      </c>
      <c r="C31" s="264">
        <f>+C25-'tariff tables'!K6</f>
        <v>0</v>
      </c>
      <c r="D31" s="264">
        <f>+D25-'tariff tables'!L6</f>
        <v>0</v>
      </c>
      <c r="E31" s="264">
        <f>+E25-'tariff tables'!M6</f>
        <v>0</v>
      </c>
      <c r="F31" s="264"/>
    </row>
    <row r="32" spans="1:7" x14ac:dyDescent="0.25">
      <c r="B32" s="264">
        <f>+B26-'tariff tables'!J7</f>
        <v>0</v>
      </c>
      <c r="C32" s="264">
        <f>+C26-'tariff tables'!K7</f>
        <v>0</v>
      </c>
      <c r="D32" s="264">
        <f>+D26-'tariff tables'!L7</f>
        <v>0</v>
      </c>
      <c r="E32" s="264">
        <f>+E26-'tariff tables'!M7</f>
        <v>0</v>
      </c>
      <c r="F32" s="264"/>
    </row>
    <row r="33" spans="2:6" x14ac:dyDescent="0.25">
      <c r="B33" s="264">
        <f>+B27-'tariff tables'!J8</f>
        <v>0</v>
      </c>
      <c r="C33" s="264">
        <f>+C27-'tariff tables'!K8</f>
        <v>0</v>
      </c>
      <c r="D33" s="264">
        <f>+D27-'tariff tables'!L8</f>
        <v>0</v>
      </c>
      <c r="E33" s="264">
        <f>+E27-'tariff tables'!M8</f>
        <v>0</v>
      </c>
      <c r="F33" s="264"/>
    </row>
  </sheetData>
  <pageMargins left="0.7" right="0.7" top="0.75" bottom="0.75" header="0.3" footer="0.3"/>
  <pageSetup orientation="portrait" r:id="rId1"/>
  <headerFooter>
    <oddFooter>&amp;R&amp;1#&amp;"Calibri"&amp;10&amp;KA80000Internal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54"/>
  <sheetViews>
    <sheetView workbookViewId="0">
      <selection activeCell="E24" sqref="E24"/>
    </sheetView>
  </sheetViews>
  <sheetFormatPr defaultRowHeight="15" x14ac:dyDescent="0.25"/>
  <cols>
    <col min="1" max="1" width="20.85546875" customWidth="1"/>
    <col min="2" max="2" width="22" customWidth="1"/>
    <col min="3" max="3" width="17.28515625" customWidth="1"/>
    <col min="4" max="4" width="16.28515625" customWidth="1"/>
    <col min="5" max="5" width="15.5703125" bestFit="1" customWidth="1"/>
    <col min="6" max="9" width="17.7109375" customWidth="1"/>
    <col min="12" max="12" width="11.28515625" bestFit="1" customWidth="1"/>
  </cols>
  <sheetData>
    <row r="1" spans="1:32" s="59" customFormat="1" x14ac:dyDescent="0.25">
      <c r="A1" s="76" t="s">
        <v>158</v>
      </c>
    </row>
    <row r="2" spans="1:32" ht="15.75" thickBot="1" x14ac:dyDescent="0.3">
      <c r="A2" s="9" t="s">
        <v>156</v>
      </c>
    </row>
    <row r="3" spans="1:32" ht="35.25" customHeight="1" thickBot="1" x14ac:dyDescent="0.3">
      <c r="B3" s="280" t="s">
        <v>67</v>
      </c>
      <c r="C3" s="280"/>
      <c r="E3" s="281" t="s">
        <v>5</v>
      </c>
      <c r="F3" s="282"/>
      <c r="G3" s="282"/>
      <c r="H3" s="282"/>
      <c r="I3" s="283"/>
    </row>
    <row r="4" spans="1:32" ht="45" x14ac:dyDescent="0.25">
      <c r="B4" s="83" t="s">
        <v>46</v>
      </c>
      <c r="C4" s="6" t="s">
        <v>28</v>
      </c>
      <c r="E4" s="10"/>
      <c r="F4" s="87" t="s">
        <v>26</v>
      </c>
      <c r="G4" s="87" t="s">
        <v>27</v>
      </c>
      <c r="H4" s="87" t="s">
        <v>62</v>
      </c>
      <c r="I4" s="88" t="s">
        <v>1</v>
      </c>
    </row>
    <row r="5" spans="1:32" x14ac:dyDescent="0.25">
      <c r="A5" s="21" t="s">
        <v>26</v>
      </c>
      <c r="B5" s="90">
        <f>SUM('[1]Billed kWh Sales'!$F$36:$G$36)</f>
        <v>2535828011</v>
      </c>
      <c r="C5" s="35">
        <f>SUM(F9:I9)</f>
        <v>33922.04</v>
      </c>
      <c r="D5" s="4"/>
      <c r="E5" s="24"/>
      <c r="F5" s="26">
        <v>1</v>
      </c>
      <c r="G5" s="26">
        <v>0</v>
      </c>
      <c r="H5" s="26">
        <v>0.5</v>
      </c>
      <c r="I5" s="27">
        <v>0.5</v>
      </c>
    </row>
    <row r="6" spans="1:32" ht="15.75" thickBot="1" x14ac:dyDescent="0.3">
      <c r="A6" s="21" t="s">
        <v>27</v>
      </c>
      <c r="B6" s="90">
        <f>SUM('[1]Billed kWh Sales'!$F$37:$G$40)</f>
        <v>3966288746</v>
      </c>
      <c r="C6" s="35">
        <f>SUM(F10:I10)</f>
        <v>44464.159999999996</v>
      </c>
      <c r="D6" s="4"/>
      <c r="E6" s="24"/>
      <c r="F6" s="26">
        <v>0</v>
      </c>
      <c r="G6" s="26">
        <v>1</v>
      </c>
      <c r="H6" s="26">
        <v>0.5</v>
      </c>
      <c r="I6" s="27">
        <v>0.5</v>
      </c>
    </row>
    <row r="7" spans="1:32" ht="16.5" thickTop="1" thickBot="1" x14ac:dyDescent="0.3">
      <c r="A7" s="21" t="s">
        <v>6</v>
      </c>
      <c r="B7" s="34">
        <f>SUM(B5:B6)</f>
        <v>6502116757</v>
      </c>
      <c r="C7" s="23">
        <f>SUM(C5:C6)</f>
        <v>78386.2</v>
      </c>
      <c r="D7" s="4"/>
      <c r="E7" s="30" t="s">
        <v>12</v>
      </c>
      <c r="F7" s="20">
        <f>1-SUM(F5:F6)</f>
        <v>0</v>
      </c>
      <c r="G7" s="20">
        <f>1-SUM(G5:G6)</f>
        <v>0</v>
      </c>
      <c r="H7" s="20">
        <f>1-SUM(H5:H6)</f>
        <v>0</v>
      </c>
      <c r="I7" s="20">
        <f>1-SUM(I5:I6)</f>
        <v>0</v>
      </c>
    </row>
    <row r="8" spans="1:32" ht="16.5" thickTop="1" thickBot="1" x14ac:dyDescent="0.3">
      <c r="B8" s="32" t="s">
        <v>12</v>
      </c>
      <c r="C8" s="20">
        <f>SUM(F8:I8)-C7</f>
        <v>0</v>
      </c>
      <c r="D8" s="2"/>
      <c r="E8" s="31" t="s">
        <v>6</v>
      </c>
      <c r="F8" s="36">
        <f>+SUM('[2]EM&amp;V Forecast'!$M$37:$P$37)</f>
        <v>29594.799999999999</v>
      </c>
      <c r="G8" s="36">
        <f>SUM('[2]EM&amp;V Forecast'!$M$38:$P$38)</f>
        <v>40136.92</v>
      </c>
      <c r="H8" s="36">
        <f>SUM('[2]EM&amp;V Forecast'!$M$39:$P$39)</f>
        <v>8654.48</v>
      </c>
      <c r="I8" s="37">
        <f>SUM('[2]EM&amp;V Forecast'!$M$40:$P$40)</f>
        <v>0</v>
      </c>
    </row>
    <row r="9" spans="1:32" ht="30.75" thickTop="1" x14ac:dyDescent="0.25">
      <c r="D9" s="252" t="s">
        <v>129</v>
      </c>
      <c r="E9" s="102" t="s">
        <v>26</v>
      </c>
      <c r="F9" s="103">
        <f t="shared" ref="F9:I10" si="0">F5*F$8</f>
        <v>29594.799999999999</v>
      </c>
      <c r="G9" s="103">
        <f t="shared" si="0"/>
        <v>0</v>
      </c>
      <c r="H9" s="103">
        <f t="shared" si="0"/>
        <v>4327.24</v>
      </c>
      <c r="I9" s="104">
        <f t="shared" si="0"/>
        <v>0</v>
      </c>
    </row>
    <row r="10" spans="1:32" ht="15.75" thickBot="1" x14ac:dyDescent="0.3">
      <c r="A10" s="21" t="s">
        <v>121</v>
      </c>
      <c r="B10" s="90">
        <f>SUM('[1]Billed kWh Sales'!F37:G37)</f>
        <v>413164071</v>
      </c>
      <c r="C10" s="35">
        <f>ROUND($C$6*D10,2)</f>
        <v>6036.65</v>
      </c>
      <c r="D10" s="250">
        <f>+'[3]Monthly TD Calc'!$CY$44</f>
        <v>0.13576441564001979</v>
      </c>
      <c r="E10" s="25" t="s">
        <v>27</v>
      </c>
      <c r="F10" s="28">
        <f t="shared" si="0"/>
        <v>0</v>
      </c>
      <c r="G10" s="28">
        <f t="shared" si="0"/>
        <v>40136.92</v>
      </c>
      <c r="H10" s="28">
        <f t="shared" si="0"/>
        <v>4327.24</v>
      </c>
      <c r="I10" s="29">
        <f t="shared" si="0"/>
        <v>0</v>
      </c>
    </row>
    <row r="11" spans="1:32" x14ac:dyDescent="0.25">
      <c r="A11" s="21" t="s">
        <v>122</v>
      </c>
      <c r="B11" s="90">
        <f>SUM('[1]Billed kWh Sales'!F38:G38)</f>
        <v>1176672792</v>
      </c>
      <c r="C11" s="35">
        <f>ROUND($C$6*D11,2)</f>
        <v>15834.39</v>
      </c>
      <c r="D11" s="250">
        <f>+'[3]Monthly TD Calc'!$CZ$44</f>
        <v>0.35611574316442379</v>
      </c>
    </row>
    <row r="12" spans="1:32" x14ac:dyDescent="0.25">
      <c r="A12" s="21" t="s">
        <v>123</v>
      </c>
      <c r="B12" s="90">
        <f>SUM('[1]Billed kWh Sales'!F39:G39)</f>
        <v>1824521199</v>
      </c>
      <c r="C12" s="35">
        <f>ROUND($C$6*D12,2)</f>
        <v>18600.18</v>
      </c>
      <c r="D12" s="250">
        <f>+'[3]Monthly TD Calc'!$DA$44</f>
        <v>0.4183185730547726</v>
      </c>
    </row>
    <row r="13" spans="1:32" x14ac:dyDescent="0.25">
      <c r="A13" s="21" t="s">
        <v>124</v>
      </c>
      <c r="B13" s="90">
        <f>SUM('[1]Billed kWh Sales'!F40:G40)</f>
        <v>551930684</v>
      </c>
      <c r="C13" s="35">
        <f>ROUND($C$6*D13,2)</f>
        <v>3992.94</v>
      </c>
      <c r="D13" s="250">
        <f>+'[3]Monthly TD Calc'!$DB$44</f>
        <v>8.9801268140783777E-2</v>
      </c>
      <c r="L13" s="213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59" customFormat="1" x14ac:dyDescent="0.25">
      <c r="A14" s="42" t="s">
        <v>126</v>
      </c>
      <c r="B14" s="34">
        <f>SUM(B10:B13)</f>
        <v>3966288746</v>
      </c>
      <c r="C14" s="23">
        <f>SUM(C10:C13)</f>
        <v>44464.160000000003</v>
      </c>
      <c r="D14" s="251">
        <f>SUM(D10:D13)</f>
        <v>1</v>
      </c>
      <c r="L14" s="213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5">
      <c r="F15" s="58"/>
      <c r="G15" s="58"/>
      <c r="H15" s="58"/>
      <c r="I15" s="169"/>
      <c r="J15" s="58"/>
      <c r="L15" s="213"/>
    </row>
    <row r="16" spans="1:32" s="59" customFormat="1" x14ac:dyDescent="0.25">
      <c r="A16" s="66" t="s">
        <v>13</v>
      </c>
      <c r="I16" s="169"/>
      <c r="L16" s="213"/>
    </row>
    <row r="17" spans="1:12" x14ac:dyDescent="0.25">
      <c r="A17" s="284" t="s">
        <v>178</v>
      </c>
      <c r="B17" s="284"/>
      <c r="C17" s="284"/>
      <c r="D17" s="284"/>
      <c r="E17" s="284"/>
      <c r="F17" s="284"/>
      <c r="G17" s="284"/>
      <c r="H17" s="284"/>
      <c r="I17" s="284"/>
      <c r="L17" s="213"/>
    </row>
    <row r="18" spans="1:12" x14ac:dyDescent="0.25">
      <c r="A18" s="284" t="s">
        <v>179</v>
      </c>
      <c r="B18" s="284"/>
      <c r="C18" s="284"/>
      <c r="D18" s="284"/>
      <c r="E18" s="284"/>
      <c r="F18" s="284"/>
      <c r="G18" s="284"/>
      <c r="H18" s="284"/>
      <c r="I18" s="284"/>
      <c r="L18" s="213"/>
    </row>
    <row r="19" spans="1:12" x14ac:dyDescent="0.25">
      <c r="A19" s="3" t="s">
        <v>180</v>
      </c>
      <c r="I19" s="169"/>
    </row>
    <row r="20" spans="1:12" x14ac:dyDescent="0.25">
      <c r="I20" s="169"/>
    </row>
    <row r="21" spans="1:12" x14ac:dyDescent="0.25">
      <c r="I21" s="169"/>
    </row>
    <row r="28" spans="1:12" x14ac:dyDescent="0.25">
      <c r="C28" s="2"/>
    </row>
    <row r="30" spans="1:12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2" x14ac:dyDescent="0.25">
      <c r="A31" s="59"/>
      <c r="B31" s="59"/>
      <c r="C31" s="59"/>
      <c r="E31" s="59"/>
      <c r="F31" s="59"/>
      <c r="G31" s="59"/>
      <c r="H31" s="59"/>
      <c r="I31" s="59"/>
      <c r="J31" s="59"/>
    </row>
    <row r="32" spans="1:12" x14ac:dyDescent="0.25">
      <c r="A32" s="59"/>
      <c r="B32" s="59"/>
      <c r="C32" s="59"/>
      <c r="D32" s="59"/>
      <c r="E32" s="59"/>
      <c r="F32" s="59"/>
      <c r="G32" s="59"/>
      <c r="H32" s="59"/>
      <c r="I32" s="59"/>
      <c r="J32" s="59"/>
    </row>
    <row r="33" spans="1:10" x14ac:dyDescent="0.25">
      <c r="A33" s="59"/>
      <c r="B33" s="59"/>
      <c r="C33" s="59"/>
      <c r="D33" s="59"/>
      <c r="E33" s="59"/>
      <c r="F33" s="59"/>
      <c r="G33" s="59"/>
      <c r="H33" s="59"/>
      <c r="I33" s="59"/>
      <c r="J33" s="59"/>
    </row>
    <row r="34" spans="1:10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</row>
    <row r="35" spans="1:10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</row>
    <row r="36" spans="1:10" x14ac:dyDescent="0.25">
      <c r="A36" s="59"/>
      <c r="B36" s="59"/>
      <c r="C36" s="59"/>
      <c r="D36" s="59"/>
      <c r="E36" s="59"/>
      <c r="F36" s="59"/>
      <c r="G36" s="59"/>
      <c r="H36" s="59"/>
      <c r="I36" s="59"/>
      <c r="J36" s="59"/>
    </row>
    <row r="37" spans="1:10" x14ac:dyDescent="0.25">
      <c r="A37" s="59"/>
      <c r="B37" s="59"/>
      <c r="C37" s="59"/>
      <c r="D37" s="59"/>
      <c r="E37" s="59"/>
      <c r="F37" s="59"/>
      <c r="G37" s="59"/>
      <c r="H37" s="59"/>
      <c r="I37" s="59"/>
      <c r="J37" s="59"/>
    </row>
    <row r="38" spans="1:10" x14ac:dyDescent="0.25">
      <c r="A38" s="59"/>
      <c r="B38" s="59"/>
      <c r="C38" s="59"/>
      <c r="D38" s="59"/>
      <c r="E38" s="59"/>
      <c r="F38" s="59"/>
      <c r="G38" s="59"/>
      <c r="H38" s="59"/>
      <c r="I38" s="59"/>
      <c r="J38" s="59"/>
    </row>
    <row r="39" spans="1:10" x14ac:dyDescent="0.25">
      <c r="A39" s="59"/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s="59"/>
      <c r="B41" s="59"/>
      <c r="C41" s="59"/>
      <c r="D41" s="59"/>
      <c r="E41" s="59"/>
      <c r="F41" s="59"/>
      <c r="G41" s="59"/>
      <c r="H41" s="59"/>
      <c r="I41" s="59"/>
      <c r="J41" s="59"/>
    </row>
    <row r="42" spans="1:10" x14ac:dyDescent="0.25">
      <c r="A42" s="59"/>
      <c r="B42" s="59"/>
      <c r="C42" s="59"/>
      <c r="D42" s="59"/>
      <c r="E42" s="59"/>
      <c r="F42" s="59"/>
      <c r="G42" s="59"/>
      <c r="H42" s="59"/>
      <c r="I42" s="59"/>
      <c r="J42" s="59"/>
    </row>
    <row r="43" spans="1:10" x14ac:dyDescent="0.25">
      <c r="A43" s="59"/>
      <c r="B43" s="59"/>
      <c r="C43" s="59"/>
      <c r="D43" s="59"/>
      <c r="E43" s="59"/>
      <c r="F43" s="59"/>
      <c r="G43" s="59"/>
      <c r="H43" s="59"/>
      <c r="I43" s="59"/>
      <c r="J43" s="59"/>
    </row>
    <row r="44" spans="1:10" x14ac:dyDescent="0.25">
      <c r="A44" s="59"/>
      <c r="B44" s="59"/>
      <c r="C44" s="59"/>
      <c r="D44" s="59"/>
      <c r="E44" s="59"/>
      <c r="F44" s="59"/>
      <c r="G44" s="59"/>
      <c r="H44" s="59"/>
      <c r="I44" s="59"/>
      <c r="J44" s="59"/>
    </row>
    <row r="50" spans="2:4" x14ac:dyDescent="0.25">
      <c r="B50" s="8"/>
      <c r="C50" s="8"/>
      <c r="D50" s="8"/>
    </row>
    <row r="54" spans="2:4" x14ac:dyDescent="0.25">
      <c r="B54" s="8"/>
      <c r="C54" s="8"/>
      <c r="D54" s="8"/>
    </row>
  </sheetData>
  <mergeCells count="4">
    <mergeCell ref="B3:C3"/>
    <mergeCell ref="E3:I3"/>
    <mergeCell ref="A17:I17"/>
    <mergeCell ref="A18:I18"/>
  </mergeCells>
  <pageMargins left="0.2" right="0.2" top="0.75" bottom="0.25" header="0.3" footer="0.3"/>
  <pageSetup scale="80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1C4F0-FFC7-44B5-9D2D-BC0992E47F43}">
  <sheetPr>
    <pageSetUpPr fitToPage="1"/>
  </sheetPr>
  <dimension ref="A1:Y49"/>
  <sheetViews>
    <sheetView workbookViewId="0">
      <selection activeCell="B19" sqref="B19"/>
    </sheetView>
  </sheetViews>
  <sheetFormatPr defaultRowHeight="15" x14ac:dyDescent="0.25"/>
  <cols>
    <col min="1" max="1" width="20.85546875" style="59" customWidth="1"/>
    <col min="2" max="2" width="22" style="59" customWidth="1"/>
    <col min="3" max="3" width="17.28515625" style="59" customWidth="1"/>
    <col min="4" max="16384" width="9.140625" style="59"/>
  </cols>
  <sheetData>
    <row r="1" spans="1:25" x14ac:dyDescent="0.25">
      <c r="A1" s="76" t="str">
        <f>+'PPC Cycle 2'!A1</f>
        <v>Evergy Metro, Inc. - DSIM Rider Update Filed 06/01/2020</v>
      </c>
    </row>
    <row r="2" spans="1:25" x14ac:dyDescent="0.25">
      <c r="A2" s="9" t="s">
        <v>157</v>
      </c>
    </row>
    <row r="3" spans="1:25" ht="35.25" customHeight="1" x14ac:dyDescent="0.25">
      <c r="B3" s="280" t="s">
        <v>127</v>
      </c>
      <c r="C3" s="280"/>
    </row>
    <row r="4" spans="1:25" x14ac:dyDescent="0.25">
      <c r="B4" s="258" t="s">
        <v>130</v>
      </c>
    </row>
    <row r="5" spans="1:25" x14ac:dyDescent="0.25">
      <c r="A5" s="21" t="s">
        <v>26</v>
      </c>
      <c r="B5" s="256">
        <f>ROUND(SUM('[4]Monthly Program Costs'!N277:Y277),2)</f>
        <v>6591232.8099999996</v>
      </c>
    </row>
    <row r="6" spans="1:25" x14ac:dyDescent="0.25">
      <c r="A6" s="21" t="s">
        <v>121</v>
      </c>
      <c r="B6" s="256">
        <f>ROUND(SUM('[4]Monthly Program Costs'!N278:Y278),2)</f>
        <v>814616.52</v>
      </c>
    </row>
    <row r="7" spans="1:25" x14ac:dyDescent="0.25">
      <c r="A7" s="21" t="s">
        <v>122</v>
      </c>
      <c r="B7" s="256">
        <f>ROUND(SUM('[4]Monthly Program Costs'!N279:Y279),2)</f>
        <v>1939746.58</v>
      </c>
    </row>
    <row r="8" spans="1:25" x14ac:dyDescent="0.25">
      <c r="A8" s="21" t="s">
        <v>123</v>
      </c>
      <c r="B8" s="256">
        <f>ROUND(SUM('[4]Monthly Program Costs'!N280:Y280),2)</f>
        <v>3157800.93</v>
      </c>
    </row>
    <row r="9" spans="1:25" x14ac:dyDescent="0.25">
      <c r="A9" s="21" t="s">
        <v>124</v>
      </c>
      <c r="B9" s="256">
        <f>ROUND(SUM('[4]Monthly Program Costs'!N281:Y281),2)</f>
        <v>1119375.79</v>
      </c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42" t="s">
        <v>126</v>
      </c>
      <c r="B10" s="257">
        <f>SUM(B5:B9)</f>
        <v>13622772.629999999</v>
      </c>
      <c r="P10" s="1"/>
      <c r="Q10" s="1"/>
      <c r="R10" s="1"/>
      <c r="S10" s="1"/>
      <c r="T10" s="1"/>
      <c r="U10" s="1"/>
      <c r="V10" s="1"/>
      <c r="W10" s="1"/>
      <c r="X10" s="1"/>
      <c r="Y10" s="1"/>
    </row>
    <row r="12" spans="1:25" x14ac:dyDescent="0.25">
      <c r="A12" s="66" t="s">
        <v>13</v>
      </c>
    </row>
    <row r="13" spans="1:25" ht="31.5" customHeight="1" x14ac:dyDescent="0.25">
      <c r="A13" s="285" t="s">
        <v>200</v>
      </c>
      <c r="B13" s="285"/>
      <c r="C13" s="285"/>
    </row>
    <row r="14" spans="1:25" x14ac:dyDescent="0.25">
      <c r="A14" s="3"/>
    </row>
    <row r="23" spans="3:3" x14ac:dyDescent="0.25">
      <c r="C23" s="2"/>
    </row>
    <row r="45" spans="2:3" x14ac:dyDescent="0.25">
      <c r="B45" s="8"/>
      <c r="C45" s="8"/>
    </row>
    <row r="49" spans="2:3" x14ac:dyDescent="0.25">
      <c r="B49" s="8"/>
      <c r="C49" s="8"/>
    </row>
  </sheetData>
  <mergeCells count="2">
    <mergeCell ref="B3:C3"/>
    <mergeCell ref="A13:C13"/>
  </mergeCells>
  <pageMargins left="0.2" right="0.2" top="0.75" bottom="0.25" header="0.3" footer="0.3"/>
  <pageSetup scale="80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77"/>
  <sheetViews>
    <sheetView topLeftCell="H1" workbookViewId="0">
      <selection activeCell="O1" sqref="O1:O1048576"/>
    </sheetView>
  </sheetViews>
  <sheetFormatPr defaultRowHeight="15" x14ac:dyDescent="0.25"/>
  <cols>
    <col min="1" max="1" width="54.5703125" style="59" customWidth="1"/>
    <col min="2" max="2" width="14.7109375" style="59" customWidth="1"/>
    <col min="3" max="3" width="15" style="59" customWidth="1"/>
    <col min="4" max="4" width="15.28515625" style="59" customWidth="1"/>
    <col min="5" max="5" width="15.85546875" style="59" customWidth="1"/>
    <col min="6" max="6" width="17.5703125" style="59" customWidth="1"/>
    <col min="7" max="8" width="13.28515625" style="59" customWidth="1"/>
    <col min="9" max="9" width="15.7109375" style="59" customWidth="1"/>
    <col min="10" max="11" width="12.5703125" style="59" bestFit="1" customWidth="1"/>
    <col min="12" max="12" width="14.42578125" style="59" customWidth="1"/>
    <col min="13" max="13" width="15" style="59" bestFit="1" customWidth="1"/>
    <col min="14" max="14" width="16.28515625" style="59" bestFit="1" customWidth="1"/>
    <col min="15" max="15" width="16.140625" style="59" customWidth="1"/>
    <col min="16" max="16" width="17.28515625" style="59" bestFit="1" customWidth="1"/>
    <col min="17" max="17" width="17.42578125" style="59" customWidth="1"/>
    <col min="18" max="18" width="15.5703125" style="59" customWidth="1"/>
    <col min="19" max="19" width="13" style="59" customWidth="1"/>
    <col min="20" max="20" width="9.140625" style="59"/>
    <col min="21" max="21" width="14.28515625" style="59" bestFit="1" customWidth="1"/>
    <col min="22" max="16384" width="9.140625" style="59"/>
  </cols>
  <sheetData>
    <row r="1" spans="1:34" x14ac:dyDescent="0.25">
      <c r="A1" s="3" t="str">
        <f>+'PPC Cycle 2'!A1</f>
        <v>Evergy Metro, Inc. - DSIM Rider Update Filed 06/01/2020</v>
      </c>
      <c r="B1" s="3"/>
      <c r="C1" s="3"/>
    </row>
    <row r="2" spans="1:34" x14ac:dyDescent="0.25">
      <c r="D2" s="3" t="s">
        <v>63</v>
      </c>
    </row>
    <row r="3" spans="1:34" ht="30" x14ac:dyDescent="0.25">
      <c r="D3" s="61" t="s">
        <v>48</v>
      </c>
      <c r="E3" s="61" t="s">
        <v>47</v>
      </c>
      <c r="F3" s="83" t="s">
        <v>2</v>
      </c>
      <c r="G3" s="61" t="s">
        <v>3</v>
      </c>
      <c r="H3" s="83" t="s">
        <v>57</v>
      </c>
      <c r="I3" s="61" t="s">
        <v>11</v>
      </c>
      <c r="J3" s="61" t="s">
        <v>4</v>
      </c>
    </row>
    <row r="4" spans="1:34" x14ac:dyDescent="0.25">
      <c r="A4" s="21" t="s">
        <v>26</v>
      </c>
      <c r="D4" s="23">
        <f>SUM(C34:L34)</f>
        <v>1549858.9100000001</v>
      </c>
      <c r="E4" s="156">
        <f>SUM(C27:L27)</f>
        <v>1151759676.9289002</v>
      </c>
      <c r="F4" s="23">
        <f>SUM(C23:K23)</f>
        <v>606485.20499999973</v>
      </c>
      <c r="G4" s="23">
        <f>F4-D4</f>
        <v>-943373.70500000042</v>
      </c>
      <c r="H4" s="23">
        <f>+B47</f>
        <v>1784135.365</v>
      </c>
      <c r="I4" s="23">
        <f>SUM(C52:K52)</f>
        <v>20647.18</v>
      </c>
      <c r="J4" s="35">
        <f>SUM(G4:I4)</f>
        <v>861408.83999999962</v>
      </c>
      <c r="K4" s="60">
        <f>+J4-L47</f>
        <v>0</v>
      </c>
    </row>
    <row r="5" spans="1:34" ht="15.75" thickBot="1" x14ac:dyDescent="0.3">
      <c r="A5" s="21" t="s">
        <v>27</v>
      </c>
      <c r="D5" s="23">
        <f>SUM(C35:L38)</f>
        <v>3895938.39</v>
      </c>
      <c r="E5" s="156">
        <f>SUM(C28:L31)</f>
        <v>2807561328.9794998</v>
      </c>
      <c r="F5" s="23">
        <f>SUM(C24:K24)</f>
        <v>1064001.9350000001</v>
      </c>
      <c r="G5" s="23">
        <f>F5-D5</f>
        <v>-2831936.4550000001</v>
      </c>
      <c r="H5" s="23">
        <f>+B48</f>
        <v>2009358.2349999999</v>
      </c>
      <c r="I5" s="23">
        <f>SUM(C53:K53)</f>
        <v>-5149.0599999999995</v>
      </c>
      <c r="J5" s="35">
        <f>SUM(G5:I5)</f>
        <v>-827727.28000000026</v>
      </c>
      <c r="K5" s="60">
        <f>+J5-L48</f>
        <v>0</v>
      </c>
    </row>
    <row r="6" spans="1:34" ht="16.5" thickTop="1" thickBot="1" x14ac:dyDescent="0.3">
      <c r="D6" s="39">
        <f t="shared" ref="D6" si="0">SUM(D4:D5)</f>
        <v>5445797.3000000007</v>
      </c>
      <c r="E6" s="39">
        <f t="shared" ref="E6:H6" si="1">SUM(E4:E5)</f>
        <v>3959321005.9084001</v>
      </c>
      <c r="F6" s="39">
        <f t="shared" si="1"/>
        <v>1670487.1399999997</v>
      </c>
      <c r="G6" s="39">
        <f t="shared" si="1"/>
        <v>-3775310.1600000006</v>
      </c>
      <c r="H6" s="39">
        <f t="shared" si="1"/>
        <v>3793493.5999999996</v>
      </c>
      <c r="I6" s="39">
        <f>SUM(I4:I5)</f>
        <v>15498.12</v>
      </c>
      <c r="J6" s="39">
        <f>SUM(J4:J5)</f>
        <v>33681.559999999357</v>
      </c>
    </row>
    <row r="7" spans="1:34" ht="45.75" thickTop="1" x14ac:dyDescent="0.25">
      <c r="D7" s="254"/>
      <c r="E7" s="255"/>
      <c r="F7" s="254"/>
      <c r="G7" s="254"/>
      <c r="H7" s="254"/>
      <c r="I7" s="253"/>
      <c r="J7" s="253"/>
      <c r="K7" s="252" t="s">
        <v>139</v>
      </c>
    </row>
    <row r="8" spans="1:34" x14ac:dyDescent="0.25">
      <c r="A8" s="21" t="s">
        <v>121</v>
      </c>
      <c r="D8" s="254"/>
      <c r="E8" s="255"/>
      <c r="F8" s="254"/>
      <c r="G8" s="254"/>
      <c r="H8" s="254"/>
      <c r="I8" s="253"/>
      <c r="J8" s="35">
        <f>ROUND($J$5*K8,2)</f>
        <v>-112375.91</v>
      </c>
      <c r="K8" s="250">
        <f>+'[3]Monthly TD Calc'!$CY$44</f>
        <v>0.13576441564001979</v>
      </c>
    </row>
    <row r="9" spans="1:34" x14ac:dyDescent="0.25">
      <c r="A9" s="21" t="s">
        <v>122</v>
      </c>
      <c r="D9" s="254"/>
      <c r="E9" s="255"/>
      <c r="F9" s="254"/>
      <c r="G9" s="254"/>
      <c r="H9" s="254"/>
      <c r="I9" s="253"/>
      <c r="J9" s="35">
        <f t="shared" ref="J9:J11" si="2">ROUND($J$5*K9,2)</f>
        <v>-294766.71999999997</v>
      </c>
      <c r="K9" s="250">
        <f>+'[3]Monthly TD Calc'!$CZ$44</f>
        <v>0.35611574316442379</v>
      </c>
    </row>
    <row r="10" spans="1:34" x14ac:dyDescent="0.25">
      <c r="A10" s="21" t="s">
        <v>123</v>
      </c>
      <c r="D10" s="254"/>
      <c r="E10" s="255"/>
      <c r="F10" s="254"/>
      <c r="G10" s="254"/>
      <c r="H10" s="254"/>
      <c r="I10" s="253"/>
      <c r="J10" s="35">
        <f t="shared" si="2"/>
        <v>-346253.69</v>
      </c>
      <c r="K10" s="250">
        <f>+'[3]Monthly TD Calc'!$DA$44</f>
        <v>0.4183185730547726</v>
      </c>
    </row>
    <row r="11" spans="1:34" ht="15.75" thickBot="1" x14ac:dyDescent="0.3">
      <c r="A11" s="21" t="s">
        <v>124</v>
      </c>
      <c r="D11" s="254"/>
      <c r="E11" s="255"/>
      <c r="F11" s="254"/>
      <c r="G11" s="254"/>
      <c r="H11" s="254"/>
      <c r="I11" s="253"/>
      <c r="J11" s="35">
        <f t="shared" si="2"/>
        <v>-74330.960000000006</v>
      </c>
      <c r="K11" s="250">
        <f>+'[3]Monthly TD Calc'!$DB$44</f>
        <v>8.9801268140783777E-2</v>
      </c>
    </row>
    <row r="12" spans="1:34" ht="16.5" thickTop="1" thickBot="1" x14ac:dyDescent="0.3">
      <c r="A12" s="21" t="s">
        <v>126</v>
      </c>
      <c r="D12" s="254"/>
      <c r="E12" s="255"/>
      <c r="F12" s="254"/>
      <c r="G12" s="254"/>
      <c r="H12" s="254"/>
      <c r="I12" s="253"/>
      <c r="J12" s="39">
        <f>SUM(J8:J11)</f>
        <v>-827727.28</v>
      </c>
      <c r="K12" s="251">
        <f>SUM(K8:K11)</f>
        <v>1</v>
      </c>
    </row>
    <row r="13" spans="1:34" ht="16.5" thickTop="1" thickBot="1" x14ac:dyDescent="0.3"/>
    <row r="14" spans="1:34" ht="90.75" thickBot="1" x14ac:dyDescent="0.3">
      <c r="B14" s="136" t="s">
        <v>159</v>
      </c>
      <c r="C14" s="171" t="s">
        <v>160</v>
      </c>
      <c r="D14" s="290" t="s">
        <v>35</v>
      </c>
      <c r="E14" s="290"/>
      <c r="F14" s="291"/>
      <c r="G14" s="281" t="s">
        <v>35</v>
      </c>
      <c r="H14" s="282"/>
      <c r="I14" s="283"/>
      <c r="J14" s="286" t="s">
        <v>9</v>
      </c>
      <c r="K14" s="287"/>
      <c r="L14" s="288"/>
    </row>
    <row r="15" spans="1:34" x14ac:dyDescent="0.25">
      <c r="A15" s="59" t="s">
        <v>34</v>
      </c>
      <c r="C15" s="14"/>
      <c r="D15" s="19">
        <v>43799</v>
      </c>
      <c r="E15" s="19">
        <f>EOMONTH(D15,1)</f>
        <v>43830</v>
      </c>
      <c r="F15" s="19">
        <f t="shared" ref="F15:L15" si="3">EOMONTH(E15,1)</f>
        <v>43861</v>
      </c>
      <c r="G15" s="14">
        <f t="shared" si="3"/>
        <v>43890</v>
      </c>
      <c r="H15" s="19">
        <f t="shared" si="3"/>
        <v>43921</v>
      </c>
      <c r="I15" s="15">
        <f t="shared" si="3"/>
        <v>43951</v>
      </c>
      <c r="J15" s="19">
        <f t="shared" si="3"/>
        <v>43982</v>
      </c>
      <c r="K15" s="19">
        <f t="shared" si="3"/>
        <v>44012</v>
      </c>
      <c r="L15" s="113">
        <f t="shared" si="3"/>
        <v>44043</v>
      </c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25">
      <c r="A16" s="59" t="s">
        <v>26</v>
      </c>
      <c r="C16" s="115">
        <v>-1794900.8900000001</v>
      </c>
      <c r="D16" s="127">
        <f>ROUND('[5]Cycle 2'!C26,2)</f>
        <v>953322.72</v>
      </c>
      <c r="E16" s="127">
        <f>ROUND('[5]Cycle 2'!D26,2)</f>
        <v>719362.08</v>
      </c>
      <c r="F16" s="128">
        <f>ROUND('[5]Cycle 2'!E26,2)</f>
        <v>561050.23</v>
      </c>
      <c r="G16" s="16">
        <f>ROUND('[5]Cycle 2'!F26,2)</f>
        <v>20373.73</v>
      </c>
      <c r="H16" s="68">
        <f>ROUND('[5]Cycle 2'!G26,2)</f>
        <v>51860.3</v>
      </c>
      <c r="I16" s="186">
        <f>ROUND('[5]Cycle 2'!H26,2)</f>
        <v>-277.10000000000002</v>
      </c>
      <c r="J16" s="196">
        <f>ROUND('[2]EM&amp;V Forecast'!K37,2)</f>
        <v>7398.7</v>
      </c>
      <c r="K16" s="158">
        <f>ROUND('[2]EM&amp;V Forecast'!L37,2)</f>
        <v>7398.7</v>
      </c>
      <c r="L16" s="91"/>
    </row>
    <row r="17" spans="1:13" x14ac:dyDescent="0.25">
      <c r="A17" s="59" t="s">
        <v>27</v>
      </c>
      <c r="C17" s="115">
        <v>-2503086.96</v>
      </c>
      <c r="D17" s="127">
        <f>ROUND('[5]Cycle 2'!C27,2)</f>
        <v>684714.59</v>
      </c>
      <c r="E17" s="127">
        <f>ROUND('[5]Cycle 2'!D27,2)</f>
        <v>690900.12</v>
      </c>
      <c r="F17" s="128">
        <f>ROUND('[5]Cycle 2'!E27,2)</f>
        <v>2012176.93</v>
      </c>
      <c r="G17" s="16">
        <f>ROUND('[5]Cycle 2'!F27,2)</f>
        <v>-18949.29</v>
      </c>
      <c r="H17" s="68">
        <f>ROUND('[5]Cycle 2'!G27,2)</f>
        <v>97281.35</v>
      </c>
      <c r="I17" s="186">
        <f>ROUND('[5]Cycle 2'!H27,2)</f>
        <v>0</v>
      </c>
      <c r="J17" s="196">
        <f>ROUND('[2]EM&amp;V Forecast'!K38,2)</f>
        <v>10034.23</v>
      </c>
      <c r="K17" s="158">
        <f>ROUND('[2]EM&amp;V Forecast'!L38,2)</f>
        <v>10034.23</v>
      </c>
      <c r="L17" s="91"/>
      <c r="M17" s="76" t="s">
        <v>29</v>
      </c>
    </row>
    <row r="18" spans="1:13" x14ac:dyDescent="0.25">
      <c r="A18" s="59" t="s">
        <v>0</v>
      </c>
      <c r="C18" s="115">
        <v>-309487.99</v>
      </c>
      <c r="D18" s="127">
        <f>ROUND('[5]Cycle 2'!C28,2)</f>
        <v>134731.34</v>
      </c>
      <c r="E18" s="127">
        <f>ROUND('[5]Cycle 2'!D28,2)</f>
        <v>177758.84</v>
      </c>
      <c r="F18" s="128">
        <f>ROUND('[5]Cycle 2'!E28,2)</f>
        <v>8810.43</v>
      </c>
      <c r="G18" s="16">
        <f>ROUND('[5]Cycle 2'!F28,2)</f>
        <v>4706.54</v>
      </c>
      <c r="H18" s="68">
        <f>ROUND('[5]Cycle 2'!G28,2)</f>
        <v>17126.8</v>
      </c>
      <c r="I18" s="186">
        <f>ROUND('[5]Cycle 2'!H28,2)</f>
        <v>0</v>
      </c>
      <c r="J18" s="196">
        <f>ROUND('[2]EM&amp;V Forecast'!K39,2)</f>
        <v>2163.62</v>
      </c>
      <c r="K18" s="158">
        <f>ROUND('[2]EM&amp;V Forecast'!L39,2)</f>
        <v>2163.62</v>
      </c>
      <c r="L18" s="91"/>
      <c r="M18" s="86">
        <v>0.5</v>
      </c>
    </row>
    <row r="19" spans="1:13" x14ac:dyDescent="0.25">
      <c r="A19" s="59" t="s">
        <v>1</v>
      </c>
      <c r="C19" s="115">
        <v>0</v>
      </c>
      <c r="D19" s="127">
        <f>ROUND('[5]Cycle 2'!C29,2)</f>
        <v>22149.200000000001</v>
      </c>
      <c r="E19" s="127">
        <f>ROUND('[5]Cycle 2'!D29,2)</f>
        <v>63029.7</v>
      </c>
      <c r="F19" s="128">
        <f>ROUND('[5]Cycle 2'!E29,2)</f>
        <v>-382.17</v>
      </c>
      <c r="G19" s="16">
        <f>ROUND('[5]Cycle 2'!F29,2)</f>
        <v>382.17</v>
      </c>
      <c r="H19" s="68">
        <f>ROUND('[5]Cycle 2'!G29,2)</f>
        <v>0</v>
      </c>
      <c r="I19" s="186">
        <f>ROUND('[5]Cycle 2'!H29,2)</f>
        <v>38641.370000000003</v>
      </c>
      <c r="J19" s="196">
        <f>ROUND('[2]EM&amp;V Forecast'!K40,2)</f>
        <v>0</v>
      </c>
      <c r="K19" s="158">
        <f>ROUND('[2]EM&amp;V Forecast'!L40,2)</f>
        <v>0</v>
      </c>
      <c r="L19" s="91"/>
      <c r="M19" s="76"/>
    </row>
    <row r="20" spans="1:13" x14ac:dyDescent="0.25">
      <c r="C20" s="116"/>
      <c r="D20" s="43"/>
      <c r="E20" s="43"/>
      <c r="F20" s="43"/>
      <c r="G20" s="40"/>
      <c r="H20" s="43"/>
      <c r="I20" s="11"/>
      <c r="J20" s="43"/>
      <c r="K20" s="43"/>
      <c r="L20" s="41"/>
    </row>
    <row r="21" spans="1:13" x14ac:dyDescent="0.25">
      <c r="C21" s="116"/>
      <c r="D21" s="43"/>
      <c r="E21" s="43"/>
      <c r="F21" s="43"/>
      <c r="G21" s="40"/>
      <c r="H21" s="43"/>
      <c r="I21" s="11"/>
      <c r="J21" s="43"/>
      <c r="K21" s="43"/>
      <c r="L21" s="41"/>
    </row>
    <row r="22" spans="1:13" x14ac:dyDescent="0.25">
      <c r="A22" s="59" t="s">
        <v>37</v>
      </c>
      <c r="C22" s="117"/>
      <c r="D22" s="43"/>
      <c r="E22" s="43"/>
      <c r="F22" s="43"/>
      <c r="G22" s="40"/>
      <c r="H22" s="43"/>
      <c r="I22" s="187"/>
      <c r="J22" s="17"/>
      <c r="K22" s="17"/>
      <c r="L22" s="11"/>
    </row>
    <row r="23" spans="1:13" x14ac:dyDescent="0.25">
      <c r="A23" s="59" t="s">
        <v>26</v>
      </c>
      <c r="C23" s="52">
        <f t="shared" ref="C23:K23" si="4">C16+($M$18*C$18)+($M$18*C$19)</f>
        <v>-1949644.8850000002</v>
      </c>
      <c r="D23" s="53">
        <f t="shared" si="4"/>
        <v>1031762.99</v>
      </c>
      <c r="E23" s="53">
        <f t="shared" si="4"/>
        <v>839756.35</v>
      </c>
      <c r="F23" s="126">
        <f t="shared" si="4"/>
        <v>565264.36</v>
      </c>
      <c r="G23" s="52">
        <f t="shared" si="4"/>
        <v>22918.084999999999</v>
      </c>
      <c r="H23" s="53">
        <f t="shared" si="4"/>
        <v>60423.700000000004</v>
      </c>
      <c r="I23" s="74">
        <f t="shared" si="4"/>
        <v>19043.585000000003</v>
      </c>
      <c r="J23" s="141">
        <f t="shared" si="4"/>
        <v>8480.51</v>
      </c>
      <c r="K23" s="53">
        <f t="shared" si="4"/>
        <v>8480.51</v>
      </c>
      <c r="L23" s="74">
        <f t="shared" ref="L23" si="5">L16+($M$18*L$18)+($M$18*L$19)+L$20*(1-$M$20)</f>
        <v>0</v>
      </c>
    </row>
    <row r="24" spans="1:13" x14ac:dyDescent="0.25">
      <c r="A24" s="59" t="s">
        <v>27</v>
      </c>
      <c r="C24" s="52">
        <f t="shared" ref="C24:K24" si="6">(C$17+$M$18*C$18)+C$19*$M$18</f>
        <v>-2657830.9550000001</v>
      </c>
      <c r="D24" s="53">
        <f t="shared" si="6"/>
        <v>763154.86</v>
      </c>
      <c r="E24" s="53">
        <f t="shared" si="6"/>
        <v>811294.39</v>
      </c>
      <c r="F24" s="126">
        <f t="shared" si="6"/>
        <v>2016391.06</v>
      </c>
      <c r="G24" s="52">
        <f t="shared" si="6"/>
        <v>-16404.935000000001</v>
      </c>
      <c r="H24" s="53">
        <f t="shared" si="6"/>
        <v>105844.75</v>
      </c>
      <c r="I24" s="74">
        <f t="shared" si="6"/>
        <v>19320.685000000001</v>
      </c>
      <c r="J24" s="141">
        <f t="shared" si="6"/>
        <v>11116.039999999999</v>
      </c>
      <c r="K24" s="53">
        <f t="shared" si="6"/>
        <v>11116.039999999999</v>
      </c>
      <c r="L24" s="74">
        <f t="shared" ref="L24" si="7">(L$17+$M$18*L$18+L$20*$M$20)+L$19*$M$18</f>
        <v>0</v>
      </c>
    </row>
    <row r="25" spans="1:13" x14ac:dyDescent="0.25">
      <c r="C25" s="117"/>
      <c r="D25" s="43"/>
      <c r="E25" s="43"/>
      <c r="F25" s="43"/>
      <c r="G25" s="40"/>
      <c r="H25" s="43"/>
      <c r="I25" s="11"/>
      <c r="J25" s="17"/>
      <c r="K25" s="17"/>
      <c r="L25" s="11"/>
    </row>
    <row r="26" spans="1:13" x14ac:dyDescent="0.25">
      <c r="A26" s="51" t="s">
        <v>49</v>
      </c>
      <c r="B26" s="51"/>
      <c r="C26" s="119"/>
      <c r="D26" s="43"/>
      <c r="E26" s="43"/>
      <c r="F26" s="43"/>
      <c r="G26" s="40"/>
      <c r="H26" s="43"/>
      <c r="I26" s="11"/>
      <c r="J26" s="17"/>
      <c r="K26" s="17"/>
      <c r="L26" s="11"/>
    </row>
    <row r="27" spans="1:13" x14ac:dyDescent="0.25">
      <c r="A27" s="59" t="s">
        <v>26</v>
      </c>
      <c r="C27" s="120">
        <v>-652915184</v>
      </c>
      <c r="D27" s="129">
        <f>+'[6]November 2019 Combined'!$F$61</f>
        <v>167151159.44839996</v>
      </c>
      <c r="E27" s="129">
        <f>+'[6]December 2019 Combined'!$F$61</f>
        <v>213127025.04459995</v>
      </c>
      <c r="F27" s="129">
        <f>+'[7]January 2020'!$F$66</f>
        <v>225998161.62020007</v>
      </c>
      <c r="G27" s="206">
        <f>+'[7]February 2020'!$F$117</f>
        <v>231023555.92100009</v>
      </c>
      <c r="H27" s="209">
        <f>+'[7]March 2020'!$F$117</f>
        <v>191417512.17350006</v>
      </c>
      <c r="I27" s="201">
        <f>+'[7]April 2020'!$F$117</f>
        <v>168111022.72119999</v>
      </c>
      <c r="J27" s="197">
        <f>+'[1]Billed kWh Sales'!G24</f>
        <v>144888511</v>
      </c>
      <c r="K27" s="159">
        <f>+'[1]Billed kWh Sales'!H24</f>
        <v>186972950</v>
      </c>
      <c r="L27" s="92">
        <f>+'[1]Billed kWh Sales'!I24</f>
        <v>275984963</v>
      </c>
    </row>
    <row r="28" spans="1:13" x14ac:dyDescent="0.25">
      <c r="A28" s="59" t="s">
        <v>121</v>
      </c>
      <c r="C28" s="120"/>
      <c r="D28" s="129"/>
      <c r="E28" s="129"/>
      <c r="F28" s="129"/>
      <c r="G28" s="206"/>
      <c r="H28" s="209"/>
      <c r="I28" s="201"/>
      <c r="J28" s="197">
        <f>+'[1]Billed kWh Sales'!G25</f>
        <v>31758522</v>
      </c>
      <c r="K28" s="159">
        <f>+'[1]Billed kWh Sales'!H25</f>
        <v>34754612</v>
      </c>
      <c r="L28" s="92">
        <f>+'[1]Billed kWh Sales'!I25</f>
        <v>38207367</v>
      </c>
    </row>
    <row r="29" spans="1:13" x14ac:dyDescent="0.25">
      <c r="A29" s="59" t="s">
        <v>122</v>
      </c>
      <c r="C29" s="120"/>
      <c r="D29" s="129"/>
      <c r="E29" s="129"/>
      <c r="F29" s="129"/>
      <c r="G29" s="206"/>
      <c r="H29" s="209"/>
      <c r="I29" s="201"/>
      <c r="J29" s="197">
        <f>+'[1]Billed kWh Sales'!G26</f>
        <v>90446850</v>
      </c>
      <c r="K29" s="159">
        <f>+'[1]Billed kWh Sales'!H26</f>
        <v>98979579</v>
      </c>
      <c r="L29" s="92">
        <f>+'[1]Billed kWh Sales'!I26</f>
        <v>108812872</v>
      </c>
    </row>
    <row r="30" spans="1:13" x14ac:dyDescent="0.25">
      <c r="A30" s="59" t="s">
        <v>123</v>
      </c>
      <c r="C30" s="120"/>
      <c r="D30" s="129"/>
      <c r="E30" s="129"/>
      <c r="F30" s="129"/>
      <c r="G30" s="206"/>
      <c r="H30" s="209"/>
      <c r="I30" s="201"/>
      <c r="J30" s="197">
        <f>+'[1]Billed kWh Sales'!G27</f>
        <v>140244761</v>
      </c>
      <c r="K30" s="159">
        <f>+'[1]Billed kWh Sales'!H27</f>
        <v>153475411</v>
      </c>
      <c r="L30" s="92">
        <f>+'[1]Billed kWh Sales'!I27</f>
        <v>168722683</v>
      </c>
    </row>
    <row r="31" spans="1:13" x14ac:dyDescent="0.25">
      <c r="A31" s="59" t="s">
        <v>124</v>
      </c>
      <c r="C31" s="120">
        <v>-104239621</v>
      </c>
      <c r="D31" s="129">
        <f>+'[6]November 2019 Combined'!$F$62</f>
        <v>306209839.7143001</v>
      </c>
      <c r="E31" s="129">
        <f>+'[6]December 2019 Combined'!$F$62</f>
        <v>345849100.55479997</v>
      </c>
      <c r="F31" s="129">
        <f>+'[7]January 2020'!$F$67</f>
        <v>331987552.64590001</v>
      </c>
      <c r="G31" s="206">
        <f>+'[7]February 2020'!$F$118</f>
        <v>334061385.18400002</v>
      </c>
      <c r="H31" s="209">
        <f>+'[7]March 2020'!$F$118</f>
        <v>314404618.0194</v>
      </c>
      <c r="I31" s="201">
        <f>+'[7]April 2020'!$F$118</f>
        <v>273993532.86109996</v>
      </c>
      <c r="J31" s="197">
        <f>+'[1]Billed kWh Sales'!G28</f>
        <v>42425041</v>
      </c>
      <c r="K31" s="159">
        <f>+'[1]Billed kWh Sales'!H28</f>
        <v>46427407</v>
      </c>
      <c r="L31" s="92">
        <f>+'[1]Billed kWh Sales'!I28</f>
        <v>51039816</v>
      </c>
    </row>
    <row r="32" spans="1:13" x14ac:dyDescent="0.25">
      <c r="C32" s="117"/>
      <c r="D32" s="43"/>
      <c r="E32" s="43"/>
      <c r="F32" s="43"/>
      <c r="G32" s="40"/>
      <c r="H32" s="43"/>
      <c r="I32" s="11"/>
      <c r="J32" s="17"/>
      <c r="K32" s="17"/>
      <c r="L32" s="11"/>
    </row>
    <row r="33" spans="1:14" x14ac:dyDescent="0.25">
      <c r="A33" s="59" t="s">
        <v>36</v>
      </c>
      <c r="C33" s="117"/>
      <c r="D33" s="18"/>
      <c r="E33" s="18"/>
      <c r="F33" s="18"/>
      <c r="G33" s="109"/>
      <c r="H33" s="18"/>
      <c r="I33" s="11"/>
      <c r="J33" s="70"/>
      <c r="K33" s="70"/>
      <c r="L33" s="71"/>
      <c r="M33" s="76" t="s">
        <v>52</v>
      </c>
      <c r="N33" s="51"/>
    </row>
    <row r="34" spans="1:14" x14ac:dyDescent="0.25">
      <c r="A34" s="59" t="s">
        <v>26</v>
      </c>
      <c r="C34" s="115">
        <v>-1965274.7</v>
      </c>
      <c r="D34" s="127">
        <f>ROUND('[6]November 2019 Combined'!F34+'[6]November 2019 Combined'!F39,2)</f>
        <v>502787.57</v>
      </c>
      <c r="E34" s="127">
        <f>ROUND('[6]December 2019 Combined'!F34+'[6]December 2019 Combined'!F39,2)</f>
        <v>640260.9</v>
      </c>
      <c r="F34" s="129">
        <f>ROUND('[7]January 2020'!F39+'[7]January 2020'!F44,2)</f>
        <v>679847.35</v>
      </c>
      <c r="G34" s="207">
        <f>ROUND('[7]February 2020'!F43+'[7]February 2020'!F52,2)</f>
        <v>694627.57</v>
      </c>
      <c r="H34" s="68">
        <f>ROUND('[7]March 2020'!F43+'[7]March 2020'!F52,2)</f>
        <v>391652.37</v>
      </c>
      <c r="I34" s="199">
        <f>ROUND('[7]April 2020'!F43+'[7]April 2020'!F52,2)</f>
        <v>131837.64000000001</v>
      </c>
      <c r="J34" s="141">
        <f>ROUND(J27*$M34,2)</f>
        <v>113013.04</v>
      </c>
      <c r="K34" s="53">
        <f t="shared" ref="K34:L34" si="8">ROUND(K27*$M34,2)</f>
        <v>145838.9</v>
      </c>
      <c r="L34" s="74">
        <f t="shared" si="8"/>
        <v>215268.27</v>
      </c>
      <c r="M34" s="85">
        <v>7.7999999999999999E-4</v>
      </c>
    </row>
    <row r="35" spans="1:14" x14ac:dyDescent="0.25">
      <c r="A35" s="59" t="s">
        <v>121</v>
      </c>
      <c r="C35" s="115"/>
      <c r="D35" s="127"/>
      <c r="E35" s="127"/>
      <c r="F35" s="129"/>
      <c r="G35" s="207">
        <f>ROUND('[7]February 2020'!F44+'[7]February 2020'!F53,2)</f>
        <v>63628.93</v>
      </c>
      <c r="H35" s="68">
        <f>ROUND('[7]March 2020'!F44+'[7]March 2020'!F53,2)</f>
        <v>65916.44</v>
      </c>
      <c r="I35" s="199">
        <f>ROUND('[7]April 2020'!F44+'[7]April 2020'!F53,2)</f>
        <v>26111.45</v>
      </c>
      <c r="J35" s="141">
        <f t="shared" ref="J35:L35" si="9">ROUND(J28*$M35,2)</f>
        <v>24454.06</v>
      </c>
      <c r="K35" s="53">
        <f t="shared" si="9"/>
        <v>26761.05</v>
      </c>
      <c r="L35" s="74">
        <f t="shared" si="9"/>
        <v>29419.67</v>
      </c>
      <c r="M35" s="85">
        <v>7.7000000000000007E-4</v>
      </c>
    </row>
    <row r="36" spans="1:14" x14ac:dyDescent="0.25">
      <c r="A36" s="59" t="s">
        <v>122</v>
      </c>
      <c r="C36" s="115"/>
      <c r="D36" s="127"/>
      <c r="E36" s="127"/>
      <c r="F36" s="129"/>
      <c r="G36" s="207">
        <f>ROUND('[7]February 2020'!F45+'[7]February 2020'!F54,2)</f>
        <v>135627.23000000001</v>
      </c>
      <c r="H36" s="68">
        <f>ROUND('[7]March 2020'!F45+'[7]March 2020'!F54,2)</f>
        <v>143780.31</v>
      </c>
      <c r="I36" s="199">
        <f>ROUND('[7]April 2020'!F45+'[7]April 2020'!F54,2)</f>
        <v>52850.62</v>
      </c>
      <c r="J36" s="141">
        <f t="shared" ref="J36:L36" si="10">ROUND(J29*$M36,2)</f>
        <v>62408.33</v>
      </c>
      <c r="K36" s="53">
        <f t="shared" si="10"/>
        <v>68295.91</v>
      </c>
      <c r="L36" s="74">
        <f t="shared" si="10"/>
        <v>75080.88</v>
      </c>
      <c r="M36" s="85">
        <v>6.8999999999999997E-4</v>
      </c>
    </row>
    <row r="37" spans="1:14" x14ac:dyDescent="0.25">
      <c r="A37" s="59" t="s">
        <v>123</v>
      </c>
      <c r="C37" s="115"/>
      <c r="D37" s="127"/>
      <c r="E37" s="127"/>
      <c r="F37" s="129"/>
      <c r="G37" s="207">
        <f>ROUND('[7]February 2020'!F46+'[7]February 2020'!F55,2)</f>
        <v>325003.19</v>
      </c>
      <c r="H37" s="68">
        <f>ROUND('[7]March 2020'!F46+'[7]March 2020'!F55,2)</f>
        <v>212104.51</v>
      </c>
      <c r="I37" s="199">
        <f>ROUND('[7]April 2020'!F46+'[7]April 2020'!F55,2)</f>
        <v>62570.239999999998</v>
      </c>
      <c r="J37" s="141">
        <f t="shared" ref="J37:L37" si="11">ROUND(J30*$M37,2)</f>
        <v>67317.490000000005</v>
      </c>
      <c r="K37" s="53">
        <f t="shared" si="11"/>
        <v>73668.2</v>
      </c>
      <c r="L37" s="74">
        <f t="shared" si="11"/>
        <v>80986.89</v>
      </c>
      <c r="M37" s="85">
        <v>4.7999999999999996E-4</v>
      </c>
    </row>
    <row r="38" spans="1:14" x14ac:dyDescent="0.25">
      <c r="A38" s="59" t="s">
        <v>124</v>
      </c>
      <c r="C38" s="115">
        <v>-233496.75</v>
      </c>
      <c r="D38" s="127">
        <f>ROUND('[6]November 2019 Combined'!F35+'[6]November 2019 Combined'!F40,2)</f>
        <v>686138.19</v>
      </c>
      <c r="E38" s="127">
        <f>ROUND('[6]December 2019 Combined'!F35+'[6]December 2019 Combined'!F40,2)</f>
        <v>775117.19</v>
      </c>
      <c r="F38" s="129">
        <f>ROUND('[7]January 2020'!F40+'[7]January 2020'!F45,2)</f>
        <v>744068.48</v>
      </c>
      <c r="G38" s="207">
        <f>ROUND('[7]February 2020'!F47+'[7]February 2020'!F56,2)</f>
        <v>223946.72</v>
      </c>
      <c r="H38" s="68">
        <f>ROUND('[7]March 2020'!F47+'[7]March 2020'!F56,2)</f>
        <v>43612.06</v>
      </c>
      <c r="I38" s="199">
        <f>ROUND('[7]April 2020'!F47+'[7]April 2020'!F56,2)</f>
        <v>15801.58</v>
      </c>
      <c r="J38" s="141">
        <f>ROUND(J31*$M38,2)</f>
        <v>13576.01</v>
      </c>
      <c r="K38" s="53">
        <f t="shared" ref="K38:L38" si="12">ROUND(K31*$M38,2)</f>
        <v>14856.77</v>
      </c>
      <c r="L38" s="74">
        <f t="shared" si="12"/>
        <v>16332.74</v>
      </c>
      <c r="M38" s="85">
        <v>3.1999999999999997E-4</v>
      </c>
    </row>
    <row r="39" spans="1:14" x14ac:dyDescent="0.25">
      <c r="C39" s="80"/>
      <c r="D39" s="18"/>
      <c r="E39" s="18"/>
      <c r="F39" s="18"/>
      <c r="G39" s="109"/>
      <c r="H39" s="18"/>
      <c r="I39" s="11"/>
      <c r="J39" s="69"/>
      <c r="K39" s="69"/>
      <c r="L39" s="13"/>
      <c r="M39" s="4"/>
    </row>
    <row r="40" spans="1:14" ht="15.75" thickBot="1" x14ac:dyDescent="0.3">
      <c r="A40" s="59" t="s">
        <v>16</v>
      </c>
      <c r="C40" s="121">
        <v>-10811.59</v>
      </c>
      <c r="D40" s="130">
        <v>4163.9000000000005</v>
      </c>
      <c r="E40" s="130">
        <v>5251.91</v>
      </c>
      <c r="F40" s="131">
        <v>6826.26</v>
      </c>
      <c r="G40" s="38">
        <v>6418.0700000000006</v>
      </c>
      <c r="H40" s="140">
        <v>2928.87</v>
      </c>
      <c r="I40" s="200">
        <v>1861.33</v>
      </c>
      <c r="J40" s="198">
        <v>1447.4499999999998</v>
      </c>
      <c r="K40" s="160">
        <v>984.82999999999993</v>
      </c>
      <c r="L40" s="96"/>
    </row>
    <row r="41" spans="1:14" x14ac:dyDescent="0.25">
      <c r="C41" s="117"/>
      <c r="D41" s="43"/>
      <c r="E41" s="43"/>
      <c r="F41" s="43"/>
      <c r="G41" s="40"/>
      <c r="H41" s="43"/>
      <c r="I41" s="11"/>
      <c r="J41" s="17"/>
      <c r="K41" s="17"/>
      <c r="L41" s="11"/>
    </row>
    <row r="42" spans="1:14" x14ac:dyDescent="0.25">
      <c r="A42" s="59" t="s">
        <v>54</v>
      </c>
      <c r="C42" s="117"/>
      <c r="D42" s="43"/>
      <c r="E42" s="43"/>
      <c r="F42" s="43"/>
      <c r="G42" s="40"/>
      <c r="H42" s="43"/>
      <c r="I42" s="11"/>
      <c r="J42" s="17"/>
      <c r="K42" s="17"/>
      <c r="L42" s="11"/>
    </row>
    <row r="43" spans="1:14" x14ac:dyDescent="0.25">
      <c r="A43" s="59" t="s">
        <v>26</v>
      </c>
      <c r="C43" s="52">
        <f t="shared" ref="C43:L43" si="13">C23-C34</f>
        <v>15629.814999999711</v>
      </c>
      <c r="D43" s="53">
        <f t="shared" si="13"/>
        <v>528975.41999999993</v>
      </c>
      <c r="E43" s="53">
        <f t="shared" si="13"/>
        <v>199495.44999999995</v>
      </c>
      <c r="F43" s="126">
        <f t="shared" si="13"/>
        <v>-114582.98999999999</v>
      </c>
      <c r="G43" s="52">
        <f t="shared" si="13"/>
        <v>-671709.48499999999</v>
      </c>
      <c r="H43" s="53">
        <f t="shared" si="13"/>
        <v>-331228.67</v>
      </c>
      <c r="I43" s="74">
        <f t="shared" si="13"/>
        <v>-112794.05500000001</v>
      </c>
      <c r="J43" s="141">
        <f t="shared" si="13"/>
        <v>-104532.53</v>
      </c>
      <c r="K43" s="53">
        <f t="shared" si="13"/>
        <v>-137358.38999999998</v>
      </c>
      <c r="L43" s="62">
        <f t="shared" si="13"/>
        <v>-215268.27</v>
      </c>
    </row>
    <row r="44" spans="1:14" x14ac:dyDescent="0.25">
      <c r="A44" s="59" t="s">
        <v>27</v>
      </c>
      <c r="C44" s="52">
        <f>C24-SUM(C35:C38)</f>
        <v>-2424334.2050000001</v>
      </c>
      <c r="D44" s="53">
        <f>D24-SUM(D35:D38)</f>
        <v>77016.670000000042</v>
      </c>
      <c r="E44" s="53">
        <f t="shared" ref="E44:L44" si="14">E24-SUM(E35:E38)</f>
        <v>36177.20000000007</v>
      </c>
      <c r="F44" s="126">
        <f t="shared" si="14"/>
        <v>1272322.58</v>
      </c>
      <c r="G44" s="52">
        <f t="shared" si="14"/>
        <v>-764611.005</v>
      </c>
      <c r="H44" s="53">
        <f t="shared" si="14"/>
        <v>-359568.57</v>
      </c>
      <c r="I44" s="74">
        <f t="shared" si="14"/>
        <v>-138013.20499999999</v>
      </c>
      <c r="J44" s="141">
        <f t="shared" si="14"/>
        <v>-156639.85</v>
      </c>
      <c r="K44" s="53">
        <f t="shared" si="14"/>
        <v>-172465.88999999998</v>
      </c>
      <c r="L44" s="62">
        <f t="shared" si="14"/>
        <v>-201820.18</v>
      </c>
    </row>
    <row r="45" spans="1:14" x14ac:dyDescent="0.25">
      <c r="C45" s="117"/>
      <c r="D45" s="43"/>
      <c r="E45" s="43"/>
      <c r="F45" s="43"/>
      <c r="G45" s="40"/>
      <c r="H45" s="43"/>
      <c r="I45" s="11"/>
      <c r="J45" s="17"/>
      <c r="K45" s="17"/>
      <c r="L45" s="11"/>
    </row>
    <row r="46" spans="1:14" ht="15.75" thickBot="1" x14ac:dyDescent="0.3">
      <c r="A46" s="59" t="s">
        <v>55</v>
      </c>
      <c r="C46" s="122"/>
      <c r="D46" s="43"/>
      <c r="E46" s="43"/>
      <c r="F46" s="43"/>
      <c r="G46" s="40"/>
      <c r="H46" s="43"/>
      <c r="I46" s="11"/>
      <c r="J46" s="17"/>
      <c r="K46" s="17"/>
      <c r="L46" s="11"/>
    </row>
    <row r="47" spans="1:14" x14ac:dyDescent="0.25">
      <c r="A47" s="59" t="s">
        <v>26</v>
      </c>
      <c r="B47" s="134">
        <v>1784135.365</v>
      </c>
      <c r="C47" s="53">
        <f>B47+C43+B52</f>
        <v>1799765.1799999997</v>
      </c>
      <c r="D47" s="53">
        <f t="shared" ref="D47:L47" si="15">C47+D43+C52</f>
        <v>2318139.3099999996</v>
      </c>
      <c r="E47" s="53">
        <f t="shared" si="15"/>
        <v>2522744.84</v>
      </c>
      <c r="F47" s="126">
        <f t="shared" si="15"/>
        <v>2414226.1799999997</v>
      </c>
      <c r="G47" s="52">
        <f t="shared" si="15"/>
        <v>1748541.3649999998</v>
      </c>
      <c r="H47" s="53">
        <f t="shared" si="15"/>
        <v>1422327.0649999999</v>
      </c>
      <c r="I47" s="74">
        <f t="shared" si="15"/>
        <v>1312420.4099999999</v>
      </c>
      <c r="J47" s="141">
        <f t="shared" si="15"/>
        <v>1210117.19</v>
      </c>
      <c r="K47" s="53">
        <f t="shared" si="15"/>
        <v>1074814.77</v>
      </c>
      <c r="L47" s="62">
        <f t="shared" si="15"/>
        <v>861408.84</v>
      </c>
    </row>
    <row r="48" spans="1:14" ht="15.75" thickBot="1" x14ac:dyDescent="0.3">
      <c r="A48" s="59" t="s">
        <v>27</v>
      </c>
      <c r="B48" s="135">
        <v>2009358.2349999999</v>
      </c>
      <c r="C48" s="53">
        <f>B48+C44+B53</f>
        <v>-414975.9700000002</v>
      </c>
      <c r="D48" s="53">
        <f t="shared" ref="D48:L48" si="16">C48+D44+C53</f>
        <v>-341742.52000000014</v>
      </c>
      <c r="E48" s="53">
        <f t="shared" si="16"/>
        <v>-306511.49000000005</v>
      </c>
      <c r="F48" s="126">
        <f t="shared" si="16"/>
        <v>964998.67</v>
      </c>
      <c r="G48" s="52">
        <f t="shared" si="16"/>
        <v>201189.25500000003</v>
      </c>
      <c r="H48" s="53">
        <f t="shared" si="16"/>
        <v>-156975.61499999996</v>
      </c>
      <c r="I48" s="74">
        <f t="shared" si="16"/>
        <v>-294947.34999999998</v>
      </c>
      <c r="J48" s="141">
        <f t="shared" si="16"/>
        <v>-451955.17999999993</v>
      </c>
      <c r="K48" s="53">
        <f t="shared" si="16"/>
        <v>-625029.59</v>
      </c>
      <c r="L48" s="62">
        <f t="shared" si="16"/>
        <v>-827727.28</v>
      </c>
    </row>
    <row r="49" spans="1:13" x14ac:dyDescent="0.25">
      <c r="C49" s="117"/>
      <c r="D49" s="43"/>
      <c r="E49" s="43"/>
      <c r="F49" s="43"/>
      <c r="G49" s="40"/>
      <c r="H49" s="43"/>
      <c r="I49" s="11"/>
      <c r="J49" s="17"/>
      <c r="K49" s="17"/>
      <c r="L49" s="11"/>
    </row>
    <row r="50" spans="1:13" x14ac:dyDescent="0.25">
      <c r="A50" s="51" t="s">
        <v>51</v>
      </c>
      <c r="B50" s="51"/>
      <c r="C50" s="122"/>
      <c r="D50" s="98">
        <f>+'[8]Nov 2019'!$F$51</f>
        <v>2.4882900000000002E-3</v>
      </c>
      <c r="E50" s="98">
        <f>+'[8]Dec 2019'!$F$51</f>
        <v>2.5028199999999998E-3</v>
      </c>
      <c r="F50" s="98">
        <f>+'[8]Jan 2020'!$F$51</f>
        <v>2.43764E-3</v>
      </c>
      <c r="G50" s="99">
        <f>+'[8]Feb 2020'!$F$51</f>
        <v>2.4056699999999999E-3</v>
      </c>
      <c r="H50" s="98">
        <f>+'[8]Mar 2020'!$F$51</f>
        <v>1.8183299999999999E-3</v>
      </c>
      <c r="I50" s="110">
        <f>+'[8]Apr 2020'!$F$50</f>
        <v>1.62864E-3</v>
      </c>
      <c r="J50" s="98">
        <f>+I50</f>
        <v>1.62864E-3</v>
      </c>
      <c r="K50" s="98">
        <f>+J50</f>
        <v>1.62864E-3</v>
      </c>
      <c r="L50" s="110"/>
    </row>
    <row r="51" spans="1:13" x14ac:dyDescent="0.25">
      <c r="A51" s="51" t="s">
        <v>39</v>
      </c>
      <c r="B51" s="51"/>
      <c r="C51" s="117"/>
      <c r="D51" s="43"/>
      <c r="E51" s="43"/>
      <c r="F51" s="43"/>
      <c r="G51" s="40"/>
      <c r="H51" s="43"/>
      <c r="I51" s="11"/>
      <c r="J51" s="17"/>
      <c r="K51" s="17"/>
      <c r="L51" s="11"/>
      <c r="M51" s="84"/>
    </row>
    <row r="52" spans="1:13" x14ac:dyDescent="0.25">
      <c r="A52" s="59" t="s">
        <v>26</v>
      </c>
      <c r="C52" s="52">
        <v>-10601.29</v>
      </c>
      <c r="D52" s="53">
        <f t="shared" ref="D52" si="17">ROUND((C47+C52+D43/2)*D$50,2)</f>
        <v>5110.08</v>
      </c>
      <c r="E52" s="53">
        <f t="shared" ref="E52:E53" si="18">ROUND((D47+D52+E43/2)*E$50,2)</f>
        <v>6064.33</v>
      </c>
      <c r="F52" s="126">
        <f t="shared" ref="F52:F53" si="19">ROUND((E47+E52+F43/2)*F$50,2)</f>
        <v>6024.67</v>
      </c>
      <c r="G52" s="52">
        <f t="shared" ref="G52:G53" si="20">ROUND((F47+F52+G43/2)*G$50,2)</f>
        <v>5014.37</v>
      </c>
      <c r="H52" s="141">
        <f t="shared" ref="H52:I53" si="21">ROUND((G47+G52+H43/2)*H$50,2)</f>
        <v>2887.4</v>
      </c>
      <c r="I52" s="74">
        <f t="shared" si="21"/>
        <v>2229.31</v>
      </c>
      <c r="J52" s="141">
        <f t="shared" ref="J52:J53" si="22">ROUND((I47+I52+J43/2)*J$50,2)</f>
        <v>2055.9699999999998</v>
      </c>
      <c r="K52" s="141">
        <f t="shared" ref="K52:K53" si="23">ROUND((J47+J52+K43/2)*K$50,2)</f>
        <v>1862.34</v>
      </c>
      <c r="L52" s="62"/>
    </row>
    <row r="53" spans="1:13" ht="15.75" thickBot="1" x14ac:dyDescent="0.3">
      <c r="A53" s="59" t="s">
        <v>27</v>
      </c>
      <c r="C53" s="132">
        <v>-3783.22</v>
      </c>
      <c r="D53" s="53">
        <f>ROUND((C48+C53+D44/2)*D$50,2)</f>
        <v>-946.17</v>
      </c>
      <c r="E53" s="53">
        <f t="shared" si="18"/>
        <v>-812.42</v>
      </c>
      <c r="F53" s="126">
        <f t="shared" si="19"/>
        <v>801.59</v>
      </c>
      <c r="G53" s="52">
        <f t="shared" si="20"/>
        <v>1403.7</v>
      </c>
      <c r="H53" s="141">
        <f t="shared" si="21"/>
        <v>41.47</v>
      </c>
      <c r="I53" s="74">
        <f t="shared" si="21"/>
        <v>-367.98</v>
      </c>
      <c r="J53" s="141">
        <f t="shared" si="22"/>
        <v>-608.52</v>
      </c>
      <c r="K53" s="141">
        <f t="shared" si="23"/>
        <v>-877.51</v>
      </c>
      <c r="L53" s="62"/>
    </row>
    <row r="54" spans="1:13" ht="16.5" thickTop="1" thickBot="1" x14ac:dyDescent="0.3">
      <c r="A54" s="67" t="s">
        <v>24</v>
      </c>
      <c r="B54" s="67"/>
      <c r="C54" s="133">
        <v>0</v>
      </c>
      <c r="D54" s="44">
        <f t="shared" ref="D54:L54" si="24">SUM(D52:D53)+SUM(D47:D48)-D57</f>
        <v>0</v>
      </c>
      <c r="E54" s="44">
        <f t="shared" si="24"/>
        <v>0</v>
      </c>
      <c r="F54" s="63">
        <f t="shared" si="24"/>
        <v>0</v>
      </c>
      <c r="G54" s="142">
        <f t="shared" si="24"/>
        <v>0</v>
      </c>
      <c r="H54" s="44">
        <f t="shared" si="24"/>
        <v>0</v>
      </c>
      <c r="I54" s="75">
        <f t="shared" si="24"/>
        <v>0</v>
      </c>
      <c r="J54" s="185">
        <f t="shared" si="24"/>
        <v>0</v>
      </c>
      <c r="K54" s="44">
        <f t="shared" si="24"/>
        <v>0</v>
      </c>
      <c r="L54" s="114">
        <f t="shared" si="24"/>
        <v>-2.3283064365386963E-10</v>
      </c>
    </row>
    <row r="55" spans="1:13" ht="16.5" thickTop="1" thickBot="1" x14ac:dyDescent="0.3">
      <c r="A55" s="67" t="s">
        <v>25</v>
      </c>
      <c r="B55" s="67"/>
      <c r="C55" s="125">
        <v>0</v>
      </c>
      <c r="D55" s="44">
        <f t="shared" ref="D55:L55" si="25">SUM(D52:D53)-D40</f>
        <v>9.999999999308784E-3</v>
      </c>
      <c r="E55" s="44">
        <f t="shared" si="25"/>
        <v>0</v>
      </c>
      <c r="F55" s="63">
        <f t="shared" si="25"/>
        <v>0</v>
      </c>
      <c r="G55" s="64">
        <f t="shared" si="25"/>
        <v>0</v>
      </c>
      <c r="H55" s="44">
        <f t="shared" si="25"/>
        <v>0</v>
      </c>
      <c r="I55" s="75">
        <f t="shared" si="25"/>
        <v>0</v>
      </c>
      <c r="J55" s="185">
        <f t="shared" si="25"/>
        <v>0</v>
      </c>
      <c r="K55" s="44">
        <f t="shared" si="25"/>
        <v>0</v>
      </c>
      <c r="L55" s="114">
        <f t="shared" si="25"/>
        <v>0</v>
      </c>
    </row>
    <row r="56" spans="1:13" ht="16.5" thickTop="1" thickBot="1" x14ac:dyDescent="0.3">
      <c r="C56" s="117"/>
      <c r="D56" s="17"/>
      <c r="E56" s="17"/>
      <c r="F56" s="17"/>
      <c r="G56" s="10"/>
      <c r="H56" s="17"/>
      <c r="I56" s="11"/>
      <c r="J56" s="17"/>
      <c r="K56" s="17"/>
      <c r="L56" s="11"/>
    </row>
    <row r="57" spans="1:13" ht="15.75" thickBot="1" x14ac:dyDescent="0.3">
      <c r="A57" s="59" t="s">
        <v>38</v>
      </c>
      <c r="B57" s="137">
        <f>+B47+B48</f>
        <v>3793493.5999999996</v>
      </c>
      <c r="C57" s="52">
        <f t="shared" ref="C57:L57" si="26">(SUM(C16:C20)-SUM(C34:C38))+SUM(C52:C53)+B57</f>
        <v>1370404.7000000002</v>
      </c>
      <c r="D57" s="53">
        <f t="shared" si="26"/>
        <v>1980560.7000000002</v>
      </c>
      <c r="E57" s="53">
        <f t="shared" si="26"/>
        <v>2221485.2600000002</v>
      </c>
      <c r="F57" s="126">
        <f t="shared" si="26"/>
        <v>3386051.1100000003</v>
      </c>
      <c r="G57" s="52">
        <f t="shared" si="26"/>
        <v>1956148.6900000004</v>
      </c>
      <c r="H57" s="53">
        <f t="shared" si="26"/>
        <v>1268280.3200000003</v>
      </c>
      <c r="I57" s="74">
        <f t="shared" si="26"/>
        <v>1019334.3900000002</v>
      </c>
      <c r="J57" s="141">
        <f t="shared" si="26"/>
        <v>759609.4600000002</v>
      </c>
      <c r="K57" s="53">
        <f t="shared" si="26"/>
        <v>450770.01000000018</v>
      </c>
      <c r="L57" s="74">
        <f t="shared" si="26"/>
        <v>33681.560000000172</v>
      </c>
    </row>
    <row r="58" spans="1:13" x14ac:dyDescent="0.25">
      <c r="A58" s="59" t="s">
        <v>14</v>
      </c>
      <c r="C58" s="138"/>
      <c r="D58" s="69"/>
      <c r="E58" s="69"/>
      <c r="F58" s="69"/>
      <c r="G58" s="12"/>
      <c r="H58" s="69"/>
      <c r="I58" s="11"/>
      <c r="J58" s="17"/>
      <c r="K58" s="17"/>
      <c r="L58" s="11"/>
    </row>
    <row r="59" spans="1:13" ht="15.75" thickBot="1" x14ac:dyDescent="0.3">
      <c r="B59" s="17"/>
      <c r="C59" s="55"/>
      <c r="D59" s="56"/>
      <c r="E59" s="56"/>
      <c r="F59" s="56"/>
      <c r="G59" s="55"/>
      <c r="H59" s="56"/>
      <c r="I59" s="57"/>
      <c r="J59" s="56"/>
      <c r="K59" s="56"/>
      <c r="L59" s="57"/>
    </row>
    <row r="61" spans="1:13" x14ac:dyDescent="0.25">
      <c r="A61" s="82" t="s">
        <v>13</v>
      </c>
      <c r="B61" s="82"/>
      <c r="C61" s="82"/>
    </row>
    <row r="62" spans="1:13" ht="42.75" customHeight="1" x14ac:dyDescent="0.25">
      <c r="A62" s="289" t="s">
        <v>210</v>
      </c>
      <c r="B62" s="289"/>
      <c r="C62" s="289"/>
      <c r="D62" s="289"/>
      <c r="E62" s="289"/>
      <c r="F62" s="289"/>
      <c r="G62" s="289"/>
      <c r="H62" s="289"/>
      <c r="I62" s="289"/>
      <c r="J62" s="164"/>
      <c r="K62" s="164"/>
      <c r="L62" s="164"/>
    </row>
    <row r="63" spans="1:13" ht="33.75" customHeight="1" x14ac:dyDescent="0.25">
      <c r="A63" s="289" t="s">
        <v>177</v>
      </c>
      <c r="B63" s="289"/>
      <c r="C63" s="289"/>
      <c r="D63" s="289"/>
      <c r="E63" s="289"/>
      <c r="F63" s="289"/>
      <c r="G63" s="289"/>
      <c r="H63" s="289"/>
      <c r="I63" s="289"/>
      <c r="J63" s="164"/>
      <c r="K63" s="164"/>
      <c r="L63" s="164"/>
    </row>
    <row r="64" spans="1:13" ht="33.75" customHeight="1" x14ac:dyDescent="0.25">
      <c r="A64" s="289" t="s">
        <v>176</v>
      </c>
      <c r="B64" s="289"/>
      <c r="C64" s="289"/>
      <c r="D64" s="289"/>
      <c r="E64" s="289"/>
      <c r="F64" s="289"/>
      <c r="G64" s="289"/>
      <c r="H64" s="289"/>
      <c r="I64" s="289"/>
      <c r="J64" s="164"/>
      <c r="K64" s="164"/>
      <c r="L64" s="164"/>
    </row>
    <row r="65" spans="1:13" x14ac:dyDescent="0.25">
      <c r="A65" s="3" t="s">
        <v>33</v>
      </c>
      <c r="B65" s="3"/>
      <c r="C65" s="3"/>
      <c r="I65" s="4"/>
    </row>
    <row r="66" spans="1:13" x14ac:dyDescent="0.25">
      <c r="A66" s="76" t="s">
        <v>174</v>
      </c>
      <c r="B66" s="3"/>
      <c r="C66" s="3"/>
      <c r="I66" s="4"/>
    </row>
    <row r="67" spans="1:13" x14ac:dyDescent="0.25">
      <c r="A67" s="3" t="s">
        <v>53</v>
      </c>
      <c r="B67" s="3"/>
      <c r="C67" s="3"/>
      <c r="I67" s="4"/>
    </row>
    <row r="68" spans="1:13" x14ac:dyDescent="0.25">
      <c r="A68" s="3" t="s">
        <v>175</v>
      </c>
    </row>
    <row r="77" spans="1:13" x14ac:dyDescent="0.25">
      <c r="M77" s="8"/>
    </row>
  </sheetData>
  <mergeCells count="6">
    <mergeCell ref="J14:L14"/>
    <mergeCell ref="A64:I64"/>
    <mergeCell ref="D14:F14"/>
    <mergeCell ref="A62:I62"/>
    <mergeCell ref="A63:I63"/>
    <mergeCell ref="G14:I14"/>
  </mergeCells>
  <pageMargins left="0.2" right="0.2" top="0.75" bottom="0.25" header="0.3" footer="0.3"/>
  <pageSetup scale="54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9C4E1-90E8-4BE1-9A03-35F6C8CFD73D}">
  <sheetPr>
    <pageSetUpPr fitToPage="1"/>
  </sheetPr>
  <dimension ref="A1:AI81"/>
  <sheetViews>
    <sheetView topLeftCell="A55" workbookViewId="0">
      <selection activeCell="G69" sqref="G69"/>
    </sheetView>
  </sheetViews>
  <sheetFormatPr defaultRowHeight="15" outlineLevelCol="1" x14ac:dyDescent="0.25"/>
  <cols>
    <col min="1" max="1" width="54.5703125" style="59" customWidth="1"/>
    <col min="2" max="2" width="14.7109375" style="59" customWidth="1"/>
    <col min="3" max="3" width="15" style="59" customWidth="1"/>
    <col min="4" max="4" width="15.28515625" style="59" customWidth="1"/>
    <col min="5" max="5" width="15.85546875" style="59" customWidth="1"/>
    <col min="6" max="6" width="17.5703125" style="59" customWidth="1"/>
    <col min="7" max="8" width="13.28515625" style="59" customWidth="1"/>
    <col min="9" max="9" width="15.7109375" style="59" customWidth="1"/>
    <col min="10" max="11" width="12.5703125" style="59" bestFit="1" customWidth="1"/>
    <col min="12" max="12" width="14.42578125" style="59" customWidth="1"/>
    <col min="13" max="13" width="15" style="59" bestFit="1" customWidth="1"/>
    <col min="14" max="14" width="16.28515625" style="59" bestFit="1" customWidth="1"/>
    <col min="15" max="15" width="16.28515625" style="59" customWidth="1" outlineLevel="1"/>
    <col min="16" max="16" width="16.140625" style="59" customWidth="1"/>
    <col min="17" max="17" width="17.28515625" style="59" bestFit="1" customWidth="1"/>
    <col min="18" max="18" width="17.42578125" style="59" customWidth="1"/>
    <col min="19" max="19" width="15.5703125" style="59" customWidth="1"/>
    <col min="20" max="20" width="13" style="59" customWidth="1"/>
    <col min="21" max="21" width="9.140625" style="59"/>
    <col min="22" max="22" width="14.28515625" style="59" bestFit="1" customWidth="1"/>
    <col min="23" max="16384" width="9.140625" style="59"/>
  </cols>
  <sheetData>
    <row r="1" spans="1:35" x14ac:dyDescent="0.25">
      <c r="A1" s="3" t="str">
        <f>+'PPC Cycle 2'!A1</f>
        <v>Evergy Metro, Inc. - DSIM Rider Update Filed 06/01/2020</v>
      </c>
      <c r="B1" s="3"/>
      <c r="C1" s="3"/>
    </row>
    <row r="2" spans="1:35" x14ac:dyDescent="0.25">
      <c r="D2" s="3" t="s">
        <v>165</v>
      </c>
    </row>
    <row r="3" spans="1:35" ht="30" x14ac:dyDescent="0.25">
      <c r="D3" s="61" t="s">
        <v>48</v>
      </c>
      <c r="E3" s="61" t="s">
        <v>47</v>
      </c>
      <c r="F3" s="83" t="s">
        <v>2</v>
      </c>
      <c r="G3" s="61" t="s">
        <v>3</v>
      </c>
      <c r="H3" s="83" t="s">
        <v>57</v>
      </c>
      <c r="I3" s="61" t="s">
        <v>11</v>
      </c>
      <c r="J3" s="61" t="s">
        <v>4</v>
      </c>
    </row>
    <row r="4" spans="1:35" x14ac:dyDescent="0.25">
      <c r="A4" s="21" t="s">
        <v>26</v>
      </c>
      <c r="D4" s="23">
        <f>SUM(C29:L29)</f>
        <v>2077225.06</v>
      </c>
      <c r="E4" s="156">
        <f>SUM(C22:L22)</f>
        <v>858357462.69560003</v>
      </c>
      <c r="F4" s="23">
        <f>SUM(C15:K15)</f>
        <v>3043737.56</v>
      </c>
      <c r="G4" s="23">
        <f>F4-D4</f>
        <v>966512.5</v>
      </c>
      <c r="H4" s="23">
        <f>+B45</f>
        <v>0</v>
      </c>
      <c r="I4" s="23">
        <f>SUM(C53:K53)</f>
        <v>9355.9500000000007</v>
      </c>
      <c r="J4" s="35">
        <f>SUM(G4:I4)</f>
        <v>975868.45</v>
      </c>
      <c r="K4" s="60">
        <f>+J4-L45</f>
        <v>0</v>
      </c>
    </row>
    <row r="5" spans="1:35" x14ac:dyDescent="0.25">
      <c r="A5" s="21" t="s">
        <v>121</v>
      </c>
      <c r="D5" s="23">
        <f>SUM(C30:L30)</f>
        <v>216737.09</v>
      </c>
      <c r="E5" s="156">
        <f>SUM(C23:L23)</f>
        <v>154812210.75760001</v>
      </c>
      <c r="F5" s="23">
        <f>SUM(C16:K16)</f>
        <v>463204.06999999995</v>
      </c>
      <c r="G5" s="23">
        <f>F5-D5</f>
        <v>246466.97999999995</v>
      </c>
      <c r="H5" s="23">
        <f>+B46</f>
        <v>0</v>
      </c>
      <c r="I5" s="23">
        <f>SUM(C54:K54)</f>
        <v>1562.18</v>
      </c>
      <c r="J5" s="35">
        <f>SUM(G5:I5)</f>
        <v>248029.15999999995</v>
      </c>
      <c r="K5" s="60">
        <f t="shared" ref="K5:K7" si="0">+J5-L46</f>
        <v>0</v>
      </c>
    </row>
    <row r="6" spans="1:35" x14ac:dyDescent="0.25">
      <c r="A6" s="21" t="s">
        <v>122</v>
      </c>
      <c r="D6" s="23">
        <f>SUM(C31:L31)</f>
        <v>468076.31</v>
      </c>
      <c r="E6" s="156">
        <f>SUM(C24:L24)</f>
        <v>410593251.69060004</v>
      </c>
      <c r="F6" s="23">
        <f>SUM(C17:K17)</f>
        <v>547095</v>
      </c>
      <c r="G6" s="23">
        <f>F6-D6</f>
        <v>79018.69</v>
      </c>
      <c r="H6" s="23">
        <f>+B47</f>
        <v>0</v>
      </c>
      <c r="I6" s="23">
        <f>SUM(C55:K55)</f>
        <v>1348.28</v>
      </c>
      <c r="J6" s="35">
        <f>SUM(G6:I6)</f>
        <v>80366.97</v>
      </c>
      <c r="K6" s="60">
        <f t="shared" si="0"/>
        <v>0</v>
      </c>
    </row>
    <row r="7" spans="1:35" x14ac:dyDescent="0.25">
      <c r="A7" s="21" t="s">
        <v>123</v>
      </c>
      <c r="D7" s="23">
        <f>SUM(C32:L32)</f>
        <v>796284.23</v>
      </c>
      <c r="E7" s="156">
        <f>SUM(C25:L25)</f>
        <v>658086132.44429994</v>
      </c>
      <c r="F7" s="23">
        <f>SUM(C18:K18)</f>
        <v>928771.65</v>
      </c>
      <c r="G7" s="23">
        <f>F7-D7</f>
        <v>132487.42000000004</v>
      </c>
      <c r="H7" s="23">
        <f>+B48</f>
        <v>0</v>
      </c>
      <c r="I7" s="23">
        <f>SUM(C56:K56)</f>
        <v>2157.16</v>
      </c>
      <c r="J7" s="35">
        <f>SUM(G7:I7)</f>
        <v>134644.58000000005</v>
      </c>
      <c r="K7" s="60">
        <f t="shared" si="0"/>
        <v>0</v>
      </c>
    </row>
    <row r="8" spans="1:35" ht="15.75" thickBot="1" x14ac:dyDescent="0.3">
      <c r="A8" s="21" t="s">
        <v>124</v>
      </c>
      <c r="D8" s="23">
        <f>SUM(C33:L33)</f>
        <v>234101.21</v>
      </c>
      <c r="E8" s="156">
        <f>SUM(C26:L26)</f>
        <v>195084333.83859998</v>
      </c>
      <c r="F8" s="23">
        <f>SUM(C19:K19)</f>
        <v>313258.05</v>
      </c>
      <c r="G8" s="23">
        <f>F8-D8</f>
        <v>79156.84</v>
      </c>
      <c r="H8" s="23">
        <f>+B49</f>
        <v>0</v>
      </c>
      <c r="I8" s="23">
        <f>SUM(C57:K57)</f>
        <v>797.19999999999993</v>
      </c>
      <c r="J8" s="35">
        <f>SUM(G8:I8)</f>
        <v>79954.039999999994</v>
      </c>
      <c r="K8" s="60">
        <f>+J8-L49</f>
        <v>0</v>
      </c>
    </row>
    <row r="9" spans="1:35" ht="16.5" thickTop="1" thickBot="1" x14ac:dyDescent="0.3">
      <c r="D9" s="39">
        <f t="shared" ref="D9:H9" si="1">SUM(D4:D8)</f>
        <v>3792423.9</v>
      </c>
      <c r="E9" s="39">
        <f t="shared" si="1"/>
        <v>2276933391.4267001</v>
      </c>
      <c r="F9" s="39">
        <f t="shared" si="1"/>
        <v>5296066.33</v>
      </c>
      <c r="G9" s="39">
        <f t="shared" si="1"/>
        <v>1503642.43</v>
      </c>
      <c r="H9" s="39">
        <f t="shared" si="1"/>
        <v>0</v>
      </c>
      <c r="I9" s="39">
        <f>SUM(I4:I8)</f>
        <v>15220.770000000002</v>
      </c>
      <c r="J9" s="39">
        <f>SUM(J4:J8)</f>
        <v>1518863.2</v>
      </c>
    </row>
    <row r="10" spans="1:35" ht="16.5" thickTop="1" thickBot="1" x14ac:dyDescent="0.3"/>
    <row r="11" spans="1:35" ht="90.75" thickBot="1" x14ac:dyDescent="0.3">
      <c r="B11" s="136" t="str">
        <f>+'PCR Cycle 2'!B14</f>
        <v>Cumulative Over/Under Carryover From 12/02/2020 Filing</v>
      </c>
      <c r="C11" s="171" t="str">
        <f>+'PCR Cycle 2'!C14</f>
        <v>Reverse November-19 - January 2020  Forecast From 12/02/2020 Filing</v>
      </c>
      <c r="D11" s="290" t="s">
        <v>35</v>
      </c>
      <c r="E11" s="290"/>
      <c r="F11" s="291"/>
      <c r="G11" s="281" t="s">
        <v>35</v>
      </c>
      <c r="H11" s="282"/>
      <c r="I11" s="283"/>
      <c r="J11" s="286" t="s">
        <v>9</v>
      </c>
      <c r="K11" s="287"/>
      <c r="L11" s="288"/>
    </row>
    <row r="12" spans="1:35" x14ac:dyDescent="0.25">
      <c r="C12" s="14"/>
      <c r="D12" s="19">
        <f>+'PCR Cycle 2'!D15</f>
        <v>43799</v>
      </c>
      <c r="E12" s="19">
        <f>+'PCR Cycle 2'!E15</f>
        <v>43830</v>
      </c>
      <c r="F12" s="19">
        <f>+'PCR Cycle 2'!F15</f>
        <v>43861</v>
      </c>
      <c r="G12" s="14">
        <f>+'PCR Cycle 2'!G15</f>
        <v>43890</v>
      </c>
      <c r="H12" s="19">
        <f>+'PCR Cycle 2'!H15</f>
        <v>43921</v>
      </c>
      <c r="I12" s="15">
        <f>+'PCR Cycle 2'!I15</f>
        <v>43951</v>
      </c>
      <c r="J12" s="19">
        <f>+'PCR Cycle 2'!J15</f>
        <v>43982</v>
      </c>
      <c r="K12" s="19">
        <f>+'PCR Cycle 2'!K15</f>
        <v>44012</v>
      </c>
      <c r="L12" s="113">
        <f>+'PCR Cycle 2'!L15</f>
        <v>44043</v>
      </c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x14ac:dyDescent="0.25">
      <c r="C13" s="116"/>
      <c r="D13" s="43"/>
      <c r="E13" s="43"/>
      <c r="F13" s="43"/>
      <c r="G13" s="40"/>
      <c r="H13" s="43"/>
      <c r="I13" s="11"/>
      <c r="J13" s="43"/>
      <c r="K13" s="43"/>
      <c r="L13" s="41"/>
      <c r="O13" s="60"/>
    </row>
    <row r="14" spans="1:35" x14ac:dyDescent="0.25">
      <c r="A14" s="59" t="s">
        <v>166</v>
      </c>
      <c r="C14" s="117"/>
      <c r="D14" s="43"/>
      <c r="E14" s="43"/>
      <c r="F14" s="43"/>
      <c r="G14" s="40"/>
      <c r="H14" s="43"/>
      <c r="I14" s="187"/>
      <c r="J14" s="17"/>
      <c r="K14" s="17"/>
      <c r="L14" s="11"/>
      <c r="O14" s="60"/>
    </row>
    <row r="15" spans="1:35" x14ac:dyDescent="0.25">
      <c r="A15" s="59" t="s">
        <v>26</v>
      </c>
      <c r="C15" s="115">
        <v>0</v>
      </c>
      <c r="D15" s="127">
        <v>0</v>
      </c>
      <c r="E15" s="127">
        <v>0</v>
      </c>
      <c r="F15" s="128">
        <f>ROUND([9]Pivot!$R$27,2)</f>
        <v>365173.44</v>
      </c>
      <c r="G15" s="16">
        <f>ROUND([10]Pivot!$R$26,2)</f>
        <v>389131.04</v>
      </c>
      <c r="H15" s="68">
        <f>ROUND([11]Pivot!$R$28,2)</f>
        <v>376719.1</v>
      </c>
      <c r="I15" s="186">
        <f>ROUND([12]Pivot!$R$28,2)</f>
        <v>360589.65</v>
      </c>
      <c r="J15" s="196">
        <f>ROUND(+'[4]Monthly Program Costs'!L277,2)</f>
        <v>984355.35</v>
      </c>
      <c r="K15" s="158">
        <f>ROUND(+'[4]Monthly Program Costs'!M277,2)</f>
        <v>567768.98</v>
      </c>
      <c r="L15" s="91"/>
      <c r="O15" s="60">
        <f t="shared" ref="O15:O19" si="2">SUM(J15:L15)</f>
        <v>1552124.33</v>
      </c>
    </row>
    <row r="16" spans="1:35" x14ac:dyDescent="0.25">
      <c r="A16" s="59" t="s">
        <v>121</v>
      </c>
      <c r="C16" s="115">
        <v>0</v>
      </c>
      <c r="D16" s="127">
        <v>0</v>
      </c>
      <c r="E16" s="127">
        <v>0</v>
      </c>
      <c r="F16" s="128">
        <f>ROUND([9]Pivot!N27,2)</f>
        <v>23730.400000000001</v>
      </c>
      <c r="G16" s="16">
        <f>ROUND([10]Pivot!$N$26,2)</f>
        <v>39708.58</v>
      </c>
      <c r="H16" s="68">
        <f>ROUND([11]Pivot!$N$28,2)</f>
        <v>89669.39</v>
      </c>
      <c r="I16" s="186">
        <f>ROUND([12]Pivot!$N$28,2)</f>
        <v>184687.47</v>
      </c>
      <c r="J16" s="196">
        <f>ROUND(+'[4]Monthly Program Costs'!L278,2)</f>
        <v>61562.34</v>
      </c>
      <c r="K16" s="158">
        <f>ROUND(+'[4]Monthly Program Costs'!M278,2)</f>
        <v>63845.89</v>
      </c>
      <c r="L16" s="91"/>
      <c r="O16" s="60">
        <f t="shared" si="2"/>
        <v>125408.23</v>
      </c>
    </row>
    <row r="17" spans="1:15" x14ac:dyDescent="0.25">
      <c r="A17" s="59" t="s">
        <v>122</v>
      </c>
      <c r="C17" s="115">
        <v>0</v>
      </c>
      <c r="D17" s="127">
        <v>0</v>
      </c>
      <c r="E17" s="127">
        <v>0</v>
      </c>
      <c r="F17" s="128">
        <f>ROUND([9]Pivot!O27,2)</f>
        <v>53788.25</v>
      </c>
      <c r="G17" s="16">
        <f>ROUND([10]Pivot!$O$26,2)</f>
        <v>96593.37</v>
      </c>
      <c r="H17" s="68">
        <f>ROUND([11]Pivot!$O$28,2)</f>
        <v>57853.81</v>
      </c>
      <c r="I17" s="186">
        <f>ROUND([12]Pivot!$O$28,2)</f>
        <v>33435.19</v>
      </c>
      <c r="J17" s="196">
        <f>ROUND(+'[4]Monthly Program Costs'!L279,2)</f>
        <v>149492.5</v>
      </c>
      <c r="K17" s="158">
        <f>ROUND(+'[4]Monthly Program Costs'!M279,2)</f>
        <v>155931.88</v>
      </c>
      <c r="L17" s="91"/>
      <c r="O17" s="60">
        <f t="shared" si="2"/>
        <v>305424.38</v>
      </c>
    </row>
    <row r="18" spans="1:15" x14ac:dyDescent="0.25">
      <c r="A18" s="59" t="s">
        <v>123</v>
      </c>
      <c r="C18" s="115">
        <v>0</v>
      </c>
      <c r="D18" s="127">
        <v>0</v>
      </c>
      <c r="E18" s="127">
        <v>0</v>
      </c>
      <c r="F18" s="128">
        <f>ROUND([9]Pivot!P27,2)</f>
        <v>85751.51</v>
      </c>
      <c r="G18" s="16">
        <f>ROUND([10]Pivot!$P$26,2)</f>
        <v>153993.28</v>
      </c>
      <c r="H18" s="68">
        <f>ROUND([11]Pivot!$P$28,2)</f>
        <v>72277.539999999994</v>
      </c>
      <c r="I18" s="186">
        <f>ROUND([12]Pivot!$P$28,2)</f>
        <v>123735.46</v>
      </c>
      <c r="J18" s="196">
        <f>ROUND(+'[4]Monthly Program Costs'!L280,2)</f>
        <v>241373.96</v>
      </c>
      <c r="K18" s="158">
        <f>ROUND(+'[4]Monthly Program Costs'!M280,2)</f>
        <v>251639.9</v>
      </c>
      <c r="L18" s="91"/>
      <c r="O18" s="60">
        <f t="shared" si="2"/>
        <v>493013.86</v>
      </c>
    </row>
    <row r="19" spans="1:15" x14ac:dyDescent="0.25">
      <c r="A19" s="59" t="s">
        <v>124</v>
      </c>
      <c r="C19" s="115">
        <v>0</v>
      </c>
      <c r="D19" s="127">
        <v>0</v>
      </c>
      <c r="E19" s="127">
        <v>0</v>
      </c>
      <c r="F19" s="128">
        <f>ROUND([9]Pivot!Q27,2)</f>
        <v>30480.95</v>
      </c>
      <c r="G19" s="16">
        <f>ROUND([10]Pivot!$Q$26,2)</f>
        <v>54737.96</v>
      </c>
      <c r="H19" s="68">
        <f>ROUND([11]Pivot!$Q$28,2)</f>
        <v>16716.11</v>
      </c>
      <c r="I19" s="186">
        <f>ROUND([12]Pivot!$Q$28,2)</f>
        <v>36365.51</v>
      </c>
      <c r="J19" s="196">
        <f>ROUND(+'[4]Monthly Program Costs'!L281,2)</f>
        <v>85654.21</v>
      </c>
      <c r="K19" s="158">
        <f>ROUND(+'[4]Monthly Program Costs'!M281,2)</f>
        <v>89303.31</v>
      </c>
      <c r="L19" s="91"/>
      <c r="O19" s="60">
        <f t="shared" si="2"/>
        <v>174957.52000000002</v>
      </c>
    </row>
    <row r="20" spans="1:15" x14ac:dyDescent="0.25">
      <c r="C20" s="117"/>
      <c r="D20" s="43"/>
      <c r="E20" s="43"/>
      <c r="F20" s="43"/>
      <c r="G20" s="40"/>
      <c r="H20" s="43"/>
      <c r="I20" s="43"/>
      <c r="J20" s="40"/>
      <c r="K20" s="17"/>
      <c r="L20" s="11"/>
      <c r="O20" s="60"/>
    </row>
    <row r="21" spans="1:15" x14ac:dyDescent="0.25">
      <c r="A21" s="51" t="s">
        <v>49</v>
      </c>
      <c r="B21" s="51"/>
      <c r="C21" s="119"/>
      <c r="D21" s="43"/>
      <c r="E21" s="43"/>
      <c r="F21" s="43"/>
      <c r="G21" s="40"/>
      <c r="H21" s="43"/>
      <c r="I21" s="11"/>
      <c r="J21" s="17"/>
      <c r="K21" s="17"/>
      <c r="L21" s="11"/>
      <c r="O21" s="60"/>
    </row>
    <row r="22" spans="1:15" x14ac:dyDescent="0.25">
      <c r="A22" s="59" t="s">
        <v>26</v>
      </c>
      <c r="C22" s="120">
        <v>0</v>
      </c>
      <c r="D22" s="129">
        <v>0</v>
      </c>
      <c r="E22" s="129">
        <v>0</v>
      </c>
      <c r="F22" s="129">
        <v>0</v>
      </c>
      <c r="G22" s="206">
        <f>+'[7]February 2020'!F123</f>
        <v>167271.89110000001</v>
      </c>
      <c r="H22" s="209">
        <f>+'[7]March 2020'!F123</f>
        <v>82663413.682399988</v>
      </c>
      <c r="I22" s="201">
        <f>+'[7]April 2020'!F123</f>
        <v>167680353.1221</v>
      </c>
      <c r="J22" s="197">
        <f>+'PCR Cycle 2'!J27</f>
        <v>144888511</v>
      </c>
      <c r="K22" s="159">
        <f>+'PCR Cycle 2'!K27</f>
        <v>186972950</v>
      </c>
      <c r="L22" s="92">
        <f>+'PCR Cycle 2'!L27</f>
        <v>275984963</v>
      </c>
      <c r="O22" s="60">
        <f t="shared" ref="O22:O26" si="3">SUM(J22:L22)</f>
        <v>607846424</v>
      </c>
    </row>
    <row r="23" spans="1:15" x14ac:dyDescent="0.25">
      <c r="A23" s="59" t="s">
        <v>121</v>
      </c>
      <c r="C23" s="120">
        <v>0</v>
      </c>
      <c r="D23" s="129">
        <v>0</v>
      </c>
      <c r="E23" s="129">
        <v>0</v>
      </c>
      <c r="F23" s="129">
        <v>0</v>
      </c>
      <c r="G23" s="206">
        <f>+'[7]February 2020'!F124</f>
        <v>26501.613200000003</v>
      </c>
      <c r="H23" s="209">
        <f>+'[7]March 2020'!F124</f>
        <v>16828106.7962</v>
      </c>
      <c r="I23" s="201">
        <f>+'[7]April 2020'!F124</f>
        <v>33237101.348200001</v>
      </c>
      <c r="J23" s="197">
        <f>+'PCR Cycle 2'!J28</f>
        <v>31758522</v>
      </c>
      <c r="K23" s="159">
        <f>+'PCR Cycle 2'!K28</f>
        <v>34754612</v>
      </c>
      <c r="L23" s="92">
        <f>+'PCR Cycle 2'!L28</f>
        <v>38207367</v>
      </c>
      <c r="O23" s="60">
        <f t="shared" si="3"/>
        <v>104720501</v>
      </c>
    </row>
    <row r="24" spans="1:15" x14ac:dyDescent="0.25">
      <c r="A24" s="59" t="s">
        <v>122</v>
      </c>
      <c r="C24" s="120">
        <v>0</v>
      </c>
      <c r="D24" s="129">
        <v>0</v>
      </c>
      <c r="E24" s="129">
        <v>0</v>
      </c>
      <c r="F24" s="129">
        <v>0</v>
      </c>
      <c r="G24" s="206">
        <f>+'[7]February 2020'!F125</f>
        <v>67691.012900000002</v>
      </c>
      <c r="H24" s="209">
        <f>+'[7]March 2020'!F125</f>
        <v>37576348.984000005</v>
      </c>
      <c r="I24" s="201">
        <f>+'[7]April 2020'!F125</f>
        <v>74709910.693700001</v>
      </c>
      <c r="J24" s="197">
        <f>+'PCR Cycle 2'!J29</f>
        <v>90446850</v>
      </c>
      <c r="K24" s="159">
        <f>+'PCR Cycle 2'!K29</f>
        <v>98979579</v>
      </c>
      <c r="L24" s="92">
        <f>+'PCR Cycle 2'!L29</f>
        <v>108812872</v>
      </c>
      <c r="O24" s="60">
        <f t="shared" si="3"/>
        <v>298239301</v>
      </c>
    </row>
    <row r="25" spans="1:15" x14ac:dyDescent="0.25">
      <c r="A25" s="59" t="s">
        <v>123</v>
      </c>
      <c r="C25" s="120">
        <v>0</v>
      </c>
      <c r="D25" s="129">
        <v>0</v>
      </c>
      <c r="E25" s="129">
        <v>0</v>
      </c>
      <c r="F25" s="129">
        <v>0</v>
      </c>
      <c r="G25" s="206">
        <f>+'[7]February 2020'!F126</f>
        <v>178468.02240000002</v>
      </c>
      <c r="H25" s="209">
        <f>+'[7]March 2020'!F126</f>
        <v>67314889.223399997</v>
      </c>
      <c r="I25" s="201">
        <f>+'[7]April 2020'!F126</f>
        <v>128149920.19850001</v>
      </c>
      <c r="J25" s="197">
        <f>+'PCR Cycle 2'!J30</f>
        <v>140244761</v>
      </c>
      <c r="K25" s="159">
        <f>+'PCR Cycle 2'!K30</f>
        <v>153475411</v>
      </c>
      <c r="L25" s="92">
        <f>+'PCR Cycle 2'!L30</f>
        <v>168722683</v>
      </c>
      <c r="O25" s="60">
        <f t="shared" si="3"/>
        <v>462442855</v>
      </c>
    </row>
    <row r="26" spans="1:15" x14ac:dyDescent="0.25">
      <c r="A26" s="59" t="s">
        <v>124</v>
      </c>
      <c r="C26" s="120">
        <v>0</v>
      </c>
      <c r="D26" s="129">
        <v>0</v>
      </c>
      <c r="E26" s="129">
        <v>0</v>
      </c>
      <c r="F26" s="129">
        <v>0</v>
      </c>
      <c r="G26" s="206">
        <f>+'[7]February 2020'!F127</f>
        <v>66331.354300000006</v>
      </c>
      <c r="H26" s="209">
        <f>+'[7]March 2020'!F127</f>
        <v>19476579.193</v>
      </c>
      <c r="I26" s="201">
        <f>+'[7]April 2020'!F127</f>
        <v>35649159.291299999</v>
      </c>
      <c r="J26" s="197">
        <f>+'PCR Cycle 2'!J31</f>
        <v>42425041</v>
      </c>
      <c r="K26" s="159">
        <f>+'PCR Cycle 2'!K31</f>
        <v>46427407</v>
      </c>
      <c r="L26" s="92">
        <f>+'PCR Cycle 2'!L31</f>
        <v>51039816</v>
      </c>
      <c r="O26" s="60">
        <f t="shared" si="3"/>
        <v>139892264</v>
      </c>
    </row>
    <row r="27" spans="1:15" x14ac:dyDescent="0.25">
      <c r="C27" s="117"/>
      <c r="D27" s="43"/>
      <c r="E27" s="43"/>
      <c r="F27" s="43"/>
      <c r="G27" s="40"/>
      <c r="H27" s="43"/>
      <c r="I27" s="11"/>
      <c r="J27" s="17"/>
      <c r="K27" s="17"/>
      <c r="L27" s="11"/>
      <c r="O27" s="60"/>
    </row>
    <row r="28" spans="1:15" x14ac:dyDescent="0.25">
      <c r="A28" s="59" t="s">
        <v>36</v>
      </c>
      <c r="C28" s="117"/>
      <c r="D28" s="18"/>
      <c r="E28" s="18"/>
      <c r="F28" s="18"/>
      <c r="G28" s="109"/>
      <c r="H28" s="18"/>
      <c r="I28" s="11"/>
      <c r="J28" s="70"/>
      <c r="K28" s="70"/>
      <c r="L28" s="71"/>
      <c r="M28" s="76" t="s">
        <v>52</v>
      </c>
      <c r="N28" s="51"/>
      <c r="O28" s="60"/>
    </row>
    <row r="29" spans="1:15" x14ac:dyDescent="0.25">
      <c r="A29" s="59" t="s">
        <v>26</v>
      </c>
      <c r="C29" s="115">
        <v>0</v>
      </c>
      <c r="D29" s="127">
        <v>0</v>
      </c>
      <c r="E29" s="127">
        <v>0</v>
      </c>
      <c r="F29" s="127">
        <v>0</v>
      </c>
      <c r="G29" s="207">
        <f>ROUND('[7]February 2020'!F79+'[7]February 2020'!F87,2)</f>
        <v>404.8</v>
      </c>
      <c r="H29" s="68">
        <f>ROUND('[7]March 2020'!F79+'[7]March 2020'!F87,2)</f>
        <v>200045.46</v>
      </c>
      <c r="I29" s="199">
        <f>ROUND('[7]April 2020'!F79+'[7]April 2020'!F87,2)</f>
        <v>405786.45</v>
      </c>
      <c r="J29" s="141">
        <f>ROUND(J22*$M29,2)</f>
        <v>350630.2</v>
      </c>
      <c r="K29" s="53">
        <f t="shared" ref="K29:L29" si="4">ROUND(K22*$M29,2)</f>
        <v>452474.54</v>
      </c>
      <c r="L29" s="74">
        <f t="shared" si="4"/>
        <v>667883.61</v>
      </c>
      <c r="M29" s="85">
        <v>2.4199999999999998E-3</v>
      </c>
      <c r="O29" s="60">
        <f>SUM(J29:L29)</f>
        <v>1470988.35</v>
      </c>
    </row>
    <row r="30" spans="1:15" x14ac:dyDescent="0.25">
      <c r="A30" s="59" t="s">
        <v>121</v>
      </c>
      <c r="C30" s="115">
        <v>0</v>
      </c>
      <c r="D30" s="127">
        <v>0</v>
      </c>
      <c r="E30" s="127">
        <v>0</v>
      </c>
      <c r="F30" s="127">
        <v>0</v>
      </c>
      <c r="G30" s="207">
        <f>ROUND('[7]February 2020'!F80+'[7]February 2020'!F88,2)</f>
        <v>37.1</v>
      </c>
      <c r="H30" s="68">
        <f>ROUND('[7]March 2020'!F80+'[7]March 2020'!F88,2)</f>
        <v>23559.35</v>
      </c>
      <c r="I30" s="199">
        <f>ROUND('[7]April 2020'!F80+'[7]April 2020'!F88,2)</f>
        <v>46531.94</v>
      </c>
      <c r="J30" s="141">
        <f t="shared" ref="J30:L30" si="5">ROUND(J23*$M30,2)</f>
        <v>44461.93</v>
      </c>
      <c r="K30" s="53">
        <f t="shared" si="5"/>
        <v>48656.46</v>
      </c>
      <c r="L30" s="74">
        <f t="shared" si="5"/>
        <v>53490.31</v>
      </c>
      <c r="M30" s="85">
        <v>1.4E-3</v>
      </c>
      <c r="O30" s="60">
        <f t="shared" ref="O30:O33" si="6">SUM(J30:L30)</f>
        <v>146608.70000000001</v>
      </c>
    </row>
    <row r="31" spans="1:15" x14ac:dyDescent="0.25">
      <c r="A31" s="59" t="s">
        <v>122</v>
      </c>
      <c r="C31" s="115">
        <v>0</v>
      </c>
      <c r="D31" s="127">
        <v>0</v>
      </c>
      <c r="E31" s="127">
        <v>0</v>
      </c>
      <c r="F31" s="127">
        <v>0</v>
      </c>
      <c r="G31" s="207">
        <f>ROUND('[7]February 2020'!F81+'[7]February 2020'!F89,2)</f>
        <v>77.17</v>
      </c>
      <c r="H31" s="68">
        <f>ROUND('[7]March 2020'!F81+'[7]March 2020'!F89,2)</f>
        <v>42837.04</v>
      </c>
      <c r="I31" s="199">
        <f>ROUND('[7]April 2020'!F81+'[7]April 2020'!F89,2)</f>
        <v>85169.3</v>
      </c>
      <c r="J31" s="141">
        <f t="shared" ref="J31:L31" si="7">ROUND(J24*$M31,2)</f>
        <v>103109.41</v>
      </c>
      <c r="K31" s="53">
        <f t="shared" si="7"/>
        <v>112836.72</v>
      </c>
      <c r="L31" s="74">
        <f t="shared" si="7"/>
        <v>124046.67</v>
      </c>
      <c r="M31" s="85">
        <v>1.14E-3</v>
      </c>
      <c r="O31" s="60">
        <f t="shared" si="6"/>
        <v>339992.8</v>
      </c>
    </row>
    <row r="32" spans="1:15" x14ac:dyDescent="0.25">
      <c r="A32" s="59" t="s">
        <v>123</v>
      </c>
      <c r="C32" s="115">
        <v>0</v>
      </c>
      <c r="D32" s="127">
        <v>0</v>
      </c>
      <c r="E32" s="127">
        <v>0</v>
      </c>
      <c r="F32" s="127">
        <v>0</v>
      </c>
      <c r="G32" s="207">
        <f>ROUND('[7]February 2020'!F82+'[7]February 2020'!F90,2)</f>
        <v>215.95</v>
      </c>
      <c r="H32" s="68">
        <f>ROUND('[7]March 2020'!F82+'[7]March 2020'!F90,2)</f>
        <v>81451.02</v>
      </c>
      <c r="I32" s="199">
        <f>ROUND('[7]April 2020'!F82+'[7]April 2020'!F90,2)</f>
        <v>155061.4</v>
      </c>
      <c r="J32" s="141">
        <f t="shared" ref="J32:L32" si="8">ROUND(J25*$M32,2)</f>
        <v>169696.16</v>
      </c>
      <c r="K32" s="53">
        <f t="shared" si="8"/>
        <v>185705.25</v>
      </c>
      <c r="L32" s="74">
        <f t="shared" si="8"/>
        <v>204154.45</v>
      </c>
      <c r="M32" s="85">
        <v>1.2099999999999999E-3</v>
      </c>
      <c r="O32" s="60">
        <f t="shared" si="6"/>
        <v>559555.8600000001</v>
      </c>
    </row>
    <row r="33" spans="1:15" x14ac:dyDescent="0.25">
      <c r="A33" s="59" t="s">
        <v>124</v>
      </c>
      <c r="C33" s="115">
        <v>0</v>
      </c>
      <c r="D33" s="127">
        <v>0</v>
      </c>
      <c r="E33" s="127">
        <v>0</v>
      </c>
      <c r="F33" s="127">
        <v>0</v>
      </c>
      <c r="G33" s="207">
        <f>ROUND('[7]February 2020'!F83+'[7]February 2020'!F91,2)</f>
        <v>79.599999999999994</v>
      </c>
      <c r="H33" s="68">
        <f>ROUND('[7]March 2020'!F83+'[7]March 2020'!F91,2)</f>
        <v>23371.9</v>
      </c>
      <c r="I33" s="199">
        <f>ROUND('[7]April 2020'!F83+'[7]April 2020'!F91,2)</f>
        <v>42778.99</v>
      </c>
      <c r="J33" s="141">
        <f>ROUND(J26*$M33,2)</f>
        <v>50910.05</v>
      </c>
      <c r="K33" s="53">
        <f>ROUND(K26*$M33,2)</f>
        <v>55712.89</v>
      </c>
      <c r="L33" s="74">
        <f>ROUND(L26*$M33,2)</f>
        <v>61247.78</v>
      </c>
      <c r="M33" s="85">
        <v>1.1999999999999999E-3</v>
      </c>
      <c r="O33" s="60">
        <f t="shared" si="6"/>
        <v>167870.72</v>
      </c>
    </row>
    <row r="34" spans="1:15" x14ac:dyDescent="0.25">
      <c r="C34" s="80"/>
      <c r="D34" s="18"/>
      <c r="E34" s="18"/>
      <c r="F34" s="18"/>
      <c r="G34" s="109"/>
      <c r="H34" s="18"/>
      <c r="I34" s="11"/>
      <c r="J34" s="69"/>
      <c r="K34" s="69"/>
      <c r="L34" s="13"/>
      <c r="M34" s="4"/>
      <c r="O34" s="60"/>
    </row>
    <row r="35" spans="1:15" ht="15.75" thickBot="1" x14ac:dyDescent="0.3">
      <c r="A35" s="59" t="s">
        <v>16</v>
      </c>
      <c r="C35" s="121">
        <v>0</v>
      </c>
      <c r="D35" s="130">
        <v>0</v>
      </c>
      <c r="E35" s="130">
        <v>0</v>
      </c>
      <c r="F35" s="131">
        <v>681.2299999999999</v>
      </c>
      <c r="G35" s="38">
        <v>2228.33</v>
      </c>
      <c r="H35" s="140">
        <v>2575.0499999999997</v>
      </c>
      <c r="I35" s="200">
        <v>2510.5100000000002</v>
      </c>
      <c r="J35" s="198">
        <v>3171.84</v>
      </c>
      <c r="K35" s="160">
        <v>4053.81</v>
      </c>
      <c r="L35" s="96"/>
      <c r="O35" s="60">
        <f>SUM(J35:L35)</f>
        <v>7225.65</v>
      </c>
    </row>
    <row r="36" spans="1:15" x14ac:dyDescent="0.25">
      <c r="C36" s="117"/>
      <c r="D36" s="43"/>
      <c r="E36" s="43"/>
      <c r="F36" s="43"/>
      <c r="G36" s="40"/>
      <c r="H36" s="43"/>
      <c r="I36" s="11"/>
      <c r="J36" s="17"/>
      <c r="K36" s="17"/>
      <c r="L36" s="11"/>
      <c r="O36" s="60"/>
    </row>
    <row r="37" spans="1:15" x14ac:dyDescent="0.25">
      <c r="A37" s="59" t="s">
        <v>54</v>
      </c>
      <c r="C37" s="117"/>
      <c r="D37" s="43"/>
      <c r="E37" s="43"/>
      <c r="F37" s="43"/>
      <c r="G37" s="40"/>
      <c r="H37" s="43"/>
      <c r="I37" s="11"/>
      <c r="J37" s="17"/>
      <c r="K37" s="17"/>
      <c r="L37" s="11"/>
      <c r="O37" s="60"/>
    </row>
    <row r="38" spans="1:15" x14ac:dyDescent="0.25">
      <c r="A38" s="59" t="s">
        <v>26</v>
      </c>
      <c r="C38" s="52">
        <f t="shared" ref="C38:L38" si="9">C15-C29</f>
        <v>0</v>
      </c>
      <c r="D38" s="53">
        <f t="shared" si="9"/>
        <v>0</v>
      </c>
      <c r="E38" s="53">
        <f t="shared" si="9"/>
        <v>0</v>
      </c>
      <c r="F38" s="126">
        <f t="shared" si="9"/>
        <v>365173.44</v>
      </c>
      <c r="G38" s="52">
        <f t="shared" si="9"/>
        <v>388726.24</v>
      </c>
      <c r="H38" s="53">
        <f t="shared" si="9"/>
        <v>176673.63999999998</v>
      </c>
      <c r="I38" s="74">
        <f t="shared" si="9"/>
        <v>-45196.799999999988</v>
      </c>
      <c r="J38" s="141">
        <f t="shared" si="9"/>
        <v>633725.14999999991</v>
      </c>
      <c r="K38" s="53">
        <f t="shared" si="9"/>
        <v>115294.44</v>
      </c>
      <c r="L38" s="62">
        <f t="shared" si="9"/>
        <v>-667883.61</v>
      </c>
      <c r="O38" s="60"/>
    </row>
    <row r="39" spans="1:15" x14ac:dyDescent="0.25">
      <c r="A39" s="59" t="s">
        <v>121</v>
      </c>
      <c r="C39" s="52">
        <f t="shared" ref="C39:L39" si="10">C16-C30</f>
        <v>0</v>
      </c>
      <c r="D39" s="53">
        <f t="shared" si="10"/>
        <v>0</v>
      </c>
      <c r="E39" s="53">
        <f t="shared" si="10"/>
        <v>0</v>
      </c>
      <c r="F39" s="126">
        <f t="shared" si="10"/>
        <v>23730.400000000001</v>
      </c>
      <c r="G39" s="52">
        <f t="shared" si="10"/>
        <v>39671.480000000003</v>
      </c>
      <c r="H39" s="53">
        <f t="shared" si="10"/>
        <v>66110.040000000008</v>
      </c>
      <c r="I39" s="74">
        <f t="shared" si="10"/>
        <v>138155.53</v>
      </c>
      <c r="J39" s="141">
        <f t="shared" si="10"/>
        <v>17100.409999999996</v>
      </c>
      <c r="K39" s="53">
        <f t="shared" si="10"/>
        <v>15189.43</v>
      </c>
      <c r="L39" s="62">
        <f t="shared" si="10"/>
        <v>-53490.31</v>
      </c>
      <c r="O39" s="60"/>
    </row>
    <row r="40" spans="1:15" x14ac:dyDescent="0.25">
      <c r="A40" s="59" t="s">
        <v>122</v>
      </c>
      <c r="C40" s="52">
        <f t="shared" ref="C40:L40" si="11">C17-C31</f>
        <v>0</v>
      </c>
      <c r="D40" s="53">
        <f t="shared" si="11"/>
        <v>0</v>
      </c>
      <c r="E40" s="53">
        <f t="shared" si="11"/>
        <v>0</v>
      </c>
      <c r="F40" s="126">
        <f t="shared" si="11"/>
        <v>53788.25</v>
      </c>
      <c r="G40" s="52">
        <f t="shared" si="11"/>
        <v>96516.2</v>
      </c>
      <c r="H40" s="53">
        <f t="shared" si="11"/>
        <v>15016.769999999997</v>
      </c>
      <c r="I40" s="74">
        <f t="shared" si="11"/>
        <v>-51734.11</v>
      </c>
      <c r="J40" s="141">
        <f t="shared" si="11"/>
        <v>46383.09</v>
      </c>
      <c r="K40" s="53">
        <f t="shared" si="11"/>
        <v>43095.16</v>
      </c>
      <c r="L40" s="62">
        <f t="shared" si="11"/>
        <v>-124046.67</v>
      </c>
      <c r="O40" s="60"/>
    </row>
    <row r="41" spans="1:15" x14ac:dyDescent="0.25">
      <c r="A41" s="59" t="s">
        <v>123</v>
      </c>
      <c r="C41" s="52">
        <f t="shared" ref="C41:L41" si="12">C18-C32</f>
        <v>0</v>
      </c>
      <c r="D41" s="53">
        <f t="shared" si="12"/>
        <v>0</v>
      </c>
      <c r="E41" s="53">
        <f t="shared" si="12"/>
        <v>0</v>
      </c>
      <c r="F41" s="126">
        <f t="shared" si="12"/>
        <v>85751.51</v>
      </c>
      <c r="G41" s="52">
        <f t="shared" si="12"/>
        <v>153777.32999999999</v>
      </c>
      <c r="H41" s="53">
        <f t="shared" si="12"/>
        <v>-9173.4800000000105</v>
      </c>
      <c r="I41" s="74">
        <f t="shared" si="12"/>
        <v>-31325.939999999988</v>
      </c>
      <c r="J41" s="141">
        <f t="shared" si="12"/>
        <v>71677.799999999988</v>
      </c>
      <c r="K41" s="53">
        <f t="shared" si="12"/>
        <v>65934.649999999994</v>
      </c>
      <c r="L41" s="62">
        <f t="shared" si="12"/>
        <v>-204154.45</v>
      </c>
      <c r="O41" s="60"/>
    </row>
    <row r="42" spans="1:15" x14ac:dyDescent="0.25">
      <c r="A42" s="59" t="s">
        <v>124</v>
      </c>
      <c r="C42" s="52">
        <f t="shared" ref="C42:L42" si="13">C19-C33</f>
        <v>0</v>
      </c>
      <c r="D42" s="53">
        <f t="shared" si="13"/>
        <v>0</v>
      </c>
      <c r="E42" s="53">
        <f t="shared" si="13"/>
        <v>0</v>
      </c>
      <c r="F42" s="126">
        <f t="shared" si="13"/>
        <v>30480.95</v>
      </c>
      <c r="G42" s="52">
        <f t="shared" si="13"/>
        <v>54658.36</v>
      </c>
      <c r="H42" s="53">
        <f t="shared" si="13"/>
        <v>-6655.7900000000009</v>
      </c>
      <c r="I42" s="74">
        <f t="shared" si="13"/>
        <v>-6413.4799999999959</v>
      </c>
      <c r="J42" s="141">
        <f t="shared" si="13"/>
        <v>34744.160000000003</v>
      </c>
      <c r="K42" s="53">
        <f t="shared" si="13"/>
        <v>33590.42</v>
      </c>
      <c r="L42" s="62">
        <f t="shared" si="13"/>
        <v>-61247.78</v>
      </c>
      <c r="O42" s="60"/>
    </row>
    <row r="43" spans="1:15" x14ac:dyDescent="0.25">
      <c r="C43" s="117"/>
      <c r="D43" s="43"/>
      <c r="E43" s="43"/>
      <c r="F43" s="43"/>
      <c r="G43" s="40"/>
      <c r="H43" s="43"/>
      <c r="I43" s="11"/>
      <c r="J43" s="17"/>
      <c r="K43" s="17"/>
      <c r="L43" s="11"/>
      <c r="O43" s="60"/>
    </row>
    <row r="44" spans="1:15" ht="15.75" thickBot="1" x14ac:dyDescent="0.3">
      <c r="A44" s="59" t="s">
        <v>55</v>
      </c>
      <c r="C44" s="122"/>
      <c r="D44" s="43"/>
      <c r="E44" s="43"/>
      <c r="F44" s="43"/>
      <c r="G44" s="40"/>
      <c r="H44" s="43"/>
      <c r="I44" s="11"/>
      <c r="J44" s="17"/>
      <c r="K44" s="17"/>
      <c r="L44" s="11"/>
      <c r="O44" s="60"/>
    </row>
    <row r="45" spans="1:15" x14ac:dyDescent="0.25">
      <c r="A45" s="59" t="s">
        <v>26</v>
      </c>
      <c r="B45" s="134">
        <v>0</v>
      </c>
      <c r="C45" s="53">
        <f t="shared" ref="C45:L45" si="14">B45+C38+B53</f>
        <v>0</v>
      </c>
      <c r="D45" s="53">
        <f t="shared" si="14"/>
        <v>0</v>
      </c>
      <c r="E45" s="53">
        <f t="shared" si="14"/>
        <v>0</v>
      </c>
      <c r="F45" s="126">
        <f t="shared" si="14"/>
        <v>365173.44</v>
      </c>
      <c r="G45" s="52">
        <f t="shared" si="14"/>
        <v>754344.75999999989</v>
      </c>
      <c r="H45" s="53">
        <f t="shared" si="14"/>
        <v>932365.52999999991</v>
      </c>
      <c r="I45" s="74">
        <f t="shared" si="14"/>
        <v>888703.45</v>
      </c>
      <c r="J45" s="141">
        <f t="shared" si="14"/>
        <v>1523912.7799999998</v>
      </c>
      <c r="K45" s="53">
        <f t="shared" si="14"/>
        <v>1641173.0699999998</v>
      </c>
      <c r="L45" s="62">
        <f t="shared" si="14"/>
        <v>975868.44999999984</v>
      </c>
      <c r="O45" s="60"/>
    </row>
    <row r="46" spans="1:15" x14ac:dyDescent="0.25">
      <c r="A46" s="59" t="s">
        <v>121</v>
      </c>
      <c r="B46" s="271">
        <v>0</v>
      </c>
      <c r="C46" s="53">
        <f t="shared" ref="C46:L46" si="15">B46+C39+B54</f>
        <v>0</v>
      </c>
      <c r="D46" s="53">
        <f t="shared" si="15"/>
        <v>0</v>
      </c>
      <c r="E46" s="53">
        <f t="shared" si="15"/>
        <v>0</v>
      </c>
      <c r="F46" s="126">
        <f t="shared" si="15"/>
        <v>23730.400000000001</v>
      </c>
      <c r="G46" s="52">
        <f t="shared" si="15"/>
        <v>63430.8</v>
      </c>
      <c r="H46" s="53">
        <f t="shared" si="15"/>
        <v>129645.72000000002</v>
      </c>
      <c r="I46" s="74">
        <f t="shared" si="15"/>
        <v>267976.88</v>
      </c>
      <c r="J46" s="141">
        <f t="shared" si="15"/>
        <v>285401.23</v>
      </c>
      <c r="K46" s="53">
        <f t="shared" si="15"/>
        <v>301041.55</v>
      </c>
      <c r="L46" s="62">
        <f t="shared" si="15"/>
        <v>248029.16</v>
      </c>
      <c r="O46" s="60"/>
    </row>
    <row r="47" spans="1:15" x14ac:dyDescent="0.25">
      <c r="A47" s="59" t="s">
        <v>122</v>
      </c>
      <c r="B47" s="271">
        <v>0</v>
      </c>
      <c r="C47" s="53">
        <f t="shared" ref="C47:L47" si="16">B47+C40+B55</f>
        <v>0</v>
      </c>
      <c r="D47" s="53">
        <f t="shared" si="16"/>
        <v>0</v>
      </c>
      <c r="E47" s="53">
        <f t="shared" si="16"/>
        <v>0</v>
      </c>
      <c r="F47" s="126">
        <f t="shared" si="16"/>
        <v>53788.25</v>
      </c>
      <c r="G47" s="52">
        <f t="shared" si="16"/>
        <v>150370.01</v>
      </c>
      <c r="H47" s="53">
        <f t="shared" si="16"/>
        <v>165632.43</v>
      </c>
      <c r="I47" s="74">
        <f t="shared" si="16"/>
        <v>114185.84</v>
      </c>
      <c r="J47" s="141">
        <f t="shared" si="16"/>
        <v>160797.03</v>
      </c>
      <c r="K47" s="53">
        <f t="shared" si="16"/>
        <v>204116.3</v>
      </c>
      <c r="L47" s="62">
        <f t="shared" si="16"/>
        <v>80366.969999999987</v>
      </c>
      <c r="O47" s="60"/>
    </row>
    <row r="48" spans="1:15" x14ac:dyDescent="0.25">
      <c r="A48" s="59" t="s">
        <v>123</v>
      </c>
      <c r="B48" s="271">
        <v>0</v>
      </c>
      <c r="C48" s="53">
        <f t="shared" ref="C48:L48" si="17">B48+C41+B56</f>
        <v>0</v>
      </c>
      <c r="D48" s="53">
        <f t="shared" si="17"/>
        <v>0</v>
      </c>
      <c r="E48" s="53">
        <f t="shared" si="17"/>
        <v>0</v>
      </c>
      <c r="F48" s="126">
        <f t="shared" si="17"/>
        <v>85751.51</v>
      </c>
      <c r="G48" s="52">
        <f t="shared" si="17"/>
        <v>239633.35999999996</v>
      </c>
      <c r="H48" s="53">
        <f t="shared" si="17"/>
        <v>230851.38999999996</v>
      </c>
      <c r="I48" s="74">
        <f t="shared" si="17"/>
        <v>199953.54999999996</v>
      </c>
      <c r="J48" s="141">
        <f t="shared" si="17"/>
        <v>271982.50999999995</v>
      </c>
      <c r="K48" s="53">
        <f t="shared" si="17"/>
        <v>338301.74999999994</v>
      </c>
      <c r="L48" s="62">
        <f t="shared" si="17"/>
        <v>134644.57999999993</v>
      </c>
      <c r="O48" s="60"/>
    </row>
    <row r="49" spans="1:15" ht="15.75" thickBot="1" x14ac:dyDescent="0.3">
      <c r="A49" s="59" t="s">
        <v>124</v>
      </c>
      <c r="B49" s="135">
        <v>0</v>
      </c>
      <c r="C49" s="53">
        <f>B49+C42+B57</f>
        <v>0</v>
      </c>
      <c r="D49" s="53">
        <f t="shared" ref="D49:L49" si="18">C49+D42+C57</f>
        <v>0</v>
      </c>
      <c r="E49" s="53">
        <f t="shared" si="18"/>
        <v>0</v>
      </c>
      <c r="F49" s="126">
        <f t="shared" si="18"/>
        <v>30480.95</v>
      </c>
      <c r="G49" s="52">
        <f t="shared" si="18"/>
        <v>85176.459999999992</v>
      </c>
      <c r="H49" s="53">
        <f t="shared" si="18"/>
        <v>78659.829999999987</v>
      </c>
      <c r="I49" s="74">
        <f t="shared" si="18"/>
        <v>72395.429999999993</v>
      </c>
      <c r="J49" s="141">
        <f t="shared" si="18"/>
        <v>107262.72</v>
      </c>
      <c r="K49" s="53">
        <f t="shared" si="18"/>
        <v>140999.54</v>
      </c>
      <c r="L49" s="62">
        <f t="shared" si="18"/>
        <v>79954.040000000008</v>
      </c>
      <c r="O49" s="60"/>
    </row>
    <row r="50" spans="1:15" x14ac:dyDescent="0.25">
      <c r="C50" s="117"/>
      <c r="D50" s="43"/>
      <c r="E50" s="43"/>
      <c r="F50" s="43"/>
      <c r="G50" s="40"/>
      <c r="H50" s="43"/>
      <c r="I50" s="11"/>
      <c r="J50" s="17"/>
      <c r="K50" s="17"/>
      <c r="L50" s="11"/>
      <c r="O50" s="60"/>
    </row>
    <row r="51" spans="1:15" x14ac:dyDescent="0.25">
      <c r="A51" s="51" t="s">
        <v>51</v>
      </c>
      <c r="B51" s="51"/>
      <c r="C51" s="122"/>
      <c r="D51" s="98">
        <f>+'PCR Cycle 2'!D50</f>
        <v>2.4882900000000002E-3</v>
      </c>
      <c r="E51" s="98">
        <f>+'PCR Cycle 2'!E50</f>
        <v>2.5028199999999998E-3</v>
      </c>
      <c r="F51" s="98">
        <f>+'PCR Cycle 2'!F50</f>
        <v>2.43764E-3</v>
      </c>
      <c r="G51" s="99">
        <f>+'PCR Cycle 2'!G50</f>
        <v>2.4056699999999999E-3</v>
      </c>
      <c r="H51" s="98">
        <f>+'PCR Cycle 2'!H50</f>
        <v>1.8183299999999999E-3</v>
      </c>
      <c r="I51" s="110">
        <f>+'PCR Cycle 2'!I50</f>
        <v>1.62864E-3</v>
      </c>
      <c r="J51" s="98">
        <f>+'PCR Cycle 2'!J50</f>
        <v>1.62864E-3</v>
      </c>
      <c r="K51" s="98">
        <f>+'PCR Cycle 2'!K50</f>
        <v>1.62864E-3</v>
      </c>
      <c r="L51" s="110"/>
      <c r="O51" s="60"/>
    </row>
    <row r="52" spans="1:15" x14ac:dyDescent="0.25">
      <c r="A52" s="51" t="s">
        <v>39</v>
      </c>
      <c r="B52" s="51"/>
      <c r="C52" s="117"/>
      <c r="D52" s="43"/>
      <c r="E52" s="43"/>
      <c r="F52" s="43"/>
      <c r="G52" s="40"/>
      <c r="H52" s="43"/>
      <c r="I52" s="11"/>
      <c r="J52" s="17"/>
      <c r="K52" s="17"/>
      <c r="L52" s="11"/>
      <c r="M52" s="84"/>
      <c r="O52" s="60"/>
    </row>
    <row r="53" spans="1:15" x14ac:dyDescent="0.25">
      <c r="A53" s="59" t="s">
        <v>26</v>
      </c>
      <c r="C53" s="52">
        <v>0</v>
      </c>
      <c r="D53" s="53">
        <f t="shared" ref="D53:K57" si="19">ROUND((C45+C53+D38/2)*D$51,2)</f>
        <v>0</v>
      </c>
      <c r="E53" s="53">
        <f t="shared" si="19"/>
        <v>0</v>
      </c>
      <c r="F53" s="126">
        <f t="shared" si="19"/>
        <v>445.08</v>
      </c>
      <c r="G53" s="52">
        <f t="shared" si="19"/>
        <v>1347.13</v>
      </c>
      <c r="H53" s="141">
        <f t="shared" si="19"/>
        <v>1534.72</v>
      </c>
      <c r="I53" s="74">
        <f t="shared" si="19"/>
        <v>1484.18</v>
      </c>
      <c r="J53" s="141">
        <f t="shared" si="19"/>
        <v>1965.85</v>
      </c>
      <c r="K53" s="141">
        <f t="shared" si="19"/>
        <v>2578.9899999999998</v>
      </c>
      <c r="L53" s="62"/>
      <c r="O53" s="60">
        <f>SUM(J53:L53)</f>
        <v>4544.84</v>
      </c>
    </row>
    <row r="54" spans="1:15" x14ac:dyDescent="0.25">
      <c r="A54" s="59" t="s">
        <v>121</v>
      </c>
      <c r="C54" s="272">
        <v>0</v>
      </c>
      <c r="D54" s="53">
        <f t="shared" si="19"/>
        <v>0</v>
      </c>
      <c r="E54" s="53">
        <f t="shared" si="19"/>
        <v>0</v>
      </c>
      <c r="F54" s="126">
        <f t="shared" si="19"/>
        <v>28.92</v>
      </c>
      <c r="G54" s="52">
        <f t="shared" si="19"/>
        <v>104.88</v>
      </c>
      <c r="H54" s="141">
        <f t="shared" si="19"/>
        <v>175.63</v>
      </c>
      <c r="I54" s="74">
        <f t="shared" si="19"/>
        <v>323.94</v>
      </c>
      <c r="J54" s="141">
        <f t="shared" si="19"/>
        <v>450.89</v>
      </c>
      <c r="K54" s="141">
        <f t="shared" si="19"/>
        <v>477.92</v>
      </c>
      <c r="L54" s="62"/>
      <c r="O54" s="60">
        <f t="shared" ref="O54:O56" si="20">SUM(J54:L54)</f>
        <v>928.81</v>
      </c>
    </row>
    <row r="55" spans="1:15" x14ac:dyDescent="0.25">
      <c r="A55" s="59" t="s">
        <v>122</v>
      </c>
      <c r="C55" s="272">
        <v>0</v>
      </c>
      <c r="D55" s="53">
        <f t="shared" si="19"/>
        <v>0</v>
      </c>
      <c r="E55" s="53">
        <f t="shared" si="19"/>
        <v>0</v>
      </c>
      <c r="F55" s="126">
        <f t="shared" si="19"/>
        <v>65.56</v>
      </c>
      <c r="G55" s="52">
        <f t="shared" si="19"/>
        <v>245.65</v>
      </c>
      <c r="H55" s="141">
        <f t="shared" si="19"/>
        <v>287.52</v>
      </c>
      <c r="I55" s="74">
        <f t="shared" si="19"/>
        <v>228.1</v>
      </c>
      <c r="J55" s="141">
        <f t="shared" si="19"/>
        <v>224.11</v>
      </c>
      <c r="K55" s="141">
        <f t="shared" si="19"/>
        <v>297.33999999999997</v>
      </c>
      <c r="L55" s="62"/>
      <c r="O55" s="60">
        <f t="shared" si="20"/>
        <v>521.45000000000005</v>
      </c>
    </row>
    <row r="56" spans="1:15" x14ac:dyDescent="0.25">
      <c r="A56" s="59" t="s">
        <v>123</v>
      </c>
      <c r="C56" s="272">
        <v>0</v>
      </c>
      <c r="D56" s="53">
        <f t="shared" si="19"/>
        <v>0</v>
      </c>
      <c r="E56" s="53">
        <f t="shared" si="19"/>
        <v>0</v>
      </c>
      <c r="F56" s="126">
        <f t="shared" si="19"/>
        <v>104.52</v>
      </c>
      <c r="G56" s="52">
        <f t="shared" si="19"/>
        <v>391.51</v>
      </c>
      <c r="H56" s="141">
        <f t="shared" si="19"/>
        <v>428.1</v>
      </c>
      <c r="I56" s="74">
        <f t="shared" si="19"/>
        <v>351.16</v>
      </c>
      <c r="J56" s="141">
        <f t="shared" si="19"/>
        <v>384.59</v>
      </c>
      <c r="K56" s="141">
        <f t="shared" si="19"/>
        <v>497.28</v>
      </c>
      <c r="L56" s="62"/>
      <c r="O56" s="60">
        <f t="shared" si="20"/>
        <v>881.86999999999989</v>
      </c>
    </row>
    <row r="57" spans="1:15" ht="15.75" thickBot="1" x14ac:dyDescent="0.3">
      <c r="A57" s="59" t="s">
        <v>124</v>
      </c>
      <c r="C57" s="132">
        <v>0</v>
      </c>
      <c r="D57" s="53">
        <f t="shared" si="19"/>
        <v>0</v>
      </c>
      <c r="E57" s="53">
        <f t="shared" si="19"/>
        <v>0</v>
      </c>
      <c r="F57" s="126">
        <f t="shared" si="19"/>
        <v>37.15</v>
      </c>
      <c r="G57" s="52">
        <f t="shared" si="19"/>
        <v>139.16</v>
      </c>
      <c r="H57" s="141">
        <f t="shared" si="19"/>
        <v>149.08000000000001</v>
      </c>
      <c r="I57" s="74">
        <f t="shared" si="19"/>
        <v>123.13</v>
      </c>
      <c r="J57" s="141">
        <f t="shared" si="19"/>
        <v>146.4</v>
      </c>
      <c r="K57" s="141">
        <f t="shared" si="19"/>
        <v>202.28</v>
      </c>
      <c r="L57" s="62"/>
      <c r="O57" s="60">
        <f>SUM(J57:L57)</f>
        <v>348.68</v>
      </c>
    </row>
    <row r="58" spans="1:15" ht="16.5" thickTop="1" thickBot="1" x14ac:dyDescent="0.3">
      <c r="A58" s="67" t="s">
        <v>24</v>
      </c>
      <c r="B58" s="67"/>
      <c r="C58" s="133">
        <v>0</v>
      </c>
      <c r="D58" s="44">
        <f t="shared" ref="D58:L58" si="21">SUM(D53:D57)+SUM(D45:D49)-D61</f>
        <v>0</v>
      </c>
      <c r="E58" s="44">
        <f t="shared" si="21"/>
        <v>0</v>
      </c>
      <c r="F58" s="63">
        <f t="shared" si="21"/>
        <v>0</v>
      </c>
      <c r="G58" s="142">
        <f t="shared" si="21"/>
        <v>0</v>
      </c>
      <c r="H58" s="44">
        <f t="shared" si="21"/>
        <v>0</v>
      </c>
      <c r="I58" s="75">
        <f t="shared" si="21"/>
        <v>0</v>
      </c>
      <c r="J58" s="185">
        <f t="shared" si="21"/>
        <v>0</v>
      </c>
      <c r="K58" s="44">
        <f t="shared" si="21"/>
        <v>0</v>
      </c>
      <c r="L58" s="114">
        <f t="shared" si="21"/>
        <v>0</v>
      </c>
      <c r="O58" s="60"/>
    </row>
    <row r="59" spans="1:15" ht="16.5" thickTop="1" thickBot="1" x14ac:dyDescent="0.3">
      <c r="A59" s="67" t="s">
        <v>25</v>
      </c>
      <c r="B59" s="67"/>
      <c r="C59" s="125">
        <v>0</v>
      </c>
      <c r="D59" s="44">
        <f t="shared" ref="D59:I59" si="22">SUM(D53:D57)-D35</f>
        <v>0</v>
      </c>
      <c r="E59" s="44">
        <f t="shared" si="22"/>
        <v>0</v>
      </c>
      <c r="F59" s="63">
        <f t="shared" ref="F59:H59" si="23">SUM(F53:F57)-F35</f>
        <v>0</v>
      </c>
      <c r="G59" s="64">
        <f t="shared" si="23"/>
        <v>0</v>
      </c>
      <c r="H59" s="44">
        <f t="shared" si="23"/>
        <v>0</v>
      </c>
      <c r="I59" s="75">
        <f t="shared" si="22"/>
        <v>0</v>
      </c>
      <c r="J59" s="185">
        <f t="shared" ref="J59:L59" si="24">SUM(J53:J57)-J35</f>
        <v>0</v>
      </c>
      <c r="K59" s="44">
        <f t="shared" si="24"/>
        <v>0</v>
      </c>
      <c r="L59" s="114">
        <f t="shared" si="24"/>
        <v>0</v>
      </c>
      <c r="O59" s="60"/>
    </row>
    <row r="60" spans="1:15" ht="16.5" thickTop="1" thickBot="1" x14ac:dyDescent="0.3">
      <c r="C60" s="117"/>
      <c r="D60" s="17"/>
      <c r="E60" s="17"/>
      <c r="F60" s="17"/>
      <c r="G60" s="10"/>
      <c r="H60" s="17"/>
      <c r="I60" s="11"/>
      <c r="J60" s="17"/>
      <c r="K60" s="17"/>
      <c r="L60" s="11"/>
      <c r="O60" s="60"/>
    </row>
    <row r="61" spans="1:15" ht="15.75" thickBot="1" x14ac:dyDescent="0.3">
      <c r="A61" s="59" t="s">
        <v>38</v>
      </c>
      <c r="B61" s="137">
        <f>+B45+B49</f>
        <v>0</v>
      </c>
      <c r="C61" s="52">
        <f>(SUM(C15:C19)-SUM(C29:C33))+SUM(C53:C57)+B61</f>
        <v>0</v>
      </c>
      <c r="D61" s="53">
        <f>(SUM(D15:D19)-SUM(D29:D33))+SUM(D53:D57)+C61</f>
        <v>0</v>
      </c>
      <c r="E61" s="53">
        <f t="shared" ref="E61:L61" si="25">(SUM(E15:E19)-SUM(E29:E33))+SUM(E53:E57)+D61</f>
        <v>0</v>
      </c>
      <c r="F61" s="126">
        <f t="shared" si="25"/>
        <v>559605.77999999991</v>
      </c>
      <c r="G61" s="52">
        <f t="shared" si="25"/>
        <v>1295183.7199999997</v>
      </c>
      <c r="H61" s="53">
        <f t="shared" si="25"/>
        <v>1539729.9499999997</v>
      </c>
      <c r="I61" s="74">
        <f t="shared" si="25"/>
        <v>1545725.6599999997</v>
      </c>
      <c r="J61" s="141">
        <f t="shared" si="25"/>
        <v>2352528.1099999994</v>
      </c>
      <c r="K61" s="53">
        <f t="shared" si="25"/>
        <v>2629686.0199999996</v>
      </c>
      <c r="L61" s="74">
        <f t="shared" si="25"/>
        <v>1518863.1999999995</v>
      </c>
    </row>
    <row r="62" spans="1:15" x14ac:dyDescent="0.25">
      <c r="A62" s="59" t="s">
        <v>14</v>
      </c>
      <c r="C62" s="138"/>
      <c r="D62" s="69"/>
      <c r="E62" s="69"/>
      <c r="F62" s="69"/>
      <c r="G62" s="12"/>
      <c r="H62" s="69"/>
      <c r="I62" s="11"/>
      <c r="J62" s="17"/>
      <c r="K62" s="17"/>
      <c r="L62" s="11"/>
    </row>
    <row r="63" spans="1:15" ht="15.75" thickBot="1" x14ac:dyDescent="0.3">
      <c r="B63" s="17"/>
      <c r="C63" s="55"/>
      <c r="D63" s="56"/>
      <c r="E63" s="56"/>
      <c r="F63" s="56"/>
      <c r="G63" s="55"/>
      <c r="H63" s="56"/>
      <c r="I63" s="57"/>
      <c r="J63" s="56"/>
      <c r="K63" s="56"/>
      <c r="L63" s="57"/>
    </row>
    <row r="65" spans="1:12" x14ac:dyDescent="0.25">
      <c r="A65" s="82" t="s">
        <v>13</v>
      </c>
      <c r="B65" s="82"/>
      <c r="C65" s="82"/>
    </row>
    <row r="66" spans="1:12" ht="42.75" customHeight="1" x14ac:dyDescent="0.25">
      <c r="A66" s="289" t="s">
        <v>201</v>
      </c>
      <c r="B66" s="289"/>
      <c r="C66" s="289"/>
      <c r="D66" s="289"/>
      <c r="E66" s="289"/>
      <c r="F66" s="289"/>
      <c r="G66" s="289"/>
      <c r="H66" s="289"/>
      <c r="I66" s="289"/>
      <c r="J66" s="260"/>
      <c r="K66" s="260"/>
      <c r="L66" s="260"/>
    </row>
    <row r="67" spans="1:12" ht="33.75" customHeight="1" x14ac:dyDescent="0.25">
      <c r="A67" s="289" t="s">
        <v>177</v>
      </c>
      <c r="B67" s="289"/>
      <c r="C67" s="289"/>
      <c r="D67" s="289"/>
      <c r="E67" s="289"/>
      <c r="F67" s="289"/>
      <c r="G67" s="289"/>
      <c r="H67" s="289"/>
      <c r="I67" s="289"/>
      <c r="J67" s="260"/>
      <c r="K67" s="260"/>
      <c r="L67" s="260"/>
    </row>
    <row r="68" spans="1:12" ht="33.75" customHeight="1" x14ac:dyDescent="0.25">
      <c r="A68" s="289" t="s">
        <v>176</v>
      </c>
      <c r="B68" s="289"/>
      <c r="C68" s="289"/>
      <c r="D68" s="289"/>
      <c r="E68" s="289"/>
      <c r="F68" s="289"/>
      <c r="G68" s="289"/>
      <c r="H68" s="289"/>
      <c r="I68" s="289"/>
      <c r="J68" s="260"/>
      <c r="K68" s="260"/>
      <c r="L68" s="260"/>
    </row>
    <row r="69" spans="1:12" x14ac:dyDescent="0.25">
      <c r="A69" s="3" t="s">
        <v>33</v>
      </c>
      <c r="B69" s="3"/>
      <c r="C69" s="3"/>
      <c r="I69" s="4"/>
    </row>
    <row r="70" spans="1:12" x14ac:dyDescent="0.25">
      <c r="A70" s="76" t="s">
        <v>174</v>
      </c>
      <c r="B70" s="3"/>
      <c r="C70" s="3"/>
      <c r="I70" s="4"/>
    </row>
    <row r="71" spans="1:12" x14ac:dyDescent="0.25">
      <c r="A71" s="3" t="s">
        <v>53</v>
      </c>
      <c r="B71" s="3"/>
      <c r="C71" s="3"/>
      <c r="I71" s="4"/>
    </row>
    <row r="72" spans="1:12" x14ac:dyDescent="0.25">
      <c r="A72" s="3"/>
    </row>
    <row r="81" spans="13:13" x14ac:dyDescent="0.25">
      <c r="M81" s="8"/>
    </row>
  </sheetData>
  <mergeCells count="6">
    <mergeCell ref="A68:I68"/>
    <mergeCell ref="D11:F11"/>
    <mergeCell ref="G11:I11"/>
    <mergeCell ref="J11:L11"/>
    <mergeCell ref="A66:I66"/>
    <mergeCell ref="A67:I67"/>
  </mergeCells>
  <pageMargins left="0.2" right="0.2" top="0.75" bottom="0.25" header="0.3" footer="0.3"/>
  <pageSetup scale="54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42"/>
  <sheetViews>
    <sheetView workbookViewId="0">
      <selection activeCell="B6" sqref="B6"/>
    </sheetView>
  </sheetViews>
  <sheetFormatPr defaultRowHeight="15" x14ac:dyDescent="0.25"/>
  <cols>
    <col min="1" max="1" width="24.7109375" customWidth="1"/>
    <col min="2" max="2" width="16.140625" customWidth="1"/>
    <col min="3" max="3" width="15.140625" customWidth="1"/>
  </cols>
  <sheetData>
    <row r="1" spans="1:23" s="59" customFormat="1" x14ac:dyDescent="0.25">
      <c r="A1" s="3" t="str">
        <f>+'PPC Cycle 2'!A1</f>
        <v>Evergy Metro, Inc. - DSIM Rider Update Filed 06/01/2020</v>
      </c>
    </row>
    <row r="2" spans="1:23" x14ac:dyDescent="0.25">
      <c r="A2" s="9" t="str">
        <f>+'PPC Cycle 2'!A2</f>
        <v>Projections for Cycle 2 July 2020 - June 2021 DSIM</v>
      </c>
    </row>
    <row r="3" spans="1:23" s="59" customFormat="1" x14ac:dyDescent="0.25">
      <c r="A3" s="9"/>
    </row>
    <row r="4" spans="1:23" ht="40.5" customHeight="1" x14ac:dyDescent="0.25">
      <c r="B4" s="280" t="s">
        <v>68</v>
      </c>
      <c r="C4" s="280"/>
    </row>
    <row r="5" spans="1:23" ht="45" x14ac:dyDescent="0.25">
      <c r="B5" s="170" t="s">
        <v>69</v>
      </c>
      <c r="C5" s="6" t="s">
        <v>31</v>
      </c>
    </row>
    <row r="6" spans="1:23" x14ac:dyDescent="0.25">
      <c r="A6" s="21" t="s">
        <v>26</v>
      </c>
      <c r="B6" s="33">
        <f>SUM('[3]Monthly TD Calc'!BB285:BM285)</f>
        <v>40232669.594218723</v>
      </c>
      <c r="C6" s="101">
        <f>ROUND(SUM('[3]Monthly TD Calc'!BB326:BM326),2)</f>
        <v>2909293.06</v>
      </c>
    </row>
    <row r="7" spans="1:23" x14ac:dyDescent="0.25">
      <c r="A7" s="42" t="s">
        <v>27</v>
      </c>
      <c r="B7" s="33">
        <f>+B14</f>
        <v>72444897.878200248</v>
      </c>
      <c r="C7" s="101">
        <f>+C14</f>
        <v>2884666.18</v>
      </c>
    </row>
    <row r="8" spans="1:23" x14ac:dyDescent="0.25">
      <c r="A8" s="21" t="s">
        <v>6</v>
      </c>
      <c r="B8" s="34">
        <f>SUM(B6:B7)</f>
        <v>112677567.47241896</v>
      </c>
      <c r="C8" s="23">
        <f>SUM(C6:C7)</f>
        <v>5793959.2400000002</v>
      </c>
    </row>
    <row r="9" spans="1:23" s="59" customFormat="1" x14ac:dyDescent="0.25">
      <c r="A9" s="21"/>
    </row>
    <row r="10" spans="1:23" s="59" customFormat="1" x14ac:dyDescent="0.25">
      <c r="A10" s="21" t="s">
        <v>121</v>
      </c>
      <c r="B10" s="33">
        <f>SUM('[3]Monthly TD Calc'!BB286:BM286)</f>
        <v>6475312.325200025</v>
      </c>
      <c r="C10" s="101">
        <f>ROUND(SUM('[3]Monthly TD Calc'!BB327:BM327),2)</f>
        <v>502893.23</v>
      </c>
    </row>
    <row r="11" spans="1:23" s="59" customFormat="1" x14ac:dyDescent="0.25">
      <c r="A11" s="21" t="s">
        <v>122</v>
      </c>
      <c r="B11" s="33">
        <f>SUM('[3]Monthly TD Calc'!BB287:BM287)</f>
        <v>23864874.61480004</v>
      </c>
      <c r="C11" s="101">
        <f>ROUND(SUM('[3]Monthly TD Calc'!BB328:BM328),2)</f>
        <v>1177457</v>
      </c>
    </row>
    <row r="12" spans="1:23" s="59" customFormat="1" x14ac:dyDescent="0.25">
      <c r="A12" s="21" t="s">
        <v>123</v>
      </c>
      <c r="B12" s="33">
        <f>SUM('[3]Monthly TD Calc'!BB288:BM288)</f>
        <v>34791424.623600163</v>
      </c>
      <c r="C12" s="101">
        <f>ROUND(SUM('[3]Monthly TD Calc'!BB329:BM329),2)</f>
        <v>1091348.68</v>
      </c>
    </row>
    <row r="13" spans="1:23" s="59" customFormat="1" x14ac:dyDescent="0.25">
      <c r="A13" s="21" t="s">
        <v>124</v>
      </c>
      <c r="B13" s="33">
        <f>SUM('[3]Monthly TD Calc'!BB289:BM289)</f>
        <v>7313286.3146000197</v>
      </c>
      <c r="C13" s="101">
        <f>ROUND(SUM('[3]Monthly TD Calc'!BB330:BM330),2)</f>
        <v>112967.27</v>
      </c>
    </row>
    <row r="14" spans="1:23" x14ac:dyDescent="0.25">
      <c r="A14" s="42" t="s">
        <v>126</v>
      </c>
      <c r="B14" s="34">
        <f>SUM(B10:B13)</f>
        <v>72444897.878200248</v>
      </c>
      <c r="C14" s="23">
        <f>SUM(C10:C13)</f>
        <v>2884666.18</v>
      </c>
    </row>
    <row r="15" spans="1:23" x14ac:dyDescent="0.25">
      <c r="A15" s="59"/>
      <c r="B15" s="59"/>
      <c r="C15" s="59"/>
    </row>
    <row r="16" spans="1:23" x14ac:dyDescent="0.25">
      <c r="A16" s="82" t="s">
        <v>32</v>
      </c>
      <c r="B16" s="21"/>
      <c r="C16" s="22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13" s="51" customFormat="1" x14ac:dyDescent="0.25">
      <c r="A17" s="284" t="s">
        <v>167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</row>
    <row r="18" spans="1:13" s="51" customFormat="1" x14ac:dyDescent="0.25">
      <c r="A18" s="284" t="s">
        <v>168</v>
      </c>
      <c r="B18" s="284"/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</row>
    <row r="38" spans="2:3" x14ac:dyDescent="0.25">
      <c r="B38" s="8"/>
      <c r="C38" s="8"/>
    </row>
    <row r="42" spans="2:3" x14ac:dyDescent="0.25">
      <c r="B42" s="8"/>
      <c r="C42" s="8"/>
    </row>
  </sheetData>
  <mergeCells count="3">
    <mergeCell ref="B4:C4"/>
    <mergeCell ref="A17:M17"/>
    <mergeCell ref="A18:M18"/>
  </mergeCells>
  <pageMargins left="0.2" right="0.2" top="0.75" bottom="0.25" header="0.3" footer="0.3"/>
  <pageSetup scale="96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DA52-1042-45D8-A4CB-A6813B156E39}">
  <sheetPr>
    <pageSetUpPr fitToPage="1"/>
  </sheetPr>
  <dimension ref="A1:W39"/>
  <sheetViews>
    <sheetView workbookViewId="0">
      <selection activeCell="B20" sqref="B20"/>
    </sheetView>
  </sheetViews>
  <sheetFormatPr defaultRowHeight="15" x14ac:dyDescent="0.25"/>
  <cols>
    <col min="1" max="1" width="24.7109375" style="59" customWidth="1"/>
    <col min="2" max="2" width="16.140625" style="59" customWidth="1"/>
    <col min="3" max="3" width="15.140625" style="59" customWidth="1"/>
    <col min="4" max="16384" width="9.140625" style="59"/>
  </cols>
  <sheetData>
    <row r="1" spans="1:23" x14ac:dyDescent="0.25">
      <c r="A1" s="3" t="str">
        <f>+'PPC Cycle 2'!A1</f>
        <v>Evergy Metro, Inc. - DSIM Rider Update Filed 06/01/2020</v>
      </c>
    </row>
    <row r="2" spans="1:23" x14ac:dyDescent="0.25">
      <c r="A2" s="9" t="str">
        <f>+'PPC Cycle 3'!A2</f>
        <v>Projections for Cycle 3 July 2020 - June 2021 DSIM</v>
      </c>
    </row>
    <row r="3" spans="1:23" x14ac:dyDescent="0.25">
      <c r="A3" s="9"/>
    </row>
    <row r="4" spans="1:23" ht="40.5" customHeight="1" x14ac:dyDescent="0.25">
      <c r="B4" s="280" t="s">
        <v>128</v>
      </c>
      <c r="C4" s="280"/>
    </row>
    <row r="5" spans="1:23" ht="45" x14ac:dyDescent="0.25">
      <c r="B5" s="170" t="s">
        <v>69</v>
      </c>
      <c r="C5" s="61" t="s">
        <v>31</v>
      </c>
    </row>
    <row r="6" spans="1:23" x14ac:dyDescent="0.25">
      <c r="A6" s="21" t="s">
        <v>26</v>
      </c>
      <c r="B6" s="33">
        <f>SUM('[4]Monthly TD Calc'!K461:V461)</f>
        <v>30109944.061462976</v>
      </c>
      <c r="C6" s="101">
        <f>ROUND(SUM('[4]Monthly TD Calc'!K563:V563),2)</f>
        <v>2456899.98</v>
      </c>
    </row>
    <row r="7" spans="1:23" x14ac:dyDescent="0.25">
      <c r="A7" s="21" t="s">
        <v>121</v>
      </c>
      <c r="B7" s="33">
        <f>SUM('[4]Monthly TD Calc'!K462:V462)</f>
        <v>4080385.1253048414</v>
      </c>
      <c r="C7" s="101">
        <f>ROUND(SUM('[4]Monthly TD Calc'!K564:V564),2)</f>
        <v>332017.42</v>
      </c>
    </row>
    <row r="8" spans="1:23" x14ac:dyDescent="0.25">
      <c r="A8" s="21" t="s">
        <v>122</v>
      </c>
      <c r="B8" s="33">
        <f>SUM('[4]Monthly TD Calc'!K463:V463)</f>
        <v>6953032.2671732241</v>
      </c>
      <c r="C8" s="101">
        <f>ROUND(SUM('[4]Monthly TD Calc'!K565:V565),2)</f>
        <v>369891.94</v>
      </c>
    </row>
    <row r="9" spans="1:23" x14ac:dyDescent="0.25">
      <c r="A9" s="21" t="s">
        <v>123</v>
      </c>
      <c r="B9" s="33">
        <f>SUM('[4]Monthly TD Calc'!K464:V464)</f>
        <v>11557096.155466467</v>
      </c>
      <c r="C9" s="101">
        <f>ROUND(SUM('[4]Monthly TD Calc'!K566:V566),2)</f>
        <v>410548.59</v>
      </c>
    </row>
    <row r="10" spans="1:23" x14ac:dyDescent="0.25">
      <c r="A10" s="21" t="s">
        <v>124</v>
      </c>
      <c r="B10" s="33">
        <f>SUM('[4]Monthly TD Calc'!K465:V465)</f>
        <v>4041357.0464347815</v>
      </c>
      <c r="C10" s="101">
        <f>ROUND(SUM('[4]Monthly TD Calc'!K567:V567),2)</f>
        <v>73805.36</v>
      </c>
    </row>
    <row r="11" spans="1:23" x14ac:dyDescent="0.25">
      <c r="A11" s="42" t="s">
        <v>6</v>
      </c>
      <c r="B11" s="34">
        <f>SUM(B6:B10)</f>
        <v>56741814.655842289</v>
      </c>
      <c r="C11" s="34">
        <f>SUM(C6:C10)</f>
        <v>3643163.2899999996</v>
      </c>
    </row>
    <row r="13" spans="1:23" x14ac:dyDescent="0.25">
      <c r="A13" s="82" t="s">
        <v>32</v>
      </c>
      <c r="B13" s="21"/>
      <c r="C13" s="22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s="51" customFormat="1" x14ac:dyDescent="0.25">
      <c r="A14" s="284" t="s">
        <v>202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</row>
    <row r="15" spans="1:23" s="51" customFormat="1" x14ac:dyDescent="0.25">
      <c r="A15" s="284" t="s">
        <v>203</v>
      </c>
      <c r="B15" s="284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</row>
    <row r="35" spans="2:3" x14ac:dyDescent="0.25">
      <c r="B35" s="8"/>
      <c r="C35" s="8"/>
    </row>
    <row r="39" spans="2:3" x14ac:dyDescent="0.25">
      <c r="B39" s="8"/>
      <c r="C39" s="8"/>
    </row>
  </sheetData>
  <mergeCells count="3">
    <mergeCell ref="B4:C4"/>
    <mergeCell ref="A14:M14"/>
    <mergeCell ref="A15:M15"/>
  </mergeCells>
  <pageMargins left="0.2" right="0.2" top="0.75" bottom="0.25" header="0.3" footer="0.3"/>
  <pageSetup scale="96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67"/>
  <sheetViews>
    <sheetView zoomScaleNormal="100" workbookViewId="0">
      <pane xSplit="1" ySplit="2" topLeftCell="O9" activePane="bottomRight" state="frozen"/>
      <selection activeCell="J18" sqref="J18"/>
      <selection pane="topRight" activeCell="J18" sqref="J18"/>
      <selection pane="bottomLeft" activeCell="J18" sqref="J18"/>
      <selection pane="bottomRight" activeCell="P1" sqref="P1:P1048576"/>
    </sheetView>
  </sheetViews>
  <sheetFormatPr defaultRowHeight="15" outlineLevelCol="1" x14ac:dyDescent="0.25"/>
  <cols>
    <col min="1" max="1" width="61.7109375" style="59" customWidth="1"/>
    <col min="2" max="2" width="12.140625" style="59" customWidth="1"/>
    <col min="3" max="3" width="12.42578125" style="59" customWidth="1"/>
    <col min="4" max="4" width="12.42578125" style="59" hidden="1" customWidth="1" outlineLevel="1"/>
    <col min="5" max="5" width="15.42578125" style="59" customWidth="1" collapsed="1"/>
    <col min="6" max="6" width="15.85546875" style="59" customWidth="1"/>
    <col min="7" max="7" width="12.28515625" style="59" customWidth="1"/>
    <col min="8" max="9" width="13.28515625" style="59" customWidth="1"/>
    <col min="10" max="10" width="12.28515625" style="59" bestFit="1" customWidth="1"/>
    <col min="11" max="11" width="11.5703125" style="59" bestFit="1" customWidth="1"/>
    <col min="12" max="12" width="12.85546875" style="59" customWidth="1"/>
    <col min="13" max="13" width="16" style="59" customWidth="1"/>
    <col min="14" max="14" width="15" style="59" bestFit="1" customWidth="1"/>
    <col min="15" max="15" width="16" style="59" bestFit="1" customWidth="1"/>
    <col min="16" max="16" width="15.28515625" style="59" bestFit="1" customWidth="1"/>
    <col min="17" max="17" width="17.42578125" style="59" bestFit="1" customWidth="1"/>
    <col min="18" max="18" width="16.28515625" style="59" bestFit="1" customWidth="1"/>
    <col min="19" max="19" width="15.28515625" style="59" bestFit="1" customWidth="1"/>
    <col min="20" max="20" width="12.42578125" style="59" customWidth="1"/>
    <col min="21" max="22" width="14.28515625" style="59" bestFit="1" customWidth="1"/>
    <col min="23" max="16384" width="9.140625" style="59"/>
  </cols>
  <sheetData>
    <row r="1" spans="1:35" x14ac:dyDescent="0.25">
      <c r="A1" s="3" t="str">
        <f>+'PPC Cycle 2'!A1</f>
        <v>Evergy Metro, Inc. - DSIM Rider Update Filed 06/01/2020</v>
      </c>
      <c r="B1" s="3"/>
      <c r="C1" s="3"/>
      <c r="D1" s="3"/>
    </row>
    <row r="2" spans="1:35" x14ac:dyDescent="0.25">
      <c r="E2" s="3" t="s">
        <v>64</v>
      </c>
    </row>
    <row r="3" spans="1:35" ht="30" x14ac:dyDescent="0.25">
      <c r="E3" s="61" t="s">
        <v>48</v>
      </c>
      <c r="F3" s="83" t="s">
        <v>75</v>
      </c>
      <c r="G3" s="83" t="s">
        <v>56</v>
      </c>
      <c r="H3" s="61" t="s">
        <v>3</v>
      </c>
      <c r="I3" s="83" t="s">
        <v>57</v>
      </c>
      <c r="J3" s="61" t="s">
        <v>11</v>
      </c>
      <c r="K3" s="61" t="s">
        <v>10</v>
      </c>
      <c r="S3" s="61"/>
    </row>
    <row r="4" spans="1:35" x14ac:dyDescent="0.25">
      <c r="A4" s="21" t="s">
        <v>26</v>
      </c>
      <c r="B4" s="21"/>
      <c r="C4" s="21"/>
      <c r="D4" s="21"/>
      <c r="E4" s="23">
        <f>SUM(C19:M19)</f>
        <v>1332371.4840800001</v>
      </c>
      <c r="F4" s="156">
        <f>N26</f>
        <v>22162186.476088613</v>
      </c>
      <c r="G4" s="23">
        <f>SUM(C33:L33)</f>
        <v>1458775.1</v>
      </c>
      <c r="H4" s="23">
        <f>G4-E4</f>
        <v>126403.61592000001</v>
      </c>
      <c r="I4" s="23">
        <f>+B46</f>
        <v>749873.41591999971</v>
      </c>
      <c r="J4" s="23">
        <f>SUM(C51:L51)</f>
        <v>13572.31</v>
      </c>
      <c r="K4" s="35">
        <f>SUM(H4:J4)</f>
        <v>889849.34183999978</v>
      </c>
      <c r="L4" s="60">
        <f>+K4-M46</f>
        <v>0</v>
      </c>
    </row>
    <row r="5" spans="1:35" ht="15.75" thickBot="1" x14ac:dyDescent="0.3">
      <c r="A5" s="21" t="s">
        <v>27</v>
      </c>
      <c r="B5" s="21"/>
      <c r="C5" s="21"/>
      <c r="D5" s="21"/>
      <c r="E5" s="23">
        <f>SUM(C20:M23)</f>
        <v>1355304.7414300002</v>
      </c>
      <c r="F5" s="156">
        <f>SUM(N27:N30)</f>
        <v>36042309.904293939</v>
      </c>
      <c r="G5" s="23">
        <f>SUM(C34:L37)</f>
        <v>1354464.0200000003</v>
      </c>
      <c r="H5" s="23">
        <f>G5-E5</f>
        <v>-840.72142999991775</v>
      </c>
      <c r="I5" s="23">
        <f>+B47</f>
        <v>28474.592839999714</v>
      </c>
      <c r="J5" s="23">
        <f>SUM(C52:L52)</f>
        <v>577.76</v>
      </c>
      <c r="K5" s="35">
        <f>SUM(H5:J5)</f>
        <v>28211.631409999794</v>
      </c>
      <c r="L5" s="60">
        <f>+K5-M47</f>
        <v>6.5483618527650833E-11</v>
      </c>
    </row>
    <row r="6" spans="1:35" ht="16.5" thickTop="1" thickBot="1" x14ac:dyDescent="0.3">
      <c r="E6" s="39">
        <f t="shared" ref="E6" si="0">SUM(E4:E5)</f>
        <v>2687676.2255100003</v>
      </c>
      <c r="F6" s="157">
        <f t="shared" ref="F6:I6" si="1">SUM(F4:F5)</f>
        <v>58204496.380382553</v>
      </c>
      <c r="G6" s="39">
        <f t="shared" si="1"/>
        <v>2813239.12</v>
      </c>
      <c r="H6" s="39">
        <f t="shared" si="1"/>
        <v>125562.89449000009</v>
      </c>
      <c r="I6" s="39">
        <f t="shared" si="1"/>
        <v>778348.00875999941</v>
      </c>
      <c r="J6" s="39">
        <f>SUM(J4:J5)</f>
        <v>14150.07</v>
      </c>
      <c r="K6" s="39">
        <f>SUM(K4:K5)</f>
        <v>918060.97324999957</v>
      </c>
      <c r="T6" s="5"/>
    </row>
    <row r="7" spans="1:35" ht="45.75" thickTop="1" x14ac:dyDescent="0.25">
      <c r="K7" s="253"/>
      <c r="L7" s="252" t="s">
        <v>141</v>
      </c>
    </row>
    <row r="8" spans="1:35" x14ac:dyDescent="0.25">
      <c r="A8" s="21" t="s">
        <v>121</v>
      </c>
      <c r="K8" s="35">
        <f>ROUND($K$5*L8,2)</f>
        <v>3830.14</v>
      </c>
      <c r="L8" s="250">
        <f>+'[3]Monthly TD Calc'!$CY$44</f>
        <v>0.13576441564001979</v>
      </c>
    </row>
    <row r="9" spans="1:35" x14ac:dyDescent="0.25">
      <c r="A9" s="21" t="s">
        <v>122</v>
      </c>
      <c r="K9" s="35">
        <f t="shared" ref="K9:K11" si="2">ROUND($K$5*L9,2)</f>
        <v>10046.61</v>
      </c>
      <c r="L9" s="250">
        <f>+'[3]Monthly TD Calc'!$CZ$44</f>
        <v>0.35611574316442379</v>
      </c>
    </row>
    <row r="10" spans="1:35" x14ac:dyDescent="0.25">
      <c r="A10" s="21" t="s">
        <v>123</v>
      </c>
      <c r="K10" s="35">
        <f t="shared" si="2"/>
        <v>11801.45</v>
      </c>
      <c r="L10" s="250">
        <f>+'[3]Monthly TD Calc'!$DA$44</f>
        <v>0.4183185730547726</v>
      </c>
    </row>
    <row r="11" spans="1:35" ht="15.75" thickBot="1" x14ac:dyDescent="0.3">
      <c r="A11" s="21" t="s">
        <v>124</v>
      </c>
      <c r="J11" s="4"/>
      <c r="K11" s="35">
        <f t="shared" si="2"/>
        <v>2533.44</v>
      </c>
      <c r="L11" s="250">
        <f>+'[3]Monthly TD Calc'!$DB$44</f>
        <v>8.9801268140783777E-2</v>
      </c>
      <c r="V11" s="4"/>
    </row>
    <row r="12" spans="1:35" ht="16.5" thickTop="1" thickBot="1" x14ac:dyDescent="0.3">
      <c r="A12" s="21" t="s">
        <v>126</v>
      </c>
      <c r="K12" s="39">
        <f>SUM(K8:K11)</f>
        <v>28211.64</v>
      </c>
      <c r="L12" s="251">
        <f>SUM(L8:L11)</f>
        <v>1</v>
      </c>
      <c r="V12" s="4"/>
      <c r="W12" s="5"/>
    </row>
    <row r="13" spans="1:35" ht="16.5" thickTop="1" thickBot="1" x14ac:dyDescent="0.3">
      <c r="V13" s="4"/>
      <c r="W13" s="5"/>
    </row>
    <row r="14" spans="1:35" ht="120.75" thickBot="1" x14ac:dyDescent="0.3">
      <c r="B14" s="136" t="str">
        <f>+'PCR Cycle 2'!B14</f>
        <v>Cumulative Over/Under Carryover From 12/02/2020 Filing</v>
      </c>
      <c r="C14" s="171" t="str">
        <f>+'PCR Cycle 2'!C14:F14</f>
        <v>Reverse November-19 - January 2020  Forecast From 12/02/2020 Filing</v>
      </c>
      <c r="D14" s="237"/>
      <c r="E14" s="290" t="s">
        <v>35</v>
      </c>
      <c r="F14" s="290"/>
      <c r="G14" s="291"/>
      <c r="H14" s="292" t="s">
        <v>35</v>
      </c>
      <c r="I14" s="293"/>
      <c r="J14" s="294"/>
      <c r="K14" s="286" t="s">
        <v>9</v>
      </c>
      <c r="L14" s="287"/>
      <c r="M14" s="288"/>
    </row>
    <row r="15" spans="1:35" x14ac:dyDescent="0.25">
      <c r="A15" s="59" t="s">
        <v>66</v>
      </c>
      <c r="C15" s="123"/>
      <c r="D15" s="238"/>
      <c r="E15" s="19">
        <f>+'PCR Cycle 2'!D15</f>
        <v>43799</v>
      </c>
      <c r="F15" s="19">
        <f t="shared" ref="F15:M15" si="3">EOMONTH(E15,1)</f>
        <v>43830</v>
      </c>
      <c r="G15" s="19">
        <f t="shared" si="3"/>
        <v>43861</v>
      </c>
      <c r="H15" s="14">
        <f t="shared" si="3"/>
        <v>43890</v>
      </c>
      <c r="I15" s="19">
        <f t="shared" si="3"/>
        <v>43921</v>
      </c>
      <c r="J15" s="15">
        <f t="shared" si="3"/>
        <v>43951</v>
      </c>
      <c r="K15" s="19">
        <f t="shared" si="3"/>
        <v>43982</v>
      </c>
      <c r="L15" s="19">
        <f t="shared" si="3"/>
        <v>44012</v>
      </c>
      <c r="M15" s="15">
        <f t="shared" si="3"/>
        <v>44043</v>
      </c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25">
      <c r="A16" s="59" t="s">
        <v>6</v>
      </c>
      <c r="C16" s="218">
        <v>-658115.9</v>
      </c>
      <c r="D16" s="221">
        <f t="shared" ref="D16" si="4">+D33+D37</f>
        <v>0</v>
      </c>
      <c r="E16" s="127">
        <f>SUM(E33:E37)</f>
        <v>369310.18</v>
      </c>
      <c r="F16" s="127">
        <f t="shared" ref="F16:L16" si="5">SUM(F33:F37)</f>
        <v>426363.44000000006</v>
      </c>
      <c r="G16" s="128">
        <f t="shared" si="5"/>
        <v>399725.57999999996</v>
      </c>
      <c r="H16" s="16">
        <f t="shared" si="5"/>
        <v>377966.21</v>
      </c>
      <c r="I16" s="68">
        <f t="shared" si="5"/>
        <v>410955.63000000006</v>
      </c>
      <c r="J16" s="186">
        <f t="shared" si="5"/>
        <v>409450.88</v>
      </c>
      <c r="K16" s="179">
        <f t="shared" si="5"/>
        <v>456538.20000000007</v>
      </c>
      <c r="L16" s="93">
        <f t="shared" si="5"/>
        <v>621044.9</v>
      </c>
      <c r="M16" s="94"/>
    </row>
    <row r="17" spans="1:15" x14ac:dyDescent="0.25">
      <c r="C17" s="117"/>
      <c r="D17" s="222"/>
      <c r="E17" s="17"/>
      <c r="F17" s="17"/>
      <c r="G17" s="17"/>
      <c r="H17" s="10"/>
      <c r="I17" s="17"/>
      <c r="J17" s="11"/>
      <c r="K17" s="43"/>
      <c r="L17" s="43"/>
      <c r="M17" s="41"/>
    </row>
    <row r="18" spans="1:15" x14ac:dyDescent="0.25">
      <c r="A18" s="59" t="s">
        <v>65</v>
      </c>
      <c r="C18" s="117"/>
      <c r="D18" s="222"/>
      <c r="E18" s="18"/>
      <c r="F18" s="18"/>
      <c r="G18" s="18"/>
      <c r="H18" s="109"/>
      <c r="I18" s="18"/>
      <c r="J18" s="187"/>
      <c r="K18" s="43"/>
      <c r="L18" s="43"/>
      <c r="M18" s="41"/>
      <c r="N18" s="3" t="s">
        <v>72</v>
      </c>
      <c r="O18" s="51"/>
    </row>
    <row r="19" spans="1:15" x14ac:dyDescent="0.25">
      <c r="A19" s="59" t="s">
        <v>26</v>
      </c>
      <c r="C19" s="218">
        <v>-404807.41408000002</v>
      </c>
      <c r="D19" s="221">
        <v>0</v>
      </c>
      <c r="E19" s="154">
        <f>ROUND('[6]November 2019 Combined'!F44,2)</f>
        <v>103676.31</v>
      </c>
      <c r="F19" s="154">
        <f>ROUND('[6]December 2019 Combined'!F44,2)</f>
        <v>132221.42000000001</v>
      </c>
      <c r="G19" s="154">
        <f>ROUND('[7]January 2020'!F49,2)</f>
        <v>140179.26</v>
      </c>
      <c r="H19" s="16">
        <f>ROUND('[7]February 2020'!F61,2)</f>
        <v>143386.23999999999</v>
      </c>
      <c r="I19" s="139">
        <f>ROUND('[7]March 2020'!F61,2)</f>
        <v>178219.42</v>
      </c>
      <c r="J19" s="191">
        <f>ROUND('[7]April 2020'!F61,2)</f>
        <v>224982.04</v>
      </c>
      <c r="K19" s="141">
        <f>'PCR Cycle 2'!J27*'TDR Cycle 2'!$N19</f>
        <v>194150.60474000001</v>
      </c>
      <c r="L19" s="53">
        <f>'PCR Cycle 2'!K27*'TDR Cycle 2'!$N19</f>
        <v>250543.753</v>
      </c>
      <c r="M19" s="74">
        <f>'PCR Cycle 2'!L27*'TDR Cycle 2'!$N19</f>
        <v>369819.85042000003</v>
      </c>
      <c r="N19" s="85">
        <v>1.34E-3</v>
      </c>
      <c r="O19" s="4"/>
    </row>
    <row r="20" spans="1:15" x14ac:dyDescent="0.25">
      <c r="A20" s="59" t="s">
        <v>121</v>
      </c>
      <c r="C20" s="218"/>
      <c r="D20" s="221"/>
      <c r="E20" s="154"/>
      <c r="F20" s="154"/>
      <c r="G20" s="154"/>
      <c r="H20" s="16">
        <f>ROUND('[7]February 2020'!F62,2)</f>
        <v>7995.17</v>
      </c>
      <c r="I20" s="139">
        <f>ROUND('[7]March 2020'!F62,2)</f>
        <v>27173.91</v>
      </c>
      <c r="J20" s="191">
        <f>ROUND('[7]April 2020'!F62,2)</f>
        <v>40635.14</v>
      </c>
      <c r="K20" s="141">
        <f>'PCR Cycle 2'!J28*'TDR Cycle 2'!$N20</f>
        <v>38745.396840000001</v>
      </c>
      <c r="L20" s="53">
        <f>'PCR Cycle 2'!K28*'TDR Cycle 2'!$N20</f>
        <v>42400.626639999995</v>
      </c>
      <c r="M20" s="74">
        <f>'PCR Cycle 2'!L28*'TDR Cycle 2'!$N20</f>
        <v>46612.987739999997</v>
      </c>
      <c r="N20" s="85">
        <v>1.2199999999999999E-3</v>
      </c>
      <c r="O20" s="4"/>
    </row>
    <row r="21" spans="1:15" x14ac:dyDescent="0.25">
      <c r="A21" s="59" t="s">
        <v>122</v>
      </c>
      <c r="C21" s="218"/>
      <c r="D21" s="221"/>
      <c r="E21" s="154"/>
      <c r="F21" s="154"/>
      <c r="G21" s="154"/>
      <c r="H21" s="16">
        <f>ROUND('[7]February 2020'!F63,2)</f>
        <v>17117.04</v>
      </c>
      <c r="I21" s="139">
        <f>ROUND('[7]March 2020'!F63,2)</f>
        <v>51169.95</v>
      </c>
      <c r="J21" s="191">
        <f>ROUND('[7]April 2020'!F63,2)</f>
        <v>72688.02</v>
      </c>
      <c r="K21" s="141">
        <f>'PCR Cycle 2'!J29*'TDR Cycle 2'!$N21</f>
        <v>87733.444499999998</v>
      </c>
      <c r="L21" s="53">
        <f>'PCR Cycle 2'!K29*'TDR Cycle 2'!$N21</f>
        <v>96010.191630000001</v>
      </c>
      <c r="M21" s="74">
        <f>'PCR Cycle 2'!L29*'TDR Cycle 2'!$N21</f>
        <v>105548.48584000001</v>
      </c>
      <c r="N21" s="85">
        <v>9.7000000000000005E-4</v>
      </c>
      <c r="O21" s="4"/>
    </row>
    <row r="22" spans="1:15" x14ac:dyDescent="0.25">
      <c r="A22" s="59" t="s">
        <v>123</v>
      </c>
      <c r="C22" s="218"/>
      <c r="D22" s="221"/>
      <c r="E22" s="154"/>
      <c r="F22" s="154"/>
      <c r="G22" s="154"/>
      <c r="H22" s="16">
        <f>ROUND('[7]February 2020'!F64,2)</f>
        <v>40712.559999999998</v>
      </c>
      <c r="I22" s="139">
        <f>ROUND('[7]March 2020'!F64,2)</f>
        <v>57479.4</v>
      </c>
      <c r="J22" s="191">
        <f>ROUND('[7]April 2020'!F64,2)</f>
        <v>66774.490000000005</v>
      </c>
      <c r="K22" s="141">
        <f>'PCR Cycle 2'!J30*'TDR Cycle 2'!$N22</f>
        <v>72927.275719999991</v>
      </c>
      <c r="L22" s="53">
        <f>'PCR Cycle 2'!K30*'TDR Cycle 2'!$N22</f>
        <v>79807.21372</v>
      </c>
      <c r="M22" s="74">
        <f>'PCR Cycle 2'!L30*'TDR Cycle 2'!$N22</f>
        <v>87735.795159999994</v>
      </c>
      <c r="N22" s="85">
        <v>5.1999999999999995E-4</v>
      </c>
      <c r="O22" s="4"/>
    </row>
    <row r="23" spans="1:15" x14ac:dyDescent="0.25">
      <c r="A23" s="59" t="s">
        <v>124</v>
      </c>
      <c r="C23" s="218">
        <v>-29187.093879999993</v>
      </c>
      <c r="D23" s="221">
        <v>0</v>
      </c>
      <c r="E23" s="154">
        <f>ROUND('[6]November 2019 Combined'!F45,2)</f>
        <v>86114.17</v>
      </c>
      <c r="F23" s="154">
        <f>ROUND('[6]December 2019 Combined'!F45,2)</f>
        <v>97642.42</v>
      </c>
      <c r="G23" s="154">
        <f>ROUND('[7]January 2020'!F50,2)</f>
        <v>93226.37</v>
      </c>
      <c r="H23" s="16">
        <f>ROUND('[7]February 2020'!F65,2)</f>
        <v>28006.080000000002</v>
      </c>
      <c r="I23" s="139">
        <f>ROUND('[7]March 2020'!F65,2)</f>
        <v>8172.53</v>
      </c>
      <c r="J23" s="191">
        <f>ROUND('[7]April 2020'!F65,2)</f>
        <v>6882.56</v>
      </c>
      <c r="K23" s="141">
        <f>'PCR Cycle 2'!J31*'TDR Cycle 2'!$N23</f>
        <v>7636.5073800000009</v>
      </c>
      <c r="L23" s="53">
        <f>'PCR Cycle 2'!K31*'TDR Cycle 2'!$N23</f>
        <v>8356.9332599999998</v>
      </c>
      <c r="M23" s="74">
        <f>'PCR Cycle 2'!L31*'TDR Cycle 2'!$N23</f>
        <v>9187.1668800000007</v>
      </c>
      <c r="N23" s="85">
        <v>1.8000000000000001E-4</v>
      </c>
      <c r="O23" s="4"/>
    </row>
    <row r="24" spans="1:15" x14ac:dyDescent="0.25">
      <c r="C24" s="80"/>
      <c r="D24" s="223"/>
      <c r="E24" s="81"/>
      <c r="F24" s="81"/>
      <c r="G24" s="81"/>
      <c r="H24" s="80"/>
      <c r="I24" s="81"/>
      <c r="J24" s="189"/>
      <c r="K24" s="69"/>
      <c r="L24" s="69"/>
      <c r="M24" s="13"/>
      <c r="O24" s="4"/>
    </row>
    <row r="25" spans="1:15" x14ac:dyDescent="0.25">
      <c r="A25" s="51" t="s">
        <v>70</v>
      </c>
      <c r="B25" s="51"/>
      <c r="C25" s="80"/>
      <c r="D25" s="223"/>
      <c r="E25" s="69"/>
      <c r="F25" s="69"/>
      <c r="G25" s="69"/>
      <c r="H25" s="12"/>
      <c r="I25" s="69"/>
      <c r="J25" s="190"/>
      <c r="K25" s="69"/>
      <c r="L25" s="69"/>
      <c r="M25" s="13"/>
      <c r="N25" s="7"/>
    </row>
    <row r="26" spans="1:15" x14ac:dyDescent="0.25">
      <c r="A26" s="59" t="s">
        <v>26</v>
      </c>
      <c r="C26" s="219">
        <v>-5318189.6042142091</v>
      </c>
      <c r="D26" s="224"/>
      <c r="E26" s="129">
        <f>+'[3]Monthly TD Calc'!AT285</f>
        <v>3249772.3699641498</v>
      </c>
      <c r="F26" s="129">
        <f>+'[3]Monthly TD Calc'!AU285</f>
        <v>4177030.5106265787</v>
      </c>
      <c r="G26" s="143">
        <f>+'[3]Monthly TD Calc'!AV285</f>
        <v>3670317.7984049888</v>
      </c>
      <c r="H26" s="89">
        <f>+'[3]Monthly TD Calc'!AW285</f>
        <v>3305717.5520906802</v>
      </c>
      <c r="I26" s="90">
        <f>+'[3]Monthly TD Calc'!AX285</f>
        <v>3281805.3874220303</v>
      </c>
      <c r="J26" s="191">
        <f>+'[3]Monthly TD Calc'!AY285</f>
        <v>3159237.1988244001</v>
      </c>
      <c r="K26" s="180">
        <f>+'[3]Monthly TD Calc'!AZ285</f>
        <v>3370413.5458254805</v>
      </c>
      <c r="L26" s="162">
        <f>+'[3]Monthly TD Calc'!BA285</f>
        <v>3266081.7171445102</v>
      </c>
      <c r="M26" s="95"/>
      <c r="N26" s="72">
        <f>SUM(C26:L26)</f>
        <v>22162186.476088613</v>
      </c>
    </row>
    <row r="27" spans="1:15" x14ac:dyDescent="0.25">
      <c r="A27" s="59" t="s">
        <v>121</v>
      </c>
      <c r="C27" s="219"/>
      <c r="D27" s="224"/>
      <c r="E27" s="129">
        <f>+'[3]Monthly TD Calc'!AT286</f>
        <v>353223.36928250454</v>
      </c>
      <c r="F27" s="129">
        <f>+'[3]Monthly TD Calc'!AU286</f>
        <v>450596.26731509669</v>
      </c>
      <c r="G27" s="143">
        <f>+'[3]Monthly TD Calc'!AV286</f>
        <v>546257.46031236276</v>
      </c>
      <c r="H27" s="89">
        <f>+'[3]Monthly TD Calc'!AW286</f>
        <v>496691.12885422038</v>
      </c>
      <c r="I27" s="90">
        <f>+'[3]Monthly TD Calc'!AX286</f>
        <v>556097.3657622321</v>
      </c>
      <c r="J27" s="191">
        <f>+'[3]Monthly TD Calc'!AY286</f>
        <v>524405.96288920077</v>
      </c>
      <c r="K27" s="180">
        <f>+'[3]Monthly TD Calc'!AZ286</f>
        <v>556499.47614329192</v>
      </c>
      <c r="L27" s="162">
        <f>+'[3]Monthly TD Calc'!BA286</f>
        <v>546992.58507852885</v>
      </c>
      <c r="M27" s="95"/>
      <c r="N27" s="72">
        <f t="shared" ref="N27:N30" si="6">SUM(C27:L27)</f>
        <v>4030763.6156374384</v>
      </c>
    </row>
    <row r="28" spans="1:15" x14ac:dyDescent="0.25">
      <c r="A28" s="59" t="s">
        <v>122</v>
      </c>
      <c r="C28" s="219"/>
      <c r="D28" s="224"/>
      <c r="E28" s="129">
        <f>+'[3]Monthly TD Calc'!AT287</f>
        <v>1405959.7046065426</v>
      </c>
      <c r="F28" s="129">
        <f>+'[3]Monthly TD Calc'!AU287</f>
        <v>1662530.1278343846</v>
      </c>
      <c r="G28" s="143">
        <f>+'[3]Monthly TD Calc'!AV287</f>
        <v>1998762.7110877649</v>
      </c>
      <c r="H28" s="89">
        <f>+'[3]Monthly TD Calc'!AW287</f>
        <v>1812660.5122951441</v>
      </c>
      <c r="I28" s="90">
        <f>+'[3]Monthly TD Calc'!AX287</f>
        <v>2044973.9453570289</v>
      </c>
      <c r="J28" s="191">
        <f>+'[3]Monthly TD Calc'!AY287</f>
        <v>1934325.6695846934</v>
      </c>
      <c r="K28" s="180">
        <f>+'[3]Monthly TD Calc'!AZ287</f>
        <v>2051435.6097464242</v>
      </c>
      <c r="L28" s="162">
        <f>+'[3]Monthly TD Calc'!BA287</f>
        <v>2034680.2422364058</v>
      </c>
      <c r="M28" s="95"/>
      <c r="N28" s="72">
        <f t="shared" si="6"/>
        <v>14945328.522748388</v>
      </c>
    </row>
    <row r="29" spans="1:15" x14ac:dyDescent="0.25">
      <c r="A29" s="59" t="s">
        <v>123</v>
      </c>
      <c r="C29" s="219"/>
      <c r="D29" s="224"/>
      <c r="E29" s="129">
        <f>+'[3]Monthly TD Calc'!AT288</f>
        <v>1939933.1830691225</v>
      </c>
      <c r="F29" s="129">
        <f>+'[3]Monthly TD Calc'!AU288</f>
        <v>2401311.3134864406</v>
      </c>
      <c r="G29" s="143">
        <f>+'[3]Monthly TD Calc'!AV288</f>
        <v>2932655.5697997292</v>
      </c>
      <c r="H29" s="89">
        <f>+'[3]Monthly TD Calc'!AW288</f>
        <v>2664302.9772219518</v>
      </c>
      <c r="I29" s="90">
        <f>+'[3]Monthly TD Calc'!AX288</f>
        <v>2990023.4024577467</v>
      </c>
      <c r="J29" s="191">
        <f>+'[3]Monthly TD Calc'!AY288</f>
        <v>2822497.4988393728</v>
      </c>
      <c r="K29" s="180">
        <f>+'[3]Monthly TD Calc'!AZ288</f>
        <v>2991661.3414560268</v>
      </c>
      <c r="L29" s="162">
        <f>+'[3]Monthly TD Calc'!BA288</f>
        <v>2941625.7665488054</v>
      </c>
      <c r="M29" s="95"/>
      <c r="N29" s="72">
        <f t="shared" si="6"/>
        <v>21684011.052879196</v>
      </c>
    </row>
    <row r="30" spans="1:15" x14ac:dyDescent="0.25">
      <c r="A30" s="59" t="s">
        <v>124</v>
      </c>
      <c r="C30" s="219">
        <v>-9380614.7615736164</v>
      </c>
      <c r="D30" s="224"/>
      <c r="E30" s="129">
        <f>+'[3]Monthly TD Calc'!AT289</f>
        <v>535052.74559777428</v>
      </c>
      <c r="F30" s="129">
        <f>+'[3]Monthly TD Calc'!AU289</f>
        <v>574337.10665173898</v>
      </c>
      <c r="G30" s="143">
        <f>+'[3]Monthly TD Calc'!AV289</f>
        <v>622361.83728781843</v>
      </c>
      <c r="H30" s="89">
        <f>+'[3]Monthly TD Calc'!AW289</f>
        <v>566446.16349277867</v>
      </c>
      <c r="I30" s="90">
        <f>+'[3]Monthly TD Calc'!AX289</f>
        <v>630750.72616422456</v>
      </c>
      <c r="J30" s="191">
        <f>+'[3]Monthly TD Calc'!AY289</f>
        <v>594515.60397069028</v>
      </c>
      <c r="K30" s="180">
        <f>+'[3]Monthly TD Calc'!AZ289</f>
        <v>629016.14873591927</v>
      </c>
      <c r="L30" s="162">
        <f>+'[3]Monthly TD Calc'!BA289</f>
        <v>610341.14270159625</v>
      </c>
      <c r="M30" s="95"/>
      <c r="N30" s="72">
        <f t="shared" si="6"/>
        <v>-4617793.2869710764</v>
      </c>
    </row>
    <row r="31" spans="1:15" x14ac:dyDescent="0.25">
      <c r="C31" s="80"/>
      <c r="D31" s="223"/>
      <c r="E31" s="81"/>
      <c r="F31" s="81"/>
      <c r="G31" s="81"/>
      <c r="H31" s="80"/>
      <c r="I31" s="81"/>
      <c r="J31" s="189"/>
      <c r="K31" s="69"/>
      <c r="L31" s="69"/>
      <c r="M31" s="13"/>
    </row>
    <row r="32" spans="1:15" x14ac:dyDescent="0.25">
      <c r="A32" s="59" t="s">
        <v>73</v>
      </c>
      <c r="C32" s="48"/>
      <c r="D32" s="225"/>
      <c r="E32" s="49"/>
      <c r="F32" s="49"/>
      <c r="G32" s="49"/>
      <c r="H32" s="48"/>
      <c r="I32" s="49"/>
      <c r="J32" s="192"/>
      <c r="K32" s="65"/>
      <c r="L32" s="65"/>
      <c r="M32" s="50"/>
    </row>
    <row r="33" spans="1:15" x14ac:dyDescent="0.25">
      <c r="A33" s="59" t="s">
        <v>26</v>
      </c>
      <c r="C33" s="218">
        <v>-319956.36</v>
      </c>
      <c r="D33" s="221"/>
      <c r="E33" s="127">
        <f>ROUND(+'[3]Monthly TD Calc'!AT326,2)</f>
        <v>208840.79</v>
      </c>
      <c r="F33" s="127">
        <f>ROUND(+'[3]Monthly TD Calc'!AU326,2)</f>
        <v>250689.46</v>
      </c>
      <c r="G33" s="128">
        <f>ROUND(+'[3]Monthly TD Calc'!AV326,2)</f>
        <v>202171.15</v>
      </c>
      <c r="H33" s="16">
        <f>ROUND(+'[3]Monthly TD Calc'!AW326,2)</f>
        <v>192644.15</v>
      </c>
      <c r="I33" s="68">
        <f>ROUND(+'[3]Monthly TD Calc'!AX326,2)</f>
        <v>199173.98</v>
      </c>
      <c r="J33" s="191">
        <f>ROUND(+'[3]Monthly TD Calc'!AY326,2)</f>
        <v>197578.37</v>
      </c>
      <c r="K33" s="181">
        <f>ROUND(+'[3]Monthly TD Calc'!AZ326,2)</f>
        <v>216990.47</v>
      </c>
      <c r="L33" s="161">
        <f>ROUND(+'[3]Monthly TD Calc'!BA326,2)</f>
        <v>310643.09000000003</v>
      </c>
      <c r="M33" s="94"/>
    </row>
    <row r="34" spans="1:15" x14ac:dyDescent="0.25">
      <c r="A34" s="59" t="s">
        <v>121</v>
      </c>
      <c r="C34" s="218"/>
      <c r="D34" s="221"/>
      <c r="E34" s="127">
        <f>ROUND(+'[3]Monthly TD Calc'!AT327,2)</f>
        <v>26503.8</v>
      </c>
      <c r="F34" s="127">
        <f>ROUND(+'[3]Monthly TD Calc'!AU327,2)</f>
        <v>31195.41</v>
      </c>
      <c r="G34" s="128">
        <f>ROUND(+'[3]Monthly TD Calc'!AV327,2)</f>
        <v>35524.21</v>
      </c>
      <c r="H34" s="16">
        <f>ROUND(+'[3]Monthly TD Calc'!AW327,2)</f>
        <v>33100.22</v>
      </c>
      <c r="I34" s="68">
        <f>ROUND(+'[3]Monthly TD Calc'!AX327,2)</f>
        <v>37824.6</v>
      </c>
      <c r="J34" s="191">
        <f>ROUND(+'[3]Monthly TD Calc'!AY327,2)</f>
        <v>37436.51</v>
      </c>
      <c r="K34" s="181">
        <f>ROUND(+'[3]Monthly TD Calc'!AZ327,2)</f>
        <v>41945.8</v>
      </c>
      <c r="L34" s="161">
        <f>ROUND(+'[3]Monthly TD Calc'!BA327,2)</f>
        <v>52319</v>
      </c>
      <c r="M34" s="94"/>
    </row>
    <row r="35" spans="1:15" x14ac:dyDescent="0.25">
      <c r="A35" s="59" t="s">
        <v>122</v>
      </c>
      <c r="C35" s="218"/>
      <c r="D35" s="221"/>
      <c r="E35" s="127">
        <f>ROUND(+'[3]Monthly TD Calc'!AT328,2)</f>
        <v>66591.47</v>
      </c>
      <c r="F35" s="127">
        <f>ROUND(+'[3]Monthly TD Calc'!AU328,2)</f>
        <v>71234.710000000006</v>
      </c>
      <c r="G35" s="128">
        <f>ROUND(+'[3]Monthly TD Calc'!AV328,2)</f>
        <v>79538.84</v>
      </c>
      <c r="H35" s="16">
        <f>ROUND(+'[3]Monthly TD Calc'!AW328,2)</f>
        <v>73707.55</v>
      </c>
      <c r="I35" s="68">
        <f>ROUND(+'[3]Monthly TD Calc'!AX328,2)</f>
        <v>84193.01</v>
      </c>
      <c r="J35" s="191">
        <f>ROUND(+'[3]Monthly TD Calc'!AY328,2)</f>
        <v>85475.64</v>
      </c>
      <c r="K35" s="181">
        <f>ROUND(+'[3]Monthly TD Calc'!AZ328,2)</f>
        <v>98233.21</v>
      </c>
      <c r="L35" s="161">
        <f>ROUND(+'[3]Monthly TD Calc'!BA328,2)</f>
        <v>127653.97</v>
      </c>
      <c r="M35" s="94"/>
    </row>
    <row r="36" spans="1:15" x14ac:dyDescent="0.25">
      <c r="A36" s="59" t="s">
        <v>123</v>
      </c>
      <c r="C36" s="218"/>
      <c r="D36" s="221"/>
      <c r="E36" s="127">
        <f>ROUND(+'[3]Monthly TD Calc'!AT329,2)</f>
        <v>58795.78</v>
      </c>
      <c r="F36" s="127">
        <f>ROUND(+'[3]Monthly TD Calc'!AU329,2)</f>
        <v>64878.400000000001</v>
      </c>
      <c r="G36" s="128">
        <f>ROUND(+'[3]Monthly TD Calc'!AV329,2)</f>
        <v>74099.460000000006</v>
      </c>
      <c r="H36" s="16">
        <f>ROUND(+'[3]Monthly TD Calc'!AW329,2)</f>
        <v>70145.59</v>
      </c>
      <c r="I36" s="68">
        <f>ROUND(+'[3]Monthly TD Calc'!AX329,2)</f>
        <v>80833.100000000006</v>
      </c>
      <c r="J36" s="191">
        <f>ROUND(+'[3]Monthly TD Calc'!AY329,2)</f>
        <v>80990.09</v>
      </c>
      <c r="K36" s="181">
        <f>ROUND(+'[3]Monthly TD Calc'!AZ329,2)</f>
        <v>89527.57</v>
      </c>
      <c r="L36" s="161">
        <f>ROUND(+'[3]Monthly TD Calc'!BA329,2)</f>
        <v>119153.73</v>
      </c>
      <c r="M36" s="94"/>
    </row>
    <row r="37" spans="1:15" x14ac:dyDescent="0.25">
      <c r="A37" s="59" t="s">
        <v>124</v>
      </c>
      <c r="C37" s="218">
        <v>-338159.54000000004</v>
      </c>
      <c r="D37" s="221"/>
      <c r="E37" s="127">
        <f>ROUND(+'[3]Monthly TD Calc'!AT330,2)</f>
        <v>8578.34</v>
      </c>
      <c r="F37" s="127">
        <f>ROUND(+'[3]Monthly TD Calc'!AU330,2)</f>
        <v>8365.4599999999991</v>
      </c>
      <c r="G37" s="128">
        <f>ROUND(+'[3]Monthly TD Calc'!AV330,2)</f>
        <v>8391.92</v>
      </c>
      <c r="H37" s="16">
        <f>ROUND(+'[3]Monthly TD Calc'!AW330,2)</f>
        <v>8368.7000000000007</v>
      </c>
      <c r="I37" s="68">
        <f>ROUND(+'[3]Monthly TD Calc'!AX330,2)</f>
        <v>8930.94</v>
      </c>
      <c r="J37" s="191">
        <f>ROUND(+'[3]Monthly TD Calc'!AY330,2)</f>
        <v>7970.27</v>
      </c>
      <c r="K37" s="181">
        <f>ROUND(+'[3]Monthly TD Calc'!AZ330,2)</f>
        <v>9841.15</v>
      </c>
      <c r="L37" s="161">
        <f>ROUND(+'[3]Monthly TD Calc'!BA330,2)</f>
        <v>11275.11</v>
      </c>
      <c r="M37" s="94"/>
      <c r="O37" s="60"/>
    </row>
    <row r="38" spans="1:15" x14ac:dyDescent="0.25">
      <c r="C38" s="117"/>
      <c r="D38" s="222"/>
      <c r="E38" s="18"/>
      <c r="F38" s="18"/>
      <c r="G38" s="18"/>
      <c r="H38" s="109"/>
      <c r="I38" s="18"/>
      <c r="J38" s="187"/>
      <c r="K38" s="69"/>
      <c r="L38" s="69"/>
      <c r="M38" s="13"/>
    </row>
    <row r="39" spans="1:15" ht="15.75" thickBot="1" x14ac:dyDescent="0.3">
      <c r="A39" s="3" t="s">
        <v>17</v>
      </c>
      <c r="B39" s="3"/>
      <c r="C39" s="220">
        <v>-3462.56</v>
      </c>
      <c r="D39" s="226"/>
      <c r="E39" s="154">
        <v>1592.6999999999998</v>
      </c>
      <c r="F39" s="154">
        <v>2076.5300000000002</v>
      </c>
      <c r="G39" s="155">
        <v>2469.7399999999998</v>
      </c>
      <c r="H39" s="38">
        <v>2812.64</v>
      </c>
      <c r="I39" s="140">
        <v>2339.6999999999998</v>
      </c>
      <c r="J39" s="193">
        <v>2169.65</v>
      </c>
      <c r="K39" s="182">
        <v>2216.1999999999998</v>
      </c>
      <c r="L39" s="163">
        <v>2382.08</v>
      </c>
      <c r="M39" s="97"/>
    </row>
    <row r="40" spans="1:15" x14ac:dyDescent="0.25">
      <c r="C40" s="77"/>
      <c r="D40" s="229"/>
      <c r="E40" s="79"/>
      <c r="F40" s="79"/>
      <c r="G40" s="45"/>
      <c r="H40" s="77"/>
      <c r="I40" s="45"/>
      <c r="J40" s="194"/>
      <c r="K40" s="46"/>
      <c r="L40" s="46"/>
      <c r="M40" s="73"/>
    </row>
    <row r="41" spans="1:15" x14ac:dyDescent="0.25">
      <c r="A41" s="59" t="s">
        <v>54</v>
      </c>
      <c r="C41" s="78"/>
      <c r="D41" s="230"/>
      <c r="E41" s="47"/>
      <c r="F41" s="47"/>
      <c r="G41" s="47"/>
      <c r="H41" s="78"/>
      <c r="I41" s="47"/>
      <c r="J41" s="195"/>
      <c r="K41" s="46"/>
      <c r="L41" s="46"/>
      <c r="M41" s="73"/>
    </row>
    <row r="42" spans="1:15" x14ac:dyDescent="0.25">
      <c r="A42" s="59" t="s">
        <v>26</v>
      </c>
      <c r="C42" s="227">
        <f>C33-C19</f>
        <v>84851.054080000031</v>
      </c>
      <c r="D42" s="231">
        <f t="shared" ref="D42" si="7">D33-D19</f>
        <v>0</v>
      </c>
      <c r="E42" s="53">
        <f t="shared" ref="E42:M42" si="8">E33-E19</f>
        <v>105164.48000000001</v>
      </c>
      <c r="F42" s="274">
        <f t="shared" si="8"/>
        <v>118468.03999999998</v>
      </c>
      <c r="G42" s="126">
        <f t="shared" si="8"/>
        <v>61991.889999999985</v>
      </c>
      <c r="H42" s="52">
        <f t="shared" si="8"/>
        <v>49257.91</v>
      </c>
      <c r="I42" s="53">
        <f t="shared" si="8"/>
        <v>20954.559999999998</v>
      </c>
      <c r="J42" s="74">
        <f t="shared" si="8"/>
        <v>-27403.670000000013</v>
      </c>
      <c r="K42" s="141">
        <f t="shared" si="8"/>
        <v>22839.865259999991</v>
      </c>
      <c r="L42" s="53">
        <f t="shared" si="8"/>
        <v>60099.337000000029</v>
      </c>
      <c r="M42" s="74">
        <f t="shared" si="8"/>
        <v>-369819.85042000003</v>
      </c>
    </row>
    <row r="43" spans="1:15" x14ac:dyDescent="0.25">
      <c r="A43" s="59" t="s">
        <v>27</v>
      </c>
      <c r="C43" s="227">
        <f t="shared" ref="C43:D43" si="9">SUM(C34:C37)-SUM(C20:C23)</f>
        <v>-308972.44612000004</v>
      </c>
      <c r="D43" s="231">
        <f t="shared" si="9"/>
        <v>0</v>
      </c>
      <c r="E43" s="53">
        <f>SUM(E34:E37)-SUM(E20:E23)</f>
        <v>74355.219999999987</v>
      </c>
      <c r="F43" s="274">
        <f t="shared" ref="F43:M43" si="10">SUM(F34:F37)-SUM(F20:F23)</f>
        <v>78031.560000000012</v>
      </c>
      <c r="G43" s="126">
        <f t="shared" si="10"/>
        <v>104328.06000000003</v>
      </c>
      <c r="H43" s="52">
        <f t="shared" si="10"/>
        <v>91491.21</v>
      </c>
      <c r="I43" s="53">
        <f t="shared" si="10"/>
        <v>67785.859999999986</v>
      </c>
      <c r="J43" s="74">
        <f t="shared" si="10"/>
        <v>24892.299999999959</v>
      </c>
      <c r="K43" s="141">
        <f t="shared" si="10"/>
        <v>32505.105560000025</v>
      </c>
      <c r="L43" s="53">
        <f t="shared" si="10"/>
        <v>83826.844750000018</v>
      </c>
      <c r="M43" s="74">
        <f t="shared" si="10"/>
        <v>-249084.43561999997</v>
      </c>
    </row>
    <row r="44" spans="1:15" x14ac:dyDescent="0.25">
      <c r="C44" s="117"/>
      <c r="D44" s="222"/>
      <c r="E44" s="17"/>
      <c r="F44" s="17"/>
      <c r="G44" s="17"/>
      <c r="H44" s="10"/>
      <c r="I44" s="17"/>
      <c r="J44" s="11"/>
      <c r="K44" s="17"/>
      <c r="L44" s="17"/>
      <c r="M44" s="11"/>
    </row>
    <row r="45" spans="1:15" ht="15.75" thickBot="1" x14ac:dyDescent="0.3">
      <c r="A45" s="59" t="s">
        <v>55</v>
      </c>
      <c r="C45" s="117"/>
      <c r="D45" s="222"/>
      <c r="E45" s="17"/>
      <c r="F45" s="17"/>
      <c r="G45" s="17"/>
      <c r="H45" s="10"/>
      <c r="I45" s="17"/>
      <c r="J45" s="11"/>
      <c r="K45" s="17"/>
      <c r="L45" s="17"/>
      <c r="M45" s="11"/>
    </row>
    <row r="46" spans="1:15" x14ac:dyDescent="0.25">
      <c r="A46" s="59" t="s">
        <v>26</v>
      </c>
      <c r="B46" s="134">
        <v>749873.41591999971</v>
      </c>
      <c r="C46" s="227">
        <f t="shared" ref="C46:E47" si="11">+B46+C42+B51</f>
        <v>834724.46999999974</v>
      </c>
      <c r="D46" s="231">
        <f t="shared" si="11"/>
        <v>830175.34999999974</v>
      </c>
      <c r="E46" s="53">
        <f t="shared" si="11"/>
        <v>935339.82999999973</v>
      </c>
      <c r="F46" s="53">
        <f t="shared" ref="F46:M46" si="12">+E46+F42+E51</f>
        <v>1056004.4299999997</v>
      </c>
      <c r="G46" s="126">
        <f t="shared" si="12"/>
        <v>1120491.0599999996</v>
      </c>
      <c r="H46" s="52">
        <f t="shared" si="12"/>
        <v>1172404.7699999996</v>
      </c>
      <c r="I46" s="53">
        <f t="shared" si="12"/>
        <v>1196120.4999999995</v>
      </c>
      <c r="J46" s="74">
        <f t="shared" si="12"/>
        <v>1170872.7199999995</v>
      </c>
      <c r="K46" s="141">
        <f t="shared" si="12"/>
        <v>1195641.8352599996</v>
      </c>
      <c r="L46" s="53">
        <f t="shared" si="12"/>
        <v>1257669.8422599996</v>
      </c>
      <c r="M46" s="74">
        <f t="shared" si="12"/>
        <v>889849.34183999954</v>
      </c>
    </row>
    <row r="47" spans="1:15" ht="15.75" thickBot="1" x14ac:dyDescent="0.3">
      <c r="A47" s="59" t="s">
        <v>27</v>
      </c>
      <c r="B47" s="135">
        <v>28474.592839999714</v>
      </c>
      <c r="C47" s="227">
        <f t="shared" si="11"/>
        <v>-280497.85328000033</v>
      </c>
      <c r="D47" s="231">
        <f t="shared" si="11"/>
        <v>-279857.90328000032</v>
      </c>
      <c r="E47" s="53">
        <f t="shared" si="11"/>
        <v>-205502.68328000035</v>
      </c>
      <c r="F47" s="53">
        <f t="shared" ref="F47:M47" si="13">+E47+F43+E52</f>
        <v>-128074.98328000034</v>
      </c>
      <c r="G47" s="126">
        <f t="shared" si="13"/>
        <v>-24165.123280000309</v>
      </c>
      <c r="H47" s="52">
        <f t="shared" si="13"/>
        <v>67140.026719999703</v>
      </c>
      <c r="I47" s="53">
        <f t="shared" si="13"/>
        <v>134977.35671999969</v>
      </c>
      <c r="J47" s="74">
        <f t="shared" si="13"/>
        <v>160053.45671999964</v>
      </c>
      <c r="K47" s="141">
        <f t="shared" si="13"/>
        <v>192798.96227999966</v>
      </c>
      <c r="L47" s="53">
        <f t="shared" si="13"/>
        <v>276913.3370299997</v>
      </c>
      <c r="M47" s="74">
        <f t="shared" si="13"/>
        <v>28211.631409999729</v>
      </c>
    </row>
    <row r="48" spans="1:15" x14ac:dyDescent="0.25">
      <c r="C48" s="117"/>
      <c r="D48" s="222"/>
      <c r="E48" s="17"/>
      <c r="F48" s="17"/>
      <c r="G48" s="17"/>
      <c r="H48" s="10"/>
      <c r="I48" s="17"/>
      <c r="J48" s="11"/>
      <c r="K48" s="17"/>
      <c r="L48" s="17"/>
      <c r="M48" s="11"/>
    </row>
    <row r="49" spans="1:13" x14ac:dyDescent="0.25">
      <c r="A49" s="51" t="s">
        <v>140</v>
      </c>
      <c r="B49" s="51"/>
      <c r="C49" s="122"/>
      <c r="D49" s="232"/>
      <c r="E49" s="98">
        <f>+'PCR Cycle 2'!D50</f>
        <v>2.4882900000000002E-3</v>
      </c>
      <c r="F49" s="98">
        <f>+'PCR Cycle 2'!E50</f>
        <v>2.5028199999999998E-3</v>
      </c>
      <c r="G49" s="98">
        <f>+'PCR Cycle 2'!F50</f>
        <v>2.43764E-3</v>
      </c>
      <c r="H49" s="99">
        <f>+'PCR Cycle 2'!G50</f>
        <v>2.4056699999999999E-3</v>
      </c>
      <c r="I49" s="98">
        <f>+'PCR Cycle 2'!H50</f>
        <v>1.8183299999999999E-3</v>
      </c>
      <c r="J49" s="110">
        <f>+'PCR Cycle 2'!I50</f>
        <v>1.62864E-3</v>
      </c>
      <c r="K49" s="98">
        <f>+'PCR Cycle 2'!J50</f>
        <v>1.62864E-3</v>
      </c>
      <c r="L49" s="98">
        <f>+'PCR Cycle 2'!K50</f>
        <v>1.62864E-3</v>
      </c>
      <c r="M49" s="100"/>
    </row>
    <row r="50" spans="1:13" x14ac:dyDescent="0.25">
      <c r="A50" s="51" t="s">
        <v>39</v>
      </c>
      <c r="B50" s="51"/>
      <c r="C50" s="124"/>
      <c r="D50" s="233"/>
      <c r="E50" s="98"/>
      <c r="F50" s="98"/>
      <c r="G50" s="98"/>
      <c r="H50" s="99"/>
      <c r="I50" s="98"/>
      <c r="J50" s="100"/>
      <c r="K50" s="98"/>
      <c r="L50" s="98"/>
      <c r="M50" s="100"/>
    </row>
    <row r="51" spans="1:13" x14ac:dyDescent="0.25">
      <c r="A51" s="59" t="s">
        <v>26</v>
      </c>
      <c r="C51" s="227">
        <v>-4549.12</v>
      </c>
      <c r="D51" s="231"/>
      <c r="E51" s="274">
        <f>ROUND((D46+D51+E42/2)*E$49,2)</f>
        <v>2196.56</v>
      </c>
      <c r="F51" s="274">
        <f t="shared" ref="F51:F52" si="14">ROUND((E46+E51+F42/2)*F$49,2)</f>
        <v>2494.7399999999998</v>
      </c>
      <c r="G51" s="273">
        <f t="shared" ref="G51:G52" si="15">ROUND((F46+F51+G42/2)*G$49,2)</f>
        <v>2655.8</v>
      </c>
      <c r="H51" s="52">
        <f t="shared" ref="H51:H52" si="16">ROUND((G46+G51+H42/2)*H$49,2)</f>
        <v>2761.17</v>
      </c>
      <c r="I51" s="141">
        <f t="shared" ref="I51:J52" si="17">ROUND((H46+H51+I42/2)*I$49,2)</f>
        <v>2155.89</v>
      </c>
      <c r="J51" s="74">
        <f t="shared" si="17"/>
        <v>1929.25</v>
      </c>
      <c r="K51" s="183">
        <f t="shared" ref="K51:K52" si="18">ROUND((J46+J51+K42/2)*K$49,2)</f>
        <v>1928.67</v>
      </c>
      <c r="L51" s="126">
        <f t="shared" ref="L51:L52" si="19">ROUND((K46+K51+L42/2)*L$49,2)</f>
        <v>1999.35</v>
      </c>
      <c r="M51" s="74">
        <f t="shared" ref="M51:M52" si="20">ROUND((L46+L51+M42/2)*M$49,2)</f>
        <v>0</v>
      </c>
    </row>
    <row r="52" spans="1:13" ht="15.75" thickBot="1" x14ac:dyDescent="0.3">
      <c r="A52" s="59" t="s">
        <v>27</v>
      </c>
      <c r="C52" s="227">
        <v>639.94999999999993</v>
      </c>
      <c r="D52" s="231"/>
      <c r="E52" s="274">
        <f>ROUND((D47+D52+E43/2)*E$49,2)</f>
        <v>-603.86</v>
      </c>
      <c r="F52" s="274">
        <f t="shared" si="14"/>
        <v>-418.2</v>
      </c>
      <c r="G52" s="273">
        <f t="shared" si="15"/>
        <v>-186.06</v>
      </c>
      <c r="H52" s="52">
        <f t="shared" si="16"/>
        <v>51.47</v>
      </c>
      <c r="I52" s="141">
        <f t="shared" si="17"/>
        <v>183.8</v>
      </c>
      <c r="J52" s="74">
        <f t="shared" si="17"/>
        <v>240.4</v>
      </c>
      <c r="K52" s="183">
        <f t="shared" si="18"/>
        <v>287.52999999999997</v>
      </c>
      <c r="L52" s="126">
        <f t="shared" si="19"/>
        <v>382.73</v>
      </c>
      <c r="M52" s="74">
        <f t="shared" si="20"/>
        <v>0</v>
      </c>
    </row>
    <row r="53" spans="1:13" ht="16.5" thickTop="1" thickBot="1" x14ac:dyDescent="0.3">
      <c r="A53" s="67" t="s">
        <v>24</v>
      </c>
      <c r="B53" s="67"/>
      <c r="C53" s="228">
        <v>0</v>
      </c>
      <c r="D53" s="234"/>
      <c r="E53" s="54">
        <f>SUM(E51:E52)+SUM(E46:E47)-E56</f>
        <v>0</v>
      </c>
      <c r="F53" s="54">
        <f t="shared" ref="F53:M53" si="21">SUM(F51:F52)+SUM(F46:F47)-F56</f>
        <v>0</v>
      </c>
      <c r="G53" s="63">
        <f t="shared" si="21"/>
        <v>0</v>
      </c>
      <c r="H53" s="64">
        <f t="shared" si="21"/>
        <v>0</v>
      </c>
      <c r="I53" s="54">
        <f t="shared" si="21"/>
        <v>0</v>
      </c>
      <c r="J53" s="75">
        <f t="shared" si="21"/>
        <v>0</v>
      </c>
      <c r="K53" s="184">
        <f t="shared" si="21"/>
        <v>0</v>
      </c>
      <c r="L53" s="63">
        <f t="shared" si="21"/>
        <v>0</v>
      </c>
      <c r="M53" s="75">
        <f t="shared" si="21"/>
        <v>0</v>
      </c>
    </row>
    <row r="54" spans="1:13" ht="16.5" thickTop="1" thickBot="1" x14ac:dyDescent="0.3">
      <c r="A54" s="67" t="s">
        <v>25</v>
      </c>
      <c r="B54" s="67"/>
      <c r="C54" s="228">
        <v>0</v>
      </c>
      <c r="D54" s="234"/>
      <c r="E54" s="54">
        <f>SUM(E51:E52)-E39</f>
        <v>0</v>
      </c>
      <c r="F54" s="54">
        <f t="shared" ref="F54:J54" si="22">SUM(F51:F52)-F39</f>
        <v>9.9999999997635314E-3</v>
      </c>
      <c r="G54" s="63">
        <f t="shared" ref="G54:I54" si="23">SUM(G51:G52)-G39</f>
        <v>0</v>
      </c>
      <c r="H54" s="64">
        <f t="shared" si="23"/>
        <v>0</v>
      </c>
      <c r="I54" s="54">
        <f t="shared" si="23"/>
        <v>-9.9999999997635314E-3</v>
      </c>
      <c r="J54" s="75">
        <f t="shared" si="22"/>
        <v>0</v>
      </c>
      <c r="K54" s="185">
        <f t="shared" ref="K54:M54" si="24">SUM(K51:K52)-K39</f>
        <v>0</v>
      </c>
      <c r="L54" s="54">
        <f t="shared" si="24"/>
        <v>0</v>
      </c>
      <c r="M54" s="54">
        <f t="shared" si="24"/>
        <v>0</v>
      </c>
    </row>
    <row r="55" spans="1:13" ht="16.5" thickTop="1" thickBot="1" x14ac:dyDescent="0.3">
      <c r="C55" s="117"/>
      <c r="D55" s="222"/>
      <c r="E55" s="17"/>
      <c r="F55" s="17"/>
      <c r="G55" s="17"/>
      <c r="H55" s="10"/>
      <c r="I55" s="17"/>
      <c r="J55" s="11"/>
      <c r="K55" s="17"/>
      <c r="L55" s="17"/>
      <c r="M55" s="11"/>
    </row>
    <row r="56" spans="1:13" ht="15.75" thickBot="1" x14ac:dyDescent="0.3">
      <c r="A56" s="59" t="s">
        <v>38</v>
      </c>
      <c r="B56" s="137">
        <f>+B46+B47</f>
        <v>778348.00875999941</v>
      </c>
      <c r="C56" s="227">
        <f>(C16-SUM(C19:C23))+SUM(C51:C52)+B56</f>
        <v>550317.44671999943</v>
      </c>
      <c r="D56" s="231">
        <f>(D16-SUM(D19:D23))+SUM(D51:D52)+C56</f>
        <v>550317.44671999943</v>
      </c>
      <c r="E56" s="53">
        <f>(E16-SUM(E19:E23))+SUM(E51:E52)+D56</f>
        <v>731429.84671999945</v>
      </c>
      <c r="F56" s="274">
        <f t="shared" ref="F56:M56" si="25">(F16-SUM(F19:F23))+SUM(F51:F52)+E56</f>
        <v>930005.98671999946</v>
      </c>
      <c r="G56" s="126">
        <f t="shared" si="25"/>
        <v>1098795.6767199994</v>
      </c>
      <c r="H56" s="52">
        <f t="shared" si="25"/>
        <v>1242357.4367199994</v>
      </c>
      <c r="I56" s="53">
        <f t="shared" si="25"/>
        <v>1333437.5467199995</v>
      </c>
      <c r="J56" s="74">
        <f t="shared" si="25"/>
        <v>1333095.8267199995</v>
      </c>
      <c r="K56" s="183">
        <f t="shared" si="25"/>
        <v>1390656.9975399997</v>
      </c>
      <c r="L56" s="126">
        <f t="shared" si="25"/>
        <v>1536965.2592899997</v>
      </c>
      <c r="M56" s="74">
        <f t="shared" si="25"/>
        <v>918060.97324999969</v>
      </c>
    </row>
    <row r="57" spans="1:13" x14ac:dyDescent="0.25">
      <c r="A57" s="59" t="s">
        <v>14</v>
      </c>
      <c r="C57" s="138"/>
      <c r="D57" s="235"/>
      <c r="E57" s="17"/>
      <c r="F57" s="17"/>
      <c r="G57" s="17"/>
      <c r="H57" s="10"/>
      <c r="I57" s="17"/>
      <c r="J57" s="11"/>
      <c r="K57" s="17"/>
      <c r="L57" s="17"/>
      <c r="M57" s="11"/>
    </row>
    <row r="58" spans="1:13" ht="15.75" thickBot="1" x14ac:dyDescent="0.3">
      <c r="A58" s="49"/>
      <c r="B58" s="49"/>
      <c r="C58" s="166"/>
      <c r="D58" s="236"/>
      <c r="E58" s="56"/>
      <c r="F58" s="56"/>
      <c r="G58" s="56"/>
      <c r="H58" s="55"/>
      <c r="I58" s="56"/>
      <c r="J58" s="57"/>
      <c r="K58" s="56"/>
      <c r="L58" s="56"/>
      <c r="M58" s="57"/>
    </row>
    <row r="60" spans="1:13" x14ac:dyDescent="0.25">
      <c r="A60" s="82" t="s">
        <v>13</v>
      </c>
      <c r="B60" s="82"/>
      <c r="C60" s="82"/>
      <c r="D60" s="82"/>
    </row>
    <row r="61" spans="1:13" ht="34.5" customHeight="1" x14ac:dyDescent="0.25">
      <c r="A61" s="289" t="s">
        <v>169</v>
      </c>
      <c r="B61" s="289"/>
      <c r="C61" s="289"/>
      <c r="D61" s="289"/>
      <c r="E61" s="289"/>
      <c r="F61" s="289"/>
      <c r="G61" s="289"/>
      <c r="H61" s="289"/>
      <c r="I61" s="289"/>
      <c r="J61" s="289"/>
      <c r="K61" s="215"/>
      <c r="L61" s="164"/>
      <c r="M61" s="164"/>
    </row>
    <row r="62" spans="1:13" ht="42.75" customHeight="1" x14ac:dyDescent="0.25">
      <c r="A62" s="289" t="s">
        <v>170</v>
      </c>
      <c r="B62" s="289"/>
      <c r="C62" s="289"/>
      <c r="D62" s="289"/>
      <c r="E62" s="289"/>
      <c r="F62" s="289"/>
      <c r="G62" s="289"/>
      <c r="H62" s="289"/>
      <c r="I62" s="289"/>
      <c r="J62" s="289"/>
      <c r="K62" s="289"/>
      <c r="L62" s="164"/>
      <c r="M62" s="164"/>
    </row>
    <row r="63" spans="1:13" ht="33.75" customHeight="1" x14ac:dyDescent="0.25">
      <c r="A63" s="289" t="s">
        <v>171</v>
      </c>
      <c r="B63" s="289"/>
      <c r="C63" s="289"/>
      <c r="D63" s="289"/>
      <c r="E63" s="289"/>
      <c r="F63" s="289"/>
      <c r="G63" s="289"/>
      <c r="H63" s="289"/>
      <c r="I63" s="289"/>
      <c r="J63" s="289"/>
      <c r="K63" s="215"/>
      <c r="L63" s="164"/>
      <c r="M63" s="164"/>
    </row>
    <row r="64" spans="1:13" x14ac:dyDescent="0.25">
      <c r="A64" s="3" t="s">
        <v>71</v>
      </c>
      <c r="B64" s="3"/>
      <c r="C64" s="3"/>
      <c r="D64" s="3"/>
    </row>
    <row r="65" spans="1:4" x14ac:dyDescent="0.25">
      <c r="A65" s="76" t="s">
        <v>172</v>
      </c>
      <c r="B65" s="3"/>
      <c r="C65" s="3"/>
      <c r="D65" s="3"/>
    </row>
    <row r="66" spans="1:4" x14ac:dyDescent="0.25">
      <c r="A66" s="3" t="s">
        <v>74</v>
      </c>
      <c r="B66" s="3"/>
      <c r="C66" s="3"/>
      <c r="D66" s="3"/>
    </row>
    <row r="67" spans="1:4" x14ac:dyDescent="0.25">
      <c r="A67" s="3" t="s">
        <v>173</v>
      </c>
      <c r="B67" s="3"/>
      <c r="C67" s="3"/>
      <c r="D67" s="3"/>
    </row>
  </sheetData>
  <mergeCells count="6">
    <mergeCell ref="A63:J63"/>
    <mergeCell ref="E14:G14"/>
    <mergeCell ref="A61:J61"/>
    <mergeCell ref="A62:K62"/>
    <mergeCell ref="H14:J14"/>
    <mergeCell ref="K14:M14"/>
  </mergeCells>
  <pageMargins left="0.2" right="0.2" top="0.75" bottom="0.25" header="0.3" footer="0.3"/>
  <pageSetup scale="49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CF1C83FCB0BA42B7DA1950495FBECB" ma:contentTypeVersion="" ma:contentTypeDescription="Create a new document." ma:contentTypeScope="" ma:versionID="e944ba175f985f7f2078f4787be5b2e3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8A411125-759D-40FB-846A-94FFB213CDBA}"/>
</file>

<file path=customXml/itemProps2.xml><?xml version="1.0" encoding="utf-8"?>
<ds:datastoreItem xmlns:ds="http://schemas.openxmlformats.org/officeDocument/2006/customXml" ds:itemID="{4FE36353-2D23-4413-BFF3-128FB6002D9C}"/>
</file>

<file path=customXml/itemProps3.xml><?xml version="1.0" encoding="utf-8"?>
<ds:datastoreItem xmlns:ds="http://schemas.openxmlformats.org/officeDocument/2006/customXml" ds:itemID="{BBE680F6-EEBC-41A4-AEB5-0B773B5EAC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tariff tables</vt:lpstr>
      <vt:lpstr>DSIM Cycle Tables</vt:lpstr>
      <vt:lpstr>PPC Cycle 2</vt:lpstr>
      <vt:lpstr>PPC Cycle 3</vt:lpstr>
      <vt:lpstr>PCR Cycle 2</vt:lpstr>
      <vt:lpstr>PCR Cycle 3</vt:lpstr>
      <vt:lpstr>PTD Cycle 2</vt:lpstr>
      <vt:lpstr>PTD Cycle 3</vt:lpstr>
      <vt:lpstr>TDR Cycle 2</vt:lpstr>
      <vt:lpstr>TDR Cycle 3</vt:lpstr>
      <vt:lpstr>EO Cycle 2</vt:lpstr>
      <vt:lpstr>EOR Cycle 1</vt:lpstr>
      <vt:lpstr>EOR Cycle 2</vt:lpstr>
      <vt:lpstr>OA Cycle 2</vt:lpstr>
      <vt:lpstr>OAR Cycle 2</vt:lpstr>
      <vt:lpstr>'PCR Cycle 2'!Print_Area</vt:lpstr>
      <vt:lpstr>'PCR Cycle 3'!Print_Area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Unspecified User</dc:creator>
  <cp:lastModifiedBy>Mark Foltz</cp:lastModifiedBy>
  <cp:lastPrinted>2019-05-23T21:26:27Z</cp:lastPrinted>
  <dcterms:created xsi:type="dcterms:W3CDTF">2013-08-12T19:20:10Z</dcterms:created>
  <dcterms:modified xsi:type="dcterms:W3CDTF">2020-05-27T20:05:46Z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0x010100CBCF1C83FCB0BA42B7DA1950495FBECB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d275ac46-98b9-4d64-949f-e82ee8dc823c_Enabled">
    <vt:lpwstr>True</vt:lpwstr>
  </property>
  <property fmtid="{D5CDD505-2E9C-101B-9397-08002B2CF9AE}" pid="6" name="MSIP_Label_d275ac46-98b9-4d64-949f-e82ee8dc823c_SiteId">
    <vt:lpwstr>9ef58ab0-3510-4d99-8d3e-3c9e02ebab7f</vt:lpwstr>
  </property>
  <property fmtid="{D5CDD505-2E9C-101B-9397-08002B2CF9AE}" pid="7" name="MSIP_Label_d275ac46-98b9-4d64-949f-e82ee8dc823c_Owner">
    <vt:lpwstr>Mark.Foltz@kcpl.com</vt:lpwstr>
  </property>
  <property fmtid="{D5CDD505-2E9C-101B-9397-08002B2CF9AE}" pid="8" name="MSIP_Label_d275ac46-98b9-4d64-949f-e82ee8dc823c_SetDate">
    <vt:lpwstr>2018-11-14T16:29:38.6736549Z</vt:lpwstr>
  </property>
  <property fmtid="{D5CDD505-2E9C-101B-9397-08002B2CF9AE}" pid="9" name="MSIP_Label_d275ac46-98b9-4d64-949f-e82ee8dc823c_Name">
    <vt:lpwstr>Internal Use Only</vt:lpwstr>
  </property>
  <property fmtid="{D5CDD505-2E9C-101B-9397-08002B2CF9AE}" pid="10" name="MSIP_Label_d275ac46-98b9-4d64-949f-e82ee8dc823c_Application">
    <vt:lpwstr>Microsoft Azure Information Protection</vt:lpwstr>
  </property>
  <property fmtid="{D5CDD505-2E9C-101B-9397-08002B2CF9AE}" pid="11" name="MSIP_Label_d275ac46-98b9-4d64-949f-e82ee8dc823c_Extended_MSFT_Method">
    <vt:lpwstr>Automatic</vt:lpwstr>
  </property>
  <property fmtid="{D5CDD505-2E9C-101B-9397-08002B2CF9AE}" pid="12" name="Sensitivity">
    <vt:lpwstr>Internal Use Only</vt:lpwstr>
  </property>
</Properties>
</file>