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seworks\DavWWWRoot\376\DataRequests\20563\Library\Red lines\"/>
    </mc:Choice>
  </mc:AlternateContent>
  <xr:revisionPtr revIDLastSave="0" documentId="13_ncr:1_{2619B9E5-A57D-450A-9B8A-854D7BD21337}" xr6:coauthVersionLast="36" xr6:coauthVersionMax="36" xr10:uidLastSave="{00000000-0000-0000-0000-000000000000}"/>
  <bookViews>
    <workbookView xWindow="120" yWindow="225" windowWidth="15240" windowHeight="5355" tabRatio="758" xr2:uid="{00000000-000D-0000-FFFF-FFFF00000000}"/>
  </bookViews>
  <sheets>
    <sheet name="tariff tables" sheetId="5" r:id="rId1"/>
    <sheet name="PPC Cycle 2" sheetId="4" r:id="rId2"/>
    <sheet name="PPC Cycle 3" sheetId="18" r:id="rId3"/>
    <sheet name="PCR Cycle 1" sheetId="1" r:id="rId4"/>
    <sheet name="PCR Cycle 2" sheetId="15" r:id="rId5"/>
    <sheet name="PTD Cycle 2" sheetId="12" r:id="rId6"/>
    <sheet name="PTD Cycle 3" sheetId="19" r:id="rId7"/>
    <sheet name="TDR Cycle 1" sheetId="11" r:id="rId8"/>
    <sheet name="TDR Cycle 2" sheetId="16" r:id="rId9"/>
    <sheet name="EO Cycle 2" sheetId="8" r:id="rId10"/>
    <sheet name="EOR Cycle 1" sheetId="9" r:id="rId11"/>
    <sheet name="OA Cycle 2" sheetId="10" r:id="rId12"/>
    <sheet name="OAR Cycle 2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Print_Area" localSheetId="3">'PCR Cycle 1'!$A$1:$N$61</definedName>
    <definedName name="_xlnm.Print_Area" localSheetId="4">'PCR Cycle 2'!$A$1:$N$61</definedName>
    <definedName name="solver_adj" localSheetId="3" hidden="1">'PCR Cycle 1'!$E$44</definedName>
    <definedName name="solver_adj" localSheetId="4" hidden="1">'PCR Cycle 2'!$E$44</definedName>
    <definedName name="solver_adj" localSheetId="7" hidden="1">'TDR Cycle 1'!#REF!</definedName>
    <definedName name="solver_adj" localSheetId="8" hidden="1">'TDR Cycle 2'!#REF!</definedName>
    <definedName name="solver_cvg" localSheetId="3" hidden="1">0.0001</definedName>
    <definedName name="solver_cvg" localSheetId="4" hidden="1">0.0001</definedName>
    <definedName name="solver_cvg" localSheetId="7" hidden="1">0.0001</definedName>
    <definedName name="solver_cvg" localSheetId="8" hidden="1">0.0001</definedName>
    <definedName name="solver_drv" localSheetId="3" hidden="1">1</definedName>
    <definedName name="solver_drv" localSheetId="4" hidden="1">1</definedName>
    <definedName name="solver_drv" localSheetId="7" hidden="1">2</definedName>
    <definedName name="solver_drv" localSheetId="8" hidden="1">2</definedName>
    <definedName name="solver_eng" localSheetId="3" hidden="1">1</definedName>
    <definedName name="solver_eng" localSheetId="4" hidden="1">1</definedName>
    <definedName name="solver_eng" localSheetId="7" hidden="1">1</definedName>
    <definedName name="solver_eng" localSheetId="8" hidden="1">1</definedName>
    <definedName name="solver_est" localSheetId="3" hidden="1">1</definedName>
    <definedName name="solver_est" localSheetId="4" hidden="1">1</definedName>
    <definedName name="solver_est" localSheetId="7" hidden="1">1</definedName>
    <definedName name="solver_est" localSheetId="8" hidden="1">1</definedName>
    <definedName name="solver_itr" localSheetId="3" hidden="1">2147483647</definedName>
    <definedName name="solver_itr" localSheetId="4" hidden="1">2147483647</definedName>
    <definedName name="solver_itr" localSheetId="7" hidden="1">2147483647</definedName>
    <definedName name="solver_itr" localSheetId="8" hidden="1">2147483647</definedName>
    <definedName name="solver_mip" localSheetId="3" hidden="1">2147483647</definedName>
    <definedName name="solver_mip" localSheetId="4" hidden="1">2147483647</definedName>
    <definedName name="solver_mip" localSheetId="7" hidden="1">2147483647</definedName>
    <definedName name="solver_mip" localSheetId="8" hidden="1">2147483647</definedName>
    <definedName name="solver_mni" localSheetId="3" hidden="1">30</definedName>
    <definedName name="solver_mni" localSheetId="4" hidden="1">30</definedName>
    <definedName name="solver_mni" localSheetId="7" hidden="1">30</definedName>
    <definedName name="solver_mni" localSheetId="8" hidden="1">30</definedName>
    <definedName name="solver_mrt" localSheetId="3" hidden="1">0.075</definedName>
    <definedName name="solver_mrt" localSheetId="4" hidden="1">0.075</definedName>
    <definedName name="solver_mrt" localSheetId="7" hidden="1">0.075</definedName>
    <definedName name="solver_mrt" localSheetId="8" hidden="1">0.075</definedName>
    <definedName name="solver_msl" localSheetId="3" hidden="1">2</definedName>
    <definedName name="solver_msl" localSheetId="4" hidden="1">2</definedName>
    <definedName name="solver_msl" localSheetId="7" hidden="1">2</definedName>
    <definedName name="solver_msl" localSheetId="8" hidden="1">2</definedName>
    <definedName name="solver_neg" localSheetId="3" hidden="1">1</definedName>
    <definedName name="solver_neg" localSheetId="4" hidden="1">1</definedName>
    <definedName name="solver_neg" localSheetId="7" hidden="1">1</definedName>
    <definedName name="solver_neg" localSheetId="8" hidden="1">1</definedName>
    <definedName name="solver_nod" localSheetId="3" hidden="1">2147483647</definedName>
    <definedName name="solver_nod" localSheetId="4" hidden="1">2147483647</definedName>
    <definedName name="solver_nod" localSheetId="7" hidden="1">2147483647</definedName>
    <definedName name="solver_nod" localSheetId="8" hidden="1">2147483647</definedName>
    <definedName name="solver_num" localSheetId="3" hidden="1">0</definedName>
    <definedName name="solver_num" localSheetId="4" hidden="1">0</definedName>
    <definedName name="solver_num" localSheetId="7" hidden="1">0</definedName>
    <definedName name="solver_num" localSheetId="8" hidden="1">0</definedName>
    <definedName name="solver_nwt" localSheetId="3" hidden="1">1</definedName>
    <definedName name="solver_nwt" localSheetId="4" hidden="1">1</definedName>
    <definedName name="solver_nwt" localSheetId="7" hidden="1">1</definedName>
    <definedName name="solver_nwt" localSheetId="8" hidden="1">1</definedName>
    <definedName name="solver_opt" localSheetId="3" hidden="1">'PCR Cycle 1'!$E$49</definedName>
    <definedName name="solver_opt" localSheetId="4" hidden="1">'PCR Cycle 2'!$E$49</definedName>
    <definedName name="solver_opt" localSheetId="7" hidden="1">'TDR Cycle 1'!#REF!</definedName>
    <definedName name="solver_opt" localSheetId="8" hidden="1">'TDR Cycle 2'!#REF!</definedName>
    <definedName name="solver_pre" localSheetId="3" hidden="1">0.000001</definedName>
    <definedName name="solver_pre" localSheetId="4" hidden="1">0.000001</definedName>
    <definedName name="solver_pre" localSheetId="7" hidden="1">0.000001</definedName>
    <definedName name="solver_pre" localSheetId="8" hidden="1">0.000001</definedName>
    <definedName name="solver_rbv" localSheetId="3" hidden="1">1</definedName>
    <definedName name="solver_rbv" localSheetId="4" hidden="1">1</definedName>
    <definedName name="solver_rbv" localSheetId="7" hidden="1">2</definedName>
    <definedName name="solver_rbv" localSheetId="8" hidden="1">2</definedName>
    <definedName name="solver_rlx" localSheetId="3" hidden="1">2</definedName>
    <definedName name="solver_rlx" localSheetId="4" hidden="1">2</definedName>
    <definedName name="solver_rlx" localSheetId="7" hidden="1">2</definedName>
    <definedName name="solver_rlx" localSheetId="8" hidden="1">2</definedName>
    <definedName name="solver_rsd" localSheetId="3" hidden="1">0</definedName>
    <definedName name="solver_rsd" localSheetId="4" hidden="1">0</definedName>
    <definedName name="solver_rsd" localSheetId="7" hidden="1">0</definedName>
    <definedName name="solver_rsd" localSheetId="8" hidden="1">0</definedName>
    <definedName name="solver_scl" localSheetId="3" hidden="1">1</definedName>
    <definedName name="solver_scl" localSheetId="4" hidden="1">1</definedName>
    <definedName name="solver_scl" localSheetId="7" hidden="1">2</definedName>
    <definedName name="solver_scl" localSheetId="8" hidden="1">2</definedName>
    <definedName name="solver_sho" localSheetId="3" hidden="1">2</definedName>
    <definedName name="solver_sho" localSheetId="4" hidden="1">2</definedName>
    <definedName name="solver_sho" localSheetId="7" hidden="1">2</definedName>
    <definedName name="solver_sho" localSheetId="8" hidden="1">2</definedName>
    <definedName name="solver_ssz" localSheetId="3" hidden="1">100</definedName>
    <definedName name="solver_ssz" localSheetId="4" hidden="1">100</definedName>
    <definedName name="solver_ssz" localSheetId="7" hidden="1">100</definedName>
    <definedName name="solver_ssz" localSheetId="8" hidden="1">100</definedName>
    <definedName name="solver_tim" localSheetId="3" hidden="1">2147483647</definedName>
    <definedName name="solver_tim" localSheetId="4" hidden="1">2147483647</definedName>
    <definedName name="solver_tim" localSheetId="7" hidden="1">2147483647</definedName>
    <definedName name="solver_tim" localSheetId="8" hidden="1">2147483647</definedName>
    <definedName name="solver_tol" localSheetId="3" hidden="1">0.01</definedName>
    <definedName name="solver_tol" localSheetId="4" hidden="1">0.01</definedName>
    <definedName name="solver_tol" localSheetId="7" hidden="1">0.01</definedName>
    <definedName name="solver_tol" localSheetId="8" hidden="1">0.01</definedName>
    <definedName name="solver_typ" localSheetId="3" hidden="1">3</definedName>
    <definedName name="solver_typ" localSheetId="4" hidden="1">3</definedName>
    <definedName name="solver_typ" localSheetId="7" hidden="1">3</definedName>
    <definedName name="solver_typ" localSheetId="8" hidden="1">3</definedName>
    <definedName name="solver_val" localSheetId="3" hidden="1">0</definedName>
    <definedName name="solver_val" localSheetId="4" hidden="1">0</definedName>
    <definedName name="solver_val" localSheetId="7" hidden="1">23888.44</definedName>
    <definedName name="solver_val" localSheetId="8" hidden="1">23888.44</definedName>
    <definedName name="solver_ver" localSheetId="3" hidden="1">3</definedName>
    <definedName name="solver_ver" localSheetId="4" hidden="1">3</definedName>
    <definedName name="solver_ver" localSheetId="7" hidden="1">3</definedName>
    <definedName name="solver_ver" localSheetId="8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26" i="5" l="1"/>
  <c r="Z26" i="5"/>
  <c r="Y26" i="5"/>
  <c r="X26" i="5"/>
  <c r="V26" i="5"/>
  <c r="U26" i="5"/>
  <c r="T26" i="5"/>
  <c r="S26" i="5"/>
  <c r="Q26" i="5"/>
  <c r="P26" i="5"/>
  <c r="O26" i="5"/>
  <c r="AA25" i="5"/>
  <c r="Z25" i="5"/>
  <c r="Y25" i="5"/>
  <c r="X25" i="5"/>
  <c r="V25" i="5"/>
  <c r="U25" i="5"/>
  <c r="T25" i="5"/>
  <c r="S25" i="5"/>
  <c r="Q25" i="5"/>
  <c r="P25" i="5"/>
  <c r="O25" i="5"/>
  <c r="AA24" i="5"/>
  <c r="Z24" i="5"/>
  <c r="Y24" i="5"/>
  <c r="X24" i="5"/>
  <c r="V24" i="5"/>
  <c r="U24" i="5"/>
  <c r="T24" i="5"/>
  <c r="S24" i="5"/>
  <c r="Q24" i="5"/>
  <c r="P24" i="5"/>
  <c r="O24" i="5"/>
  <c r="AA23" i="5"/>
  <c r="Z23" i="5"/>
  <c r="Y23" i="5"/>
  <c r="X23" i="5"/>
  <c r="V23" i="5"/>
  <c r="U23" i="5"/>
  <c r="T23" i="5"/>
  <c r="S23" i="5"/>
  <c r="Q23" i="5"/>
  <c r="P23" i="5"/>
  <c r="O23" i="5"/>
  <c r="AA22" i="5"/>
  <c r="Z22" i="5"/>
  <c r="Y22" i="5"/>
  <c r="X22" i="5"/>
  <c r="V22" i="5"/>
  <c r="U22" i="5"/>
  <c r="T22" i="5"/>
  <c r="S22" i="5"/>
  <c r="Q22" i="5"/>
  <c r="P22" i="5"/>
  <c r="O22" i="5"/>
  <c r="AA17" i="5"/>
  <c r="Z17" i="5"/>
  <c r="Y17" i="5"/>
  <c r="X17" i="5"/>
  <c r="V17" i="5"/>
  <c r="U17" i="5"/>
  <c r="T17" i="5"/>
  <c r="S17" i="5"/>
  <c r="AA16" i="5"/>
  <c r="Z16" i="5"/>
  <c r="Y16" i="5"/>
  <c r="X16" i="5"/>
  <c r="V16" i="5"/>
  <c r="U16" i="5"/>
  <c r="T16" i="5"/>
  <c r="S16" i="5"/>
  <c r="AA15" i="5"/>
  <c r="Z15" i="5"/>
  <c r="Y15" i="5"/>
  <c r="X15" i="5"/>
  <c r="V15" i="5"/>
  <c r="U15" i="5"/>
  <c r="T15" i="5"/>
  <c r="S15" i="5"/>
  <c r="AA14" i="5"/>
  <c r="Z14" i="5"/>
  <c r="Y14" i="5"/>
  <c r="X14" i="5"/>
  <c r="V14" i="5"/>
  <c r="U14" i="5"/>
  <c r="T14" i="5"/>
  <c r="S14" i="5"/>
  <c r="AA13" i="5"/>
  <c r="Z13" i="5"/>
  <c r="Y13" i="5"/>
  <c r="X13" i="5"/>
  <c r="V13" i="5"/>
  <c r="U13" i="5"/>
  <c r="T13" i="5"/>
  <c r="S13" i="5"/>
  <c r="A1" i="18" l="1"/>
  <c r="B9" i="18" l="1"/>
  <c r="B8" i="18"/>
  <c r="B7" i="18"/>
  <c r="B6" i="18"/>
  <c r="B5" i="18"/>
  <c r="F7" i="4"/>
  <c r="G7" i="4"/>
  <c r="H7" i="4"/>
  <c r="I7" i="4"/>
  <c r="F8" i="4"/>
  <c r="F9" i="4" s="1"/>
  <c r="G8" i="4"/>
  <c r="G9" i="4" s="1"/>
  <c r="H8" i="4"/>
  <c r="H10" i="4" s="1"/>
  <c r="I8" i="4"/>
  <c r="I10" i="4" s="1"/>
  <c r="F10" i="4"/>
  <c r="B5" i="4"/>
  <c r="B6" i="4"/>
  <c r="B10" i="4"/>
  <c r="B11" i="4"/>
  <c r="G6" i="5" s="1"/>
  <c r="B12" i="4"/>
  <c r="G7" i="5" s="1"/>
  <c r="B13" i="4"/>
  <c r="G8" i="5" s="1"/>
  <c r="D10" i="4"/>
  <c r="D11" i="4"/>
  <c r="D12" i="4"/>
  <c r="D13" i="4"/>
  <c r="A2" i="19"/>
  <c r="A1" i="19"/>
  <c r="H9" i="4" l="1"/>
  <c r="I9" i="4"/>
  <c r="B10" i="18"/>
  <c r="B14" i="4"/>
  <c r="D14" i="4"/>
  <c r="G10" i="4"/>
  <c r="C6" i="4" s="1"/>
  <c r="B7" i="4"/>
  <c r="G5" i="5"/>
  <c r="J11" i="13" l="1"/>
  <c r="J10" i="13"/>
  <c r="J9" i="13"/>
  <c r="J8" i="13"/>
  <c r="J12" i="13" s="1"/>
  <c r="E16" i="10"/>
  <c r="D16" i="10" s="1"/>
  <c r="F17" i="5" s="1"/>
  <c r="E15" i="10"/>
  <c r="D15" i="10" s="1"/>
  <c r="F16" i="5" s="1"/>
  <c r="E14" i="10"/>
  <c r="D14" i="10" s="1"/>
  <c r="F15" i="5" s="1"/>
  <c r="E13" i="10"/>
  <c r="E17" i="10" s="1"/>
  <c r="B15" i="8"/>
  <c r="B14" i="8"/>
  <c r="B13" i="8"/>
  <c r="B12" i="8"/>
  <c r="K11" i="11"/>
  <c r="K10" i="11"/>
  <c r="K9" i="11"/>
  <c r="K8" i="11"/>
  <c r="K11" i="1"/>
  <c r="K10" i="1"/>
  <c r="K9" i="1"/>
  <c r="K8" i="1"/>
  <c r="K12" i="1" s="1"/>
  <c r="J11" i="9"/>
  <c r="J10" i="9"/>
  <c r="J9" i="9"/>
  <c r="J8" i="9"/>
  <c r="L11" i="16"/>
  <c r="L10" i="16"/>
  <c r="L9" i="16"/>
  <c r="L8" i="16"/>
  <c r="K11" i="15"/>
  <c r="K10" i="15"/>
  <c r="K9" i="15"/>
  <c r="K8" i="15"/>
  <c r="K12" i="15" l="1"/>
  <c r="D13" i="10"/>
  <c r="F14" i="5" s="1"/>
  <c r="J12" i="9"/>
  <c r="D17" i="10"/>
  <c r="B16" i="8"/>
  <c r="K12" i="11"/>
  <c r="L12" i="16"/>
  <c r="D14" i="8" l="1"/>
  <c r="D13" i="8"/>
  <c r="D15" i="8"/>
  <c r="E13" i="8" l="1"/>
  <c r="E15" i="8"/>
  <c r="E14" i="8" l="1"/>
  <c r="E12" i="8" l="1"/>
  <c r="E16" i="8" s="1"/>
  <c r="D12" i="8" l="1"/>
  <c r="D16" i="8" s="1"/>
  <c r="C14" i="8" l="1"/>
  <c r="F14" i="8" s="1"/>
  <c r="G14" i="8" s="1"/>
  <c r="E16" i="5" s="1"/>
  <c r="C13" i="8"/>
  <c r="F13" i="8" s="1"/>
  <c r="G13" i="8" s="1"/>
  <c r="E15" i="5" s="1"/>
  <c r="C15" i="8"/>
  <c r="F15" i="8" s="1"/>
  <c r="G15" i="8" s="1"/>
  <c r="E17" i="5" s="1"/>
  <c r="C12" i="8" l="1"/>
  <c r="C16" i="8" l="1"/>
  <c r="F12" i="8"/>
  <c r="F16" i="8" l="1"/>
  <c r="G12" i="8"/>
  <c r="G16" i="8" l="1"/>
  <c r="E14" i="5"/>
  <c r="B13" i="12" l="1"/>
  <c r="B10" i="12"/>
  <c r="B12" i="12"/>
  <c r="B11" i="12"/>
  <c r="C6" i="12"/>
  <c r="B14" i="12" l="1"/>
  <c r="C13" i="12"/>
  <c r="C11" i="12"/>
  <c r="C12" i="12"/>
  <c r="C10" i="12"/>
  <c r="B6" i="12"/>
  <c r="B7" i="12"/>
  <c r="C14" i="12" l="1"/>
  <c r="C7" i="12" l="1"/>
  <c r="G23" i="13" l="1"/>
  <c r="D8" i="10" l="1"/>
  <c r="B9" i="8" l="1"/>
  <c r="B8" i="8"/>
  <c r="B10" i="8" l="1"/>
  <c r="B42" i="1" l="1"/>
  <c r="B38" i="11"/>
  <c r="B37" i="11"/>
  <c r="K19" i="15" l="1"/>
  <c r="J19" i="15"/>
  <c r="K18" i="15"/>
  <c r="J18" i="15"/>
  <c r="K17" i="15"/>
  <c r="J17" i="15"/>
  <c r="K16" i="15"/>
  <c r="J16" i="15"/>
  <c r="G24" i="13" l="1"/>
  <c r="G20" i="13" l="1"/>
  <c r="G19" i="13"/>
  <c r="I20" i="9"/>
  <c r="I19" i="9"/>
  <c r="H20" i="9"/>
  <c r="H19" i="9"/>
  <c r="G20" i="9"/>
  <c r="G19" i="9"/>
  <c r="F20" i="9"/>
  <c r="F19" i="9"/>
  <c r="E20" i="9"/>
  <c r="E19" i="9"/>
  <c r="D20" i="9"/>
  <c r="D19" i="9"/>
  <c r="H20" i="16" l="1"/>
  <c r="H19" i="16"/>
  <c r="J20" i="16"/>
  <c r="J19" i="16"/>
  <c r="I20" i="16"/>
  <c r="I19" i="16"/>
  <c r="G20" i="16"/>
  <c r="G19" i="16"/>
  <c r="F20" i="16"/>
  <c r="F19" i="16"/>
  <c r="E20" i="16"/>
  <c r="E19" i="16"/>
  <c r="I20" i="11"/>
  <c r="I19" i="11"/>
  <c r="H20" i="11"/>
  <c r="H19" i="11"/>
  <c r="G20" i="11"/>
  <c r="G19" i="11"/>
  <c r="F20" i="11"/>
  <c r="F19" i="11"/>
  <c r="E20" i="11"/>
  <c r="E19" i="11"/>
  <c r="D20" i="11"/>
  <c r="D19" i="11"/>
  <c r="I32" i="15"/>
  <c r="I31" i="15"/>
  <c r="H32" i="15"/>
  <c r="H31" i="15"/>
  <c r="G32" i="15"/>
  <c r="G31" i="15"/>
  <c r="F32" i="15"/>
  <c r="F31" i="15"/>
  <c r="E32" i="15"/>
  <c r="E31" i="15"/>
  <c r="D32" i="15"/>
  <c r="D31" i="15"/>
  <c r="G32" i="1"/>
  <c r="G31" i="1"/>
  <c r="F32" i="1"/>
  <c r="F31" i="1"/>
  <c r="E32" i="1"/>
  <c r="E31" i="1"/>
  <c r="D32" i="1"/>
  <c r="D31" i="1"/>
  <c r="L28" i="1"/>
  <c r="K28" i="1"/>
  <c r="L27" i="1"/>
  <c r="L19" i="9" s="1"/>
  <c r="K27" i="1"/>
  <c r="J28" i="1"/>
  <c r="J27" i="1"/>
  <c r="G28" i="15" l="1"/>
  <c r="G27" i="15"/>
  <c r="I28" i="15"/>
  <c r="I27" i="15"/>
  <c r="H28" i="15"/>
  <c r="H27" i="15"/>
  <c r="F28" i="15"/>
  <c r="F27" i="15"/>
  <c r="E28" i="15"/>
  <c r="E27" i="15"/>
  <c r="D28" i="15"/>
  <c r="D27" i="15"/>
  <c r="I32" i="1" l="1"/>
  <c r="I31" i="1"/>
  <c r="I28" i="1"/>
  <c r="I27" i="1"/>
  <c r="H28" i="1"/>
  <c r="H27" i="1"/>
  <c r="H32" i="1"/>
  <c r="H31" i="1"/>
  <c r="G28" i="1"/>
  <c r="G27" i="1"/>
  <c r="F28" i="1"/>
  <c r="F27" i="1"/>
  <c r="E28" i="1"/>
  <c r="E27" i="1"/>
  <c r="D28" i="1"/>
  <c r="D27" i="1"/>
  <c r="I19" i="15" l="1"/>
  <c r="H19" i="15"/>
  <c r="G19" i="15"/>
  <c r="F19" i="15"/>
  <c r="E19" i="15"/>
  <c r="I18" i="15"/>
  <c r="H18" i="15"/>
  <c r="G18" i="15"/>
  <c r="F18" i="15"/>
  <c r="E18" i="15"/>
  <c r="I17" i="15"/>
  <c r="H17" i="15"/>
  <c r="G17" i="15"/>
  <c r="F17" i="15"/>
  <c r="E17" i="15"/>
  <c r="I16" i="15"/>
  <c r="H16" i="15"/>
  <c r="G16" i="15"/>
  <c r="F16" i="15"/>
  <c r="E16" i="15"/>
  <c r="D19" i="15"/>
  <c r="D18" i="15"/>
  <c r="D17" i="15"/>
  <c r="D16" i="15"/>
  <c r="I44" i="1" l="1"/>
  <c r="H44" i="1"/>
  <c r="G44" i="1"/>
  <c r="F44" i="1"/>
  <c r="E44" i="1"/>
  <c r="D44" i="1"/>
  <c r="D5" i="10" l="1"/>
  <c r="D27" i="10"/>
  <c r="D28" i="10" l="1"/>
  <c r="D29" i="10" s="1"/>
  <c r="D30" i="10" l="1"/>
  <c r="D31" i="10" s="1"/>
  <c r="D32" i="10" l="1"/>
  <c r="D33" i="10" l="1"/>
  <c r="D34" i="10" s="1"/>
  <c r="D6" i="10" s="1"/>
  <c r="D34" i="16" l="1"/>
  <c r="D33" i="16"/>
  <c r="D16" i="16"/>
  <c r="F16" i="9" l="1"/>
  <c r="E16" i="9"/>
  <c r="D16" i="9"/>
  <c r="B51" i="1" l="1"/>
  <c r="B43" i="9" l="1"/>
  <c r="B47" i="16"/>
  <c r="B47" i="11"/>
  <c r="B51" i="15"/>
  <c r="E15" i="1" l="1"/>
  <c r="F15" i="1" s="1"/>
  <c r="G15" i="1" s="1"/>
  <c r="H15" i="1" s="1"/>
  <c r="I15" i="1" s="1"/>
  <c r="J15" i="1" s="1"/>
  <c r="K15" i="1" s="1"/>
  <c r="L15" i="1" s="1"/>
  <c r="A2" i="8" l="1"/>
  <c r="A1" i="8"/>
  <c r="C10" i="10" l="1"/>
  <c r="C43" i="13" l="1"/>
  <c r="F30" i="13"/>
  <c r="E30" i="13"/>
  <c r="D30" i="13"/>
  <c r="C30" i="13"/>
  <c r="C34" i="13" s="1"/>
  <c r="F29" i="13"/>
  <c r="E29" i="13"/>
  <c r="D29" i="13"/>
  <c r="C29" i="13"/>
  <c r="C33" i="13" s="1"/>
  <c r="H30" i="13"/>
  <c r="J16" i="13"/>
  <c r="I16" i="13"/>
  <c r="I29" i="13"/>
  <c r="H29" i="13"/>
  <c r="G29" i="13"/>
  <c r="K16" i="13"/>
  <c r="G16" i="13"/>
  <c r="F16" i="13"/>
  <c r="E16" i="13"/>
  <c r="D16" i="13"/>
  <c r="D15" i="13"/>
  <c r="E15" i="13" s="1"/>
  <c r="F15" i="13" s="1"/>
  <c r="G15" i="13" s="1"/>
  <c r="H15" i="13" s="1"/>
  <c r="I15" i="13" s="1"/>
  <c r="J15" i="13" s="1"/>
  <c r="K15" i="13" s="1"/>
  <c r="L15" i="13" s="1"/>
  <c r="C14" i="13"/>
  <c r="B14" i="13"/>
  <c r="G5" i="13"/>
  <c r="G4" i="13"/>
  <c r="A1" i="13"/>
  <c r="G6" i="13" l="1"/>
  <c r="D34" i="13"/>
  <c r="D33" i="13"/>
  <c r="I30" i="13"/>
  <c r="E5" i="13"/>
  <c r="E4" i="13"/>
  <c r="G30" i="13"/>
  <c r="H16" i="13"/>
  <c r="E6" i="13" l="1"/>
  <c r="C43" i="9" l="1"/>
  <c r="D30" i="9"/>
  <c r="C30" i="9"/>
  <c r="C34" i="9" s="1"/>
  <c r="C29" i="9"/>
  <c r="C33" i="9" s="1"/>
  <c r="I30" i="9"/>
  <c r="H30" i="9"/>
  <c r="G30" i="9"/>
  <c r="F30" i="9"/>
  <c r="E30" i="9"/>
  <c r="I29" i="9"/>
  <c r="H29" i="9"/>
  <c r="G29" i="9"/>
  <c r="F29" i="9"/>
  <c r="E29" i="9"/>
  <c r="D29" i="9"/>
  <c r="K16" i="9"/>
  <c r="J16" i="9"/>
  <c r="I16" i="9"/>
  <c r="H16" i="9"/>
  <c r="G16" i="9"/>
  <c r="D15" i="9"/>
  <c r="E15" i="9" s="1"/>
  <c r="F15" i="9" s="1"/>
  <c r="G15" i="9" s="1"/>
  <c r="H15" i="9" s="1"/>
  <c r="I15" i="9" s="1"/>
  <c r="J15" i="9" s="1"/>
  <c r="K15" i="9" s="1"/>
  <c r="L15" i="9" s="1"/>
  <c r="C14" i="9"/>
  <c r="B14" i="9"/>
  <c r="G5" i="9"/>
  <c r="E5" i="9"/>
  <c r="G4" i="9"/>
  <c r="E4" i="9"/>
  <c r="A1" i="9"/>
  <c r="A1" i="10"/>
  <c r="A2" i="10"/>
  <c r="E6" i="9" l="1"/>
  <c r="G6" i="9"/>
  <c r="D34" i="9"/>
  <c r="D33" i="9"/>
  <c r="L20" i="13" l="1"/>
  <c r="L30" i="13" s="1"/>
  <c r="L20" i="9"/>
  <c r="L30" i="9" s="1"/>
  <c r="J19" i="13"/>
  <c r="J19" i="9"/>
  <c r="L19" i="13"/>
  <c r="L29" i="13" s="1"/>
  <c r="L29" i="9"/>
  <c r="K19" i="13"/>
  <c r="K29" i="13" s="1"/>
  <c r="K19" i="9"/>
  <c r="K29" i="9" s="1"/>
  <c r="J20" i="13"/>
  <c r="J20" i="9"/>
  <c r="K20" i="13"/>
  <c r="K30" i="13" s="1"/>
  <c r="K20" i="9"/>
  <c r="K30" i="9" s="1"/>
  <c r="J29" i="13" l="1"/>
  <c r="D4" i="13"/>
  <c r="J29" i="9"/>
  <c r="D4" i="9"/>
  <c r="J30" i="9"/>
  <c r="D5" i="9"/>
  <c r="F5" i="9" s="1"/>
  <c r="J30" i="13"/>
  <c r="D5" i="13"/>
  <c r="F5" i="13" s="1"/>
  <c r="D6" i="13" l="1"/>
  <c r="F4" i="13"/>
  <c r="F4" i="9"/>
  <c r="D6" i="9"/>
  <c r="F6" i="13" l="1"/>
  <c r="F6" i="9"/>
  <c r="I36" i="13" l="1"/>
  <c r="I36" i="9"/>
  <c r="H36" i="13" l="1"/>
  <c r="H36" i="9"/>
  <c r="G36" i="13" l="1"/>
  <c r="G36" i="9"/>
  <c r="D36" i="13"/>
  <c r="D36" i="9"/>
  <c r="E36" i="13"/>
  <c r="E36" i="9"/>
  <c r="F36" i="13"/>
  <c r="F36" i="9"/>
  <c r="D39" i="13" l="1"/>
  <c r="D38" i="13"/>
  <c r="D38" i="9"/>
  <c r="D39" i="9"/>
  <c r="D41" i="9" l="1"/>
  <c r="E38" i="9"/>
  <c r="D43" i="9"/>
  <c r="E33" i="9"/>
  <c r="E34" i="9"/>
  <c r="E39" i="9"/>
  <c r="D41" i="13"/>
  <c r="D43" i="13"/>
  <c r="E38" i="13"/>
  <c r="E33" i="13"/>
  <c r="E39" i="13"/>
  <c r="E34" i="13"/>
  <c r="E41" i="13" l="1"/>
  <c r="F33" i="9"/>
  <c r="F38" i="9"/>
  <c r="F33" i="13"/>
  <c r="F38" i="13"/>
  <c r="E43" i="9"/>
  <c r="D40" i="9"/>
  <c r="F39" i="13"/>
  <c r="F34" i="13"/>
  <c r="F39" i="9"/>
  <c r="F34" i="9"/>
  <c r="E41" i="9"/>
  <c r="E43" i="13"/>
  <c r="D40" i="13"/>
  <c r="E40" i="13" l="1"/>
  <c r="F43" i="13"/>
  <c r="G33" i="13"/>
  <c r="G38" i="13"/>
  <c r="G39" i="13"/>
  <c r="G34" i="13"/>
  <c r="G39" i="9"/>
  <c r="G34" i="9"/>
  <c r="F41" i="9"/>
  <c r="F41" i="13"/>
  <c r="F43" i="9"/>
  <c r="E40" i="9"/>
  <c r="G33" i="9"/>
  <c r="G38" i="9"/>
  <c r="G41" i="13" l="1"/>
  <c r="H33" i="13"/>
  <c r="H38" i="13"/>
  <c r="F40" i="9"/>
  <c r="G43" i="9"/>
  <c r="H34" i="9"/>
  <c r="H39" i="9"/>
  <c r="G41" i="9"/>
  <c r="H38" i="9"/>
  <c r="H33" i="9"/>
  <c r="H34" i="13"/>
  <c r="H39" i="13"/>
  <c r="G43" i="13"/>
  <c r="F40" i="13"/>
  <c r="I34" i="13" l="1"/>
  <c r="I39" i="13"/>
  <c r="I33" i="9"/>
  <c r="I38" i="9"/>
  <c r="I39" i="9"/>
  <c r="I34" i="9"/>
  <c r="I33" i="13"/>
  <c r="I38" i="13"/>
  <c r="H41" i="9"/>
  <c r="H43" i="9"/>
  <c r="G40" i="9"/>
  <c r="G40" i="13"/>
  <c r="H43" i="13"/>
  <c r="H41" i="13"/>
  <c r="I43" i="9" l="1"/>
  <c r="I43" i="13"/>
  <c r="H40" i="13"/>
  <c r="H40" i="9"/>
  <c r="I41" i="13" l="1"/>
  <c r="I41" i="9"/>
  <c r="J34" i="9"/>
  <c r="J33" i="9"/>
  <c r="J33" i="13"/>
  <c r="J34" i="13"/>
  <c r="I40" i="9" l="1"/>
  <c r="I40" i="13"/>
  <c r="I24" i="15" l="1"/>
  <c r="I23" i="15"/>
  <c r="C24" i="15"/>
  <c r="C23" i="15"/>
  <c r="G24" i="15"/>
  <c r="C14" i="16"/>
  <c r="B14" i="16"/>
  <c r="C14" i="15"/>
  <c r="B14" i="15"/>
  <c r="G23" i="15" l="1"/>
  <c r="F24" i="15"/>
  <c r="E24" i="15"/>
  <c r="H24" i="15"/>
  <c r="H23" i="15"/>
  <c r="D23" i="15"/>
  <c r="E23" i="15"/>
  <c r="D24" i="15"/>
  <c r="F23" i="15"/>
  <c r="I40" i="16"/>
  <c r="H40" i="16"/>
  <c r="G40" i="16"/>
  <c r="F40" i="16"/>
  <c r="E40" i="16"/>
  <c r="H5" i="11"/>
  <c r="H4" i="11"/>
  <c r="C47" i="11"/>
  <c r="H44" i="15" l="1"/>
  <c r="G44" i="15"/>
  <c r="F44" i="15"/>
  <c r="E44" i="15"/>
  <c r="D44" i="15"/>
  <c r="J40" i="16" l="1"/>
  <c r="I44" i="15"/>
  <c r="C47" i="16" l="1"/>
  <c r="D47" i="16" s="1"/>
  <c r="L28" i="15" l="1"/>
  <c r="L32" i="15" s="1"/>
  <c r="K28" i="15"/>
  <c r="K32" i="15" s="1"/>
  <c r="J28" i="15"/>
  <c r="J32" i="15" s="1"/>
  <c r="L27" i="15"/>
  <c r="L31" i="15" s="1"/>
  <c r="K27" i="15"/>
  <c r="K31" i="15" s="1"/>
  <c r="J27" i="15"/>
  <c r="J31" i="15" s="1"/>
  <c r="D15" i="15"/>
  <c r="E15" i="15" s="1"/>
  <c r="F15" i="15" s="1"/>
  <c r="G15" i="15" s="1"/>
  <c r="H15" i="15" s="1"/>
  <c r="I15" i="15" s="1"/>
  <c r="J15" i="15" s="1"/>
  <c r="K15" i="15" s="1"/>
  <c r="L15" i="15" s="1"/>
  <c r="M23" i="11" l="1"/>
  <c r="C14" i="11" l="1"/>
  <c r="B14" i="11"/>
  <c r="J44" i="1" l="1"/>
  <c r="C24" i="1"/>
  <c r="C23" i="1"/>
  <c r="J36" i="13" l="1"/>
  <c r="J36" i="9"/>
  <c r="K40" i="16"/>
  <c r="J44" i="15"/>
  <c r="C34" i="16"/>
  <c r="C38" i="16" s="1"/>
  <c r="D38" i="16" s="1"/>
  <c r="C33" i="16"/>
  <c r="C37" i="16" s="1"/>
  <c r="D37" i="16" s="1"/>
  <c r="M20" i="16"/>
  <c r="M34" i="16" s="1"/>
  <c r="L20" i="16"/>
  <c r="K20" i="16"/>
  <c r="M19" i="16"/>
  <c r="M33" i="16" s="1"/>
  <c r="L19" i="16"/>
  <c r="K19" i="16"/>
  <c r="E15" i="16"/>
  <c r="F15" i="16" s="1"/>
  <c r="G15" i="16" s="1"/>
  <c r="H15" i="16" s="1"/>
  <c r="I15" i="16" s="1"/>
  <c r="J15" i="16" s="1"/>
  <c r="K15" i="16" s="1"/>
  <c r="L15" i="16" s="1"/>
  <c r="M15" i="16" s="1"/>
  <c r="I5" i="16"/>
  <c r="I4" i="16"/>
  <c r="A1" i="16"/>
  <c r="C51" i="15"/>
  <c r="L49" i="15"/>
  <c r="C38" i="15"/>
  <c r="C42" i="15" s="1"/>
  <c r="C37" i="15"/>
  <c r="C41" i="15" s="1"/>
  <c r="A32" i="15"/>
  <c r="L24" i="15"/>
  <c r="I38" i="15"/>
  <c r="H38" i="15"/>
  <c r="F38" i="15"/>
  <c r="E38" i="15"/>
  <c r="D38" i="15"/>
  <c r="L23" i="15"/>
  <c r="I37" i="15"/>
  <c r="H37" i="15"/>
  <c r="G37" i="15"/>
  <c r="F37" i="15"/>
  <c r="E37" i="15"/>
  <c r="D37" i="15"/>
  <c r="H5" i="15"/>
  <c r="E5" i="15"/>
  <c r="H4" i="15"/>
  <c r="E4" i="15"/>
  <c r="A1" i="15"/>
  <c r="J38" i="9" l="1"/>
  <c r="J39" i="9"/>
  <c r="J39" i="13"/>
  <c r="J38" i="13"/>
  <c r="H6" i="15"/>
  <c r="D5" i="15"/>
  <c r="D42" i="15"/>
  <c r="D47" i="15"/>
  <c r="D46" i="15"/>
  <c r="D41" i="15"/>
  <c r="I6" i="16"/>
  <c r="E6" i="15"/>
  <c r="D4" i="15"/>
  <c r="L38" i="15"/>
  <c r="L37" i="15"/>
  <c r="E5" i="16"/>
  <c r="E4" i="16"/>
  <c r="G38" i="15"/>
  <c r="J41" i="13" l="1"/>
  <c r="K33" i="13"/>
  <c r="J43" i="13"/>
  <c r="K34" i="13"/>
  <c r="K34" i="9"/>
  <c r="J41" i="9"/>
  <c r="K33" i="9"/>
  <c r="J43" i="9"/>
  <c r="D6" i="15"/>
  <c r="E42" i="15"/>
  <c r="E47" i="15"/>
  <c r="E41" i="15"/>
  <c r="E46" i="15"/>
  <c r="E6" i="16"/>
  <c r="D49" i="15"/>
  <c r="D51" i="15"/>
  <c r="D48" i="15" s="1"/>
  <c r="J40" i="9" l="1"/>
  <c r="J40" i="13"/>
  <c r="F42" i="15"/>
  <c r="F47" i="15"/>
  <c r="F46" i="15"/>
  <c r="F41" i="15"/>
  <c r="E49" i="15"/>
  <c r="E51" i="15"/>
  <c r="E48" i="15" s="1"/>
  <c r="K20" i="11"/>
  <c r="J20" i="11"/>
  <c r="K19" i="11"/>
  <c r="J19" i="11"/>
  <c r="G47" i="15" l="1"/>
  <c r="G42" i="15"/>
  <c r="G41" i="15"/>
  <c r="G46" i="15"/>
  <c r="F51" i="15"/>
  <c r="F48" i="15" s="1"/>
  <c r="F49" i="15"/>
  <c r="F5" i="11"/>
  <c r="F4" i="11"/>
  <c r="G49" i="15" l="1"/>
  <c r="H41" i="15"/>
  <c r="H42" i="15"/>
  <c r="H47" i="15"/>
  <c r="H46" i="15"/>
  <c r="K44" i="1"/>
  <c r="J40" i="11"/>
  <c r="G51" i="15"/>
  <c r="G48" i="15" s="1"/>
  <c r="J33" i="11"/>
  <c r="K33" i="11"/>
  <c r="J34" i="11"/>
  <c r="K34" i="11"/>
  <c r="J16" i="11"/>
  <c r="K16" i="11"/>
  <c r="K32" i="1"/>
  <c r="J32" i="1"/>
  <c r="K31" i="1"/>
  <c r="J31" i="1"/>
  <c r="J23" i="1"/>
  <c r="K23" i="1"/>
  <c r="L23" i="1"/>
  <c r="J24" i="1"/>
  <c r="K24" i="1"/>
  <c r="L24" i="1"/>
  <c r="I42" i="15" l="1"/>
  <c r="I47" i="15"/>
  <c r="I41" i="15"/>
  <c r="I46" i="15"/>
  <c r="K36" i="13"/>
  <c r="K36" i="9"/>
  <c r="L40" i="16"/>
  <c r="K44" i="15"/>
  <c r="K40" i="11"/>
  <c r="H51" i="15"/>
  <c r="H48" i="15" s="1"/>
  <c r="H49" i="15"/>
  <c r="K37" i="1"/>
  <c r="J38" i="1"/>
  <c r="K38" i="1"/>
  <c r="J37" i="1"/>
  <c r="I51" i="15" l="1"/>
  <c r="K38" i="9"/>
  <c r="K39" i="9"/>
  <c r="K39" i="13"/>
  <c r="K38" i="13"/>
  <c r="H5" i="13" l="1"/>
  <c r="I5" i="13" s="1"/>
  <c r="L34" i="13"/>
  <c r="L39" i="13"/>
  <c r="K41" i="13"/>
  <c r="H4" i="13"/>
  <c r="L33" i="13"/>
  <c r="L38" i="13"/>
  <c r="K43" i="13"/>
  <c r="H5" i="9"/>
  <c r="I5" i="9" s="1"/>
  <c r="L39" i="9"/>
  <c r="L34" i="9"/>
  <c r="K41" i="9"/>
  <c r="H4" i="9"/>
  <c r="L38" i="9"/>
  <c r="K43" i="9"/>
  <c r="L33" i="9"/>
  <c r="I48" i="15"/>
  <c r="I49" i="15"/>
  <c r="G40" i="11"/>
  <c r="H40" i="11"/>
  <c r="I10" i="13" l="1"/>
  <c r="F25" i="5" s="1"/>
  <c r="I8" i="13"/>
  <c r="I11" i="13"/>
  <c r="F26" i="5" s="1"/>
  <c r="I9" i="13"/>
  <c r="F24" i="5" s="1"/>
  <c r="F6" i="5" s="1"/>
  <c r="I11" i="9"/>
  <c r="E26" i="5" s="1"/>
  <c r="I10" i="9"/>
  <c r="E25" i="5" s="1"/>
  <c r="I9" i="9"/>
  <c r="E24" i="5" s="1"/>
  <c r="E6" i="5" s="1"/>
  <c r="I8" i="9"/>
  <c r="L41" i="13"/>
  <c r="L41" i="9"/>
  <c r="J5" i="9"/>
  <c r="L43" i="9"/>
  <c r="L40" i="9" s="1"/>
  <c r="K40" i="9"/>
  <c r="J5" i="13"/>
  <c r="K40" i="13"/>
  <c r="L43" i="13"/>
  <c r="L40" i="13" s="1"/>
  <c r="H6" i="9"/>
  <c r="I4" i="9"/>
  <c r="I4" i="13"/>
  <c r="H6" i="13"/>
  <c r="H5" i="1"/>
  <c r="H4" i="1"/>
  <c r="E7" i="5" l="1"/>
  <c r="L7" i="5"/>
  <c r="L8" i="5"/>
  <c r="E8" i="5"/>
  <c r="F8" i="5"/>
  <c r="M8" i="5"/>
  <c r="F23" i="5"/>
  <c r="I12" i="13"/>
  <c r="F7" i="5"/>
  <c r="M7" i="5"/>
  <c r="I12" i="9"/>
  <c r="E23" i="5"/>
  <c r="I6" i="13"/>
  <c r="F22" i="5"/>
  <c r="J4" i="13"/>
  <c r="E22" i="5"/>
  <c r="J4" i="9"/>
  <c r="I6" i="9"/>
  <c r="H6" i="11"/>
  <c r="H6" i="1"/>
  <c r="C34" i="11"/>
  <c r="C38" i="11" s="1"/>
  <c r="C33" i="11"/>
  <c r="C37" i="11" s="1"/>
  <c r="I40" i="11" l="1"/>
  <c r="F40" i="11"/>
  <c r="E40" i="11"/>
  <c r="D40" i="11"/>
  <c r="C38" i="1" l="1"/>
  <c r="C42" i="1" s="1"/>
  <c r="C37" i="1"/>
  <c r="C41" i="1" s="1"/>
  <c r="I16" i="11" l="1"/>
  <c r="M24" i="11" l="1"/>
  <c r="E5" i="1"/>
  <c r="E4" i="1"/>
  <c r="C51" i="1" l="1"/>
  <c r="H16" i="11" l="1"/>
  <c r="G16" i="11"/>
  <c r="F16" i="11"/>
  <c r="E16" i="11"/>
  <c r="D16" i="11"/>
  <c r="H34" i="11" l="1"/>
  <c r="H33" i="11"/>
  <c r="G34" i="11"/>
  <c r="G33" i="11"/>
  <c r="F34" i="11"/>
  <c r="F33" i="11"/>
  <c r="H24" i="1"/>
  <c r="H38" i="1" s="1"/>
  <c r="H23" i="1"/>
  <c r="H37" i="1" s="1"/>
  <c r="G24" i="1"/>
  <c r="G23" i="1"/>
  <c r="F24" i="1"/>
  <c r="F38" i="1" s="1"/>
  <c r="F23" i="1"/>
  <c r="F37" i="1" s="1"/>
  <c r="G37" i="1" l="1"/>
  <c r="G38" i="1"/>
  <c r="L20" i="11" l="1"/>
  <c r="L19" i="11"/>
  <c r="L33" i="11" l="1"/>
  <c r="L34" i="11"/>
  <c r="L49" i="1"/>
  <c r="L32" i="1"/>
  <c r="L31" i="1"/>
  <c r="L38" i="1" l="1"/>
  <c r="L37" i="1"/>
  <c r="A1" i="5"/>
  <c r="A1" i="11"/>
  <c r="A1" i="12"/>
  <c r="A1" i="1"/>
  <c r="I24" i="1" l="1"/>
  <c r="E24" i="1"/>
  <c r="D24" i="1"/>
  <c r="F5" i="1" l="1"/>
  <c r="I23" i="1"/>
  <c r="D23" i="1"/>
  <c r="E23" i="1"/>
  <c r="F4" i="1" l="1"/>
  <c r="A2" i="12"/>
  <c r="D15" i="11" l="1"/>
  <c r="E15" i="11" s="1"/>
  <c r="F15" i="11" s="1"/>
  <c r="G15" i="11" s="1"/>
  <c r="H15" i="11" s="1"/>
  <c r="I15" i="11" s="1"/>
  <c r="J15" i="11" s="1"/>
  <c r="K15" i="11" s="1"/>
  <c r="L15" i="11" s="1"/>
  <c r="E6" i="1" l="1"/>
  <c r="E37" i="1" l="1"/>
  <c r="E38" i="1"/>
  <c r="D37" i="1" l="1"/>
  <c r="D38" i="1"/>
  <c r="D47" i="1" s="1"/>
  <c r="D46" i="1" l="1"/>
  <c r="D41" i="1"/>
  <c r="D42" i="1"/>
  <c r="E47" i="1" l="1"/>
  <c r="D51" i="1"/>
  <c r="E41" i="1"/>
  <c r="D49" i="1"/>
  <c r="E46" i="1"/>
  <c r="F46" i="1" l="1"/>
  <c r="D48" i="1"/>
  <c r="E49" i="1"/>
  <c r="F41" i="1"/>
  <c r="E34" i="11"/>
  <c r="E33" i="11"/>
  <c r="G46" i="1" l="1"/>
  <c r="G41" i="1"/>
  <c r="D34" i="11"/>
  <c r="D33" i="11"/>
  <c r="E4" i="11"/>
  <c r="H46" i="1" l="1"/>
  <c r="D38" i="11"/>
  <c r="D43" i="11"/>
  <c r="D37" i="11"/>
  <c r="D42" i="11"/>
  <c r="H41" i="1"/>
  <c r="E5" i="11"/>
  <c r="D47" i="11" l="1"/>
  <c r="E42" i="11"/>
  <c r="E37" i="11"/>
  <c r="F37" i="11" l="1"/>
  <c r="F42" i="11"/>
  <c r="D45" i="11"/>
  <c r="E43" i="11"/>
  <c r="E38" i="11"/>
  <c r="D44" i="11"/>
  <c r="G42" i="11" l="1"/>
  <c r="G37" i="11"/>
  <c r="F38" i="11"/>
  <c r="F43" i="11"/>
  <c r="F45" i="11" s="1"/>
  <c r="E47" i="11"/>
  <c r="E45" i="11"/>
  <c r="D5" i="11"/>
  <c r="G43" i="11" l="1"/>
  <c r="H37" i="11"/>
  <c r="H42" i="11"/>
  <c r="D4" i="11"/>
  <c r="E44" i="11"/>
  <c r="F47" i="11"/>
  <c r="G38" i="11"/>
  <c r="G45" i="11"/>
  <c r="F44" i="11" l="1"/>
  <c r="G47" i="11"/>
  <c r="H43" i="11"/>
  <c r="H45" i="11" s="1"/>
  <c r="H38" i="11"/>
  <c r="D6" i="11"/>
  <c r="F6" i="1"/>
  <c r="L6" i="5" l="1"/>
  <c r="M6" i="5"/>
  <c r="D4" i="1"/>
  <c r="D5" i="1"/>
  <c r="G44" i="11"/>
  <c r="H47" i="11"/>
  <c r="I38" i="1"/>
  <c r="I37" i="1"/>
  <c r="I41" i="1" l="1"/>
  <c r="I46" i="1"/>
  <c r="H44" i="11"/>
  <c r="D6" i="1"/>
  <c r="G4" i="1"/>
  <c r="G4" i="5" l="1"/>
  <c r="A32" i="1"/>
  <c r="G5" i="1" l="1"/>
  <c r="G6" i="1" l="1"/>
  <c r="E42" i="1" l="1"/>
  <c r="F47" i="1" s="1"/>
  <c r="F42" i="1" l="1"/>
  <c r="G47" i="1" s="1"/>
  <c r="F49" i="1"/>
  <c r="E51" i="1"/>
  <c r="G49" i="1" l="1"/>
  <c r="J46" i="1"/>
  <c r="J41" i="1"/>
  <c r="E48" i="1"/>
  <c r="F51" i="1"/>
  <c r="G42" i="1"/>
  <c r="K46" i="1" l="1"/>
  <c r="F48" i="1"/>
  <c r="G51" i="1"/>
  <c r="H42" i="1"/>
  <c r="H47" i="1"/>
  <c r="H49" i="1" s="1"/>
  <c r="I42" i="1" l="1"/>
  <c r="I47" i="1"/>
  <c r="G48" i="1"/>
  <c r="H51" i="1"/>
  <c r="I51" i="1" l="1"/>
  <c r="H48" i="1"/>
  <c r="J47" i="1" l="1"/>
  <c r="J42" i="1"/>
  <c r="K47" i="1" l="1"/>
  <c r="J51" i="1"/>
  <c r="I48" i="1"/>
  <c r="I49" i="1"/>
  <c r="K41" i="1" l="1"/>
  <c r="L41" i="1" l="1"/>
  <c r="I4" i="1"/>
  <c r="J4" i="1" s="1"/>
  <c r="K4" i="1" l="1"/>
  <c r="J49" i="1" l="1"/>
  <c r="K42" i="1" l="1"/>
  <c r="J48" i="1" l="1"/>
  <c r="K51" i="1"/>
  <c r="I5" i="1"/>
  <c r="K49" i="1"/>
  <c r="L42" i="1"/>
  <c r="I34" i="11"/>
  <c r="I33" i="11"/>
  <c r="I43" i="11" l="1"/>
  <c r="I38" i="11"/>
  <c r="I42" i="11"/>
  <c r="I37" i="11"/>
  <c r="J5" i="1"/>
  <c r="I6" i="1"/>
  <c r="K48" i="1"/>
  <c r="L51" i="1"/>
  <c r="L48" i="1" s="1"/>
  <c r="F6" i="11"/>
  <c r="E6" i="11"/>
  <c r="G5" i="11"/>
  <c r="G4" i="11"/>
  <c r="J8" i="1" l="1"/>
  <c r="J9" i="1"/>
  <c r="J10" i="1"/>
  <c r="J11" i="1"/>
  <c r="I47" i="11"/>
  <c r="I44" i="11" s="1"/>
  <c r="J42" i="11"/>
  <c r="J37" i="11"/>
  <c r="J38" i="11"/>
  <c r="J43" i="11"/>
  <c r="K5" i="1"/>
  <c r="J6" i="1"/>
  <c r="G6" i="11"/>
  <c r="I45" i="11"/>
  <c r="J12" i="1" l="1"/>
  <c r="K38" i="11"/>
  <c r="K37" i="11"/>
  <c r="J47" i="11"/>
  <c r="K43" i="11" l="1"/>
  <c r="J45" i="11"/>
  <c r="J44" i="11"/>
  <c r="K42" i="11"/>
  <c r="I5" i="11" l="1"/>
  <c r="J5" i="11" s="1"/>
  <c r="L38" i="11"/>
  <c r="I4" i="11"/>
  <c r="J4" i="11" s="1"/>
  <c r="L37" i="11"/>
  <c r="L43" i="11"/>
  <c r="K47" i="11"/>
  <c r="K44" i="11" s="1"/>
  <c r="K45" i="11"/>
  <c r="L42" i="11"/>
  <c r="J11" i="11" l="1"/>
  <c r="J10" i="11"/>
  <c r="J9" i="11"/>
  <c r="J8" i="11"/>
  <c r="K5" i="11"/>
  <c r="I6" i="11"/>
  <c r="K4" i="11"/>
  <c r="J6" i="11"/>
  <c r="L45" i="11"/>
  <c r="L47" i="11"/>
  <c r="L44" i="11" s="1"/>
  <c r="J12" i="11" l="1"/>
  <c r="D9" i="10" l="1"/>
  <c r="F13" i="5" l="1"/>
  <c r="D10" i="10"/>
  <c r="D11" i="10" s="1"/>
  <c r="F5" i="5"/>
  <c r="M5" i="5"/>
  <c r="F4" i="5" l="1"/>
  <c r="M4" i="5"/>
  <c r="K24" i="15" l="1"/>
  <c r="K38" i="15" s="1"/>
  <c r="J23" i="15" l="1"/>
  <c r="J37" i="15" l="1"/>
  <c r="J41" i="15" l="1"/>
  <c r="J46" i="15"/>
  <c r="K23" i="15"/>
  <c r="K37" i="15" l="1"/>
  <c r="K41" i="15" s="1"/>
  <c r="F4" i="15"/>
  <c r="K46" i="15" l="1"/>
  <c r="L41" i="15" s="1"/>
  <c r="G4" i="15"/>
  <c r="I4" i="15" l="1"/>
  <c r="J4" i="15" s="1"/>
  <c r="C22" i="5" l="1"/>
  <c r="K4" i="15"/>
  <c r="C5" i="4" l="1"/>
  <c r="C7" i="4" l="1"/>
  <c r="C8" i="4" s="1"/>
  <c r="C13" i="5"/>
  <c r="C11" i="4"/>
  <c r="C13" i="4"/>
  <c r="C12" i="4"/>
  <c r="C10" i="4"/>
  <c r="C16" i="5" l="1"/>
  <c r="C14" i="5"/>
  <c r="C17" i="5"/>
  <c r="C15" i="5"/>
  <c r="C14" i="4"/>
  <c r="C4" i="5"/>
  <c r="J4" i="5"/>
  <c r="J24" i="15" l="1"/>
  <c r="J38" i="15" l="1"/>
  <c r="F5" i="15"/>
  <c r="G5" i="15" l="1"/>
  <c r="G6" i="15" s="1"/>
  <c r="F6" i="15"/>
  <c r="J42" i="15"/>
  <c r="J47" i="15"/>
  <c r="J49" i="15" l="1"/>
  <c r="J51" i="15"/>
  <c r="J48" i="15" s="1"/>
  <c r="K47" i="15"/>
  <c r="K42" i="15"/>
  <c r="L42" i="15" l="1"/>
  <c r="K49" i="15"/>
  <c r="K51" i="15"/>
  <c r="L51" i="15" s="1"/>
  <c r="L48" i="15" s="1"/>
  <c r="I5" i="15"/>
  <c r="J5" i="15" l="1"/>
  <c r="I6" i="15"/>
  <c r="K48" i="15"/>
  <c r="J9" i="15" l="1"/>
  <c r="J10" i="15"/>
  <c r="J8" i="15"/>
  <c r="J11" i="15"/>
  <c r="J6" i="15"/>
  <c r="K5" i="15"/>
  <c r="C23" i="5" l="1"/>
  <c r="C26" i="5"/>
  <c r="C24" i="5"/>
  <c r="C6" i="5" s="1"/>
  <c r="C25" i="5"/>
  <c r="C7" i="5" s="1"/>
  <c r="C8" i="5"/>
  <c r="J8" i="5"/>
  <c r="J6" i="5"/>
  <c r="J12" i="15"/>
  <c r="J5" i="5"/>
  <c r="C5" i="5"/>
  <c r="J7" i="5" l="1"/>
  <c r="K27" i="16" l="1"/>
  <c r="K23" i="16"/>
  <c r="K33" i="16" l="1"/>
  <c r="L27" i="16"/>
  <c r="L23" i="16"/>
  <c r="L33" i="16" l="1"/>
  <c r="K24" i="16"/>
  <c r="K28" i="16"/>
  <c r="K34" i="16" l="1"/>
  <c r="K16" i="16"/>
  <c r="L24" i="16"/>
  <c r="L28" i="16"/>
  <c r="L34" i="16" l="1"/>
  <c r="L16" i="16"/>
  <c r="B8" i="12" l="1"/>
  <c r="C8" i="12" l="1"/>
  <c r="E24" i="16" l="1"/>
  <c r="E23" i="16"/>
  <c r="E27" i="16" l="1"/>
  <c r="F24" i="16"/>
  <c r="F23" i="16"/>
  <c r="E33" i="16" l="1"/>
  <c r="F27" i="16"/>
  <c r="G23" i="16"/>
  <c r="G24" i="16"/>
  <c r="E28" i="16"/>
  <c r="F33" i="16" l="1"/>
  <c r="E34" i="16"/>
  <c r="E42" i="16"/>
  <c r="E37" i="16"/>
  <c r="E16" i="16"/>
  <c r="G27" i="16"/>
  <c r="H23" i="16"/>
  <c r="H24" i="16"/>
  <c r="F28" i="16"/>
  <c r="F34" i="16" s="1"/>
  <c r="F42" i="16" l="1"/>
  <c r="F37" i="16"/>
  <c r="G33" i="16"/>
  <c r="E43" i="16"/>
  <c r="E47" i="16" s="1"/>
  <c r="E38" i="16"/>
  <c r="F16" i="16"/>
  <c r="H27" i="16"/>
  <c r="I24" i="16"/>
  <c r="I23" i="16"/>
  <c r="G28" i="16"/>
  <c r="G34" i="16" s="1"/>
  <c r="E44" i="16" l="1"/>
  <c r="G16" i="16"/>
  <c r="E45" i="16"/>
  <c r="H33" i="16"/>
  <c r="G37" i="16"/>
  <c r="G42" i="16"/>
  <c r="F43" i="16"/>
  <c r="F47" i="16" s="1"/>
  <c r="F38" i="16"/>
  <c r="I27" i="16"/>
  <c r="J23" i="16"/>
  <c r="N23" i="16" s="1"/>
  <c r="F4" i="16" s="1"/>
  <c r="J24" i="16"/>
  <c r="N24" i="16" s="1"/>
  <c r="F5" i="16" s="1"/>
  <c r="H28" i="16"/>
  <c r="H34" i="16" s="1"/>
  <c r="F44" i="16" l="1"/>
  <c r="H42" i="16"/>
  <c r="H37" i="16"/>
  <c r="F6" i="16"/>
  <c r="H16" i="16"/>
  <c r="I33" i="16"/>
  <c r="F45" i="16"/>
  <c r="G43" i="16"/>
  <c r="G45" i="16" s="1"/>
  <c r="G38" i="16"/>
  <c r="J27" i="16"/>
  <c r="I28" i="16"/>
  <c r="I34" i="16" s="1"/>
  <c r="G47" i="16" l="1"/>
  <c r="G44" i="16" s="1"/>
  <c r="I16" i="16"/>
  <c r="H38" i="16"/>
  <c r="H43" i="16"/>
  <c r="H45" i="16" s="1"/>
  <c r="J33" i="16"/>
  <c r="I42" i="16"/>
  <c r="I37" i="16"/>
  <c r="G4" i="16"/>
  <c r="E8" i="8"/>
  <c r="J28" i="16"/>
  <c r="J34" i="16" s="1"/>
  <c r="J16" i="16" l="1"/>
  <c r="H4" i="16"/>
  <c r="I43" i="16"/>
  <c r="I45" i="16" s="1"/>
  <c r="I38" i="16"/>
  <c r="H47" i="16"/>
  <c r="H44" i="16" s="1"/>
  <c r="G5" i="16"/>
  <c r="H5" i="16" s="1"/>
  <c r="J37" i="16"/>
  <c r="J42" i="16"/>
  <c r="G6" i="16" l="1"/>
  <c r="J38" i="16"/>
  <c r="J43" i="16"/>
  <c r="J45" i="16" s="1"/>
  <c r="I47" i="16"/>
  <c r="I44" i="16" s="1"/>
  <c r="K42" i="16"/>
  <c r="K37" i="16"/>
  <c r="H6" i="16"/>
  <c r="J47" i="16" l="1"/>
  <c r="J44" i="16" s="1"/>
  <c r="L37" i="16"/>
  <c r="L42" i="16"/>
  <c r="J4" i="16" s="1"/>
  <c r="K38" i="16"/>
  <c r="K43" i="16"/>
  <c r="K47" i="16" l="1"/>
  <c r="L43" i="16"/>
  <c r="J5" i="16" s="1"/>
  <c r="L38" i="16"/>
  <c r="K4" i="16"/>
  <c r="K45" i="16"/>
  <c r="M42" i="16"/>
  <c r="M37" i="16"/>
  <c r="K5" i="16" l="1"/>
  <c r="L4" i="16"/>
  <c r="D22" i="5"/>
  <c r="J6" i="16"/>
  <c r="M38" i="16"/>
  <c r="M43" i="16"/>
  <c r="K44" i="16"/>
  <c r="L47" i="16"/>
  <c r="L45" i="16"/>
  <c r="L5" i="16" l="1"/>
  <c r="K6" i="16"/>
  <c r="K8" i="16"/>
  <c r="K10" i="16"/>
  <c r="K9" i="16"/>
  <c r="K11" i="16"/>
  <c r="L44" i="16"/>
  <c r="M47" i="16"/>
  <c r="M44" i="16" s="1"/>
  <c r="M45" i="16"/>
  <c r="D8" i="8"/>
  <c r="D26" i="5" l="1"/>
  <c r="D23" i="5"/>
  <c r="D24" i="5"/>
  <c r="D25" i="5"/>
  <c r="K12" i="16"/>
  <c r="E9" i="8" l="1"/>
  <c r="E10" i="8" s="1"/>
  <c r="D9" i="8" l="1"/>
  <c r="D10" i="8" s="1"/>
  <c r="C8" i="8" l="1"/>
  <c r="F8" i="8" l="1"/>
  <c r="G8" i="8" s="1"/>
  <c r="C9" i="8" l="1"/>
  <c r="F9" i="8" l="1"/>
  <c r="G9" i="8" s="1"/>
  <c r="C10" i="8"/>
  <c r="E13" i="5"/>
  <c r="L4" i="5" s="1"/>
  <c r="F10" i="8" l="1"/>
  <c r="E4" i="5"/>
  <c r="G10" i="8" l="1"/>
  <c r="L5" i="5" l="1"/>
  <c r="E5" i="5"/>
  <c r="B6" i="19" l="1"/>
  <c r="B8" i="19"/>
  <c r="B10" i="19"/>
  <c r="B9" i="19"/>
  <c r="B7" i="19" l="1"/>
  <c r="B11" i="19" s="1"/>
  <c r="C6" i="19" l="1"/>
  <c r="C8" i="19"/>
  <c r="C9" i="19"/>
  <c r="C10" i="19"/>
  <c r="D16" i="5" l="1"/>
  <c r="D15" i="5"/>
  <c r="D6" i="5" s="1"/>
  <c r="H6" i="5" s="1"/>
  <c r="D17" i="5"/>
  <c r="D8" i="5" s="1"/>
  <c r="H8" i="5" s="1"/>
  <c r="D13" i="5"/>
  <c r="K4" i="5" s="1"/>
  <c r="K7" i="5"/>
  <c r="D7" i="5"/>
  <c r="H7" i="5" s="1"/>
  <c r="K6" i="5" l="1"/>
  <c r="D4" i="5"/>
  <c r="H4" i="5" s="1"/>
  <c r="K8" i="5"/>
  <c r="C7" i="19"/>
  <c r="D14" i="5" l="1"/>
  <c r="C11" i="19"/>
  <c r="K5" i="5" l="1"/>
  <c r="D5" i="5"/>
  <c r="H5" i="5" l="1"/>
</calcChain>
</file>

<file path=xl/sharedStrings.xml><?xml version="1.0" encoding="utf-8"?>
<sst xmlns="http://schemas.openxmlformats.org/spreadsheetml/2006/main" count="510" uniqueCount="204">
  <si>
    <t>Low Income</t>
  </si>
  <si>
    <t>Common/General</t>
  </si>
  <si>
    <t>Allocated Program Costs</t>
  </si>
  <si>
    <t>Over/(Under)</t>
  </si>
  <si>
    <t>PCR</t>
  </si>
  <si>
    <t>Allocations</t>
  </si>
  <si>
    <t>Total</t>
  </si>
  <si>
    <t>PPC</t>
  </si>
  <si>
    <t>Service Class</t>
  </si>
  <si>
    <t>FORECASTED</t>
  </si>
  <si>
    <t>TDR</t>
  </si>
  <si>
    <t>Interest</t>
  </si>
  <si>
    <t>CHECK</t>
  </si>
  <si>
    <t>INPUTS</t>
  </si>
  <si>
    <t>Starting Balance</t>
  </si>
  <si>
    <t>Program Cost Rate</t>
  </si>
  <si>
    <t>4. Total Interest</t>
  </si>
  <si>
    <t>2. Actual Revenues - TD-NSB Only</t>
  </si>
  <si>
    <t>5. Total Interest</t>
  </si>
  <si>
    <t>PTD</t>
  </si>
  <si>
    <t>OA</t>
  </si>
  <si>
    <t>OAR</t>
  </si>
  <si>
    <t>NPC</t>
  </si>
  <si>
    <t>NTD</t>
  </si>
  <si>
    <t>NOA</t>
  </si>
  <si>
    <t>cumulative check</t>
  </si>
  <si>
    <t>monthly GL interest check</t>
  </si>
  <si>
    <t>Programmable Thermostat</t>
  </si>
  <si>
    <t>Non-Residential %</t>
  </si>
  <si>
    <t>Residential</t>
  </si>
  <si>
    <t>Non-Residential</t>
  </si>
  <si>
    <t>2. PPC</t>
  </si>
  <si>
    <t>Residential/Non-Residential %</t>
  </si>
  <si>
    <t>DSIM($/kWh)</t>
  </si>
  <si>
    <t>2. PTD</t>
  </si>
  <si>
    <t xml:space="preserve">INPUTS </t>
  </si>
  <si>
    <t>3. Energy Savings (kWh)</t>
  </si>
  <si>
    <t>4. Total monthly interest - Source: calculated</t>
  </si>
  <si>
    <t>1. Actual/Forecasted Program Costs</t>
  </si>
  <si>
    <t>ACTUAL</t>
  </si>
  <si>
    <t>3. Actual/Forecasted Revenues - Program Costs Only</t>
  </si>
  <si>
    <t>Allocated Actual Program Costs (calculated)</t>
  </si>
  <si>
    <t>Regulatory Asset/(Liability) (calculated)</t>
  </si>
  <si>
    <t>1. Actual/Forecasted TD-NSB</t>
  </si>
  <si>
    <t>Interest Carrying Cost (calculated)</t>
  </si>
  <si>
    <t>Cumulative kWh Savings</t>
  </si>
  <si>
    <t>TD-NSB</t>
  </si>
  <si>
    <t>PE (kWh)</t>
  </si>
  <si>
    <t>Defined Terms</t>
  </si>
  <si>
    <t>EP = Effective Period (six months beginning July 2014) and each six month period thereafter</t>
  </si>
  <si>
    <t>PPC = Projected Program Costs in the upcoming EP</t>
  </si>
  <si>
    <t>PCR = Program Costs Reconciliation for the current EP</t>
  </si>
  <si>
    <t>NPC = Net Program Costs for the upcoming EP (PPC + PCR)</t>
  </si>
  <si>
    <t>PTD = Projected Throughput Disincentive in the upcoming EP</t>
  </si>
  <si>
    <t>NTD = Net Throughput Disincentive for the upcoming EP (PTD + TDR)</t>
  </si>
  <si>
    <t>OA = Ordered Adjustment</t>
  </si>
  <si>
    <t>OAR = Ordered Adjustment Reconciliation</t>
  </si>
  <si>
    <t>NOA = Net Order Adjustment (OA + OAR)</t>
  </si>
  <si>
    <t>PE = Projected Energy, in kWh to be delivered during the upcoming RP</t>
  </si>
  <si>
    <t>RP = Recovery Period (six months beginning August 2014) and each six month period thereafter</t>
  </si>
  <si>
    <t>1. PE - Recovery Period Forecasted Billed kWh Sales</t>
  </si>
  <si>
    <t>Billed kWh Sales</t>
  </si>
  <si>
    <t>Billed Revenues</t>
  </si>
  <si>
    <t>2. Actual/Forecasted Billed KWh Sales - Reduced for Opt-Out</t>
  </si>
  <si>
    <t>TDR = Throughput Disincentive Reconciliation in the current EP</t>
  </si>
  <si>
    <t>5. Short-Term Interest Rate</t>
  </si>
  <si>
    <t>6. Current Tariff Rate</t>
  </si>
  <si>
    <t>6. Actual program cost rate component of the tariff rate</t>
  </si>
  <si>
    <t>(Over)/Under (calculated)</t>
  </si>
  <si>
    <t>Cumulative (Over)/Under (calculated)</t>
  </si>
  <si>
    <t>TD</t>
  </si>
  <si>
    <t>Beginning Over/(Under)</t>
  </si>
  <si>
    <t>EO = Earnings Opportunity</t>
  </si>
  <si>
    <t>NEO = Net Earnings Opportunity (EO + EOR)</t>
  </si>
  <si>
    <t>EOR = Earnings Opportunity Reconciliation</t>
  </si>
  <si>
    <t>TD Rate</t>
  </si>
  <si>
    <t>NEO</t>
  </si>
  <si>
    <t>EO</t>
  </si>
  <si>
    <t>EOR</t>
  </si>
  <si>
    <t>Cycle 1 Program Costs Reconciliation (PCR) Calculation</t>
  </si>
  <si>
    <t>Income-Eligible</t>
  </si>
  <si>
    <t>Cycle 2 Program Costs Reconciliation (PCR) Calculation</t>
  </si>
  <si>
    <t>Cycle 2 Throughput Disincentive TD Reconciliation (TDR) Calculation</t>
  </si>
  <si>
    <t>2. Actual Revenues - TD Only</t>
  </si>
  <si>
    <t>1. Actual/Forecasted TD</t>
  </si>
  <si>
    <t>Cycle 2 Projected Program Costs (PPC) Calculation</t>
  </si>
  <si>
    <t>Cycle 1 Throughput Disincentive TD-NSB Reconciliation (TDR) Calculation</t>
  </si>
  <si>
    <t>Cycle 2 Projected Throughput Disincentive (PTD) TD Calculation</t>
  </si>
  <si>
    <t>1. Forecasted kWh Sales Impact</t>
  </si>
  <si>
    <t>3. kWh Sales Impact</t>
  </si>
  <si>
    <t>4. Actual/Forecasted TD-NSB</t>
  </si>
  <si>
    <t>5. Total monthly interest - Source: calculated</t>
  </si>
  <si>
    <t>7. Actual TD-NSB rate component of the tariff rate</t>
  </si>
  <si>
    <t>7. Current Tariff Rate</t>
  </si>
  <si>
    <t>4. Actual/Forecasted TD</t>
  </si>
  <si>
    <t>7. Actual TD rate component of the tariff rate</t>
  </si>
  <si>
    <t>Cumulative kWh Sales Impact</t>
  </si>
  <si>
    <t>EO Rate</t>
  </si>
  <si>
    <t>OA Rate</t>
  </si>
  <si>
    <t>1. Ordered Adjustment</t>
  </si>
  <si>
    <t>2. Carrying Costs on OA</t>
  </si>
  <si>
    <t>Cycle 1 Earnings Opportunity Reconciliation (EOR) Calculation</t>
  </si>
  <si>
    <t>1. Actual/Forecasted Earnings Opportunity</t>
  </si>
  <si>
    <t>2. Actual Revenues - EO Only</t>
  </si>
  <si>
    <t>4. Short-Term Interest Rate</t>
  </si>
  <si>
    <t>3. Actual/Forecasted EO Amortization</t>
  </si>
  <si>
    <t>2. Actual Revenues - OA Only</t>
  </si>
  <si>
    <t>1. Actual/Forecasted Ordered Adjustments</t>
  </si>
  <si>
    <t>3. Actual/Forecasted Ordered Adjustments</t>
  </si>
  <si>
    <t>1. &amp; 4. Actual monthly TD-NSB - Source: None
    Forecasted monthly TD-NSB - Source: None</t>
  </si>
  <si>
    <t>3. Energy Savings (kWh) - Source: none</t>
  </si>
  <si>
    <t>1. Actual monthly program costs by allocation bucket Residential, Non-Residential, Low Income, Common/General, Programmable Thermostat) - Source: None</t>
  </si>
  <si>
    <t>3. Actual/Forecasted EO Amortization - Source:  None</t>
  </si>
  <si>
    <t>Correction of Reported Results for April - October 2018</t>
  </si>
  <si>
    <t>Res/Non-Res Allocation</t>
  </si>
  <si>
    <t>2. Carrying Costs on OA - Source: Calculated</t>
  </si>
  <si>
    <t>3. Monthly Short-Term Interest Rate</t>
  </si>
  <si>
    <t>1.  Actual monthly EO - Source: None
    Forecasted monthly EO - Source: None</t>
  </si>
  <si>
    <t>6. Actual EO rate component of the tariff rate</t>
  </si>
  <si>
    <t>Cycle 2 Ordered Adjustments Reconciliation (OAR) Calculation</t>
  </si>
  <si>
    <t>Cycle 2 Ordered Adjustment (OA) Calculation</t>
  </si>
  <si>
    <t>Cumulative Over/Under Carryover From 06/01/2019 Filing</t>
  </si>
  <si>
    <t>Reverse May-19 - October-19  Forecast From 06/01/2019 Filing</t>
  </si>
  <si>
    <t>1. Ordered Adjustment - None</t>
  </si>
  <si>
    <t>1. Ordered Adjustment - Source: None</t>
  </si>
  <si>
    <t>3. Monthly Short-Term Borrowing Rate - Source: None</t>
  </si>
  <si>
    <t>Cycle 2 Earnings Opportunity (EO) Calculation</t>
  </si>
  <si>
    <t>5. Total Earnings Opportunity plus Carrying Costs</t>
  </si>
  <si>
    <t>1. Total Earnings Opportunity</t>
  </si>
  <si>
    <t>2. EO TD Ex Post Gross Adjustment</t>
  </si>
  <si>
    <t>4. Carrying Costs @ AFUDC Rate</t>
  </si>
  <si>
    <t>3. EO TD NTG Adjustment</t>
  </si>
  <si>
    <t>6. Amortization Over 24 Month Recovery Period</t>
  </si>
  <si>
    <t>5. Total Earnings Opportunity plus Carrying Costs - Source: Sum of Lines 1. through 4.</t>
  </si>
  <si>
    <t>1. Forecasted kWh by Residential/Non-Residential (Reduced for Opt-Out) - Source: Billed kWh Budget Metro 2019-2020.xlsx</t>
  </si>
  <si>
    <t>2. Forecasted program costs by allocation bucket (Residential, Non-Residential, Income-Eligible, Common/General) - Source: Metro MEEIA Cycle 2 Forecast 2017-2020 102019 actuals 11222019.xlsx</t>
  </si>
  <si>
    <t>Non-Residential SGS</t>
  </si>
  <si>
    <t>Non-Residential MGS</t>
  </si>
  <si>
    <t>Non-Residential LGS</t>
  </si>
  <si>
    <t>Non-Residential LPS</t>
  </si>
  <si>
    <t>Cycle 2 kWh Participation</t>
  </si>
  <si>
    <t>3. Cycle 2 kWh Participation - Source: TD Model Metro 102019 11202019 v2.xlsx</t>
  </si>
  <si>
    <t>Projections for Cycle 2 January 2020 - December 2020 DSIM</t>
  </si>
  <si>
    <t>Total Non-Residential</t>
  </si>
  <si>
    <t>Projections for Cycle 3 January 2020 - December 2020 DSIM</t>
  </si>
  <si>
    <t>Cycle 3 Projected Program Costs (PPC) Calculation</t>
  </si>
  <si>
    <t>Cycle 3 Projected Throughput Disincentive (PTD) TD Calculation</t>
  </si>
  <si>
    <t>3. Cycle 2 kWh Participation</t>
  </si>
  <si>
    <t>1. PPC</t>
  </si>
  <si>
    <t>1. Forecasted program costs by allocation bucket (Residential, Non-Residential, Income-Eligible, Common/General) - Source: MEEIA 2019 Portfolio Analysis_RAP Modified_FILED_KCPL-MO_11292018_SURR 2 12132019.xlsx</t>
  </si>
  <si>
    <t>1. Forecasted Residential/Non-Residential kWh savings  - Source: MEEIA 2019 Portfolio Analysis_RAP Modified_FILED_KCPL-MO_11292018_SURR 2 12132019.xlsx</t>
  </si>
  <si>
    <t>2. Forecasted Throughput Disincentive - Source: MEEIA 2019 Portfolio Analysis_RAP Modified_FILED_KCPL-MO_11292018_SURR 2 12132019.xlsx</t>
  </si>
  <si>
    <t>7. Cycle 2 kWh Participation</t>
  </si>
  <si>
    <t>7. Cycle 2 kWh Participation - Source: TD Model Metro 102019 11202019 v2.xlsx</t>
  </si>
  <si>
    <t>2. Actual monthly kWh billed sales by Residential/Non-Residential (reduced for opt-out) - Source: Metro MEEIA 2019 Revenue Analysis v2.xlsx
    Forecasted monthly kWh billed sales by Residential/Non-Residential (reduced for opt-out) - Source: Billed kWh Budget Metro 2019-2020 v2.xlsx</t>
  </si>
  <si>
    <t>3. Actual monthly billed revenues by Residential/Non-Residential (program cost revenues only) - Metro MEEIA 2019 Revenue Analysis v2.xlsx
    Forecasted monthly billed revenues by Residential/Non-Residential (program cost revenues only) - Source: calculated = Forecasted billed kWh sales X tariff rate</t>
  </si>
  <si>
    <t>5. Monthly Short-Term Borrowing Rate - Source: Metro Short-Term Borrowing Rate May 2019 - October 2019 v2.xlsx</t>
  </si>
  <si>
    <t>1. Actual monthly program costs by allocation bucket Residential, Non-Residential, Income-Eligible, Common/General) - Source: SI Projects 052019-102019 Metro v2.xlsx
    Forecasted monthly program costs by allocation bucket - Source: Metro MEEIA Cycle 2 Forecast 2017-2020 102019 actuals 11222019 v2.xlsx</t>
  </si>
  <si>
    <t>1. Forecasted Residential/Non-Residential kWh savings  - Source: Metro MEEIA Cycle 2 Forecast 2017-2020 102019 actuals 11222019 v2.xlsx</t>
  </si>
  <si>
    <t>2. Forecasted Throughput Disincentive - Source: Metro MEEIA Cycle 2 Forecast 2017-2020 102019 actuals 11222019 v2.xlsx</t>
  </si>
  <si>
    <t>6. Short-Term Interest Rate</t>
  </si>
  <si>
    <t>8. Cycle 2 kWh Participation - Source: TD Model Metro 102019 11202019 v2.xlsx</t>
  </si>
  <si>
    <t>8. Cycle 2 kWh Participation</t>
  </si>
  <si>
    <t>2. Actual monthly billed revenues by Residential/Non-Residential (TD-NSB revenues only) - Metro MEEIA 2019 Revenue Analysis v2.xlsx
Forecasted monthly billed revenues by Residential/Non-Residential (TD-NSB revenues only) - Source: calculated = Forecasted billed kWh sales X tariff rate</t>
  </si>
  <si>
    <t>6. Monthly Short-Term Borrowing Rate - Source: Metro Short-Term Borrowing Rate May 2019 - October 2019 v2.xlsx</t>
  </si>
  <si>
    <t>1. &amp; 4. Actual monthly TD - Source: TD Model Metro 102019 11202019 v2.xlsx
    Forecasted monthly TD - Source: Metro MEEIA Cycle 2 Forecast 2017-2020 102019 actuals 11222019 v2.xlsx</t>
  </si>
  <si>
    <t>2. Actual monthly billed revenues by Residential/Non-Residential (TD revenues only) - Metro MEEIA 2019 Revenue Analysis v2.xlsx
Forecasted monthly billed revenues by Residential/Non-Residential (TD revenues only) - Source: calculated = Forecasted billed kWh sales X tariff rate</t>
  </si>
  <si>
    <t>3. Actual kWh Sales Impact - Source:  TD Model Metro 102019 11202019 v2.xlsx
    Forecasted kWh Sales Impact - Source: Metro MEEIA Cycle 2 Forecast 2017-2020 102019 actuals 11222019 v2.xlsx</t>
  </si>
  <si>
    <t>6. Amortization Over 24 Month Recovery Period - Source: Line 5 divided by 2 (12 month recovery periods)</t>
  </si>
  <si>
    <t>1. Total Earnings Opportunity - Source: Metro EO Calculation PY1-PY3 v2.xlsx</t>
  </si>
  <si>
    <t>2. EO TD Ex Post Gross Adjustment -  Source: TD Model Metro 102019 11202019 v2.xlsx</t>
  </si>
  <si>
    <t>3. EO TD NTG Adjustment -  Source: TD Model Metro 102019 11202019 v2.xlsx</t>
  </si>
  <si>
    <t>4. Carrying Costs @ AFUDC Rate -  Source: TD Model Metro 102019 11202019 v2.xlsx</t>
  </si>
  <si>
    <t>2. Actual monthly billed revenues by Residential/Non-Residential (EO revenues only) - Metro MEEIA 2019 Revenue Analysis v2.xlsx
Forecasted monthly billed revenues by Residential/Non-Residential (EO revenues only) - Source: calculated = Forecasted billed kWh sales X tariff rate</t>
  </si>
  <si>
    <t>6. Actual OA rate component of the tariff rate</t>
  </si>
  <si>
    <t>1. &amp; 3. Actual monthly Ordered Adjustments - Source: OA Adjustment Cycle 2 Metro v2.xlsx</t>
  </si>
  <si>
    <t>2. Actual monthly billed revenues by Residential/Non-Residential (program cost revenues only) - Metro MEEIA 2019 Revenue Analysis v2.xlsx
Forecasted monthly billed revenues by Residential/Non-Residential (program cost revenues only) - Source: calculated = Forecasted billed kWh sales X tariff rate</t>
  </si>
  <si>
    <t>PPC-cycle 1</t>
  </si>
  <si>
    <t>PTD-cycle 1</t>
  </si>
  <si>
    <t>EO-cycle 1</t>
  </si>
  <si>
    <t>PPC-cycle 2</t>
  </si>
  <si>
    <t>PTD-cycle 2</t>
  </si>
  <si>
    <t>EO-cycle 2</t>
  </si>
  <si>
    <t>OA-cycle 2</t>
  </si>
  <si>
    <t>PPC-cycle 3</t>
  </si>
  <si>
    <t>PTD-cycle 3</t>
  </si>
  <si>
    <t>EO-cycle 3</t>
  </si>
  <si>
    <t>OA-cycle 3</t>
  </si>
  <si>
    <t>PCR-cycle 1</t>
  </si>
  <si>
    <t>TDR-cycle 1</t>
  </si>
  <si>
    <t>EOR-cycle 1</t>
  </si>
  <si>
    <t>PCR-cycle 2</t>
  </si>
  <si>
    <t>TDR-cycle 2</t>
  </si>
  <si>
    <t>EOR-cycle 2</t>
  </si>
  <si>
    <t>OAR-cycle 2</t>
  </si>
  <si>
    <t>PCR-cycle 3</t>
  </si>
  <si>
    <t>TDR-cycle 3</t>
  </si>
  <si>
    <t>EOR-cycle 3</t>
  </si>
  <si>
    <t>OAR-cycle 3</t>
  </si>
  <si>
    <t>Breakout of Rate by Cycle:</t>
  </si>
  <si>
    <t>Cycle 1</t>
  </si>
  <si>
    <t>Cycle 2</t>
  </si>
  <si>
    <t>Cycle 3</t>
  </si>
  <si>
    <t>Evergy Metro, Inc. - DSIM Rider Update MEEIA 3 filed January 20,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</si>
</sst>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00%"/>
    <numFmt numFmtId="169" formatCode="0.0000%"/>
    <numFmt numFmtId="170" formatCode="_(&quot;$&quot;* #,##0.00000_);_(&quot;$&quot;* \(#,##0.00000\);_(&quot;$&quot;* &quot;-&quot;?????_);_(@_)"/>
    <numFmt numFmtId="171" formatCode="0.000000%"/>
    <numFmt numFmtId="172" formatCode="_(&quot;$&quot;* #,##0.0_);_(&quot;$&quot;* \(#,##0.0\);_(&quot;$&quot;* &quot;-&quot;??_);_(@_)"/>
    <numFmt numFmtId="173" formatCode="mm/dd/yy;@"/>
    <numFmt numFmtId="174" formatCode="_(&quot;$&quot;* #,##0.0000000_);_(&quot;$&quot;* \(#,##0.0000000\);_(&quot;$&quot;* &quot;-&quot;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0"/>
      <color rgb="FFFF00FF"/>
      <name val="Courier New"/>
      <family val="3"/>
    </font>
    <font>
      <sz val="10"/>
      <name val="Courier New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7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double">
        <color rgb="FF3F3F3F"/>
      </left>
      <right style="medium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theme="0" tint="-0.2499465926084170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0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7" borderId="17" applyNumberFormat="0" applyAlignment="0" applyProtection="0"/>
    <xf numFmtId="0" fontId="14" fillId="7" borderId="1" applyNumberFormat="0" applyAlignment="0" applyProtection="0"/>
    <xf numFmtId="0" fontId="1" fillId="8" borderId="18" applyNumberFormat="0" applyFont="0" applyAlignment="0" applyProtection="0"/>
    <xf numFmtId="0" fontId="15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9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3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</cellStyleXfs>
  <cellXfs count="297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4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5" fillId="5" borderId="13" xfId="6" applyNumberFormat="1" applyBorder="1"/>
    <xf numFmtId="0" fontId="0" fillId="0" borderId="0" xfId="0" applyBorder="1"/>
    <xf numFmtId="0" fontId="7" fillId="0" borderId="0" xfId="8" applyBorder="1"/>
    <xf numFmtId="44" fontId="0" fillId="0" borderId="0" xfId="0" applyNumberFormat="1" applyBorder="1"/>
    <xf numFmtId="164" fontId="0" fillId="0" borderId="12" xfId="0" applyNumberFormat="1" applyBorder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10" fontId="0" fillId="0" borderId="0" xfId="0" applyNumberFormat="1"/>
    <xf numFmtId="165" fontId="14" fillId="7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7" borderId="1" xfId="13" applyNumberFormat="1" applyBorder="1" applyAlignment="1">
      <alignment horizontal="center"/>
    </xf>
    <xf numFmtId="10" fontId="14" fillId="7" borderId="14" xfId="13" applyNumberFormat="1" applyBorder="1" applyAlignment="1">
      <alignment horizontal="center"/>
    </xf>
    <xf numFmtId="165" fontId="14" fillId="7" borderId="16" xfId="13" applyNumberFormat="1" applyBorder="1" applyAlignment="1">
      <alignment horizontal="center"/>
    </xf>
    <xf numFmtId="165" fontId="14" fillId="7" borderId="21" xfId="13" applyNumberFormat="1" applyBorder="1" applyAlignment="1">
      <alignment horizontal="center"/>
    </xf>
    <xf numFmtId="0" fontId="7" fillId="0" borderId="9" xfId="8" applyBorder="1" applyAlignment="1">
      <alignment horizontal="right"/>
    </xf>
    <xf numFmtId="0" fontId="8" fillId="0" borderId="25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7" borderId="1" xfId="13" applyNumberFormat="1"/>
    <xf numFmtId="165" fontId="13" fillId="7" borderId="17" xfId="12" applyNumberFormat="1"/>
    <xf numFmtId="165" fontId="5" fillId="5" borderId="16" xfId="6" applyNumberFormat="1" applyBorder="1" applyAlignment="1">
      <alignment horizontal="center"/>
    </xf>
    <xf numFmtId="165" fontId="5" fillId="5" borderId="21" xfId="6" applyNumberFormat="1" applyBorder="1" applyAlignment="1">
      <alignment horizontal="center"/>
    </xf>
    <xf numFmtId="165" fontId="5" fillId="5" borderId="15" xfId="11" applyNumberFormat="1" applyFont="1" applyFill="1" applyBorder="1"/>
    <xf numFmtId="165" fontId="6" fillId="6" borderId="2" xfId="7" applyNumberFormat="1"/>
    <xf numFmtId="165" fontId="0" fillId="0" borderId="9" xfId="0" applyNumberFormat="1" applyBorder="1"/>
    <xf numFmtId="165" fontId="0" fillId="0" borderId="10" xfId="0" applyNumberFormat="1" applyBorder="1"/>
    <xf numFmtId="0" fontId="8" fillId="0" borderId="0" xfId="0" applyFont="1" applyFill="1" applyBorder="1" applyAlignment="1">
      <alignment horizontal="right"/>
    </xf>
    <xf numFmtId="165" fontId="0" fillId="0" borderId="0" xfId="0" applyNumberFormat="1" applyBorder="1"/>
    <xf numFmtId="168" fontId="0" fillId="0" borderId="0" xfId="2" applyNumberFormat="1" applyFont="1"/>
    <xf numFmtId="44" fontId="6" fillId="6" borderId="2" xfId="7" applyNumberFormat="1"/>
    <xf numFmtId="165" fontId="5" fillId="0" borderId="0" xfId="11" applyNumberFormat="1" applyFont="1" applyFill="1" applyBorder="1"/>
    <xf numFmtId="165" fontId="4" fillId="0" borderId="0" xfId="11" applyNumberFormat="1" applyFont="1" applyFill="1" applyBorder="1"/>
    <xf numFmtId="10" fontId="5" fillId="0" borderId="0" xfId="2" applyNumberFormat="1" applyFont="1" applyFill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4" fillId="0" borderId="10" xfId="5" applyNumberFormat="1" applyFill="1" applyBorder="1"/>
    <xf numFmtId="0" fontId="0" fillId="0" borderId="0" xfId="0" applyFill="1"/>
    <xf numFmtId="165" fontId="14" fillId="7" borderId="13" xfId="13" applyNumberFormat="1" applyBorder="1"/>
    <xf numFmtId="165" fontId="14" fillId="7" borderId="1" xfId="13" applyNumberFormat="1" applyBorder="1"/>
    <xf numFmtId="44" fontId="6" fillId="6" borderId="2" xfId="7" applyNumberFormat="1" applyBorder="1"/>
    <xf numFmtId="0" fontId="0" fillId="0" borderId="11" xfId="0" applyBorder="1"/>
    <xf numFmtId="0" fontId="0" fillId="0" borderId="28" xfId="0" applyBorder="1"/>
    <xf numFmtId="0" fontId="0" fillId="0" borderId="6" xfId="0" applyBorder="1"/>
    <xf numFmtId="0" fontId="0" fillId="0" borderId="0" xfId="0"/>
    <xf numFmtId="0" fontId="0" fillId="0" borderId="0" xfId="0"/>
    <xf numFmtId="0" fontId="0" fillId="0" borderId="0" xfId="0"/>
    <xf numFmtId="165" fontId="0" fillId="0" borderId="0" xfId="0" applyNumberFormat="1"/>
    <xf numFmtId="0" fontId="8" fillId="0" borderId="0" xfId="0" applyFont="1" applyAlignment="1">
      <alignment horizontal="center"/>
    </xf>
    <xf numFmtId="165" fontId="14" fillId="7" borderId="33" xfId="13" applyNumberFormat="1" applyBorder="1"/>
    <xf numFmtId="44" fontId="6" fillId="6" borderId="34" xfId="7" applyNumberFormat="1" applyBorder="1"/>
    <xf numFmtId="44" fontId="6" fillId="6" borderId="35" xfId="7" applyNumberFormat="1" applyBorder="1"/>
    <xf numFmtId="37" fontId="4" fillId="0" borderId="0" xfId="5" applyNumberFormat="1" applyFill="1" applyBorder="1"/>
    <xf numFmtId="0" fontId="8" fillId="35" borderId="0" xfId="0" applyFont="1" applyFill="1"/>
    <xf numFmtId="0" fontId="7" fillId="0" borderId="0" xfId="8" applyBorder="1" applyAlignment="1">
      <alignment horizontal="right"/>
    </xf>
    <xf numFmtId="165" fontId="5" fillId="5" borderId="1" xfId="6" applyNumberFormat="1" applyBorder="1"/>
    <xf numFmtId="44" fontId="0" fillId="0" borderId="0" xfId="0" applyNumberFormat="1" applyBorder="1"/>
    <xf numFmtId="44" fontId="0" fillId="0" borderId="36" xfId="0" applyNumberFormat="1" applyBorder="1"/>
    <xf numFmtId="44" fontId="0" fillId="0" borderId="37" xfId="0" applyNumberFormat="1" applyBorder="1"/>
    <xf numFmtId="3" fontId="14" fillId="7" borderId="23" xfId="13" applyNumberFormat="1" applyBorder="1" applyAlignment="1">
      <alignment horizontal="right"/>
    </xf>
    <xf numFmtId="165" fontId="4" fillId="0" borderId="10" xfId="11" applyNumberFormat="1" applyFont="1" applyFill="1" applyBorder="1"/>
    <xf numFmtId="165" fontId="14" fillId="7" borderId="14" xfId="13" applyNumberFormat="1" applyBorder="1"/>
    <xf numFmtId="44" fontId="6" fillId="6" borderId="24" xfId="7" applyNumberFormat="1" applyBorder="1"/>
    <xf numFmtId="0" fontId="8" fillId="0" borderId="0" xfId="0" applyFont="1" applyFill="1"/>
    <xf numFmtId="165" fontId="5" fillId="0" borderId="9" xfId="11" applyNumberFormat="1" applyFont="1" applyFill="1" applyBorder="1"/>
    <xf numFmtId="10" fontId="5" fillId="0" borderId="9" xfId="2" applyNumberFormat="1" applyFont="1" applyFill="1" applyBorder="1"/>
    <xf numFmtId="165" fontId="5" fillId="0" borderId="12" xfId="11" applyNumberFormat="1" applyFont="1" applyFill="1" applyBorder="1"/>
    <xf numFmtId="44" fontId="0" fillId="0" borderId="9" xfId="0" applyNumberFormat="1" applyFill="1" applyBorder="1"/>
    <xf numFmtId="44" fontId="0" fillId="0" borderId="0" xfId="0" applyNumberFormat="1" applyFill="1" applyBorder="1"/>
    <xf numFmtId="0" fontId="8" fillId="36" borderId="0" xfId="0" applyFont="1" applyFill="1"/>
    <xf numFmtId="0" fontId="8" fillId="0" borderId="0" xfId="0" applyFont="1" applyAlignment="1">
      <alignment horizontal="center" wrapText="1"/>
    </xf>
    <xf numFmtId="169" fontId="0" fillId="0" borderId="9" xfId="0" applyNumberFormat="1" applyBorder="1"/>
    <xf numFmtId="170" fontId="5" fillId="5" borderId="23" xfId="6" applyNumberFormat="1" applyBorder="1"/>
    <xf numFmtId="10" fontId="5" fillId="5" borderId="23" xfId="6" applyNumberFormat="1" applyBorder="1"/>
    <xf numFmtId="0" fontId="8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41" fontId="5" fillId="5" borderId="13" xfId="6" applyNumberFormat="1" applyBorder="1"/>
    <xf numFmtId="41" fontId="5" fillId="5" borderId="1" xfId="6" applyNumberFormat="1" applyBorder="1"/>
    <xf numFmtId="165" fontId="4" fillId="4" borderId="39" xfId="11" applyNumberFormat="1" applyFont="1" applyFill="1" applyBorder="1"/>
    <xf numFmtId="3" fontId="4" fillId="4" borderId="39" xfId="5" applyNumberFormat="1" applyBorder="1"/>
    <xf numFmtId="165" fontId="4" fillId="4" borderId="38" xfId="5" applyNumberFormat="1" applyBorder="1"/>
    <xf numFmtId="165" fontId="4" fillId="4" borderId="39" xfId="5" applyNumberFormat="1" applyBorder="1"/>
    <xf numFmtId="41" fontId="4" fillId="4" borderId="39" xfId="5" applyNumberFormat="1" applyBorder="1"/>
    <xf numFmtId="165" fontId="4" fillId="4" borderId="40" xfId="5" applyNumberFormat="1" applyBorder="1"/>
    <xf numFmtId="165" fontId="4" fillId="4" borderId="40" xfId="11" applyNumberFormat="1" applyFont="1" applyFill="1" applyBorder="1"/>
    <xf numFmtId="171" fontId="0" fillId="0" borderId="0" xfId="2" applyNumberFormat="1" applyFont="1" applyBorder="1"/>
    <xf numFmtId="171" fontId="0" fillId="0" borderId="9" xfId="2" applyNumberFormat="1" applyFont="1" applyBorder="1"/>
    <xf numFmtId="171" fontId="0" fillId="0" borderId="10" xfId="2" applyNumberFormat="1" applyFont="1" applyBorder="1"/>
    <xf numFmtId="42" fontId="5" fillId="5" borderId="1" xfId="6" applyNumberFormat="1"/>
    <xf numFmtId="0" fontId="8" fillId="0" borderId="7" xfId="0" applyFont="1" applyBorder="1" applyAlignment="1">
      <alignment horizontal="right"/>
    </xf>
    <xf numFmtId="165" fontId="14" fillId="7" borderId="26" xfId="13" applyNumberFormat="1" applyBorder="1" applyAlignment="1">
      <alignment horizontal="center"/>
    </xf>
    <xf numFmtId="165" fontId="14" fillId="7" borderId="41" xfId="13" applyNumberFormat="1" applyBorder="1" applyAlignment="1">
      <alignment horizontal="center"/>
    </xf>
    <xf numFmtId="0" fontId="30" fillId="0" borderId="3" xfId="0" applyFont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9" xfId="8" applyBorder="1"/>
    <xf numFmtId="171" fontId="0" fillId="0" borderId="10" xfId="0" applyNumberFormat="1" applyBorder="1"/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64" fontId="0" fillId="0" borderId="42" xfId="0" applyNumberFormat="1" applyBorder="1"/>
    <xf numFmtId="44" fontId="6" fillId="6" borderId="43" xfId="7" applyNumberFormat="1" applyBorder="1"/>
    <xf numFmtId="165" fontId="5" fillId="0" borderId="13" xfId="6" applyNumberFormat="1" applyFill="1" applyBorder="1"/>
    <xf numFmtId="165" fontId="0" fillId="0" borderId="9" xfId="0" applyNumberFormat="1" applyFill="1" applyBorder="1"/>
    <xf numFmtId="0" fontId="0" fillId="0" borderId="9" xfId="0" applyFill="1" applyBorder="1"/>
    <xf numFmtId="165" fontId="14" fillId="0" borderId="13" xfId="13" applyNumberFormat="1" applyFill="1" applyBorder="1"/>
    <xf numFmtId="0" fontId="7" fillId="0" borderId="9" xfId="8" applyFill="1" applyBorder="1"/>
    <xf numFmtId="41" fontId="5" fillId="0" borderId="13" xfId="6" applyNumberFormat="1" applyFill="1" applyBorder="1"/>
    <xf numFmtId="165" fontId="5" fillId="0" borderId="15" xfId="11" applyNumberFormat="1" applyFont="1" applyFill="1" applyBorder="1"/>
    <xf numFmtId="171" fontId="0" fillId="0" borderId="9" xfId="0" applyNumberFormat="1" applyFill="1" applyBorder="1"/>
    <xf numFmtId="164" fontId="0" fillId="0" borderId="7" xfId="0" applyNumberFormat="1" applyFill="1" applyBorder="1"/>
    <xf numFmtId="171" fontId="0" fillId="0" borderId="9" xfId="2" applyNumberFormat="1" applyFont="1" applyFill="1" applyBorder="1"/>
    <xf numFmtId="44" fontId="6" fillId="0" borderId="35" xfId="7" applyNumberFormat="1" applyFill="1" applyBorder="1"/>
    <xf numFmtId="165" fontId="14" fillId="7" borderId="22" xfId="13" applyNumberFormat="1" applyBorder="1"/>
    <xf numFmtId="165" fontId="5" fillId="37" borderId="1" xfId="6" applyNumberFormat="1" applyFill="1" applyBorder="1"/>
    <xf numFmtId="165" fontId="5" fillId="37" borderId="22" xfId="6" applyNumberFormat="1" applyFill="1" applyBorder="1"/>
    <xf numFmtId="41" fontId="5" fillId="37" borderId="1" xfId="6" applyNumberFormat="1" applyFill="1" applyBorder="1"/>
    <xf numFmtId="165" fontId="5" fillId="37" borderId="16" xfId="11" applyNumberFormat="1" applyFont="1" applyFill="1" applyBorder="1"/>
    <xf numFmtId="165" fontId="5" fillId="37" borderId="44" xfId="11" applyNumberFormat="1" applyFont="1" applyFill="1" applyBorder="1"/>
    <xf numFmtId="165" fontId="14" fillId="7" borderId="45" xfId="13" applyNumberFormat="1" applyBorder="1"/>
    <xf numFmtId="167" fontId="6" fillId="0" borderId="35" xfId="1" applyNumberFormat="1" applyFont="1" applyFill="1" applyBorder="1"/>
    <xf numFmtId="165" fontId="14" fillId="7" borderId="46" xfId="13" applyNumberFormat="1" applyBorder="1"/>
    <xf numFmtId="165" fontId="14" fillId="7" borderId="47" xfId="13" applyNumberFormat="1" applyBorder="1"/>
    <xf numFmtId="0" fontId="0" fillId="0" borderId="3" xfId="0" applyBorder="1" applyAlignment="1">
      <alignment horizontal="center" wrapText="1"/>
    </xf>
    <xf numFmtId="165" fontId="14" fillId="7" borderId="19" xfId="13" applyNumberFormat="1" applyBorder="1"/>
    <xf numFmtId="0" fontId="0" fillId="0" borderId="48" xfId="0" applyBorder="1"/>
    <xf numFmtId="165" fontId="5" fillId="5" borderId="23" xfId="6" applyNumberFormat="1" applyBorder="1"/>
    <xf numFmtId="165" fontId="5" fillId="5" borderId="49" xfId="11" applyNumberFormat="1" applyFont="1" applyFill="1" applyBorder="1"/>
    <xf numFmtId="165" fontId="14" fillId="7" borderId="23" xfId="13" applyNumberFormat="1" applyBorder="1"/>
    <xf numFmtId="44" fontId="6" fillId="6" borderId="50" xfId="7" applyNumberFormat="1" applyBorder="1"/>
    <xf numFmtId="41" fontId="5" fillId="37" borderId="22" xfId="6" applyNumberFormat="1" applyFill="1" applyBorder="1"/>
    <xf numFmtId="42" fontId="0" fillId="0" borderId="0" xfId="0" applyNumberFormat="1"/>
    <xf numFmtId="42" fontId="0" fillId="0" borderId="0" xfId="0" applyNumberFormat="1" applyAlignment="1">
      <alignment horizontal="right"/>
    </xf>
    <xf numFmtId="42" fontId="10" fillId="0" borderId="6" xfId="0" applyNumberFormat="1" applyFont="1" applyBorder="1" applyAlignment="1">
      <alignment horizontal="right"/>
    </xf>
    <xf numFmtId="42" fontId="11" fillId="0" borderId="6" xfId="0" applyNumberFormat="1" applyFont="1" applyBorder="1" applyAlignment="1">
      <alignment horizontal="right"/>
    </xf>
    <xf numFmtId="0" fontId="30" fillId="0" borderId="4" xfId="0" applyFont="1" applyBorder="1" applyAlignment="1">
      <alignment horizontal="center" vertical="center" wrapText="1"/>
    </xf>
    <xf numFmtId="42" fontId="30" fillId="0" borderId="4" xfId="0" applyNumberFormat="1" applyFont="1" applyBorder="1" applyAlignment="1">
      <alignment horizontal="center"/>
    </xf>
    <xf numFmtId="41" fontId="10" fillId="0" borderId="6" xfId="0" applyNumberFormat="1" applyFont="1" applyBorder="1" applyAlignment="1">
      <alignment vertical="center"/>
    </xf>
    <xf numFmtId="170" fontId="10" fillId="0" borderId="6" xfId="0" applyNumberFormat="1" applyFont="1" applyFill="1" applyBorder="1" applyAlignment="1">
      <alignment vertical="center"/>
    </xf>
    <xf numFmtId="170" fontId="0" fillId="0" borderId="0" xfId="0" applyNumberFormat="1" applyFill="1" applyAlignment="1"/>
    <xf numFmtId="170" fontId="10" fillId="0" borderId="4" xfId="0" applyNumberFormat="1" applyFont="1" applyFill="1" applyBorder="1" applyAlignment="1">
      <alignment vertical="center"/>
    </xf>
    <xf numFmtId="42" fontId="5" fillId="37" borderId="1" xfId="6" applyNumberFormat="1" applyFill="1" applyBorder="1"/>
    <xf numFmtId="42" fontId="5" fillId="37" borderId="44" xfId="6" applyNumberFormat="1" applyFill="1" applyBorder="1"/>
    <xf numFmtId="41" fontId="14" fillId="7" borderId="1" xfId="13" applyNumberFormat="1"/>
    <xf numFmtId="41" fontId="6" fillId="6" borderId="2" xfId="7" applyNumberFormat="1"/>
    <xf numFmtId="0" fontId="8" fillId="0" borderId="0" xfId="0" applyFont="1" applyAlignment="1">
      <alignment horizontal="left" vertical="center" wrapText="1"/>
    </xf>
    <xf numFmtId="165" fontId="4" fillId="4" borderId="51" xfId="11" applyNumberFormat="1" applyFont="1" applyFill="1" applyBorder="1"/>
    <xf numFmtId="3" fontId="4" fillId="4" borderId="51" xfId="5" applyNumberFormat="1" applyBorder="1"/>
    <xf numFmtId="165" fontId="4" fillId="4" borderId="53" xfId="5" applyNumberFormat="1" applyBorder="1"/>
    <xf numFmtId="165" fontId="4" fillId="4" borderId="51" xfId="5" applyNumberFormat="1" applyBorder="1"/>
    <xf numFmtId="41" fontId="4" fillId="4" borderId="51" xfId="5" applyNumberFormat="1" applyBorder="1"/>
    <xf numFmtId="165" fontId="4" fillId="4" borderId="53" xfId="11" applyNumberFormat="1" applyFont="1" applyFill="1" applyBorder="1"/>
    <xf numFmtId="0" fontId="8" fillId="0" borderId="0" xfId="0" applyFont="1" applyAlignment="1">
      <alignment horizontal="left" vertical="center" wrapText="1"/>
    </xf>
    <xf numFmtId="42" fontId="5" fillId="5" borderId="1" xfId="6" applyNumberFormat="1" applyBorder="1"/>
    <xf numFmtId="44" fontId="6" fillId="6" borderId="54" xfId="7" applyNumberFormat="1" applyBorder="1"/>
    <xf numFmtId="165" fontId="5" fillId="0" borderId="11" xfId="6" applyNumberFormat="1" applyFill="1" applyBorder="1"/>
    <xf numFmtId="43" fontId="5" fillId="0" borderId="12" xfId="1" applyFont="1" applyFill="1" applyBorder="1"/>
    <xf numFmtId="43" fontId="5" fillId="0" borderId="0" xfId="1" applyFont="1" applyFill="1" applyBorder="1"/>
    <xf numFmtId="0" fontId="0" fillId="0" borderId="0" xfId="0" applyFill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wrapText="1"/>
    </xf>
    <xf numFmtId="0" fontId="0" fillId="39" borderId="19" xfId="0" applyFill="1" applyBorder="1" applyAlignment="1">
      <alignment horizontal="center" wrapText="1"/>
    </xf>
    <xf numFmtId="43" fontId="8" fillId="0" borderId="0" xfId="1" applyNumberFormat="1" applyFont="1" applyAlignment="1">
      <alignment horizontal="center"/>
    </xf>
    <xf numFmtId="42" fontId="8" fillId="0" borderId="0" xfId="1" applyNumberFormat="1" applyFont="1" applyAlignment="1">
      <alignment horizontal="center"/>
    </xf>
    <xf numFmtId="42" fontId="11" fillId="0" borderId="0" xfId="0" applyNumberFormat="1" applyFont="1" applyBorder="1" applyAlignment="1">
      <alignment horizontal="right" wrapText="1"/>
    </xf>
    <xf numFmtId="0" fontId="32" fillId="3" borderId="20" xfId="4" applyFont="1" applyBorder="1" applyAlignment="1"/>
    <xf numFmtId="0" fontId="32" fillId="3" borderId="4" xfId="4" applyFont="1" applyBorder="1" applyAlignment="1"/>
    <xf numFmtId="165" fontId="4" fillId="4" borderId="55" xfId="5" applyNumberFormat="1" applyBorder="1"/>
    <xf numFmtId="41" fontId="4" fillId="4" borderId="56" xfId="5" applyNumberFormat="1" applyBorder="1"/>
    <xf numFmtId="165" fontId="4" fillId="4" borderId="56" xfId="5" applyNumberFormat="1" applyBorder="1"/>
    <xf numFmtId="165" fontId="4" fillId="4" borderId="57" xfId="11" applyNumberFormat="1" applyFont="1" applyFill="1" applyBorder="1"/>
    <xf numFmtId="165" fontId="14" fillId="7" borderId="52" xfId="13" applyNumberFormat="1" applyBorder="1"/>
    <xf numFmtId="44" fontId="6" fillId="6" borderId="58" xfId="7" applyNumberFormat="1" applyBorder="1"/>
    <xf numFmtId="44" fontId="6" fillId="6" borderId="59" xfId="7" applyNumberFormat="1" applyBorder="1"/>
    <xf numFmtId="165" fontId="5" fillId="5" borderId="14" xfId="6" applyNumberFormat="1" applyBorder="1"/>
    <xf numFmtId="0" fontId="7" fillId="0" borderId="10" xfId="8" applyBorder="1"/>
    <xf numFmtId="165" fontId="5" fillId="5" borderId="33" xfId="6" applyNumberFormat="1" applyBorder="1"/>
    <xf numFmtId="44" fontId="0" fillId="0" borderId="10" xfId="0" applyNumberFormat="1" applyFill="1" applyBorder="1"/>
    <xf numFmtId="44" fontId="7" fillId="0" borderId="10" xfId="8" applyNumberFormat="1" applyFill="1" applyBorder="1"/>
    <xf numFmtId="41" fontId="5" fillId="5" borderId="14" xfId="6" applyNumberFormat="1" applyBorder="1"/>
    <xf numFmtId="165" fontId="5" fillId="0" borderId="10" xfId="6" applyNumberFormat="1" applyFill="1" applyBorder="1"/>
    <xf numFmtId="165" fontId="5" fillId="5" borderId="60" xfId="11" applyNumberFormat="1" applyFont="1" applyFill="1" applyBorder="1"/>
    <xf numFmtId="165" fontId="5" fillId="0" borderId="10" xfId="11" applyNumberFormat="1" applyFont="1" applyFill="1" applyBorder="1"/>
    <xf numFmtId="10" fontId="5" fillId="0" borderId="10" xfId="2" applyNumberFormat="1" applyFont="1" applyFill="1" applyBorder="1"/>
    <xf numFmtId="0" fontId="8" fillId="0" borderId="19" xfId="0" applyFont="1" applyBorder="1" applyAlignment="1"/>
    <xf numFmtId="0" fontId="8" fillId="0" borderId="20" xfId="0" applyFont="1" applyBorder="1" applyAlignment="1"/>
    <xf numFmtId="0" fontId="8" fillId="0" borderId="4" xfId="0" applyFont="1" applyBorder="1" applyAlignment="1"/>
    <xf numFmtId="165" fontId="4" fillId="4" borderId="56" xfId="11" applyNumberFormat="1" applyFont="1" applyFill="1" applyBorder="1"/>
    <xf numFmtId="3" fontId="4" fillId="4" borderId="56" xfId="5" applyNumberFormat="1" applyBorder="1"/>
    <xf numFmtId="165" fontId="4" fillId="4" borderId="57" xfId="5" applyNumberFormat="1" applyBorder="1"/>
    <xf numFmtId="42" fontId="5" fillId="5" borderId="14" xfId="1" applyNumberFormat="1" applyFont="1" applyFill="1" applyBorder="1"/>
    <xf numFmtId="165" fontId="5" fillId="5" borderId="21" xfId="11" applyNumberFormat="1" applyFont="1" applyFill="1" applyBorder="1"/>
    <xf numFmtId="42" fontId="5" fillId="5" borderId="14" xfId="6" applyNumberFormat="1" applyBorder="1"/>
    <xf numFmtId="41" fontId="5" fillId="5" borderId="33" xfId="6" applyNumberFormat="1" applyBorder="1"/>
    <xf numFmtId="0" fontId="8" fillId="0" borderId="0" xfId="0" applyFont="1" applyAlignment="1">
      <alignment horizontal="left" vertical="center" wrapText="1"/>
    </xf>
    <xf numFmtId="41" fontId="5" fillId="5" borderId="61" xfId="6" applyNumberFormat="1" applyBorder="1"/>
    <xf numFmtId="42" fontId="5" fillId="5" borderId="13" xfId="6" applyNumberFormat="1" applyBorder="1"/>
    <xf numFmtId="42" fontId="5" fillId="37" borderId="22" xfId="6" applyNumberFormat="1" applyFill="1" applyBorder="1"/>
    <xf numFmtId="41" fontId="5" fillId="5" borderId="62" xfId="6" applyNumberFormat="1" applyBorder="1"/>
    <xf numFmtId="10" fontId="8" fillId="0" borderId="0" xfId="0" applyNumberFormat="1" applyFont="1" applyAlignment="1">
      <alignment horizontal="center" wrapText="1"/>
    </xf>
    <xf numFmtId="44" fontId="33" fillId="0" borderId="0" xfId="1" applyNumberFormat="1" applyFont="1" applyAlignment="1">
      <alignment horizontal="right"/>
    </xf>
    <xf numFmtId="172" fontId="14" fillId="7" borderId="13" xfId="13" applyNumberFormat="1" applyBorder="1"/>
    <xf numFmtId="43" fontId="0" fillId="0" borderId="0" xfId="1" applyFont="1"/>
    <xf numFmtId="171" fontId="0" fillId="0" borderId="0" xfId="0" applyNumberFormat="1"/>
    <xf numFmtId="171" fontId="0" fillId="0" borderId="0" xfId="2" applyNumberFormat="1" applyFont="1" applyFill="1" applyBorder="1"/>
    <xf numFmtId="0" fontId="8" fillId="0" borderId="0" xfId="0" applyFont="1" applyFill="1" applyAlignment="1">
      <alignment horizontal="left" vertical="center" wrapText="1"/>
    </xf>
    <xf numFmtId="170" fontId="10" fillId="0" borderId="3" xfId="0" applyNumberFormat="1" applyFont="1" applyFill="1" applyBorder="1" applyAlignment="1">
      <alignment vertical="center"/>
    </xf>
    <xf numFmtId="170" fontId="10" fillId="0" borderId="5" xfId="0" applyNumberFormat="1" applyFont="1" applyFill="1" applyBorder="1" applyAlignment="1">
      <alignment vertical="center"/>
    </xf>
    <xf numFmtId="165" fontId="5" fillId="0" borderId="61" xfId="6" applyNumberFormat="1" applyFill="1" applyBorder="1"/>
    <xf numFmtId="41" fontId="5" fillId="0" borderId="61" xfId="6" applyNumberFormat="1" applyFill="1" applyBorder="1"/>
    <xf numFmtId="165" fontId="5" fillId="0" borderId="63" xfId="11" applyNumberFormat="1" applyFont="1" applyFill="1" applyBorder="1"/>
    <xf numFmtId="165" fontId="5" fillId="0" borderId="64" xfId="6" applyNumberFormat="1" applyFill="1" applyBorder="1"/>
    <xf numFmtId="0" fontId="0" fillId="0" borderId="65" xfId="0" applyFill="1" applyBorder="1"/>
    <xf numFmtId="44" fontId="0" fillId="0" borderId="65" xfId="0" applyNumberFormat="1" applyFill="1" applyBorder="1"/>
    <xf numFmtId="41" fontId="5" fillId="0" borderId="64" xfId="6" applyNumberFormat="1" applyFill="1" applyBorder="1"/>
    <xf numFmtId="165" fontId="5" fillId="0" borderId="65" xfId="6" applyNumberFormat="1" applyFill="1" applyBorder="1"/>
    <xf numFmtId="165" fontId="5" fillId="0" borderId="66" xfId="11" applyNumberFormat="1" applyFont="1" applyFill="1" applyBorder="1"/>
    <xf numFmtId="165" fontId="14" fillId="0" borderId="61" xfId="13" applyNumberFormat="1" applyFill="1" applyBorder="1"/>
    <xf numFmtId="44" fontId="6" fillId="0" borderId="68" xfId="7" applyNumberFormat="1" applyFill="1" applyBorder="1"/>
    <xf numFmtId="165" fontId="5" fillId="0" borderId="69" xfId="11" applyNumberFormat="1" applyFont="1" applyFill="1" applyBorder="1"/>
    <xf numFmtId="10" fontId="5" fillId="0" borderId="65" xfId="2" applyNumberFormat="1" applyFont="1" applyFill="1" applyBorder="1"/>
    <xf numFmtId="165" fontId="14" fillId="0" borderId="64" xfId="13" applyNumberFormat="1" applyFill="1" applyBorder="1"/>
    <xf numFmtId="171" fontId="0" fillId="0" borderId="65" xfId="0" applyNumberFormat="1" applyFill="1" applyBorder="1"/>
    <xf numFmtId="171" fontId="0" fillId="0" borderId="65" xfId="2" applyNumberFormat="1" applyFont="1" applyFill="1" applyBorder="1"/>
    <xf numFmtId="44" fontId="6" fillId="0" borderId="70" xfId="7" applyNumberFormat="1" applyFill="1" applyBorder="1"/>
    <xf numFmtId="0" fontId="0" fillId="0" borderId="65" xfId="0" applyBorder="1"/>
    <xf numFmtId="165" fontId="5" fillId="0" borderId="71" xfId="6" applyNumberFormat="1" applyFill="1" applyBorder="1"/>
    <xf numFmtId="0" fontId="0" fillId="39" borderId="67" xfId="0" applyFill="1" applyBorder="1" applyAlignment="1">
      <alignment horizontal="center" wrapText="1"/>
    </xf>
    <xf numFmtId="164" fontId="0" fillId="0" borderId="72" xfId="0" applyNumberFormat="1" applyFill="1" applyBorder="1"/>
    <xf numFmtId="173" fontId="0" fillId="0" borderId="0" xfId="0" applyNumberFormat="1"/>
    <xf numFmtId="171" fontId="0" fillId="0" borderId="0" xfId="2" applyNumberFormat="1" applyFont="1"/>
    <xf numFmtId="43" fontId="34" fillId="0" borderId="0" xfId="1" applyFont="1"/>
    <xf numFmtId="44" fontId="13" fillId="7" borderId="17" xfId="12" applyNumberFormat="1"/>
    <xf numFmtId="44" fontId="14" fillId="7" borderId="1" xfId="13" applyNumberFormat="1"/>
    <xf numFmtId="44" fontId="6" fillId="6" borderId="2" xfId="1" applyNumberFormat="1" applyFont="1" applyFill="1" applyBorder="1"/>
    <xf numFmtId="0" fontId="7" fillId="0" borderId="0" xfId="8" applyFill="1" applyBorder="1" applyAlignment="1">
      <alignment horizontal="right"/>
    </xf>
    <xf numFmtId="43" fontId="6" fillId="0" borderId="0" xfId="1" applyFont="1" applyFill="1" applyBorder="1"/>
    <xf numFmtId="165" fontId="13" fillId="7" borderId="74" xfId="12" applyNumberFormat="1" applyBorder="1"/>
    <xf numFmtId="42" fontId="14" fillId="7" borderId="73" xfId="13" applyNumberFormat="1" applyBorder="1"/>
    <xf numFmtId="10" fontId="5" fillId="5" borderId="1" xfId="2" applyNumberFormat="1" applyFont="1" applyFill="1" applyBorder="1"/>
    <xf numFmtId="10" fontId="14" fillId="7" borderId="1" xfId="2" applyNumberFormat="1" applyFont="1" applyFill="1" applyBorder="1"/>
    <xf numFmtId="44" fontId="8" fillId="0" borderId="0" xfId="0" applyNumberFormat="1" applyFont="1" applyAlignment="1">
      <alignment wrapText="1"/>
    </xf>
    <xf numFmtId="165" fontId="6" fillId="0" borderId="0" xfId="1" applyNumberFormat="1" applyFont="1" applyFill="1" applyBorder="1"/>
    <xf numFmtId="165" fontId="6" fillId="0" borderId="0" xfId="7" applyNumberFormat="1" applyFill="1" applyBorder="1"/>
    <xf numFmtId="41" fontId="6" fillId="0" borderId="0" xfId="7" applyNumberFormat="1" applyFill="1" applyBorder="1"/>
    <xf numFmtId="165" fontId="13" fillId="7" borderId="73" xfId="12" applyNumberFormat="1" applyBorder="1"/>
    <xf numFmtId="165" fontId="14" fillId="7" borderId="73" xfId="13" applyNumberFormat="1" applyBorder="1"/>
    <xf numFmtId="0" fontId="8" fillId="0" borderId="73" xfId="0" applyFont="1" applyBorder="1" applyAlignment="1">
      <alignment horizontal="center"/>
    </xf>
    <xf numFmtId="174" fontId="11" fillId="0" borderId="6" xfId="0" applyNumberFormat="1" applyFont="1" applyFill="1" applyBorder="1" applyAlignment="1">
      <alignment horizontal="right"/>
    </xf>
    <xf numFmtId="174" fontId="11" fillId="0" borderId="6" xfId="0" quotePrefix="1" applyNumberFormat="1" applyFont="1" applyFill="1" applyBorder="1" applyAlignment="1">
      <alignment horizontal="right"/>
    </xf>
    <xf numFmtId="174" fontId="0" fillId="0" borderId="0" xfId="0" applyNumberFormat="1"/>
    <xf numFmtId="174" fontId="11" fillId="0" borderId="6" xfId="0" applyNumberFormat="1" applyFont="1" applyBorder="1" applyAlignment="1">
      <alignment horizontal="right"/>
    </xf>
    <xf numFmtId="174" fontId="35" fillId="0" borderId="6" xfId="0" quotePrefix="1" applyNumberFormat="1" applyFont="1" applyFill="1" applyBorder="1" applyAlignment="1">
      <alignment horizontal="right"/>
    </xf>
    <xf numFmtId="174" fontId="0" fillId="0" borderId="0" xfId="0" applyNumberFormat="1" applyFill="1"/>
    <xf numFmtId="174" fontId="30" fillId="0" borderId="4" xfId="0" applyNumberFormat="1" applyFont="1" applyFill="1" applyBorder="1" applyAlignment="1">
      <alignment horizontal="center"/>
    </xf>
    <xf numFmtId="174" fontId="30" fillId="0" borderId="4" xfId="0" applyNumberFormat="1" applyFont="1" applyBorder="1" applyAlignment="1">
      <alignment horizontal="center"/>
    </xf>
    <xf numFmtId="174" fontId="36" fillId="0" borderId="6" xfId="0" applyNumberFormat="1" applyFont="1" applyBorder="1" applyAlignment="1">
      <alignment horizontal="right"/>
    </xf>
    <xf numFmtId="174" fontId="35" fillId="0" borderId="6" xfId="0" applyNumberFormat="1" applyFont="1" applyFill="1" applyBorder="1" applyAlignment="1">
      <alignment horizontal="right"/>
    </xf>
    <xf numFmtId="42" fontId="30" fillId="0" borderId="3" xfId="0" applyNumberFormat="1" applyFont="1" applyBorder="1" applyAlignment="1">
      <alignment horizontal="center"/>
    </xf>
    <xf numFmtId="174" fontId="11" fillId="0" borderId="5" xfId="0" applyNumberFormat="1" applyFont="1" applyFill="1" applyBorder="1" applyAlignment="1">
      <alignment horizontal="right"/>
    </xf>
    <xf numFmtId="174" fontId="30" fillId="0" borderId="3" xfId="0" applyNumberFormat="1" applyFont="1" applyFill="1" applyBorder="1" applyAlignment="1">
      <alignment horizontal="center"/>
    </xf>
    <xf numFmtId="174" fontId="11" fillId="0" borderId="5" xfId="0" applyNumberFormat="1" applyFont="1" applyBorder="1" applyAlignment="1">
      <alignment horizontal="right"/>
    </xf>
    <xf numFmtId="174" fontId="30" fillId="0" borderId="3" xfId="0" applyNumberFormat="1" applyFont="1" applyBorder="1" applyAlignment="1">
      <alignment horizontal="center"/>
    </xf>
    <xf numFmtId="174" fontId="35" fillId="0" borderId="5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8" fillId="38" borderId="20" xfId="0" applyFont="1" applyFill="1" applyBorder="1" applyAlignment="1">
      <alignment horizontal="center"/>
    </xf>
    <xf numFmtId="0" fontId="8" fillId="38" borderId="4" xfId="0" applyFont="1" applyFill="1" applyBorder="1" applyAlignment="1">
      <alignment horizontal="center"/>
    </xf>
    <xf numFmtId="0" fontId="32" fillId="3" borderId="19" xfId="4" applyFont="1" applyBorder="1" applyAlignment="1">
      <alignment horizontal="center"/>
    </xf>
    <xf numFmtId="0" fontId="32" fillId="3" borderId="20" xfId="4" applyFont="1" applyBorder="1" applyAlignment="1">
      <alignment horizontal="center"/>
    </xf>
    <xf numFmtId="0" fontId="32" fillId="3" borderId="4" xfId="4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33" fillId="0" borderId="19" xfId="8" applyFont="1" applyBorder="1" applyAlignment="1">
      <alignment horizontal="center"/>
    </xf>
    <xf numFmtId="0" fontId="33" fillId="0" borderId="20" xfId="8" applyFont="1" applyBorder="1" applyAlignment="1">
      <alignment horizontal="center"/>
    </xf>
    <xf numFmtId="0" fontId="33" fillId="0" borderId="4" xfId="8" applyFont="1" applyBorder="1" applyAlignment="1">
      <alignment horizontal="center"/>
    </xf>
  </cellXfs>
  <cellStyles count="302">
    <cellStyle name="20% - Accent1" xfId="24" builtinId="30" customBuiltin="1"/>
    <cellStyle name="20% - Accent1 2" xfId="54" xr:uid="{00000000-0005-0000-0000-000001000000}"/>
    <cellStyle name="20% - Accent2" xfId="28" builtinId="34" customBuiltin="1"/>
    <cellStyle name="20% - Accent2 2" xfId="56" xr:uid="{00000000-0005-0000-0000-000003000000}"/>
    <cellStyle name="20% - Accent3" xfId="32" builtinId="38" customBuiltin="1"/>
    <cellStyle name="20% - Accent3 2" xfId="58" xr:uid="{00000000-0005-0000-0000-000005000000}"/>
    <cellStyle name="20% - Accent4" xfId="36" builtinId="42" customBuiltin="1"/>
    <cellStyle name="20% - Accent4 2" xfId="60" xr:uid="{00000000-0005-0000-0000-000007000000}"/>
    <cellStyle name="20% - Accent5" xfId="40" builtinId="46" customBuiltin="1"/>
    <cellStyle name="20% - Accent5 2" xfId="62" xr:uid="{00000000-0005-0000-0000-000009000000}"/>
    <cellStyle name="20% - Accent6" xfId="44" builtinId="50" customBuiltin="1"/>
    <cellStyle name="20% - Accent6 2" xfId="64" xr:uid="{00000000-0005-0000-0000-00000B000000}"/>
    <cellStyle name="40% - Accent1" xfId="25" builtinId="31" customBuiltin="1"/>
    <cellStyle name="40% - Accent1 2" xfId="55" xr:uid="{00000000-0005-0000-0000-00000D000000}"/>
    <cellStyle name="40% - Accent2" xfId="29" builtinId="35" customBuiltin="1"/>
    <cellStyle name="40% - Accent2 2" xfId="57" xr:uid="{00000000-0005-0000-0000-00000F000000}"/>
    <cellStyle name="40% - Accent3" xfId="33" builtinId="39" customBuiltin="1"/>
    <cellStyle name="40% - Accent3 2" xfId="59" xr:uid="{00000000-0005-0000-0000-000011000000}"/>
    <cellStyle name="40% - Accent4" xfId="37" builtinId="43" customBuiltin="1"/>
    <cellStyle name="40% - Accent4 2" xfId="61" xr:uid="{00000000-0005-0000-0000-000013000000}"/>
    <cellStyle name="40% - Accent5" xfId="41" builtinId="47" customBuiltin="1"/>
    <cellStyle name="40% - Accent5 2" xfId="63" xr:uid="{00000000-0005-0000-0000-000015000000}"/>
    <cellStyle name="40% - Accent6" xfId="45" builtinId="51" customBuiltin="1"/>
    <cellStyle name="40% - Accent6 2" xfId="65" xr:uid="{00000000-0005-0000-0000-000017000000}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68" xr:uid="{00000000-0005-0000-0000-000028000000}"/>
    <cellStyle name="Comma 2 2" xfId="282" xr:uid="{00000000-0005-0000-0000-000029000000}"/>
    <cellStyle name="Comma 3" xfId="66" xr:uid="{00000000-0005-0000-0000-00002A000000}"/>
    <cellStyle name="Comma 3 2" xfId="9" xr:uid="{00000000-0005-0000-0000-00002B000000}"/>
    <cellStyle name="Comma 4" xfId="192" xr:uid="{00000000-0005-0000-0000-00002C000000}"/>
    <cellStyle name="Comma 5" xfId="52" xr:uid="{00000000-0005-0000-0000-00002D000000}"/>
    <cellStyle name="Currency" xfId="11" builtinId="4"/>
    <cellStyle name="Currency [0] 2" xfId="114" xr:uid="{00000000-0005-0000-0000-00002F000000}"/>
    <cellStyle name="Currency [0] 2 2" xfId="203" xr:uid="{00000000-0005-0000-0000-000030000000}"/>
    <cellStyle name="Currency 10" xfId="193" xr:uid="{00000000-0005-0000-0000-000031000000}"/>
    <cellStyle name="Currency 11" xfId="112" xr:uid="{00000000-0005-0000-0000-000032000000}"/>
    <cellStyle name="Currency 12" xfId="197" xr:uid="{00000000-0005-0000-0000-000033000000}"/>
    <cellStyle name="Currency 13" xfId="50" xr:uid="{00000000-0005-0000-0000-000034000000}"/>
    <cellStyle name="Currency 13 2" xfId="288" xr:uid="{00000000-0005-0000-0000-000035000000}"/>
    <cellStyle name="Currency 14" xfId="285" xr:uid="{00000000-0005-0000-0000-000036000000}"/>
    <cellStyle name="Currency 15" xfId="289" xr:uid="{00000000-0005-0000-0000-000037000000}"/>
    <cellStyle name="Currency 16" xfId="291" xr:uid="{00000000-0005-0000-0000-000038000000}"/>
    <cellStyle name="Currency 17" xfId="292" xr:uid="{00000000-0005-0000-0000-000039000000}"/>
    <cellStyle name="Currency 18" xfId="293" xr:uid="{00000000-0005-0000-0000-00003A000000}"/>
    <cellStyle name="Currency 19" xfId="294" xr:uid="{00000000-0005-0000-0000-00003B000000}"/>
    <cellStyle name="Currency 2" xfId="69" xr:uid="{00000000-0005-0000-0000-00003C000000}"/>
    <cellStyle name="Currency 2 2" xfId="111" xr:uid="{00000000-0005-0000-0000-00003D000000}"/>
    <cellStyle name="Currency 2 2 2" xfId="202" xr:uid="{00000000-0005-0000-0000-00003E000000}"/>
    <cellStyle name="Currency 2 3" xfId="280" xr:uid="{00000000-0005-0000-0000-00003F000000}"/>
    <cellStyle name="Currency 20" xfId="295" xr:uid="{00000000-0005-0000-0000-000040000000}"/>
    <cellStyle name="Currency 21" xfId="296" xr:uid="{00000000-0005-0000-0000-000041000000}"/>
    <cellStyle name="Currency 22" xfId="297" xr:uid="{00000000-0005-0000-0000-000042000000}"/>
    <cellStyle name="Currency 3" xfId="67" xr:uid="{00000000-0005-0000-0000-000043000000}"/>
    <cellStyle name="Currency 3 2" xfId="279" xr:uid="{00000000-0005-0000-0000-000044000000}"/>
    <cellStyle name="Currency 4" xfId="115" xr:uid="{00000000-0005-0000-0000-000045000000}"/>
    <cellStyle name="Currency 4 2" xfId="204" xr:uid="{00000000-0005-0000-0000-000046000000}"/>
    <cellStyle name="Currency 4 3" xfId="281" xr:uid="{00000000-0005-0000-0000-000047000000}"/>
    <cellStyle name="Currency 5" xfId="116" xr:uid="{00000000-0005-0000-0000-000048000000}"/>
    <cellStyle name="Currency 5 2" xfId="205" xr:uid="{00000000-0005-0000-0000-000049000000}"/>
    <cellStyle name="Currency 6" xfId="117" xr:uid="{00000000-0005-0000-0000-00004A000000}"/>
    <cellStyle name="Currency 6 2" xfId="206" xr:uid="{00000000-0005-0000-0000-00004B000000}"/>
    <cellStyle name="Currency 7" xfId="118" xr:uid="{00000000-0005-0000-0000-00004C000000}"/>
    <cellStyle name="Currency 7 2" xfId="207" xr:uid="{00000000-0005-0000-0000-00004D000000}"/>
    <cellStyle name="Currency 8" xfId="194" xr:uid="{00000000-0005-0000-0000-00004E000000}"/>
    <cellStyle name="Currency 9" xfId="195" xr:uid="{00000000-0005-0000-0000-00004F000000}"/>
    <cellStyle name="Data Field" xfId="119" xr:uid="{00000000-0005-0000-0000-000050000000}"/>
    <cellStyle name="Data Field 2" xfId="208" xr:uid="{00000000-0005-0000-0000-000051000000}"/>
    <cellStyle name="Data Name" xfId="120" xr:uid="{00000000-0005-0000-0000-000052000000}"/>
    <cellStyle name="Data Name 2" xfId="209" xr:uid="{00000000-0005-0000-0000-000053000000}"/>
    <cellStyle name="Explanatory Text" xfId="8" builtinId="53" customBuiltin="1"/>
    <cellStyle name="Followed Hyperlink" xfId="287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6" builtinId="8" customBuiltin="1"/>
    <cellStyle name="Hyperlink 2" xfId="121" xr:uid="{00000000-0005-0000-0000-00005C000000}"/>
    <cellStyle name="Hyperlink 3" xfId="122" xr:uid="{00000000-0005-0000-0000-00005D000000}"/>
    <cellStyle name="Hyperlink 4" xfId="300" xr:uid="{00000000-0005-0000-0000-00005E000000}"/>
    <cellStyle name="Hyperlink 5" xfId="298" xr:uid="{00000000-0005-0000-0000-00005F000000}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3" xr:uid="{00000000-0005-0000-0000-000064000000}"/>
    <cellStyle name="Normal 10 2" xfId="124" xr:uid="{00000000-0005-0000-0000-000065000000}"/>
    <cellStyle name="Normal 10 2 2" xfId="211" xr:uid="{00000000-0005-0000-0000-000066000000}"/>
    <cellStyle name="Normal 10 3" xfId="210" xr:uid="{00000000-0005-0000-0000-000067000000}"/>
    <cellStyle name="Normal 11" xfId="125" xr:uid="{00000000-0005-0000-0000-000068000000}"/>
    <cellStyle name="Normal 11 2" xfId="212" xr:uid="{00000000-0005-0000-0000-000069000000}"/>
    <cellStyle name="Normal 12" xfId="126" xr:uid="{00000000-0005-0000-0000-00006A000000}"/>
    <cellStyle name="Normal 12 2" xfId="213" xr:uid="{00000000-0005-0000-0000-00006B000000}"/>
    <cellStyle name="Normal 13" xfId="127" xr:uid="{00000000-0005-0000-0000-00006C000000}"/>
    <cellStyle name="Normal 13 2" xfId="214" xr:uid="{00000000-0005-0000-0000-00006D000000}"/>
    <cellStyle name="Normal 14" xfId="128" xr:uid="{00000000-0005-0000-0000-00006E000000}"/>
    <cellStyle name="Normal 14 2" xfId="215" xr:uid="{00000000-0005-0000-0000-00006F000000}"/>
    <cellStyle name="Normal 15" xfId="129" xr:uid="{00000000-0005-0000-0000-000070000000}"/>
    <cellStyle name="Normal 16" xfId="130" xr:uid="{00000000-0005-0000-0000-000071000000}"/>
    <cellStyle name="Normal 16 2" xfId="216" xr:uid="{00000000-0005-0000-0000-000072000000}"/>
    <cellStyle name="Normal 17" xfId="48" xr:uid="{00000000-0005-0000-0000-000073000000}"/>
    <cellStyle name="Normal 18" xfId="131" xr:uid="{00000000-0005-0000-0000-000074000000}"/>
    <cellStyle name="Normal 18 2" xfId="217" xr:uid="{00000000-0005-0000-0000-000075000000}"/>
    <cellStyle name="Normal 19" xfId="132" xr:uid="{00000000-0005-0000-0000-000076000000}"/>
    <cellStyle name="Normal 19 2" xfId="218" xr:uid="{00000000-0005-0000-0000-000077000000}"/>
    <cellStyle name="Normal 2" xfId="51" xr:uid="{00000000-0005-0000-0000-000078000000}"/>
    <cellStyle name="Normal 2 2" xfId="71" xr:uid="{00000000-0005-0000-0000-000079000000}"/>
    <cellStyle name="Normal 2 2 2" xfId="72" xr:uid="{00000000-0005-0000-0000-00007A000000}"/>
    <cellStyle name="Normal 2 2 3" xfId="73" xr:uid="{00000000-0005-0000-0000-00007B000000}"/>
    <cellStyle name="Normal 2 2 4" xfId="74" xr:uid="{00000000-0005-0000-0000-00007C000000}"/>
    <cellStyle name="Normal 2 2 5" xfId="75" xr:uid="{00000000-0005-0000-0000-00007D000000}"/>
    <cellStyle name="Normal 2 2 6" xfId="76" xr:uid="{00000000-0005-0000-0000-00007E000000}"/>
    <cellStyle name="Normal 2 2 7" xfId="77" xr:uid="{00000000-0005-0000-0000-00007F000000}"/>
    <cellStyle name="Normal 2 2 8" xfId="78" xr:uid="{00000000-0005-0000-0000-000080000000}"/>
    <cellStyle name="Normal 2 2 9" xfId="79" xr:uid="{00000000-0005-0000-0000-000081000000}"/>
    <cellStyle name="Normal 2 3" xfId="80" xr:uid="{00000000-0005-0000-0000-000082000000}"/>
    <cellStyle name="Normal 2 4" xfId="81" xr:uid="{00000000-0005-0000-0000-000083000000}"/>
    <cellStyle name="Normal 2 4 2" xfId="82" xr:uid="{00000000-0005-0000-0000-000084000000}"/>
    <cellStyle name="Normal 2 5" xfId="110" xr:uid="{00000000-0005-0000-0000-000085000000}"/>
    <cellStyle name="Normal 2 5 2" xfId="201" xr:uid="{00000000-0005-0000-0000-000086000000}"/>
    <cellStyle name="Normal 2 6" xfId="47" xr:uid="{00000000-0005-0000-0000-000087000000}"/>
    <cellStyle name="Normal 2 6 2" xfId="70" xr:uid="{00000000-0005-0000-0000-000088000000}"/>
    <cellStyle name="Normal 2 7" xfId="299" xr:uid="{00000000-0005-0000-0000-000089000000}"/>
    <cellStyle name="Normal 26" xfId="106" xr:uid="{00000000-0005-0000-0000-00008A000000}"/>
    <cellStyle name="Normal 26 2" xfId="199" xr:uid="{00000000-0005-0000-0000-00008B000000}"/>
    <cellStyle name="Normal 27" xfId="107" xr:uid="{00000000-0005-0000-0000-00008C000000}"/>
    <cellStyle name="Normal 27 2" xfId="200" xr:uid="{00000000-0005-0000-0000-00008D000000}"/>
    <cellStyle name="Normal 28" xfId="133" xr:uid="{00000000-0005-0000-0000-00008E000000}"/>
    <cellStyle name="Normal 28 2" xfId="219" xr:uid="{00000000-0005-0000-0000-00008F000000}"/>
    <cellStyle name="Normal 3" xfId="83" xr:uid="{00000000-0005-0000-0000-000090000000}"/>
    <cellStyle name="Normal 3 2" xfId="84" xr:uid="{00000000-0005-0000-0000-000091000000}"/>
    <cellStyle name="Normal 3 2 2" xfId="85" xr:uid="{00000000-0005-0000-0000-000092000000}"/>
    <cellStyle name="Normal 3 2 3" xfId="86" xr:uid="{00000000-0005-0000-0000-000093000000}"/>
    <cellStyle name="Normal 3 2 4" xfId="87" xr:uid="{00000000-0005-0000-0000-000094000000}"/>
    <cellStyle name="Normal 3 2 5" xfId="88" xr:uid="{00000000-0005-0000-0000-000095000000}"/>
    <cellStyle name="Normal 3 2 6" xfId="89" xr:uid="{00000000-0005-0000-0000-000096000000}"/>
    <cellStyle name="Normal 3 2 7" xfId="90" xr:uid="{00000000-0005-0000-0000-000097000000}"/>
    <cellStyle name="Normal 3 2 8" xfId="91" xr:uid="{00000000-0005-0000-0000-000098000000}"/>
    <cellStyle name="Normal 3 2 9" xfId="92" xr:uid="{00000000-0005-0000-0000-000099000000}"/>
    <cellStyle name="Normal 3 3" xfId="108" xr:uid="{00000000-0005-0000-0000-00009A000000}"/>
    <cellStyle name="Normal 3 40" xfId="109" xr:uid="{00000000-0005-0000-0000-00009B000000}"/>
    <cellStyle name="Normal 33" xfId="277" xr:uid="{00000000-0005-0000-0000-00009C000000}"/>
    <cellStyle name="Normal 35" xfId="301" xr:uid="{00000000-0005-0000-0000-00009D000000}"/>
    <cellStyle name="Normal 36" xfId="134" xr:uid="{00000000-0005-0000-0000-00009E000000}"/>
    <cellStyle name="Normal 36 2" xfId="220" xr:uid="{00000000-0005-0000-0000-00009F000000}"/>
    <cellStyle name="Normal 37" xfId="135" xr:uid="{00000000-0005-0000-0000-0000A0000000}"/>
    <cellStyle name="Normal 37 2" xfId="221" xr:uid="{00000000-0005-0000-0000-0000A1000000}"/>
    <cellStyle name="Normal 38" xfId="136" xr:uid="{00000000-0005-0000-0000-0000A2000000}"/>
    <cellStyle name="Normal 38 2" xfId="222" xr:uid="{00000000-0005-0000-0000-0000A3000000}"/>
    <cellStyle name="Normal 39" xfId="137" xr:uid="{00000000-0005-0000-0000-0000A4000000}"/>
    <cellStyle name="Normal 39 2" xfId="223" xr:uid="{00000000-0005-0000-0000-0000A5000000}"/>
    <cellStyle name="Normal 4" xfId="10" xr:uid="{00000000-0005-0000-0000-0000A6000000}"/>
    <cellStyle name="Normal 4 2" xfId="94" xr:uid="{00000000-0005-0000-0000-0000A7000000}"/>
    <cellStyle name="Normal 4 3" xfId="93" xr:uid="{00000000-0005-0000-0000-0000A8000000}"/>
    <cellStyle name="Normal 4 4" xfId="278" xr:uid="{00000000-0005-0000-0000-0000A9000000}"/>
    <cellStyle name="Normal 40" xfId="138" xr:uid="{00000000-0005-0000-0000-0000AA000000}"/>
    <cellStyle name="Normal 40 2" xfId="224" xr:uid="{00000000-0005-0000-0000-0000AB000000}"/>
    <cellStyle name="Normal 41" xfId="139" xr:uid="{00000000-0005-0000-0000-0000AC000000}"/>
    <cellStyle name="Normal 41 2" xfId="225" xr:uid="{00000000-0005-0000-0000-0000AD000000}"/>
    <cellStyle name="Normal 42" xfId="140" xr:uid="{00000000-0005-0000-0000-0000AE000000}"/>
    <cellStyle name="Normal 42 2" xfId="226" xr:uid="{00000000-0005-0000-0000-0000AF000000}"/>
    <cellStyle name="Normal 43" xfId="141" xr:uid="{00000000-0005-0000-0000-0000B0000000}"/>
    <cellStyle name="Normal 43 2" xfId="227" xr:uid="{00000000-0005-0000-0000-0000B1000000}"/>
    <cellStyle name="Normal 44" xfId="142" xr:uid="{00000000-0005-0000-0000-0000B2000000}"/>
    <cellStyle name="Normal 44 2" xfId="228" xr:uid="{00000000-0005-0000-0000-0000B3000000}"/>
    <cellStyle name="Normal 45" xfId="143" xr:uid="{00000000-0005-0000-0000-0000B4000000}"/>
    <cellStyle name="Normal 45 2" xfId="229" xr:uid="{00000000-0005-0000-0000-0000B5000000}"/>
    <cellStyle name="Normal 46" xfId="144" xr:uid="{00000000-0005-0000-0000-0000B6000000}"/>
    <cellStyle name="Normal 46 2" xfId="230" xr:uid="{00000000-0005-0000-0000-0000B7000000}"/>
    <cellStyle name="Normal 47" xfId="145" xr:uid="{00000000-0005-0000-0000-0000B8000000}"/>
    <cellStyle name="Normal 47 2" xfId="231" xr:uid="{00000000-0005-0000-0000-0000B9000000}"/>
    <cellStyle name="Normal 48" xfId="146" xr:uid="{00000000-0005-0000-0000-0000BA000000}"/>
    <cellStyle name="Normal 48 2" xfId="232" xr:uid="{00000000-0005-0000-0000-0000BB000000}"/>
    <cellStyle name="Normal 49" xfId="147" xr:uid="{00000000-0005-0000-0000-0000BC000000}"/>
    <cellStyle name="Normal 49 2" xfId="233" xr:uid="{00000000-0005-0000-0000-0000BD000000}"/>
    <cellStyle name="Normal 5" xfId="95" xr:uid="{00000000-0005-0000-0000-0000BE000000}"/>
    <cellStyle name="Normal 5 2" xfId="96" xr:uid="{00000000-0005-0000-0000-0000BF000000}"/>
    <cellStyle name="Normal 5 3" xfId="97" xr:uid="{00000000-0005-0000-0000-0000C0000000}"/>
    <cellStyle name="Normal 5 4" xfId="98" xr:uid="{00000000-0005-0000-0000-0000C1000000}"/>
    <cellStyle name="Normal 50" xfId="148" xr:uid="{00000000-0005-0000-0000-0000C2000000}"/>
    <cellStyle name="Normal 50 2" xfId="234" xr:uid="{00000000-0005-0000-0000-0000C3000000}"/>
    <cellStyle name="Normal 51" xfId="149" xr:uid="{00000000-0005-0000-0000-0000C4000000}"/>
    <cellStyle name="Normal 51 2" xfId="235" xr:uid="{00000000-0005-0000-0000-0000C5000000}"/>
    <cellStyle name="Normal 52" xfId="150" xr:uid="{00000000-0005-0000-0000-0000C6000000}"/>
    <cellStyle name="Normal 52 2" xfId="236" xr:uid="{00000000-0005-0000-0000-0000C7000000}"/>
    <cellStyle name="Normal 53" xfId="151" xr:uid="{00000000-0005-0000-0000-0000C8000000}"/>
    <cellStyle name="Normal 53 2" xfId="237" xr:uid="{00000000-0005-0000-0000-0000C9000000}"/>
    <cellStyle name="Normal 54" xfId="152" xr:uid="{00000000-0005-0000-0000-0000CA000000}"/>
    <cellStyle name="Normal 54 2" xfId="238" xr:uid="{00000000-0005-0000-0000-0000CB000000}"/>
    <cellStyle name="Normal 55" xfId="153" xr:uid="{00000000-0005-0000-0000-0000CC000000}"/>
    <cellStyle name="Normal 55 2" xfId="239" xr:uid="{00000000-0005-0000-0000-0000CD000000}"/>
    <cellStyle name="Normal 56" xfId="154" xr:uid="{00000000-0005-0000-0000-0000CE000000}"/>
    <cellStyle name="Normal 56 2" xfId="240" xr:uid="{00000000-0005-0000-0000-0000CF000000}"/>
    <cellStyle name="Normal 57" xfId="155" xr:uid="{00000000-0005-0000-0000-0000D0000000}"/>
    <cellStyle name="Normal 57 2" xfId="241" xr:uid="{00000000-0005-0000-0000-0000D1000000}"/>
    <cellStyle name="Normal 58" xfId="156" xr:uid="{00000000-0005-0000-0000-0000D2000000}"/>
    <cellStyle name="Normal 58 2" xfId="242" xr:uid="{00000000-0005-0000-0000-0000D3000000}"/>
    <cellStyle name="Normal 59" xfId="157" xr:uid="{00000000-0005-0000-0000-0000D4000000}"/>
    <cellStyle name="Normal 59 2" xfId="243" xr:uid="{00000000-0005-0000-0000-0000D5000000}"/>
    <cellStyle name="Normal 6" xfId="99" xr:uid="{00000000-0005-0000-0000-0000D6000000}"/>
    <cellStyle name="Normal 6 2" xfId="100" xr:uid="{00000000-0005-0000-0000-0000D7000000}"/>
    <cellStyle name="Normal 6 3" xfId="101" xr:uid="{00000000-0005-0000-0000-0000D8000000}"/>
    <cellStyle name="Normal 60" xfId="158" xr:uid="{00000000-0005-0000-0000-0000D9000000}"/>
    <cellStyle name="Normal 60 2" xfId="244" xr:uid="{00000000-0005-0000-0000-0000DA000000}"/>
    <cellStyle name="Normal 61" xfId="159" xr:uid="{00000000-0005-0000-0000-0000DB000000}"/>
    <cellStyle name="Normal 61 2" xfId="245" xr:uid="{00000000-0005-0000-0000-0000DC000000}"/>
    <cellStyle name="Normal 62" xfId="160" xr:uid="{00000000-0005-0000-0000-0000DD000000}"/>
    <cellStyle name="Normal 62 2" xfId="246" xr:uid="{00000000-0005-0000-0000-0000DE000000}"/>
    <cellStyle name="Normal 63" xfId="161" xr:uid="{00000000-0005-0000-0000-0000DF000000}"/>
    <cellStyle name="Normal 63 2" xfId="247" xr:uid="{00000000-0005-0000-0000-0000E0000000}"/>
    <cellStyle name="Normal 64" xfId="162" xr:uid="{00000000-0005-0000-0000-0000E1000000}"/>
    <cellStyle name="Normal 64 2" xfId="248" xr:uid="{00000000-0005-0000-0000-0000E2000000}"/>
    <cellStyle name="Normal 65" xfId="163" xr:uid="{00000000-0005-0000-0000-0000E3000000}"/>
    <cellStyle name="Normal 65 2" xfId="249" xr:uid="{00000000-0005-0000-0000-0000E4000000}"/>
    <cellStyle name="Normal 66" xfId="164" xr:uid="{00000000-0005-0000-0000-0000E5000000}"/>
    <cellStyle name="Normal 66 2" xfId="250" xr:uid="{00000000-0005-0000-0000-0000E6000000}"/>
    <cellStyle name="Normal 67" xfId="165" xr:uid="{00000000-0005-0000-0000-0000E7000000}"/>
    <cellStyle name="Normal 67 2" xfId="251" xr:uid="{00000000-0005-0000-0000-0000E8000000}"/>
    <cellStyle name="Normal 69" xfId="166" xr:uid="{00000000-0005-0000-0000-0000E9000000}"/>
    <cellStyle name="Normal 69 2" xfId="252" xr:uid="{00000000-0005-0000-0000-0000EA000000}"/>
    <cellStyle name="Normal 7" xfId="102" xr:uid="{00000000-0005-0000-0000-0000EB000000}"/>
    <cellStyle name="Normal 70" xfId="167" xr:uid="{00000000-0005-0000-0000-0000EC000000}"/>
    <cellStyle name="Normal 70 2" xfId="253" xr:uid="{00000000-0005-0000-0000-0000ED000000}"/>
    <cellStyle name="Normal 71" xfId="168" xr:uid="{00000000-0005-0000-0000-0000EE000000}"/>
    <cellStyle name="Normal 71 2" xfId="254" xr:uid="{00000000-0005-0000-0000-0000EF000000}"/>
    <cellStyle name="Normal 72" xfId="169" xr:uid="{00000000-0005-0000-0000-0000F0000000}"/>
    <cellStyle name="Normal 72 2" xfId="255" xr:uid="{00000000-0005-0000-0000-0000F1000000}"/>
    <cellStyle name="Normal 73" xfId="170" xr:uid="{00000000-0005-0000-0000-0000F2000000}"/>
    <cellStyle name="Normal 73 2" xfId="256" xr:uid="{00000000-0005-0000-0000-0000F3000000}"/>
    <cellStyle name="Normal 74" xfId="171" xr:uid="{00000000-0005-0000-0000-0000F4000000}"/>
    <cellStyle name="Normal 74 2" xfId="257" xr:uid="{00000000-0005-0000-0000-0000F5000000}"/>
    <cellStyle name="Normal 75" xfId="172" xr:uid="{00000000-0005-0000-0000-0000F6000000}"/>
    <cellStyle name="Normal 75 2" xfId="258" xr:uid="{00000000-0005-0000-0000-0000F7000000}"/>
    <cellStyle name="Normal 76" xfId="173" xr:uid="{00000000-0005-0000-0000-0000F8000000}"/>
    <cellStyle name="Normal 76 2" xfId="259" xr:uid="{00000000-0005-0000-0000-0000F9000000}"/>
    <cellStyle name="Normal 77" xfId="174" xr:uid="{00000000-0005-0000-0000-0000FA000000}"/>
    <cellStyle name="Normal 77 2" xfId="260" xr:uid="{00000000-0005-0000-0000-0000FB000000}"/>
    <cellStyle name="Normal 78" xfId="175" xr:uid="{00000000-0005-0000-0000-0000FC000000}"/>
    <cellStyle name="Normal 78 2" xfId="261" xr:uid="{00000000-0005-0000-0000-0000FD000000}"/>
    <cellStyle name="Normal 79" xfId="176" xr:uid="{00000000-0005-0000-0000-0000FE000000}"/>
    <cellStyle name="Normal 79 2" xfId="262" xr:uid="{00000000-0005-0000-0000-0000FF000000}"/>
    <cellStyle name="Normal 8" xfId="103" xr:uid="{00000000-0005-0000-0000-000000010000}"/>
    <cellStyle name="Normal 80" xfId="177" xr:uid="{00000000-0005-0000-0000-000001010000}"/>
    <cellStyle name="Normal 80 2" xfId="263" xr:uid="{00000000-0005-0000-0000-000002010000}"/>
    <cellStyle name="Normal 81" xfId="178" xr:uid="{00000000-0005-0000-0000-000003010000}"/>
    <cellStyle name="Normal 81 2" xfId="264" xr:uid="{00000000-0005-0000-0000-000004010000}"/>
    <cellStyle name="Normal 82" xfId="179" xr:uid="{00000000-0005-0000-0000-000005010000}"/>
    <cellStyle name="Normal 82 2" xfId="265" xr:uid="{00000000-0005-0000-0000-000006010000}"/>
    <cellStyle name="Normal 83" xfId="180" xr:uid="{00000000-0005-0000-0000-000007010000}"/>
    <cellStyle name="Normal 83 2" xfId="266" xr:uid="{00000000-0005-0000-0000-000008010000}"/>
    <cellStyle name="Normal 84" xfId="181" xr:uid="{00000000-0005-0000-0000-000009010000}"/>
    <cellStyle name="Normal 84 2" xfId="267" xr:uid="{00000000-0005-0000-0000-00000A010000}"/>
    <cellStyle name="Normal 85" xfId="182" xr:uid="{00000000-0005-0000-0000-00000B010000}"/>
    <cellStyle name="Normal 85 2" xfId="268" xr:uid="{00000000-0005-0000-0000-00000C010000}"/>
    <cellStyle name="Normal 86" xfId="183" xr:uid="{00000000-0005-0000-0000-00000D010000}"/>
    <cellStyle name="Normal 86 2" xfId="269" xr:uid="{00000000-0005-0000-0000-00000E010000}"/>
    <cellStyle name="Normal 87" xfId="184" xr:uid="{00000000-0005-0000-0000-00000F010000}"/>
    <cellStyle name="Normal 87 2" xfId="270" xr:uid="{00000000-0005-0000-0000-000010010000}"/>
    <cellStyle name="Normal 9" xfId="104" xr:uid="{00000000-0005-0000-0000-000011010000}"/>
    <cellStyle name="Normal 9 2" xfId="105" xr:uid="{00000000-0005-0000-0000-000012010000}"/>
    <cellStyle name="Normal 9 2 2" xfId="198" xr:uid="{00000000-0005-0000-0000-000013010000}"/>
    <cellStyle name="Note" xfId="14" builtinId="10" customBuiltin="1"/>
    <cellStyle name="Note 2" xfId="53" xr:uid="{00000000-0005-0000-0000-000015010000}"/>
    <cellStyle name="Output" xfId="12" builtinId="21" customBuiltin="1"/>
    <cellStyle name="Percent" xfId="2" builtinId="5"/>
    <cellStyle name="Percent 10" xfId="113" xr:uid="{00000000-0005-0000-0000-000018010000}"/>
    <cellStyle name="Percent 11" xfId="49" xr:uid="{00000000-0005-0000-0000-000019010000}"/>
    <cellStyle name="Percent 11 2" xfId="290" xr:uid="{00000000-0005-0000-0000-00001A010000}"/>
    <cellStyle name="Percent 2" xfId="185" xr:uid="{00000000-0005-0000-0000-00001B010000}"/>
    <cellStyle name="Percent 2 2" xfId="271" xr:uid="{00000000-0005-0000-0000-00001C010000}"/>
    <cellStyle name="Percent 3" xfId="186" xr:uid="{00000000-0005-0000-0000-00001D010000}"/>
    <cellStyle name="Percent 3 2" xfId="272" xr:uid="{00000000-0005-0000-0000-00001E010000}"/>
    <cellStyle name="Percent 3 3" xfId="283" xr:uid="{00000000-0005-0000-0000-00001F010000}"/>
    <cellStyle name="Percent 4" xfId="187" xr:uid="{00000000-0005-0000-0000-000020010000}"/>
    <cellStyle name="Percent 4 2" xfId="273" xr:uid="{00000000-0005-0000-0000-000021010000}"/>
    <cellStyle name="Percent 4 3" xfId="284" xr:uid="{00000000-0005-0000-0000-000022010000}"/>
    <cellStyle name="Percent 5" xfId="188" xr:uid="{00000000-0005-0000-0000-000023010000}"/>
    <cellStyle name="Percent 5 2" xfId="274" xr:uid="{00000000-0005-0000-0000-000024010000}"/>
    <cellStyle name="Percent 6" xfId="189" xr:uid="{00000000-0005-0000-0000-000025010000}"/>
    <cellStyle name="Percent 6 2" xfId="275" xr:uid="{00000000-0005-0000-0000-000026010000}"/>
    <cellStyle name="Percent 7" xfId="190" xr:uid="{00000000-0005-0000-0000-000027010000}"/>
    <cellStyle name="Percent 8" xfId="191" xr:uid="{00000000-0005-0000-0000-000028010000}"/>
    <cellStyle name="Percent 8 2" xfId="276" xr:uid="{00000000-0005-0000-0000-000029010000}"/>
    <cellStyle name="Percent 9" xfId="196" xr:uid="{00000000-0005-0000-0000-00002A010000}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colors>
    <mruColors>
      <color rgb="FFFF00FF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Billed%20kWh%20Budget%20Metro%20Missouri%202019-2020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Metro%20MEEIA%20Cycle%202%20Forecast%20Model%202017-2020%20102019%20actuals%2011222019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TD%20Model%20Metro%20102019%2011202019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MEEIA%202019%20Portfolio%20Analysis_RAP%20Modified_FILED_KCPL-MO_11292018_SURR%202%201213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Metro%20MEEIA%202019%20Revenue%20Analysis%20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Metro%20Short-Term%20Borrowing%20Rate%20May%202019%20-%20October%202019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SI%20Projects%20052019-102019%20Metro%20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Metro%20EO%20Calculation%20PY1-PY3%20v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Red%20lines/OA%20Adjustment%20Cycle%202%20Metro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ed kWh Sales"/>
    </sheetNames>
    <sheetDataSet>
      <sheetData sheetId="0">
        <row r="24">
          <cell r="M24">
            <v>156952287</v>
          </cell>
          <cell r="N24">
            <v>233503187</v>
          </cell>
          <cell r="O24">
            <v>262459710</v>
          </cell>
        </row>
        <row r="25">
          <cell r="M25">
            <v>32283286</v>
          </cell>
          <cell r="N25">
            <v>35631496</v>
          </cell>
          <cell r="O25">
            <v>36324839</v>
          </cell>
        </row>
        <row r="36">
          <cell r="E36">
            <v>1200789259</v>
          </cell>
          <cell r="F36">
            <v>1341236962</v>
          </cell>
        </row>
        <row r="37">
          <cell r="E37">
            <v>206330013</v>
          </cell>
          <cell r="F37">
            <v>214675900</v>
          </cell>
        </row>
        <row r="38">
          <cell r="E38">
            <v>581825212</v>
          </cell>
          <cell r="F38">
            <v>605359579</v>
          </cell>
        </row>
        <row r="39">
          <cell r="E39">
            <v>927570559</v>
          </cell>
          <cell r="F39">
            <v>965090055</v>
          </cell>
        </row>
        <row r="40">
          <cell r="E40">
            <v>329711399</v>
          </cell>
          <cell r="F40">
            <v>343047964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 Budget Sumry"/>
      <sheetName val="EEIA Non-labor loadfile"/>
      <sheetName val="Base Rate EE Non-labor loadfile"/>
      <sheetName val="Metro Monthly TD Calc"/>
      <sheetName val="Program Costs - Metro"/>
    </sheetNames>
    <sheetDataSet>
      <sheetData sheetId="0"/>
      <sheetData sheetId="1"/>
      <sheetData sheetId="2"/>
      <sheetData sheetId="3">
        <row r="322">
          <cell r="AT322">
            <v>139647.91</v>
          </cell>
          <cell r="AU322">
            <v>180308.45</v>
          </cell>
        </row>
        <row r="323">
          <cell r="AT323">
            <v>164395.65</v>
          </cell>
          <cell r="AU323">
            <v>173763.89</v>
          </cell>
        </row>
        <row r="326">
          <cell r="BG326">
            <v>2667485.0099999998</v>
          </cell>
        </row>
        <row r="327">
          <cell r="BG327">
            <v>2748522.91</v>
          </cell>
        </row>
        <row r="336">
          <cell r="BG336">
            <v>510612.43</v>
          </cell>
        </row>
        <row r="337">
          <cell r="BG337">
            <v>1138458.3499999999</v>
          </cell>
        </row>
        <row r="338">
          <cell r="BG338">
            <v>981390.21</v>
          </cell>
        </row>
        <row r="339">
          <cell r="BG339">
            <v>118061.93000000001</v>
          </cell>
        </row>
        <row r="352">
          <cell r="AT352">
            <v>2247983.6198608307</v>
          </cell>
          <cell r="AU352">
            <v>3070205.9843533784</v>
          </cell>
        </row>
        <row r="353">
          <cell r="AT353">
            <v>4346128.6482501319</v>
          </cell>
          <cell r="AU353">
            <v>5034486.1133234836</v>
          </cell>
        </row>
        <row r="357">
          <cell r="BG357">
            <v>37102945.906518809</v>
          </cell>
        </row>
        <row r="358">
          <cell r="BG358">
            <v>68325808.857900232</v>
          </cell>
        </row>
        <row r="361">
          <cell r="BG361">
            <v>6579145.8267717129</v>
          </cell>
        </row>
        <row r="362">
          <cell r="BG362">
            <v>23029113.400481995</v>
          </cell>
        </row>
        <row r="363">
          <cell r="BG363">
            <v>30885242.787437897</v>
          </cell>
        </row>
        <row r="364">
          <cell r="BG364">
            <v>7832306.8432086241</v>
          </cell>
        </row>
      </sheetData>
      <sheetData sheetId="4">
        <row r="153">
          <cell r="BF153">
            <v>495028.32999999996</v>
          </cell>
          <cell r="BG153">
            <v>1299872.56</v>
          </cell>
        </row>
        <row r="154">
          <cell r="BF154">
            <v>1036009.3400000001</v>
          </cell>
          <cell r="BG154">
            <v>1467077.62</v>
          </cell>
        </row>
        <row r="155">
          <cell r="BF155">
            <v>141925.27000000005</v>
          </cell>
          <cell r="BG155">
            <v>167562.72000000003</v>
          </cell>
        </row>
        <row r="159">
          <cell r="BS159">
            <v>180591.84</v>
          </cell>
        </row>
        <row r="160">
          <cell r="BS160">
            <v>244919.25</v>
          </cell>
        </row>
        <row r="161">
          <cell r="BS161">
            <v>41787.450000000004</v>
          </cell>
        </row>
        <row r="162">
          <cell r="BS16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nthly TD Calc"/>
      <sheetName val="TD EO Ex Post Gross Adj"/>
      <sheetName val="TD EO NTG Adj"/>
      <sheetName val="EO TD Carrying Costs"/>
      <sheetName val="EM&amp;V Inputs"/>
      <sheetName val="kW Actuals (Gross)"/>
    </sheetNames>
    <sheetDataSet>
      <sheetData sheetId="0"/>
      <sheetData sheetId="1">
        <row r="44">
          <cell r="CY44">
            <v>0.14267984863071587</v>
          </cell>
          <cell r="CZ44">
            <v>0.35708861589367091</v>
          </cell>
          <cell r="DA44">
            <v>0.40574599013503615</v>
          </cell>
          <cell r="DB44">
            <v>9.4485545340576932E-2</v>
          </cell>
        </row>
        <row r="285">
          <cell r="AN285">
            <v>1905075.120396107</v>
          </cell>
          <cell r="AO285">
            <v>2344550.5987205859</v>
          </cell>
          <cell r="AP285">
            <v>3114470.6319201724</v>
          </cell>
          <cell r="AQ285">
            <v>3439521.9753904017</v>
          </cell>
          <cell r="AR285">
            <v>3297099.524945932</v>
          </cell>
          <cell r="AS285">
            <v>3534138.4194082278</v>
          </cell>
        </row>
        <row r="286">
          <cell r="AN286">
            <v>3556084.3845155714</v>
          </cell>
          <cell r="AO286">
            <v>3632905.5034914077</v>
          </cell>
          <cell r="AP286">
            <v>3797043.102911015</v>
          </cell>
          <cell r="AQ286">
            <v>4002247.7226888952</v>
          </cell>
          <cell r="AR286">
            <v>3844357.4120946513</v>
          </cell>
          <cell r="AS286">
            <v>4225710.795167882</v>
          </cell>
        </row>
        <row r="318">
          <cell r="AN318">
            <v>118374.82</v>
          </cell>
          <cell r="AO318">
            <v>220770.4</v>
          </cell>
          <cell r="AP318">
            <v>302603.44</v>
          </cell>
          <cell r="AQ318">
            <v>333733.05</v>
          </cell>
          <cell r="AR318">
            <v>312883.67</v>
          </cell>
          <cell r="AS318">
            <v>203322.69</v>
          </cell>
        </row>
        <row r="319">
          <cell r="AN319">
            <v>137434.47</v>
          </cell>
          <cell r="AO319">
            <v>184106.81</v>
          </cell>
          <cell r="AP319">
            <v>186490.64</v>
          </cell>
          <cell r="AQ319">
            <v>201473.35</v>
          </cell>
          <cell r="AR319">
            <v>193563.74</v>
          </cell>
          <cell r="AS319">
            <v>152023.01999999999</v>
          </cell>
        </row>
      </sheetData>
      <sheetData sheetId="2">
        <row r="363">
          <cell r="DD363">
            <v>-1041427.6034010575</v>
          </cell>
        </row>
        <row r="364">
          <cell r="DD364">
            <v>-37272.289999999964</v>
          </cell>
        </row>
        <row r="365">
          <cell r="DD365">
            <v>122147.32999999997</v>
          </cell>
        </row>
        <row r="366">
          <cell r="DD366">
            <v>169641.44</v>
          </cell>
        </row>
        <row r="367">
          <cell r="DD367">
            <v>34067.5</v>
          </cell>
        </row>
      </sheetData>
      <sheetData sheetId="3">
        <row r="370">
          <cell r="DD370">
            <v>537465.77340105735</v>
          </cell>
        </row>
        <row r="371">
          <cell r="DD371">
            <v>101225.01999999996</v>
          </cell>
        </row>
        <row r="372">
          <cell r="DD372">
            <v>340699.47000000009</v>
          </cell>
        </row>
        <row r="373">
          <cell r="DD373">
            <v>191871.41999999998</v>
          </cell>
        </row>
        <row r="374">
          <cell r="DD374">
            <v>28892.499999999993</v>
          </cell>
        </row>
      </sheetData>
      <sheetData sheetId="4">
        <row r="48">
          <cell r="AN48">
            <v>11386.110000000004</v>
          </cell>
        </row>
        <row r="49">
          <cell r="AN49">
            <v>4637.5600000000004</v>
          </cell>
        </row>
        <row r="50">
          <cell r="AN50">
            <v>19663.030000000002</v>
          </cell>
        </row>
        <row r="51">
          <cell r="AN51">
            <v>15454.890000000001</v>
          </cell>
        </row>
        <row r="52">
          <cell r="AN52">
            <v>1656.59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Program Descriptions"/>
      <sheetName val="DSMore Results"/>
      <sheetName val="Summary Fin Tables for Report"/>
      <sheetName val="DSIM (Rider)"/>
      <sheetName val="Credit Metrics (Rider Scenario)"/>
      <sheetName val="Exec Summary"/>
      <sheetName val="Program Totals"/>
      <sheetName val="Monthly kWh-kW"/>
      <sheetName val="Monthly Program Costs"/>
      <sheetName val="Monthly TD Calc"/>
      <sheetName val="Net Benefits"/>
      <sheetName val="Impact on kWh Sales"/>
      <sheetName val="Rate Proposal Comparisons"/>
      <sheetName val="Customer Rate-Bill Impacts"/>
      <sheetName val="Cycle 3 DSIM Rate - Proposed"/>
      <sheetName val="Cycle 3 DSIM Rate - Annual"/>
      <sheetName val="Cycle 3 DSIM Rate - Status Quo"/>
      <sheetName val="Cycle 2 DSIM Rate - Cust Class"/>
      <sheetName val="Max Cycle 3 Rate - by Class"/>
      <sheetName val="Billed kWh Sales"/>
      <sheetName val="EO"/>
      <sheetName val="EO Cap"/>
      <sheetName val="NTG-RR"/>
      <sheetName val="EO Matrix @Meter (2)"/>
      <sheetName val="EO Matrix @Meter"/>
      <sheetName val="Oct Working EO matrix"/>
      <sheetName val="EO Table"/>
      <sheetName val="EO-Ameren Structu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91">
          <cell r="H291">
            <v>2996408.56</v>
          </cell>
          <cell r="I291">
            <v>3145174.92</v>
          </cell>
        </row>
        <row r="292">
          <cell r="H292">
            <v>254909.53999999998</v>
          </cell>
          <cell r="I292">
            <v>334593.96999999997</v>
          </cell>
        </row>
        <row r="293">
          <cell r="H293">
            <v>534407.74</v>
          </cell>
          <cell r="I293">
            <v>820707.47</v>
          </cell>
        </row>
        <row r="294">
          <cell r="H294">
            <v>869746.29</v>
          </cell>
          <cell r="I294">
            <v>1412771.38</v>
          </cell>
        </row>
        <row r="295">
          <cell r="H295">
            <v>308318.37</v>
          </cell>
          <cell r="I295">
            <v>497252.05000000005</v>
          </cell>
        </row>
      </sheetData>
      <sheetData sheetId="10">
        <row r="492">
          <cell r="E492">
            <v>997524.37533512339</v>
          </cell>
          <cell r="F492">
            <v>1129837.4554902078</v>
          </cell>
          <cell r="G492">
            <v>1265887.0737903202</v>
          </cell>
          <cell r="H492">
            <v>1387047.1736270413</v>
          </cell>
          <cell r="I492">
            <v>1551420.5327375692</v>
          </cell>
          <cell r="J492">
            <v>1635716.3812277347</v>
          </cell>
          <cell r="K492">
            <v>2179752.4611052098</v>
          </cell>
          <cell r="L492">
            <v>2298670.6037025414</v>
          </cell>
          <cell r="M492">
            <v>1997473.46518392</v>
          </cell>
          <cell r="N492">
            <v>2199905.8223199672</v>
          </cell>
          <cell r="O492">
            <v>2284399.4754702533</v>
          </cell>
          <cell r="P492">
            <v>2693279.5747682848</v>
          </cell>
        </row>
        <row r="493">
          <cell r="E493">
            <v>16071.084522691477</v>
          </cell>
          <cell r="F493">
            <v>22582.369230407265</v>
          </cell>
          <cell r="G493">
            <v>37864.621988748237</v>
          </cell>
          <cell r="H493">
            <v>50229.393277063857</v>
          </cell>
          <cell r="I493">
            <v>59682.246701049888</v>
          </cell>
          <cell r="J493">
            <v>71864.554618991708</v>
          </cell>
          <cell r="K493">
            <v>96666.424210068668</v>
          </cell>
          <cell r="L493">
            <v>107329.87229529431</v>
          </cell>
          <cell r="M493">
            <v>107956.21402228886</v>
          </cell>
          <cell r="N493">
            <v>131017.65902183404</v>
          </cell>
          <cell r="O493">
            <v>138739.45043964882</v>
          </cell>
          <cell r="P493">
            <v>170268.57610105141</v>
          </cell>
        </row>
        <row r="494">
          <cell r="E494">
            <v>45318.477733810127</v>
          </cell>
          <cell r="F494">
            <v>63679.49815085029</v>
          </cell>
          <cell r="G494">
            <v>106773.56752578673</v>
          </cell>
          <cell r="H494">
            <v>141640.69870924851</v>
          </cell>
          <cell r="I494">
            <v>168296.58038363213</v>
          </cell>
          <cell r="J494">
            <v>202649.18734964947</v>
          </cell>
          <cell r="K494">
            <v>248836.01969199284</v>
          </cell>
          <cell r="L494">
            <v>278677.25043040386</v>
          </cell>
          <cell r="M494">
            <v>304423.21888654894</v>
          </cell>
          <cell r="N494">
            <v>369453.65166448243</v>
          </cell>
          <cell r="O494">
            <v>391228.15181966918</v>
          </cell>
          <cell r="P494">
            <v>509929.23625713616</v>
          </cell>
        </row>
        <row r="495">
          <cell r="E495">
            <v>72248.649599565062</v>
          </cell>
          <cell r="F495">
            <v>101520.57126897956</v>
          </cell>
          <cell r="G495">
            <v>170222.97421324911</v>
          </cell>
          <cell r="H495">
            <v>225809.64149304183</v>
          </cell>
          <cell r="I495">
            <v>268305.58467480529</v>
          </cell>
          <cell r="J495">
            <v>323071.97550764889</v>
          </cell>
          <cell r="K495">
            <v>396704.99305109319</v>
          </cell>
          <cell r="L495">
            <v>444279.15553516836</v>
          </cell>
          <cell r="M495">
            <v>485324.47626538639</v>
          </cell>
          <cell r="N495">
            <v>588998.76512120455</v>
          </cell>
          <cell r="O495">
            <v>623712.60174118599</v>
          </cell>
          <cell r="P495">
            <v>854832.43014340533</v>
          </cell>
        </row>
        <row r="496">
          <cell r="E496">
            <v>25681.284386403702</v>
          </cell>
          <cell r="F496">
            <v>36086.192285655183</v>
          </cell>
          <cell r="G496">
            <v>60506.938663892084</v>
          </cell>
          <cell r="H496">
            <v>80265.605689737145</v>
          </cell>
          <cell r="I496">
            <v>95371.083898230747</v>
          </cell>
          <cell r="J496">
            <v>114838.17796283257</v>
          </cell>
          <cell r="K496">
            <v>141011.54555161067</v>
          </cell>
          <cell r="L496">
            <v>157922.11208773416</v>
          </cell>
          <cell r="M496">
            <v>172511.95646885634</v>
          </cell>
          <cell r="N496">
            <v>209363.70263188027</v>
          </cell>
          <cell r="O496">
            <v>221702.97700340103</v>
          </cell>
          <cell r="P496">
            <v>301878.74998391938</v>
          </cell>
        </row>
        <row r="608">
          <cell r="G608">
            <v>656521.37</v>
          </cell>
          <cell r="H608">
            <v>1242398.24</v>
          </cell>
        </row>
        <row r="609">
          <cell r="G609">
            <v>21289.33</v>
          </cell>
          <cell r="H609">
            <v>62591.659999999996</v>
          </cell>
        </row>
        <row r="610">
          <cell r="G610">
            <v>37558.020000000004</v>
          </cell>
          <cell r="H610">
            <v>109643.49999999999</v>
          </cell>
        </row>
        <row r="611">
          <cell r="G611">
            <v>36781</v>
          </cell>
          <cell r="H611">
            <v>105769.05</v>
          </cell>
        </row>
        <row r="612">
          <cell r="G612">
            <v>4691.99</v>
          </cell>
          <cell r="H612">
            <v>13080.05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ro Revenue Adjmt"/>
      <sheetName val="January 2019 Combined"/>
      <sheetName val="February 2019 Combined"/>
      <sheetName val="March 2019 Combined"/>
      <sheetName val="April 2019 Combined"/>
      <sheetName val="May 2019 Combined"/>
      <sheetName val="June 2019 Combined"/>
      <sheetName val="July 2019 Combined"/>
      <sheetName val="August 2019 Combined"/>
      <sheetName val="September 2019 Combined"/>
      <sheetName val="October 2019 Combined"/>
      <sheetName val="November 2019 Combined"/>
      <sheetName val="December 2019 Combined"/>
      <sheetName val="KCP&amp;L MO DSIM Rate Table"/>
      <sheetName val="DSIM Rates - Initial RP"/>
      <sheetName val="DSIM Rates - 2nd RP"/>
      <sheetName val="DSIM Rates - 3rd RP"/>
      <sheetName val="DSIM Rates - 4th RP"/>
      <sheetName val="DSIM Rates - 4th RP Cycle 2"/>
      <sheetName val="DSIM Rates 5th RP"/>
      <sheetName val="DSIM Rates 6th RP"/>
      <sheetName val="DSIM Rates 7th RP"/>
      <sheetName val="DSIM Rates 8th RP"/>
      <sheetName val="DSIM Rates 9th RP"/>
      <sheetName val="DSIM Rates 10th RP"/>
      <sheetName val="DSIM Rates 11th 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6318.8</v>
          </cell>
        </row>
        <row r="19">
          <cell r="F19">
            <v>0.15</v>
          </cell>
        </row>
        <row r="20">
          <cell r="F20">
            <v>3159.33</v>
          </cell>
        </row>
        <row r="24">
          <cell r="F24">
            <v>-9900.24</v>
          </cell>
        </row>
        <row r="25">
          <cell r="F25">
            <v>22085.280000000002</v>
          </cell>
        </row>
        <row r="34">
          <cell r="F34">
            <v>110700.98999999999</v>
          </cell>
        </row>
        <row r="35">
          <cell r="F35">
            <v>677783.76</v>
          </cell>
        </row>
        <row r="39">
          <cell r="F39">
            <v>-141529.07</v>
          </cell>
        </row>
        <row r="40">
          <cell r="F40">
            <v>-6382.7300000000005</v>
          </cell>
        </row>
        <row r="44">
          <cell r="F44">
            <v>65376.61</v>
          </cell>
        </row>
        <row r="45">
          <cell r="F45">
            <v>161379.33000000002</v>
          </cell>
        </row>
        <row r="55">
          <cell r="F55">
            <v>141611603.10630003</v>
          </cell>
        </row>
        <row r="56">
          <cell r="F56">
            <v>315314577.79310006</v>
          </cell>
        </row>
        <row r="61">
          <cell r="C61">
            <v>141611603.10630003</v>
          </cell>
        </row>
        <row r="62">
          <cell r="C62">
            <v>315314577.79310006</v>
          </cell>
        </row>
      </sheetData>
      <sheetData sheetId="6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6725.5</v>
          </cell>
        </row>
        <row r="19">
          <cell r="F19">
            <v>-0.25</v>
          </cell>
        </row>
        <row r="20">
          <cell r="F20">
            <v>3362.7999999999997</v>
          </cell>
        </row>
        <row r="24">
          <cell r="F24">
            <v>-13371.25</v>
          </cell>
        </row>
        <row r="25">
          <cell r="F25">
            <v>23503.57</v>
          </cell>
        </row>
        <row r="34">
          <cell r="F34">
            <v>149233.06</v>
          </cell>
        </row>
        <row r="35">
          <cell r="F35">
            <v>722236.11</v>
          </cell>
        </row>
        <row r="39">
          <cell r="F39">
            <v>-191007.8</v>
          </cell>
        </row>
        <row r="40">
          <cell r="F40">
            <v>-6775.24</v>
          </cell>
        </row>
        <row r="44">
          <cell r="F44">
            <v>88090.329999999987</v>
          </cell>
        </row>
        <row r="45">
          <cell r="F45">
            <v>171567.6</v>
          </cell>
        </row>
        <row r="55">
          <cell r="F55">
            <v>191066375.41019997</v>
          </cell>
        </row>
        <row r="56">
          <cell r="F56">
            <v>335591914.8994</v>
          </cell>
        </row>
        <row r="61">
          <cell r="C61">
            <v>191066375.41019997</v>
          </cell>
        </row>
        <row r="62">
          <cell r="C62">
            <v>335591914.8994</v>
          </cell>
        </row>
      </sheetData>
      <sheetData sheetId="7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7698.3</v>
          </cell>
        </row>
        <row r="19">
          <cell r="F19">
            <v>0.8</v>
          </cell>
        </row>
        <row r="20">
          <cell r="F20">
            <v>3849.15</v>
          </cell>
        </row>
        <row r="24">
          <cell r="F24">
            <v>-19184.37</v>
          </cell>
        </row>
        <row r="25">
          <cell r="F25">
            <v>26938.510000000002</v>
          </cell>
        </row>
        <row r="34">
          <cell r="F34">
            <v>214677.47</v>
          </cell>
        </row>
        <row r="35">
          <cell r="F35">
            <v>827458.19000000006</v>
          </cell>
        </row>
        <row r="39">
          <cell r="F39">
            <v>-274625.20999999996</v>
          </cell>
        </row>
        <row r="40">
          <cell r="F40">
            <v>-7705.84</v>
          </cell>
        </row>
        <row r="44">
          <cell r="F44">
            <v>126662.92</v>
          </cell>
        </row>
        <row r="45">
          <cell r="F45">
            <v>196314.18999999997</v>
          </cell>
        </row>
        <row r="55">
          <cell r="F55">
            <v>274853973.83500004</v>
          </cell>
        </row>
        <row r="56">
          <cell r="F56">
            <v>384867228.13210005</v>
          </cell>
        </row>
        <row r="61">
          <cell r="C61">
            <v>274853973.83500004</v>
          </cell>
        </row>
        <row r="62">
          <cell r="C62">
            <v>384867228.13210005</v>
          </cell>
        </row>
      </sheetData>
      <sheetData sheetId="8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-5519.3300000000008</v>
          </cell>
        </row>
        <row r="19">
          <cell r="F19">
            <v>-828.01</v>
          </cell>
        </row>
        <row r="20">
          <cell r="F20">
            <v>-9517.6900000000023</v>
          </cell>
        </row>
        <row r="24">
          <cell r="F24">
            <v>-12540.779999999999</v>
          </cell>
        </row>
        <row r="25">
          <cell r="F25">
            <v>16974.14</v>
          </cell>
        </row>
        <row r="34">
          <cell r="F34">
            <v>438425.44999999995</v>
          </cell>
        </row>
        <row r="35">
          <cell r="F35">
            <v>854846.11</v>
          </cell>
        </row>
        <row r="39">
          <cell r="F39">
            <v>-83580.509999999995</v>
          </cell>
        </row>
        <row r="40">
          <cell r="F40">
            <v>2900.4000000000015</v>
          </cell>
        </row>
        <row r="44">
          <cell r="F44">
            <v>-4342.5</v>
          </cell>
        </row>
        <row r="45">
          <cell r="F45">
            <v>-4342.51</v>
          </cell>
        </row>
        <row r="49">
          <cell r="F49">
            <v>154490.88</v>
          </cell>
        </row>
        <row r="50">
          <cell r="F50">
            <v>165246.85999999999</v>
          </cell>
        </row>
        <row r="60">
          <cell r="F60">
            <v>289178916.20470035</v>
          </cell>
        </row>
        <row r="61">
          <cell r="F61">
            <v>385816525.63920003</v>
          </cell>
        </row>
        <row r="66">
          <cell r="C66">
            <v>289178916.20470035</v>
          </cell>
        </row>
        <row r="67">
          <cell r="C67">
            <v>385816525.63920003</v>
          </cell>
        </row>
      </sheetData>
      <sheetData sheetId="9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0</v>
          </cell>
        </row>
        <row r="19">
          <cell r="F19">
            <v>0</v>
          </cell>
        </row>
        <row r="20">
          <cell r="F20">
            <v>0</v>
          </cell>
        </row>
        <row r="24">
          <cell r="F24">
            <v>-2522.31</v>
          </cell>
        </row>
        <row r="25">
          <cell r="F25">
            <v>1633.1399999999999</v>
          </cell>
        </row>
        <row r="34">
          <cell r="F34">
            <v>613345.84</v>
          </cell>
        </row>
        <row r="35">
          <cell r="F35">
            <v>955512.72000000009</v>
          </cell>
        </row>
        <row r="39">
          <cell r="F39">
            <v>143035.07999999999</v>
          </cell>
        </row>
        <row r="40">
          <cell r="F40">
            <v>-25225.43</v>
          </cell>
        </row>
        <row r="44">
          <cell r="F44">
            <v>155965.00999999998</v>
          </cell>
        </row>
        <row r="45">
          <cell r="F45">
            <v>133546.79</v>
          </cell>
        </row>
        <row r="55">
          <cell r="F55">
            <v>251510125.52000004</v>
          </cell>
        </row>
        <row r="56">
          <cell r="F56">
            <v>417726543.09179997</v>
          </cell>
        </row>
        <row r="61">
          <cell r="C61">
            <v>251510125.52000004</v>
          </cell>
        </row>
        <row r="62">
          <cell r="C62">
            <v>417726543.09179997</v>
          </cell>
        </row>
      </sheetData>
      <sheetData sheetId="10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0</v>
          </cell>
        </row>
        <row r="19">
          <cell r="F19">
            <v>0</v>
          </cell>
        </row>
        <row r="20">
          <cell r="F20">
            <v>0</v>
          </cell>
        </row>
        <row r="24">
          <cell r="F24">
            <v>-1990.07</v>
          </cell>
        </row>
        <row r="25">
          <cell r="F25">
            <v>-9.75</v>
          </cell>
        </row>
        <row r="34">
          <cell r="F34">
            <v>483512</v>
          </cell>
        </row>
        <row r="35">
          <cell r="F35">
            <v>842882.85</v>
          </cell>
        </row>
        <row r="39">
          <cell r="F39">
            <v>112841.62</v>
          </cell>
        </row>
        <row r="40">
          <cell r="F40">
            <v>-21991.64</v>
          </cell>
        </row>
        <row r="44">
          <cell r="F44">
            <v>122909.21</v>
          </cell>
        </row>
        <row r="45">
          <cell r="F45">
            <v>102545.06999999999</v>
          </cell>
        </row>
        <row r="55">
          <cell r="F55">
            <v>198213542.11300012</v>
          </cell>
        </row>
        <row r="56">
          <cell r="F56">
            <v>366459490.79399991</v>
          </cell>
        </row>
        <row r="61">
          <cell r="C61">
            <v>198213542.11300012</v>
          </cell>
        </row>
        <row r="62">
          <cell r="C62">
            <v>366459490.79399991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2019"/>
      <sheetName val="June 2019"/>
      <sheetName val="July 2019"/>
      <sheetName val="Aug 2019"/>
      <sheetName val="Sept 2019"/>
      <sheetName val="Oct 2019"/>
    </sheetNames>
    <sheetDataSet>
      <sheetData sheetId="0">
        <row r="43">
          <cell r="F43">
            <v>3.0790499999999998E-3</v>
          </cell>
        </row>
      </sheetData>
      <sheetData sheetId="1">
        <row r="43">
          <cell r="F43">
            <v>3.0450199999999998E-3</v>
          </cell>
        </row>
      </sheetData>
      <sheetData sheetId="2">
        <row r="43">
          <cell r="F43">
            <v>2.9619300000000002E-3</v>
          </cell>
        </row>
      </sheetData>
      <sheetData sheetId="3">
        <row r="43">
          <cell r="F43">
            <v>2.8524499999999999E-3</v>
          </cell>
        </row>
      </sheetData>
      <sheetData sheetId="4">
        <row r="43">
          <cell r="F43">
            <v>2.7438599999999999E-3</v>
          </cell>
        </row>
      </sheetData>
      <sheetData sheetId="5">
        <row r="43">
          <cell r="F43">
            <v>2.60867E-3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052019-102019"/>
    </sheetNames>
    <sheetDataSet>
      <sheetData sheetId="0">
        <row r="26">
          <cell r="C26">
            <v>314376.19000000006</v>
          </cell>
          <cell r="D26">
            <v>810750.20000000007</v>
          </cell>
          <cell r="E26">
            <v>897022.06999999983</v>
          </cell>
          <cell r="F26">
            <v>-125930.97000000007</v>
          </cell>
          <cell r="G26">
            <v>514194.92</v>
          </cell>
          <cell r="H26">
            <v>739913.82000000007</v>
          </cell>
        </row>
        <row r="27">
          <cell r="C27">
            <v>690123.45</v>
          </cell>
          <cell r="D27">
            <v>311753.83999999997</v>
          </cell>
          <cell r="E27">
            <v>398742.61</v>
          </cell>
          <cell r="F27">
            <v>649363.11</v>
          </cell>
          <cell r="G27">
            <v>744000.62999999989</v>
          </cell>
          <cell r="H27">
            <v>523246.82999999996</v>
          </cell>
        </row>
        <row r="28">
          <cell r="C28">
            <v>60190.990000000005</v>
          </cell>
          <cell r="D28">
            <v>171495.04999999993</v>
          </cell>
          <cell r="E28">
            <v>266684.48000000004</v>
          </cell>
          <cell r="F28">
            <v>97935.900000000067</v>
          </cell>
          <cell r="G28">
            <v>152685.31999999995</v>
          </cell>
          <cell r="H28">
            <v>142319.79000000012</v>
          </cell>
        </row>
        <row r="29">
          <cell r="C29">
            <v>55576.239999999991</v>
          </cell>
          <cell r="D29">
            <v>35511.339999999997</v>
          </cell>
          <cell r="E29">
            <v>95051.58</v>
          </cell>
          <cell r="F29">
            <v>14865.35</v>
          </cell>
          <cell r="G29">
            <v>39381.14</v>
          </cell>
          <cell r="H29">
            <v>56098.51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 Matrix @Meter"/>
      <sheetName val="PY1-PY3 Final EM&amp;V"/>
    </sheetNames>
    <sheetDataSet>
      <sheetData sheetId="0">
        <row r="18">
          <cell r="S18">
            <v>3528190.0700000003</v>
          </cell>
          <cell r="T18">
            <v>4826270.37</v>
          </cell>
          <cell r="W18">
            <v>674006.21</v>
          </cell>
          <cell r="X18">
            <v>1713084.19</v>
          </cell>
          <cell r="Y18">
            <v>2024596.5400000003</v>
          </cell>
          <cell r="Z18">
            <v>414583.44999999995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A"/>
    </sheetNames>
    <sheetDataSet>
      <sheetData sheetId="0">
        <row r="8">
          <cell r="D8">
            <v>-4342.5</v>
          </cell>
        </row>
        <row r="9">
          <cell r="D9">
            <v>-4342.51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3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2" max="2" width="25.140625" customWidth="1"/>
    <col min="3" max="3" width="16" bestFit="1" customWidth="1"/>
    <col min="4" max="4" width="15.5703125" customWidth="1"/>
    <col min="5" max="5" width="14.85546875" bestFit="1" customWidth="1"/>
    <col min="6" max="6" width="11.28515625" bestFit="1" customWidth="1"/>
    <col min="7" max="7" width="18.42578125" bestFit="1" customWidth="1"/>
    <col min="8" max="8" width="13.42578125" customWidth="1"/>
    <col min="9" max="9" width="3.5703125" customWidth="1"/>
    <col min="10" max="10" width="13.7109375" bestFit="1" customWidth="1"/>
    <col min="11" max="11" width="12.42578125" bestFit="1" customWidth="1"/>
    <col min="12" max="13" width="13.7109375" bestFit="1" customWidth="1"/>
    <col min="15" max="17" width="16" bestFit="1" customWidth="1"/>
    <col min="19" max="22" width="16" bestFit="1" customWidth="1"/>
    <col min="24" max="27" width="16" bestFit="1" customWidth="1"/>
  </cols>
  <sheetData>
    <row r="1" spans="1:27" x14ac:dyDescent="0.25">
      <c r="A1" s="3" t="str">
        <f>+'PPC Cycle 2'!A1</f>
        <v>Evergy Metro, Inc. - DSIM Rider Update MEEIA 3 filed January 20, 2020</v>
      </c>
    </row>
    <row r="2" spans="1:27" ht="15.75" thickBot="1" x14ac:dyDescent="0.3">
      <c r="H2" s="62"/>
      <c r="I2" s="62"/>
      <c r="J2" s="64"/>
      <c r="K2" s="64"/>
    </row>
    <row r="3" spans="1:27" ht="27.75" thickBot="1" x14ac:dyDescent="0.3">
      <c r="B3" s="108" t="s">
        <v>8</v>
      </c>
      <c r="C3" s="152" t="s">
        <v>22</v>
      </c>
      <c r="D3" s="152" t="s">
        <v>23</v>
      </c>
      <c r="E3" s="152" t="s">
        <v>76</v>
      </c>
      <c r="F3" s="152" t="s">
        <v>24</v>
      </c>
      <c r="G3" s="152" t="s">
        <v>47</v>
      </c>
      <c r="H3" s="110" t="s">
        <v>33</v>
      </c>
      <c r="I3" s="53"/>
      <c r="J3" s="109" t="s">
        <v>15</v>
      </c>
      <c r="K3" s="110" t="s">
        <v>75</v>
      </c>
      <c r="L3" s="110" t="s">
        <v>97</v>
      </c>
      <c r="M3" s="110" t="s">
        <v>98</v>
      </c>
    </row>
    <row r="4" spans="1:27" ht="15.75" thickBot="1" x14ac:dyDescent="0.3">
      <c r="B4" s="111" t="s">
        <v>29</v>
      </c>
      <c r="C4" s="150">
        <f t="shared" ref="C4:F8" si="0">C13+C22</f>
        <v>8127204.4100000011</v>
      </c>
      <c r="D4" s="151">
        <f t="shared" si="0"/>
        <v>5316278.0359199997</v>
      </c>
      <c r="E4" s="151">
        <f t="shared" si="0"/>
        <v>1523002.47474</v>
      </c>
      <c r="F4" s="151">
        <f t="shared" si="0"/>
        <v>0</v>
      </c>
      <c r="G4" s="154">
        <f>'PPC Cycle 2'!B5</f>
        <v>2542026221</v>
      </c>
      <c r="H4" s="155">
        <f>ROUND(SUM(C4:F4)/G4,5)</f>
        <v>5.8900000000000003E-3</v>
      </c>
      <c r="I4" s="156"/>
      <c r="J4" s="223">
        <f>ROUND((C13+C22)/G4,5)</f>
        <v>3.2000000000000002E-3</v>
      </c>
      <c r="K4" s="157">
        <f>ROUND((D13+D22)/G4,5)</f>
        <v>2.0899999999999998E-3</v>
      </c>
      <c r="L4" s="157">
        <f>ROUND((E13+E22)/G4,5)</f>
        <v>5.9999999999999995E-4</v>
      </c>
      <c r="M4" s="157">
        <f>ROUND((F13+F22)/G4,5)</f>
        <v>0</v>
      </c>
    </row>
    <row r="5" spans="1:27" ht="15.75" thickBot="1" x14ac:dyDescent="0.3">
      <c r="B5" s="111" t="s">
        <v>136</v>
      </c>
      <c r="C5" s="150">
        <f t="shared" si="0"/>
        <v>914124.60000000009</v>
      </c>
      <c r="D5" s="151">
        <f t="shared" si="0"/>
        <v>598556.17000000004</v>
      </c>
      <c r="E5" s="151">
        <f t="shared" si="0"/>
        <v>369002.91</v>
      </c>
      <c r="F5" s="151">
        <f t="shared" si="0"/>
        <v>0</v>
      </c>
      <c r="G5" s="154">
        <f>+'PPC Cycle 2'!B10</f>
        <v>421005913</v>
      </c>
      <c r="H5" s="155">
        <f>ROUND(SUM(C5:F5)/G5,5)</f>
        <v>4.47E-3</v>
      </c>
      <c r="I5" s="156"/>
      <c r="J5" s="224">
        <f>ROUND((C14+C23)/G5,5)</f>
        <v>2.1700000000000001E-3</v>
      </c>
      <c r="K5" s="157">
        <f>ROUND((D14+D23)/G5,5)</f>
        <v>1.42E-3</v>
      </c>
      <c r="L5" s="157">
        <f>ROUND((E14+E23)/G5,5)</f>
        <v>8.8000000000000003E-4</v>
      </c>
      <c r="M5" s="157">
        <f>ROUND((F14+F23)/G5,5)</f>
        <v>0</v>
      </c>
    </row>
    <row r="6" spans="1:27" s="62" customFormat="1" ht="15.75" thickBot="1" x14ac:dyDescent="0.3">
      <c r="B6" s="111" t="s">
        <v>137</v>
      </c>
      <c r="C6" s="150">
        <f t="shared" si="0"/>
        <v>2167552.9500000002</v>
      </c>
      <c r="D6" s="151">
        <f t="shared" si="0"/>
        <v>1295827.8199999998</v>
      </c>
      <c r="E6" s="151">
        <f t="shared" si="0"/>
        <v>1092052.3999999999</v>
      </c>
      <c r="F6" s="151">
        <f t="shared" si="0"/>
        <v>0</v>
      </c>
      <c r="G6" s="154">
        <f>+'PPC Cycle 2'!B11</f>
        <v>1187184791</v>
      </c>
      <c r="H6" s="155">
        <f>ROUND(SUM(C6:F6)/G6,5)</f>
        <v>3.8400000000000001E-3</v>
      </c>
      <c r="I6" s="156"/>
      <c r="J6" s="224">
        <f>ROUND((C15+C24)/G6,5)</f>
        <v>1.83E-3</v>
      </c>
      <c r="K6" s="157">
        <f>ROUND((D15+D24)/G6,5)</f>
        <v>1.09E-3</v>
      </c>
      <c r="L6" s="157">
        <f>ROUND((E15+E24)/G6,5)</f>
        <v>9.2000000000000003E-4</v>
      </c>
      <c r="M6" s="157">
        <f>ROUND((F15+F24)/G6,5)</f>
        <v>0</v>
      </c>
    </row>
    <row r="7" spans="1:27" s="62" customFormat="1" ht="15.75" thickBot="1" x14ac:dyDescent="0.3">
      <c r="B7" s="111" t="s">
        <v>138</v>
      </c>
      <c r="C7" s="150">
        <f t="shared" si="0"/>
        <v>3205659.2699999996</v>
      </c>
      <c r="D7" s="151">
        <f t="shared" si="0"/>
        <v>1135493.71</v>
      </c>
      <c r="E7" s="151">
        <f t="shared" si="0"/>
        <v>1194254.77</v>
      </c>
      <c r="F7" s="151">
        <f t="shared" si="0"/>
        <v>0</v>
      </c>
      <c r="G7" s="154">
        <f>+'PPC Cycle 2'!B12</f>
        <v>1892660614</v>
      </c>
      <c r="H7" s="155">
        <f>ROUND(SUM(C7:F7)/G7,5)</f>
        <v>2.9199999999999999E-3</v>
      </c>
      <c r="I7" s="156"/>
      <c r="J7" s="224">
        <f>ROUND((C16+C25)/G7,5)</f>
        <v>1.6900000000000001E-3</v>
      </c>
      <c r="K7" s="157">
        <f>ROUND((D16+D25)/G7,5)</f>
        <v>5.9999999999999995E-4</v>
      </c>
      <c r="L7" s="157">
        <f>ROUND((E16+E25)/G7,5)</f>
        <v>6.3000000000000003E-4</v>
      </c>
      <c r="M7" s="157">
        <f>ROUND((F16+F25)/G7,5)</f>
        <v>0</v>
      </c>
    </row>
    <row r="8" spans="1:27" s="62" customFormat="1" ht="15.75" thickBot="1" x14ac:dyDescent="0.3">
      <c r="B8" s="111" t="s">
        <v>139</v>
      </c>
      <c r="C8" s="150">
        <f t="shared" si="0"/>
        <v>1020541.21</v>
      </c>
      <c r="D8" s="151">
        <f t="shared" si="0"/>
        <v>138524.41</v>
      </c>
      <c r="E8" s="151">
        <f t="shared" si="0"/>
        <v>238080</v>
      </c>
      <c r="F8" s="151">
        <f t="shared" si="0"/>
        <v>0</v>
      </c>
      <c r="G8" s="154">
        <f>+'PPC Cycle 2'!B13</f>
        <v>672759363</v>
      </c>
      <c r="H8" s="155">
        <f>ROUND(SUM(C8:F8)/G8,5)</f>
        <v>2.0799999999999998E-3</v>
      </c>
      <c r="I8" s="156"/>
      <c r="J8" s="224">
        <f>ROUND((C17+C26)/G8,5)</f>
        <v>1.5200000000000001E-3</v>
      </c>
      <c r="K8" s="157">
        <f>ROUND((D17+D26)/G8,5)</f>
        <v>2.1000000000000001E-4</v>
      </c>
      <c r="L8" s="157">
        <f>ROUND((E17+E26)/G8,5)</f>
        <v>3.5E-4</v>
      </c>
      <c r="M8" s="157">
        <f>ROUND((F17+F26)/G8,5)</f>
        <v>0</v>
      </c>
    </row>
    <row r="9" spans="1:27" x14ac:dyDescent="0.25">
      <c r="C9" s="149"/>
      <c r="D9" s="149"/>
      <c r="E9" s="149"/>
      <c r="F9" s="149"/>
      <c r="G9" s="148"/>
    </row>
    <row r="10" spans="1:27" x14ac:dyDescent="0.25">
      <c r="C10" s="149"/>
      <c r="D10" s="149"/>
      <c r="E10" s="149"/>
      <c r="F10" s="149"/>
      <c r="G10" s="148"/>
      <c r="O10" s="3" t="s">
        <v>199</v>
      </c>
      <c r="P10" s="3"/>
      <c r="Q10" s="3"/>
      <c r="R10" s="3"/>
      <c r="S10" s="3"/>
      <c r="T10" s="3"/>
      <c r="U10" s="3"/>
      <c r="V10" s="3"/>
      <c r="W10" s="3"/>
      <c r="X10" s="3"/>
    </row>
    <row r="11" spans="1:27" ht="15.75" thickBot="1" x14ac:dyDescent="0.3">
      <c r="C11" s="149"/>
      <c r="D11" s="149"/>
      <c r="E11" s="149"/>
      <c r="F11" s="149"/>
      <c r="G11" s="148"/>
      <c r="O11" s="3" t="s">
        <v>200</v>
      </c>
      <c r="P11" s="3"/>
      <c r="Q11" s="3"/>
      <c r="R11" s="3"/>
      <c r="S11" s="3" t="s">
        <v>201</v>
      </c>
      <c r="T11" s="3"/>
      <c r="U11" s="3"/>
      <c r="V11" s="3"/>
      <c r="W11" s="3"/>
      <c r="X11" s="3" t="s">
        <v>202</v>
      </c>
    </row>
    <row r="12" spans="1:27" ht="15.75" thickBot="1" x14ac:dyDescent="0.3">
      <c r="B12" s="108" t="s">
        <v>8</v>
      </c>
      <c r="C12" s="153" t="s">
        <v>7</v>
      </c>
      <c r="D12" s="153" t="s">
        <v>19</v>
      </c>
      <c r="E12" s="153" t="s">
        <v>77</v>
      </c>
      <c r="F12" s="153" t="s">
        <v>20</v>
      </c>
      <c r="G12" s="148"/>
      <c r="J12" s="17"/>
      <c r="K12" s="17"/>
      <c r="O12" s="275" t="s">
        <v>177</v>
      </c>
      <c r="P12" s="153" t="s">
        <v>178</v>
      </c>
      <c r="Q12" s="153" t="s">
        <v>179</v>
      </c>
      <c r="R12" s="62"/>
      <c r="S12" s="275" t="s">
        <v>180</v>
      </c>
      <c r="T12" s="153" t="s">
        <v>181</v>
      </c>
      <c r="U12" s="153" t="s">
        <v>182</v>
      </c>
      <c r="V12" s="153" t="s">
        <v>183</v>
      </c>
      <c r="W12" s="62"/>
      <c r="X12" s="275" t="s">
        <v>184</v>
      </c>
      <c r="Y12" s="153" t="s">
        <v>185</v>
      </c>
      <c r="Z12" s="153" t="s">
        <v>186</v>
      </c>
      <c r="AA12" s="153" t="s">
        <v>187</v>
      </c>
    </row>
    <row r="13" spans="1:27" ht="15.75" thickBot="1" x14ac:dyDescent="0.3">
      <c r="B13" s="111" t="s">
        <v>29</v>
      </c>
      <c r="C13" s="151">
        <f>'PPC Cycle 2'!C5+'PPC Cycle 3'!B5</f>
        <v>6343069.0450000009</v>
      </c>
      <c r="D13" s="151">
        <f>'PTD Cycle 2'!C6+'PTD Cycle 3'!C6</f>
        <v>4566404.62</v>
      </c>
      <c r="E13" s="151">
        <f>+'EO Cycle 2'!G8</f>
        <v>1517807.18</v>
      </c>
      <c r="F13" s="150">
        <f>+'OA Cycle 2'!D8</f>
        <v>0</v>
      </c>
      <c r="G13" s="148"/>
      <c r="J13" s="181"/>
      <c r="K13" s="17"/>
      <c r="O13" s="276">
        <v>0</v>
      </c>
      <c r="P13" s="265">
        <v>0</v>
      </c>
      <c r="Q13" s="266">
        <v>0</v>
      </c>
      <c r="R13" s="267"/>
      <c r="S13" s="278">
        <f>ROUND(+'PPC Cycle 2'!C5/'tariff tables'!$G4,5)</f>
        <v>8.0000000000000007E-5</v>
      </c>
      <c r="T13" s="268">
        <f>ROUND(+'PTD Cycle 2'!C6/'tariff tables'!G4,5)</f>
        <v>1.0499999999999999E-3</v>
      </c>
      <c r="U13" s="268">
        <f>ROUND('EO Cycle 2'!G8/'tariff tables'!G4,5)</f>
        <v>5.9999999999999995E-4</v>
      </c>
      <c r="V13" s="268">
        <f>ROUND('OA Cycle 2'!D8/'tariff tables'!G4,5)</f>
        <v>0</v>
      </c>
      <c r="W13" s="62"/>
      <c r="X13" s="278">
        <f>ROUND('PPC Cycle 3'!B5/'tariff tables'!$G4,5)</f>
        <v>2.4199999999999998E-3</v>
      </c>
      <c r="Y13" s="268">
        <f>ROUND('PTD Cycle 3'!C6/'tariff tables'!G4,5)</f>
        <v>7.5000000000000002E-4</v>
      </c>
      <c r="Z13" s="268">
        <f>ROUND(0/'tariff tables'!G4,5)</f>
        <v>0</v>
      </c>
      <c r="AA13" s="268">
        <f>ROUND(0/'tariff tables'!G4,5)</f>
        <v>0</v>
      </c>
    </row>
    <row r="14" spans="1:27" ht="15.75" thickBot="1" x14ac:dyDescent="0.3">
      <c r="B14" s="111" t="s">
        <v>136</v>
      </c>
      <c r="C14" s="151">
        <f>'PPC Cycle 2'!C10+'PPC Cycle 3'!B6</f>
        <v>627429.67000000004</v>
      </c>
      <c r="D14" s="151">
        <f>'PTD Cycle 2'!C10+'PTD Cycle 3'!C7</f>
        <v>594493.42000000004</v>
      </c>
      <c r="E14" s="151">
        <f>+'EO Cycle 2'!G12</f>
        <v>371298.25</v>
      </c>
      <c r="F14" s="150">
        <f>+'OA Cycle 2'!D13</f>
        <v>0</v>
      </c>
      <c r="G14" s="148"/>
      <c r="J14" s="181"/>
      <c r="K14" s="17"/>
      <c r="O14" s="276">
        <v>0</v>
      </c>
      <c r="P14" s="265">
        <v>0</v>
      </c>
      <c r="Q14" s="266">
        <v>0</v>
      </c>
      <c r="R14" s="267"/>
      <c r="S14" s="278">
        <f>ROUND(+'PPC Cycle 2'!C10/'tariff tables'!$G5,5)</f>
        <v>9.0000000000000006E-5</v>
      </c>
      <c r="T14" s="265">
        <f>ROUND(+'PTD Cycle 2'!C10/'tariff tables'!G5,5)</f>
        <v>1.2099999999999999E-3</v>
      </c>
      <c r="U14" s="266">
        <f>ROUND('EO Cycle 2'!G12/'tariff tables'!G5,5)</f>
        <v>8.8000000000000003E-4</v>
      </c>
      <c r="V14" s="265">
        <f>ROUND('OA Cycle 2'!D13/'tariff tables'!G5,5)</f>
        <v>0</v>
      </c>
      <c r="W14" s="62"/>
      <c r="X14" s="278">
        <f>ROUND('PPC Cycle 3'!B6/'tariff tables'!$G5,5)</f>
        <v>1.4E-3</v>
      </c>
      <c r="Y14" s="268">
        <f>ROUND('PTD Cycle 3'!C7/'tariff tables'!G5,5)</f>
        <v>2.0000000000000001E-4</v>
      </c>
      <c r="Z14" s="268">
        <f>ROUND(0/'tariff tables'!G5,5)</f>
        <v>0</v>
      </c>
      <c r="AA14" s="268">
        <f>ROUND(0/'tariff tables'!G5,5)</f>
        <v>0</v>
      </c>
    </row>
    <row r="15" spans="1:27" s="62" customFormat="1" ht="15.75" thickBot="1" x14ac:dyDescent="0.3">
      <c r="B15" s="111" t="s">
        <v>137</v>
      </c>
      <c r="C15" s="151">
        <f>'PPC Cycle 2'!C11+'PPC Cycle 3'!B7</f>
        <v>1450034</v>
      </c>
      <c r="D15" s="151">
        <f>'PTD Cycle 2'!C11+'PTD Cycle 3'!C8</f>
        <v>1285659.8699999999</v>
      </c>
      <c r="E15" s="151">
        <f>+'EO Cycle 2'!G13</f>
        <v>1097797.01</v>
      </c>
      <c r="F15" s="150">
        <f>+'OA Cycle 2'!D14</f>
        <v>0</v>
      </c>
      <c r="G15" s="148"/>
      <c r="J15" s="181"/>
      <c r="K15" s="17"/>
      <c r="O15" s="276">
        <v>0</v>
      </c>
      <c r="P15" s="265">
        <v>0</v>
      </c>
      <c r="Q15" s="266">
        <v>0</v>
      </c>
      <c r="R15" s="267"/>
      <c r="S15" s="278">
        <f>ROUND(+'PPC Cycle 2'!C11/'tariff tables'!$G6,5)</f>
        <v>8.0000000000000007E-5</v>
      </c>
      <c r="T15" s="265">
        <f>ROUND(+'PTD Cycle 2'!C11/'tariff tables'!G6,5)</f>
        <v>9.6000000000000002E-4</v>
      </c>
      <c r="U15" s="266">
        <f>ROUND('EO Cycle 2'!G13/'tariff tables'!G6,5)</f>
        <v>9.2000000000000003E-4</v>
      </c>
      <c r="V15" s="265">
        <f>ROUND('OA Cycle 2'!D14/'tariff tables'!G6,5)</f>
        <v>0</v>
      </c>
      <c r="X15" s="278">
        <f>ROUND('PPC Cycle 3'!B7/'tariff tables'!$G6,5)</f>
        <v>1.14E-3</v>
      </c>
      <c r="Y15" s="268">
        <f>ROUND('PTD Cycle 3'!C8/'tariff tables'!G6,5)</f>
        <v>1.2E-4</v>
      </c>
      <c r="Z15" s="268">
        <f>ROUND(0/'tariff tables'!G6,5)</f>
        <v>0</v>
      </c>
      <c r="AA15" s="268">
        <f>ROUND(0/'tariff tables'!G6,5)</f>
        <v>0</v>
      </c>
    </row>
    <row r="16" spans="1:27" s="62" customFormat="1" ht="15.75" thickBot="1" x14ac:dyDescent="0.3">
      <c r="B16" s="111" t="s">
        <v>138</v>
      </c>
      <c r="C16" s="151">
        <f>'PPC Cycle 2'!C12+'PPC Cycle 3'!B8</f>
        <v>2390370.2199999997</v>
      </c>
      <c r="D16" s="151">
        <f>'PTD Cycle 2'!C12+'PTD Cycle 3'!C9</f>
        <v>1123940.26</v>
      </c>
      <c r="E16" s="151">
        <f>+'EO Cycle 2'!G14</f>
        <v>1200782.1499999999</v>
      </c>
      <c r="F16" s="150">
        <f>+'OA Cycle 2'!D15</f>
        <v>0</v>
      </c>
      <c r="G16" s="148"/>
      <c r="J16" s="181"/>
      <c r="K16" s="17"/>
      <c r="O16" s="276">
        <v>0</v>
      </c>
      <c r="P16" s="265">
        <v>0</v>
      </c>
      <c r="Q16" s="266">
        <v>0</v>
      </c>
      <c r="R16" s="267"/>
      <c r="S16" s="278">
        <f>ROUND(+'PPC Cycle 2'!C12/'tariff tables'!$G7,5)</f>
        <v>6.0000000000000002E-5</v>
      </c>
      <c r="T16" s="265">
        <f>ROUND(+'PTD Cycle 2'!C12/'tariff tables'!G7,5)</f>
        <v>5.1999999999999995E-4</v>
      </c>
      <c r="U16" s="266">
        <f>ROUND('EO Cycle 2'!G14/'tariff tables'!G7,5)</f>
        <v>6.3000000000000003E-4</v>
      </c>
      <c r="V16" s="265">
        <f>ROUND('OA Cycle 2'!D15/'tariff tables'!G7,5)</f>
        <v>0</v>
      </c>
      <c r="X16" s="278">
        <f>ROUND('PPC Cycle 3'!B8/'tariff tables'!$G7,5)</f>
        <v>1.2099999999999999E-3</v>
      </c>
      <c r="Y16" s="268">
        <f>ROUND('PTD Cycle 3'!C9/'tariff tables'!G7,5)</f>
        <v>8.0000000000000007E-5</v>
      </c>
      <c r="Z16" s="268">
        <f>ROUND(0/'tariff tables'!G7,5)</f>
        <v>0</v>
      </c>
      <c r="AA16" s="268">
        <f>ROUND(0/'tariff tables'!G7,5)</f>
        <v>0</v>
      </c>
    </row>
    <row r="17" spans="2:27" s="62" customFormat="1" ht="15.75" thickBot="1" x14ac:dyDescent="0.3">
      <c r="B17" s="111" t="s">
        <v>139</v>
      </c>
      <c r="C17" s="151">
        <f>'PPC Cycle 2'!C13+'PPC Cycle 3'!B9</f>
        <v>830685.9</v>
      </c>
      <c r="D17" s="151">
        <f>'PTD Cycle 2'!C13+'PTD Cycle 3'!C10</f>
        <v>135833.97</v>
      </c>
      <c r="E17" s="151">
        <f>+'EO Cycle 2'!G15</f>
        <v>239600.02</v>
      </c>
      <c r="F17" s="150">
        <f>+'OA Cycle 2'!D16</f>
        <v>0</v>
      </c>
      <c r="G17" s="148"/>
      <c r="J17" s="181"/>
      <c r="K17" s="17"/>
      <c r="O17" s="276">
        <v>0</v>
      </c>
      <c r="P17" s="265">
        <v>0</v>
      </c>
      <c r="Q17" s="266">
        <v>0</v>
      </c>
      <c r="R17" s="267"/>
      <c r="S17" s="278">
        <f>ROUND(+'PPC Cycle 2'!C13/'tariff tables'!$G8,5)</f>
        <v>4.0000000000000003E-5</v>
      </c>
      <c r="T17" s="265">
        <f>ROUND(+'PTD Cycle 2'!C13/'tariff tables'!G8,5)</f>
        <v>1.8000000000000001E-4</v>
      </c>
      <c r="U17" s="269">
        <f>ROUND('EO Cycle 2'!G15/'tariff tables'!G8,5)-0.00001</f>
        <v>3.5E-4</v>
      </c>
      <c r="V17" s="265">
        <f>ROUND('OA Cycle 2'!D16/'tariff tables'!G8,5)</f>
        <v>0</v>
      </c>
      <c r="X17" s="278">
        <f>ROUND('PPC Cycle 3'!B9/'tariff tables'!$G8,5)</f>
        <v>1.1999999999999999E-3</v>
      </c>
      <c r="Y17" s="268">
        <f>ROUND('PTD Cycle 3'!C10/'tariff tables'!G8,5)</f>
        <v>3.0000000000000001E-5</v>
      </c>
      <c r="Z17" s="268">
        <f>ROUND(0/'tariff tables'!G8,5)</f>
        <v>0</v>
      </c>
      <c r="AA17" s="268">
        <f>ROUND(0/'tariff tables'!G8,5)</f>
        <v>0</v>
      </c>
    </row>
    <row r="18" spans="2:27" x14ac:dyDescent="0.25">
      <c r="C18" s="149"/>
      <c r="D18" s="149"/>
      <c r="E18" s="149"/>
      <c r="F18" s="149"/>
      <c r="G18" s="148"/>
      <c r="J18" s="17"/>
      <c r="K18" s="17"/>
      <c r="O18" s="270"/>
      <c r="P18" s="270"/>
      <c r="Q18" s="270"/>
      <c r="R18" s="267"/>
      <c r="S18" s="267"/>
      <c r="T18" s="267"/>
      <c r="U18" s="267"/>
      <c r="V18" s="267"/>
      <c r="W18" s="62"/>
      <c r="X18" s="267"/>
      <c r="Y18" s="267"/>
      <c r="Z18" s="267"/>
      <c r="AA18" s="267"/>
    </row>
    <row r="19" spans="2:27" x14ac:dyDescent="0.25">
      <c r="C19" s="149"/>
      <c r="D19" s="149"/>
      <c r="E19" s="149"/>
      <c r="F19" s="149"/>
      <c r="G19" s="148"/>
      <c r="J19" s="17"/>
      <c r="K19" s="17"/>
      <c r="O19" s="270"/>
      <c r="P19" s="270"/>
      <c r="Q19" s="270"/>
      <c r="R19" s="267"/>
      <c r="S19" s="267"/>
      <c r="T19" s="267"/>
      <c r="U19" s="267"/>
      <c r="V19" s="267"/>
      <c r="W19" s="62"/>
      <c r="X19" s="267"/>
      <c r="Y19" s="267"/>
      <c r="Z19" s="267"/>
      <c r="AA19" s="267"/>
    </row>
    <row r="20" spans="2:27" ht="15.75" thickBot="1" x14ac:dyDescent="0.3">
      <c r="C20" s="149"/>
      <c r="D20" s="149"/>
      <c r="E20" s="149"/>
      <c r="F20" s="149"/>
      <c r="G20" s="148"/>
      <c r="J20" s="17"/>
      <c r="K20" s="17"/>
      <c r="O20" s="270"/>
      <c r="P20" s="270"/>
      <c r="Q20" s="270"/>
      <c r="R20" s="267"/>
      <c r="S20" s="267"/>
      <c r="T20" s="267"/>
      <c r="U20" s="267"/>
      <c r="V20" s="267"/>
      <c r="W20" s="62"/>
      <c r="X20" s="267"/>
      <c r="Y20" s="267"/>
      <c r="Z20" s="267"/>
      <c r="AA20" s="267"/>
    </row>
    <row r="21" spans="2:27" ht="15.75" thickBot="1" x14ac:dyDescent="0.3">
      <c r="B21" s="108" t="s">
        <v>8</v>
      </c>
      <c r="C21" s="153" t="s">
        <v>4</v>
      </c>
      <c r="D21" s="153" t="s">
        <v>10</v>
      </c>
      <c r="E21" s="153" t="s">
        <v>78</v>
      </c>
      <c r="F21" s="153" t="s">
        <v>21</v>
      </c>
      <c r="G21" s="148"/>
      <c r="O21" s="277" t="s">
        <v>188</v>
      </c>
      <c r="P21" s="271" t="s">
        <v>189</v>
      </c>
      <c r="Q21" s="271" t="s">
        <v>190</v>
      </c>
      <c r="R21" s="267"/>
      <c r="S21" s="279" t="s">
        <v>191</v>
      </c>
      <c r="T21" s="272" t="s">
        <v>192</v>
      </c>
      <c r="U21" s="271" t="s">
        <v>193</v>
      </c>
      <c r="V21" s="272" t="s">
        <v>194</v>
      </c>
      <c r="W21" s="62"/>
      <c r="X21" s="279" t="s">
        <v>195</v>
      </c>
      <c r="Y21" s="272" t="s">
        <v>196</v>
      </c>
      <c r="Z21" s="271" t="s">
        <v>197</v>
      </c>
      <c r="AA21" s="272" t="s">
        <v>198</v>
      </c>
    </row>
    <row r="22" spans="2:27" ht="15.75" thickBot="1" x14ac:dyDescent="0.3">
      <c r="B22" s="111" t="s">
        <v>29</v>
      </c>
      <c r="C22" s="151">
        <f>+'PCR Cycle 1'!J4+'PCR Cycle 2'!J4</f>
        <v>1784135.365</v>
      </c>
      <c r="D22" s="151">
        <f>+'TDR Cycle 1'!J4+'TDR Cycle 2'!K4</f>
        <v>749873.41591999936</v>
      </c>
      <c r="E22" s="151">
        <f>+'EOR Cycle 1'!I4</f>
        <v>5195.2947399999721</v>
      </c>
      <c r="F22" s="150">
        <f>+'OAR Cycle 2'!I4</f>
        <v>0</v>
      </c>
      <c r="G22" s="148"/>
      <c r="O22" s="276">
        <f>ROUND(+'PCR Cycle 1'!J4/'tariff tables'!$G4,5)</f>
        <v>0</v>
      </c>
      <c r="P22" s="265">
        <f>ROUND(+'TDR Cycle 1'!J4/'tariff tables'!$G4,5)</f>
        <v>0</v>
      </c>
      <c r="Q22" s="265">
        <f>ROUND('EOR Cycle 1'!I4/'tariff tables'!G4,5)</f>
        <v>0</v>
      </c>
      <c r="R22" s="267"/>
      <c r="S22" s="278">
        <f>ROUND(+'PCR Cycle 2'!J4/'tariff tables'!G4,5)</f>
        <v>6.9999999999999999E-4</v>
      </c>
      <c r="T22" s="273">
        <f>ROUND(+'TDR Cycle 2'!K4/'tariff tables'!G4,5)</f>
        <v>2.9E-4</v>
      </c>
      <c r="U22" s="273">
        <f>ROUND(0/'tariff tables'!H4,5)</f>
        <v>0</v>
      </c>
      <c r="V22" s="273">
        <f>ROUND('OAR Cycle 2'!I4/'tariff tables'!G4,5)</f>
        <v>0</v>
      </c>
      <c r="W22" s="62"/>
      <c r="X22" s="278">
        <f>ROUND(0/'tariff tables'!G4,5)</f>
        <v>0</v>
      </c>
      <c r="Y22" s="273">
        <f>ROUND(0/'tariff tables'!G4,5)</f>
        <v>0</v>
      </c>
      <c r="Z22" s="273">
        <f>ROUND(0/'tariff tables'!G4,5)</f>
        <v>0</v>
      </c>
      <c r="AA22" s="273">
        <f>ROUND(0/'tariff tables'!G4,5)</f>
        <v>0</v>
      </c>
    </row>
    <row r="23" spans="2:27" ht="15.75" thickBot="1" x14ac:dyDescent="0.3">
      <c r="B23" s="111" t="s">
        <v>136</v>
      </c>
      <c r="C23" s="151">
        <f>+'PCR Cycle 1'!J8+'PCR Cycle 2'!J8</f>
        <v>286694.93</v>
      </c>
      <c r="D23" s="151">
        <f>+'TDR Cycle 1'!J8+'TDR Cycle 2'!K8</f>
        <v>4062.75</v>
      </c>
      <c r="E23" s="151">
        <f>+'EOR Cycle 1'!I8</f>
        <v>-2295.34</v>
      </c>
      <c r="F23" s="150">
        <f>+'OAR Cycle 2'!I8</f>
        <v>0</v>
      </c>
      <c r="G23" s="148"/>
      <c r="O23" s="276">
        <f>ROUND(+'PCR Cycle 1'!J8/'tariff tables'!$G5,5)</f>
        <v>0</v>
      </c>
      <c r="P23" s="265">
        <f>ROUND(+'TDR Cycle 1'!J8/'tariff tables'!$G5,5)</f>
        <v>0</v>
      </c>
      <c r="Q23" s="274">
        <f>ROUND('EOR Cycle 1'!I8/'tariff tables'!G5,5)+0.00001</f>
        <v>0</v>
      </c>
      <c r="R23" s="267"/>
      <c r="S23" s="276">
        <f>ROUND(+'PCR Cycle 2'!J8/'tariff tables'!G5,5)</f>
        <v>6.8000000000000005E-4</v>
      </c>
      <c r="T23" s="265">
        <f>ROUND(+'TDR Cycle 2'!K8/'tariff tables'!G5,5)</f>
        <v>1.0000000000000001E-5</v>
      </c>
      <c r="U23" s="273">
        <f>ROUND(0/'tariff tables'!H5,5)</f>
        <v>0</v>
      </c>
      <c r="V23" s="273">
        <f>ROUND('OAR Cycle 2'!I8/'tariff tables'!G5,5)</f>
        <v>0</v>
      </c>
      <c r="W23" s="62"/>
      <c r="X23" s="278">
        <f>ROUND(0/'tariff tables'!G5,5)</f>
        <v>0</v>
      </c>
      <c r="Y23" s="273">
        <f>ROUND(0/'tariff tables'!G5,5)</f>
        <v>0</v>
      </c>
      <c r="Z23" s="273">
        <f>ROUND(0/'tariff tables'!G5,5)</f>
        <v>0</v>
      </c>
      <c r="AA23" s="273">
        <f>ROUND(0/'tariff tables'!G5,5)</f>
        <v>0</v>
      </c>
    </row>
    <row r="24" spans="2:27" s="62" customFormat="1" ht="15.75" thickBot="1" x14ac:dyDescent="0.3">
      <c r="B24" s="111" t="s">
        <v>137</v>
      </c>
      <c r="C24" s="151">
        <f>+'PCR Cycle 1'!J9+'PCR Cycle 2'!J9</f>
        <v>717518.95</v>
      </c>
      <c r="D24" s="151">
        <f>+'TDR Cycle 1'!J9+'TDR Cycle 2'!K9</f>
        <v>10167.950000000001</v>
      </c>
      <c r="E24" s="151">
        <f>+'EOR Cycle 1'!I9</f>
        <v>-5744.61</v>
      </c>
      <c r="F24" s="150">
        <f>+'OAR Cycle 2'!I9</f>
        <v>0</v>
      </c>
      <c r="G24" s="148"/>
      <c r="O24" s="276">
        <f>ROUND(+'PCR Cycle 1'!J9/'tariff tables'!$G6,5)</f>
        <v>0</v>
      </c>
      <c r="P24" s="265">
        <f>ROUND(+'TDR Cycle 1'!J9/'tariff tables'!$G6,5)</f>
        <v>0</v>
      </c>
      <c r="Q24" s="265">
        <f>ROUND('EOR Cycle 1'!I9/'tariff tables'!G6,5)</f>
        <v>0</v>
      </c>
      <c r="R24" s="267"/>
      <c r="S24" s="280">
        <f>ROUND(+'PCR Cycle 2'!J9/'tariff tables'!G6,5)+0.00001</f>
        <v>6.0999999999999997E-4</v>
      </c>
      <c r="T24" s="265">
        <f>ROUND(+'TDR Cycle 2'!K9/'tariff tables'!G6,5)</f>
        <v>1.0000000000000001E-5</v>
      </c>
      <c r="U24" s="273">
        <f>ROUND(0/'tariff tables'!H6,5)</f>
        <v>0</v>
      </c>
      <c r="V24" s="273">
        <f>ROUND('OAR Cycle 2'!I9/'tariff tables'!G6,5)</f>
        <v>0</v>
      </c>
      <c r="X24" s="278">
        <f>ROUND(0/'tariff tables'!G6,5)</f>
        <v>0</v>
      </c>
      <c r="Y24" s="273">
        <f>ROUND(0/'tariff tables'!G6,5)</f>
        <v>0</v>
      </c>
      <c r="Z24" s="273">
        <f>ROUND(0/'tariff tables'!G6,5)</f>
        <v>0</v>
      </c>
      <c r="AA24" s="273">
        <f>ROUND(0/'tariff tables'!G6,5)</f>
        <v>0</v>
      </c>
    </row>
    <row r="25" spans="2:27" s="62" customFormat="1" ht="15.75" thickBot="1" x14ac:dyDescent="0.3">
      <c r="B25" s="111" t="s">
        <v>138</v>
      </c>
      <c r="C25" s="151">
        <f>+'PCR Cycle 1'!J10+'PCR Cycle 2'!J10</f>
        <v>815289.05</v>
      </c>
      <c r="D25" s="151">
        <f>+'TDR Cycle 1'!J10+'TDR Cycle 2'!K10</f>
        <v>11553.45</v>
      </c>
      <c r="E25" s="151">
        <f>+'EOR Cycle 1'!I10</f>
        <v>-6527.38</v>
      </c>
      <c r="F25" s="150">
        <f>+'OAR Cycle 2'!I10</f>
        <v>0</v>
      </c>
      <c r="G25" s="148"/>
      <c r="O25" s="276">
        <f>ROUND(+'PCR Cycle 1'!J10/'tariff tables'!$G7,5)</f>
        <v>0</v>
      </c>
      <c r="P25" s="265">
        <f>ROUND(+'TDR Cycle 1'!J10/'tariff tables'!$G7,5)</f>
        <v>0</v>
      </c>
      <c r="Q25" s="265">
        <f>ROUND('EOR Cycle 1'!I10/'tariff tables'!G7,5)</f>
        <v>0</v>
      </c>
      <c r="R25" s="267"/>
      <c r="S25" s="280">
        <f>ROUND(+'PCR Cycle 2'!J10/'tariff tables'!G7,5)-0.00001</f>
        <v>4.1999999999999996E-4</v>
      </c>
      <c r="T25" s="274">
        <f>ROUND(+'TDR Cycle 2'!K10/'tariff tables'!G7,5)-0.00001</f>
        <v>0</v>
      </c>
      <c r="U25" s="273">
        <f>ROUND(0/'tariff tables'!H7,5)</f>
        <v>0</v>
      </c>
      <c r="V25" s="273">
        <f>ROUND('OAR Cycle 2'!I10/'tariff tables'!G7,5)</f>
        <v>0</v>
      </c>
      <c r="X25" s="278">
        <f>ROUND(0/'tariff tables'!G7,5)</f>
        <v>0</v>
      </c>
      <c r="Y25" s="273">
        <f>ROUND(0/'tariff tables'!G7,5)</f>
        <v>0</v>
      </c>
      <c r="Z25" s="273">
        <f>ROUND(0/'tariff tables'!G7,5)</f>
        <v>0</v>
      </c>
      <c r="AA25" s="273">
        <f>ROUND(0/'tariff tables'!G7,5)</f>
        <v>0</v>
      </c>
    </row>
    <row r="26" spans="2:27" s="62" customFormat="1" ht="15.75" thickBot="1" x14ac:dyDescent="0.3">
      <c r="B26" s="111" t="s">
        <v>139</v>
      </c>
      <c r="C26" s="151">
        <f>+'PCR Cycle 1'!J11+'PCR Cycle 2'!J11</f>
        <v>189855.31</v>
      </c>
      <c r="D26" s="151">
        <f>+'TDR Cycle 1'!J11+'TDR Cycle 2'!K11</f>
        <v>2690.44</v>
      </c>
      <c r="E26" s="151">
        <f>+'EOR Cycle 1'!I11</f>
        <v>-1520.02</v>
      </c>
      <c r="F26" s="150">
        <f>+'OAR Cycle 2'!I11</f>
        <v>0</v>
      </c>
      <c r="G26" s="148"/>
      <c r="O26" s="276">
        <f>ROUND(+'PCR Cycle 1'!J11/'tariff tables'!$G8,5)</f>
        <v>0</v>
      </c>
      <c r="P26" s="265">
        <f>ROUND(+'TDR Cycle 1'!J11/'tariff tables'!$G8,5)</f>
        <v>0</v>
      </c>
      <c r="Q26" s="265">
        <f>ROUND('EOR Cycle 1'!I11/'tariff tables'!G8,5)</f>
        <v>0</v>
      </c>
      <c r="R26" s="267"/>
      <c r="S26" s="276">
        <f>ROUND(+'PCR Cycle 2'!J11/'tariff tables'!G8,5)</f>
        <v>2.7999999999999998E-4</v>
      </c>
      <c r="T26" s="265">
        <f>ROUND(+'TDR Cycle 2'!K11/'tariff tables'!G8,5)</f>
        <v>0</v>
      </c>
      <c r="U26" s="273">
        <f>ROUND(0/'tariff tables'!H8,5)</f>
        <v>0</v>
      </c>
      <c r="V26" s="273">
        <f>ROUND('OAR Cycle 2'!I11/'tariff tables'!G8,5)</f>
        <v>0</v>
      </c>
      <c r="X26" s="278">
        <f>ROUND(0/'tariff tables'!G8,5)</f>
        <v>0</v>
      </c>
      <c r="Y26" s="273">
        <f>ROUND(0/'tariff tables'!G8,5)</f>
        <v>0</v>
      </c>
      <c r="Z26" s="273">
        <f>ROUND(0/'tariff tables'!G8,5)</f>
        <v>0</v>
      </c>
      <c r="AA26" s="273">
        <f>ROUND(0/'tariff tables'!G8,5)</f>
        <v>0</v>
      </c>
    </row>
    <row r="28" spans="2:27" x14ac:dyDescent="0.25">
      <c r="B28" s="115" t="s">
        <v>48</v>
      </c>
    </row>
    <row r="29" spans="2:27" x14ac:dyDescent="0.25">
      <c r="B29" s="116" t="s">
        <v>49</v>
      </c>
    </row>
    <row r="30" spans="2:27" x14ac:dyDescent="0.25">
      <c r="B30" s="116" t="s">
        <v>59</v>
      </c>
    </row>
    <row r="31" spans="2:27" x14ac:dyDescent="0.25">
      <c r="B31" s="116" t="s">
        <v>50</v>
      </c>
    </row>
    <row r="32" spans="2:27" x14ac:dyDescent="0.25">
      <c r="B32" s="116" t="s">
        <v>51</v>
      </c>
    </row>
    <row r="33" spans="2:2" x14ac:dyDescent="0.25">
      <c r="B33" s="116" t="s">
        <v>52</v>
      </c>
    </row>
    <row r="34" spans="2:2" x14ac:dyDescent="0.25">
      <c r="B34" s="116" t="s">
        <v>53</v>
      </c>
    </row>
    <row r="35" spans="2:2" x14ac:dyDescent="0.25">
      <c r="B35" s="116" t="s">
        <v>64</v>
      </c>
    </row>
    <row r="36" spans="2:2" x14ac:dyDescent="0.25">
      <c r="B36" s="116" t="s">
        <v>54</v>
      </c>
    </row>
    <row r="37" spans="2:2" x14ac:dyDescent="0.25">
      <c r="B37" s="116" t="s">
        <v>72</v>
      </c>
    </row>
    <row r="38" spans="2:2" x14ac:dyDescent="0.25">
      <c r="B38" s="116" t="s">
        <v>74</v>
      </c>
    </row>
    <row r="39" spans="2:2" x14ac:dyDescent="0.25">
      <c r="B39" s="116" t="s">
        <v>73</v>
      </c>
    </row>
    <row r="40" spans="2:2" x14ac:dyDescent="0.25">
      <c r="B40" s="116" t="s">
        <v>55</v>
      </c>
    </row>
    <row r="41" spans="2:2" x14ac:dyDescent="0.25">
      <c r="B41" s="116" t="s">
        <v>56</v>
      </c>
    </row>
    <row r="42" spans="2:2" x14ac:dyDescent="0.25">
      <c r="B42" s="116" t="s">
        <v>57</v>
      </c>
    </row>
    <row r="43" spans="2:2" x14ac:dyDescent="0.25">
      <c r="B43" s="116" t="s">
        <v>58</v>
      </c>
    </row>
  </sheetData>
  <pageMargins left="0.2" right="0.2" top="0.75" bottom="0.25" header="0.3" footer="0.3"/>
  <pageSetup scale="43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7"/>
  <sheetViews>
    <sheetView workbookViewId="0"/>
  </sheetViews>
  <sheetFormatPr defaultRowHeight="15" x14ac:dyDescent="0.25"/>
  <cols>
    <col min="1" max="1" width="22.42578125" customWidth="1"/>
    <col min="2" max="2" width="15.28515625" bestFit="1" customWidth="1"/>
    <col min="3" max="3" width="14.28515625" style="62" customWidth="1"/>
    <col min="4" max="4" width="13.28515625" bestFit="1" customWidth="1"/>
    <col min="6" max="6" width="11.5703125" bestFit="1" customWidth="1"/>
    <col min="7" max="7" width="13.140625" customWidth="1"/>
  </cols>
  <sheetData>
    <row r="1" spans="1:7" x14ac:dyDescent="0.25">
      <c r="A1" s="79" t="str">
        <f>+'PPC Cycle 2'!A1</f>
        <v>Evergy Metro, Inc. - DSIM Rider Update MEEIA 3 filed January 20, 2020</v>
      </c>
      <c r="B1" s="62"/>
      <c r="D1" s="62"/>
      <c r="E1" s="62"/>
    </row>
    <row r="2" spans="1:7" x14ac:dyDescent="0.25">
      <c r="A2" s="9" t="str">
        <f>+'PPC Cycle 2'!A2</f>
        <v>Projections for Cycle 2 January 2020 - December 2020 DSIM</v>
      </c>
      <c r="B2" s="62"/>
      <c r="D2" s="62"/>
      <c r="E2" s="62"/>
    </row>
    <row r="3" spans="1:7" ht="45.75" customHeight="1" x14ac:dyDescent="0.25">
      <c r="A3" s="62"/>
      <c r="B3" s="281" t="s">
        <v>126</v>
      </c>
      <c r="C3" s="281"/>
      <c r="D3" s="281"/>
      <c r="E3" s="62"/>
    </row>
    <row r="4" spans="1:7" ht="90" x14ac:dyDescent="0.25">
      <c r="A4" s="62"/>
      <c r="B4" s="86" t="s">
        <v>128</v>
      </c>
      <c r="C4" s="86" t="s">
        <v>129</v>
      </c>
      <c r="D4" s="86" t="s">
        <v>131</v>
      </c>
      <c r="E4" s="86" t="s">
        <v>130</v>
      </c>
      <c r="F4" s="86" t="s">
        <v>127</v>
      </c>
      <c r="G4" s="86" t="s">
        <v>132</v>
      </c>
    </row>
    <row r="5" spans="1:7" s="62" customFormat="1" x14ac:dyDescent="0.25">
      <c r="A5" s="22"/>
      <c r="B5" s="86"/>
      <c r="C5" s="86"/>
      <c r="D5" s="180"/>
    </row>
    <row r="6" spans="1:7" s="62" customFormat="1" x14ac:dyDescent="0.25">
      <c r="A6" s="22"/>
      <c r="B6" s="86"/>
      <c r="C6" s="86"/>
      <c r="D6" s="179"/>
    </row>
    <row r="7" spans="1:7" s="62" customFormat="1" x14ac:dyDescent="0.25">
      <c r="A7" s="22"/>
      <c r="B7" s="86"/>
      <c r="C7" s="86"/>
      <c r="D7" s="179"/>
    </row>
    <row r="8" spans="1:7" s="62" customFormat="1" x14ac:dyDescent="0.25">
      <c r="A8" s="22" t="s">
        <v>29</v>
      </c>
      <c r="B8" s="36">
        <f>+'[8]EO Matrix @Meter'!$S$18</f>
        <v>3528190.0700000003</v>
      </c>
      <c r="C8" s="36">
        <f>+'[3]TD EO Ex Post Gross Adj'!$DD$363</f>
        <v>-1041427.6034010575</v>
      </c>
      <c r="D8" s="36">
        <f>+'[3]TD EO NTG Adj'!$DD$370</f>
        <v>537465.77340105735</v>
      </c>
      <c r="E8" s="36">
        <f>+'[3]EO TD Carrying Costs'!$AN$48</f>
        <v>11386.110000000004</v>
      </c>
      <c r="F8" s="255">
        <f>SUM(B8:E8)</f>
        <v>3035614.35</v>
      </c>
      <c r="G8" s="255">
        <f>ROUND(F8/4*2,2)</f>
        <v>1517807.18</v>
      </c>
    </row>
    <row r="9" spans="1:7" s="62" customFormat="1" x14ac:dyDescent="0.25">
      <c r="A9" s="22" t="s">
        <v>30</v>
      </c>
      <c r="B9" s="254">
        <f>+'[8]EO Matrix @Meter'!$T$18</f>
        <v>4826270.37</v>
      </c>
      <c r="C9" s="254">
        <f>SUM('[3]TD EO Ex Post Gross Adj'!$DD$364:$DD$367)</f>
        <v>288583.98</v>
      </c>
      <c r="D9" s="254">
        <f>SUM('[3]TD EO NTG Adj'!$DD$371:$DD$374)</f>
        <v>662688.41</v>
      </c>
      <c r="E9" s="254">
        <f>SUM('[3]EO TD Carrying Costs'!$AN$49:$AN$52)</f>
        <v>41412.07</v>
      </c>
      <c r="F9" s="255">
        <f>SUM(B9:E9)</f>
        <v>5818954.8300000001</v>
      </c>
      <c r="G9" s="255">
        <f>ROUND(F9/4*2,2)</f>
        <v>2909477.42</v>
      </c>
    </row>
    <row r="10" spans="1:7" s="62" customFormat="1" x14ac:dyDescent="0.25">
      <c r="A10" s="22" t="s">
        <v>6</v>
      </c>
      <c r="B10" s="255">
        <f t="shared" ref="B10:G10" si="0">SUM(B8:B9)</f>
        <v>8354460.4400000004</v>
      </c>
      <c r="C10" s="255">
        <f t="shared" si="0"/>
        <v>-752843.62340105756</v>
      </c>
      <c r="D10" s="255">
        <f t="shared" si="0"/>
        <v>1200154.1834010575</v>
      </c>
      <c r="E10" s="255">
        <f t="shared" si="0"/>
        <v>52798.180000000008</v>
      </c>
      <c r="F10" s="255">
        <f t="shared" si="0"/>
        <v>8854569.1799999997</v>
      </c>
      <c r="G10" s="255">
        <f t="shared" si="0"/>
        <v>4427284.5999999996</v>
      </c>
    </row>
    <row r="11" spans="1:7" s="62" customFormat="1" x14ac:dyDescent="0.25">
      <c r="B11" s="252"/>
      <c r="C11" s="252"/>
      <c r="D11" s="253"/>
    </row>
    <row r="12" spans="1:7" x14ac:dyDescent="0.25">
      <c r="A12" s="22" t="s">
        <v>136</v>
      </c>
      <c r="B12" s="36">
        <f>+'[8]EO Matrix @Meter'!$W$18</f>
        <v>674006.21</v>
      </c>
      <c r="C12" s="36">
        <f>SUM('[3]TD EO Ex Post Gross Adj'!DD364)</f>
        <v>-37272.289999999964</v>
      </c>
      <c r="D12" s="36">
        <f>SUM('[3]TD EO NTG Adj'!DD371)</f>
        <v>101225.01999999996</v>
      </c>
      <c r="E12" s="254">
        <f>SUM('[3]EO TD Carrying Costs'!AN49)</f>
        <v>4637.5600000000004</v>
      </c>
      <c r="F12" s="255">
        <f t="shared" ref="F12:F15" si="1">SUM(B12:E12)</f>
        <v>742596.5</v>
      </c>
      <c r="G12" s="255">
        <f t="shared" ref="G12:G15" si="2">ROUND(F12/4*2,2)</f>
        <v>371298.25</v>
      </c>
    </row>
    <row r="13" spans="1:7" x14ac:dyDescent="0.25">
      <c r="A13" s="22" t="s">
        <v>137</v>
      </c>
      <c r="B13" s="254">
        <f>+'[8]EO Matrix @Meter'!$X$18</f>
        <v>1713084.19</v>
      </c>
      <c r="C13" s="254">
        <f>SUM('[3]TD EO Ex Post Gross Adj'!DD365)</f>
        <v>122147.32999999997</v>
      </c>
      <c r="D13" s="254">
        <f>SUM('[3]TD EO NTG Adj'!DD372)</f>
        <v>340699.47000000009</v>
      </c>
      <c r="E13" s="254">
        <f>SUM('[3]EO TD Carrying Costs'!AN50)</f>
        <v>19663.030000000002</v>
      </c>
      <c r="F13" s="255">
        <f t="shared" si="1"/>
        <v>2195594.02</v>
      </c>
      <c r="G13" s="255">
        <f t="shared" si="2"/>
        <v>1097797.01</v>
      </c>
    </row>
    <row r="14" spans="1:7" x14ac:dyDescent="0.25">
      <c r="A14" s="22" t="s">
        <v>138</v>
      </c>
      <c r="B14" s="36">
        <f>+'[8]EO Matrix @Meter'!$Y$18</f>
        <v>2024596.5400000003</v>
      </c>
      <c r="C14" s="36">
        <f>SUM('[3]TD EO Ex Post Gross Adj'!DD366)</f>
        <v>169641.44</v>
      </c>
      <c r="D14" s="36">
        <f>SUM('[3]TD EO NTG Adj'!DD373)</f>
        <v>191871.41999999998</v>
      </c>
      <c r="E14" s="36">
        <f>SUM('[3]EO TD Carrying Costs'!AN51)</f>
        <v>15454.890000000001</v>
      </c>
      <c r="F14" s="255">
        <f t="shared" si="1"/>
        <v>2401564.2900000005</v>
      </c>
      <c r="G14" s="255">
        <f t="shared" si="2"/>
        <v>1200782.1499999999</v>
      </c>
    </row>
    <row r="15" spans="1:7" x14ac:dyDescent="0.25">
      <c r="A15" s="22" t="s">
        <v>139</v>
      </c>
      <c r="B15" s="254">
        <f>+'[8]EO Matrix @Meter'!$Z$18</f>
        <v>414583.44999999995</v>
      </c>
      <c r="C15" s="254">
        <f>SUM('[3]TD EO Ex Post Gross Adj'!DD367)</f>
        <v>34067.5</v>
      </c>
      <c r="D15" s="254">
        <f>SUM('[3]TD EO NTG Adj'!DD374)</f>
        <v>28892.499999999993</v>
      </c>
      <c r="E15" s="254">
        <f>SUM('[3]EO TD Carrying Costs'!AN52)</f>
        <v>1656.59</v>
      </c>
      <c r="F15" s="255">
        <f t="shared" si="1"/>
        <v>479200.04</v>
      </c>
      <c r="G15" s="255">
        <f t="shared" si="2"/>
        <v>239600.02</v>
      </c>
    </row>
    <row r="16" spans="1:7" x14ac:dyDescent="0.25">
      <c r="A16" s="43" t="s">
        <v>143</v>
      </c>
      <c r="B16" s="255">
        <f>SUM(B12:B15)</f>
        <v>4826270.3900000006</v>
      </c>
      <c r="C16" s="255">
        <f>SUM(C12:C15)</f>
        <v>288583.98</v>
      </c>
      <c r="D16" s="255">
        <f t="shared" ref="D16:G16" si="3">SUM(D12:D15)</f>
        <v>662688.41</v>
      </c>
      <c r="E16" s="255">
        <f t="shared" si="3"/>
        <v>41412.07</v>
      </c>
      <c r="F16" s="255">
        <f t="shared" si="3"/>
        <v>5818954.8500000006</v>
      </c>
      <c r="G16" s="255">
        <f t="shared" si="3"/>
        <v>2909477.43</v>
      </c>
    </row>
    <row r="17" spans="1:5" x14ac:dyDescent="0.25">
      <c r="A17" s="62"/>
      <c r="B17" s="62"/>
      <c r="D17" s="62"/>
      <c r="E17" s="4"/>
    </row>
    <row r="18" spans="1:5" x14ac:dyDescent="0.25">
      <c r="A18" s="62"/>
      <c r="B18" s="62"/>
      <c r="D18" s="62"/>
      <c r="E18" s="62"/>
    </row>
    <row r="19" spans="1:5" x14ac:dyDescent="0.25">
      <c r="A19" s="62"/>
      <c r="B19" s="62"/>
      <c r="D19" s="62"/>
      <c r="E19" s="62"/>
    </row>
    <row r="20" spans="1:5" x14ac:dyDescent="0.25">
      <c r="A20" s="62"/>
      <c r="B20" s="62"/>
      <c r="D20" s="62"/>
      <c r="E20" s="62"/>
    </row>
    <row r="21" spans="1:5" x14ac:dyDescent="0.25">
      <c r="A21" s="69" t="s">
        <v>13</v>
      </c>
      <c r="B21" s="62"/>
      <c r="D21" s="62"/>
      <c r="E21" s="62"/>
    </row>
    <row r="22" spans="1:5" x14ac:dyDescent="0.25">
      <c r="A22" s="3" t="s">
        <v>169</v>
      </c>
      <c r="B22" s="62"/>
      <c r="D22" s="62"/>
      <c r="E22" s="62"/>
    </row>
    <row r="23" spans="1:5" s="62" customFormat="1" x14ac:dyDescent="0.25">
      <c r="A23" s="3" t="s">
        <v>170</v>
      </c>
    </row>
    <row r="24" spans="1:5" s="62" customFormat="1" x14ac:dyDescent="0.25">
      <c r="A24" s="3" t="s">
        <v>171</v>
      </c>
    </row>
    <row r="25" spans="1:5" x14ac:dyDescent="0.25">
      <c r="A25" s="3" t="s">
        <v>172</v>
      </c>
      <c r="B25" s="62"/>
      <c r="D25" s="62"/>
      <c r="E25" s="62"/>
    </row>
    <row r="26" spans="1:5" s="62" customFormat="1" x14ac:dyDescent="0.25">
      <c r="A26" s="3" t="s">
        <v>133</v>
      </c>
    </row>
    <row r="27" spans="1:5" x14ac:dyDescent="0.25">
      <c r="A27" s="3" t="s">
        <v>168</v>
      </c>
    </row>
  </sheetData>
  <mergeCells count="1">
    <mergeCell ref="B3:D3"/>
  </mergeCells>
  <pageMargins left="0.2" right="0.2" top="0.75" bottom="0.25" header="0.3" footer="0.3"/>
  <pageSetup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54"/>
  <sheetViews>
    <sheetView workbookViewId="0"/>
  </sheetViews>
  <sheetFormatPr defaultRowHeight="15" x14ac:dyDescent="0.25"/>
  <cols>
    <col min="1" max="1" width="37.7109375" style="62" customWidth="1"/>
    <col min="2" max="2" width="12.28515625" style="62" bestFit="1" customWidth="1"/>
    <col min="3" max="3" width="12.42578125" style="62" bestFit="1" customWidth="1"/>
    <col min="4" max="4" width="15.42578125" style="62" customWidth="1"/>
    <col min="5" max="5" width="15.85546875" style="62" bestFit="1" customWidth="1"/>
    <col min="6" max="6" width="12.28515625" style="62" bestFit="1" customWidth="1"/>
    <col min="7" max="8" width="13.28515625" style="62" bestFit="1" customWidth="1"/>
    <col min="9" max="9" width="12.28515625" style="62" bestFit="1" customWidth="1"/>
    <col min="10" max="10" width="12.5703125" style="62" customWidth="1"/>
    <col min="11" max="11" width="12.85546875" style="62" customWidth="1"/>
    <col min="12" max="12" width="16" style="62" customWidth="1"/>
    <col min="13" max="13" width="15" style="62" bestFit="1" customWidth="1"/>
    <col min="14" max="14" width="16" style="62" bestFit="1" customWidth="1"/>
    <col min="15" max="15" width="15.28515625" style="62" bestFit="1" customWidth="1"/>
    <col min="16" max="16" width="17.42578125" style="62" bestFit="1" customWidth="1"/>
    <col min="17" max="17" width="16.28515625" style="62" bestFit="1" customWidth="1"/>
    <col min="18" max="18" width="15.28515625" style="62" bestFit="1" customWidth="1"/>
    <col min="19" max="19" width="12.42578125" style="62" customWidth="1"/>
    <col min="20" max="21" width="14.28515625" style="62" bestFit="1" customWidth="1"/>
    <col min="22" max="16384" width="9.140625" style="62"/>
  </cols>
  <sheetData>
    <row r="1" spans="1:34" x14ac:dyDescent="0.25">
      <c r="A1" s="3" t="str">
        <f>+'PPC Cycle 2'!A1</f>
        <v>Evergy Metro, Inc. - DSIM Rider Update MEEIA 3 filed January 20, 2020</v>
      </c>
      <c r="B1" s="3"/>
      <c r="C1" s="3"/>
    </row>
    <row r="2" spans="1:34" x14ac:dyDescent="0.25">
      <c r="D2" s="3" t="s">
        <v>101</v>
      </c>
    </row>
    <row r="3" spans="1:34" ht="30" x14ac:dyDescent="0.25">
      <c r="D3" s="64" t="s">
        <v>62</v>
      </c>
      <c r="E3" s="86" t="s">
        <v>77</v>
      </c>
      <c r="F3" s="64" t="s">
        <v>3</v>
      </c>
      <c r="G3" s="86" t="s">
        <v>71</v>
      </c>
      <c r="H3" s="64" t="s">
        <v>11</v>
      </c>
      <c r="I3" s="64" t="s">
        <v>78</v>
      </c>
      <c r="R3" s="64"/>
    </row>
    <row r="4" spans="1:34" x14ac:dyDescent="0.25">
      <c r="A4" s="22" t="s">
        <v>29</v>
      </c>
      <c r="B4" s="22"/>
      <c r="C4" s="22"/>
      <c r="D4" s="24">
        <f>SUM(C19:L19)</f>
        <v>-20105.599329999997</v>
      </c>
      <c r="E4" s="24">
        <f>SUM(C23:K23)</f>
        <v>0</v>
      </c>
      <c r="F4" s="24">
        <f>E4-D4</f>
        <v>20105.599329999997</v>
      </c>
      <c r="G4" s="24">
        <f>+B33</f>
        <v>-14821.554590000025</v>
      </c>
      <c r="H4" s="24">
        <f>SUM(C38:K38)</f>
        <v>-88.75</v>
      </c>
      <c r="I4" s="36">
        <f>SUM(F4:H4)</f>
        <v>5195.2947399999721</v>
      </c>
      <c r="J4" s="63">
        <f>+I4-L33</f>
        <v>0</v>
      </c>
      <c r="M4" s="63"/>
    </row>
    <row r="5" spans="1:34" ht="15.75" thickBot="1" x14ac:dyDescent="0.3">
      <c r="A5" s="22" t="s">
        <v>30</v>
      </c>
      <c r="B5" s="22"/>
      <c r="C5" s="22"/>
      <c r="D5" s="24">
        <f>SUM(C20:L20)</f>
        <v>11746.090080000005</v>
      </c>
      <c r="E5" s="24">
        <f>SUM(C24:K24)</f>
        <v>0</v>
      </c>
      <c r="F5" s="24">
        <f>E5-D5</f>
        <v>-11746.090080000005</v>
      </c>
      <c r="G5" s="24">
        <f>+B34</f>
        <v>-4214.4099200002138</v>
      </c>
      <c r="H5" s="24">
        <f>SUM(C39:K39)</f>
        <v>-126.84999999999998</v>
      </c>
      <c r="I5" s="36">
        <f>SUM(F5:H5)</f>
        <v>-16087.350000000219</v>
      </c>
      <c r="J5" s="63">
        <f>+I5-L34</f>
        <v>0</v>
      </c>
      <c r="M5" s="63"/>
    </row>
    <row r="6" spans="1:34" ht="16.5" thickTop="1" thickBot="1" x14ac:dyDescent="0.3">
      <c r="D6" s="40">
        <f t="shared" ref="D6" si="0">SUM(D4:D5)</f>
        <v>-8359.5092499999919</v>
      </c>
      <c r="E6" s="40">
        <f>SUM(E4:E5)</f>
        <v>0</v>
      </c>
      <c r="F6" s="40">
        <f>SUM(F4:F5)</f>
        <v>8359.5092499999919</v>
      </c>
      <c r="G6" s="40">
        <f>SUM(G4:G5)</f>
        <v>-19035.964510000238</v>
      </c>
      <c r="H6" s="40">
        <f>SUM(H4:H5)</f>
        <v>-215.59999999999997</v>
      </c>
      <c r="I6" s="40">
        <f>SUM(I4:I5)</f>
        <v>-10892.055260000247</v>
      </c>
      <c r="S6" s="5"/>
    </row>
    <row r="7" spans="1:34" ht="45.75" thickTop="1" x14ac:dyDescent="0.25">
      <c r="I7" s="259"/>
      <c r="J7" s="258" t="s">
        <v>152</v>
      </c>
    </row>
    <row r="8" spans="1:34" ht="17.25" customHeight="1" x14ac:dyDescent="0.25">
      <c r="A8" s="22" t="s">
        <v>136</v>
      </c>
      <c r="I8" s="36">
        <f>ROUND($I$5*J8,2)</f>
        <v>-2295.34</v>
      </c>
      <c r="J8" s="256">
        <f>+'[3]Monthly TD Calc'!$CY$44</f>
        <v>0.14267984863071587</v>
      </c>
    </row>
    <row r="9" spans="1:34" ht="17.25" customHeight="1" x14ac:dyDescent="0.25">
      <c r="A9" s="22" t="s">
        <v>137</v>
      </c>
      <c r="I9" s="36">
        <f t="shared" ref="I9:I11" si="1">ROUND($I$5*J9,2)</f>
        <v>-5744.61</v>
      </c>
      <c r="J9" s="256">
        <f>+'[3]Monthly TD Calc'!$CZ$44</f>
        <v>0.35708861589367091</v>
      </c>
    </row>
    <row r="10" spans="1:34" ht="17.25" customHeight="1" x14ac:dyDescent="0.25">
      <c r="A10" s="22" t="s">
        <v>138</v>
      </c>
      <c r="I10" s="36">
        <f t="shared" si="1"/>
        <v>-6527.38</v>
      </c>
      <c r="J10" s="256">
        <f>+'[3]Monthly TD Calc'!$DA$44</f>
        <v>0.40574599013503615</v>
      </c>
    </row>
    <row r="11" spans="1:34" ht="17.25" customHeight="1" thickBot="1" x14ac:dyDescent="0.3">
      <c r="A11" s="22" t="s">
        <v>139</v>
      </c>
      <c r="I11" s="36">
        <f t="shared" si="1"/>
        <v>-1520.02</v>
      </c>
      <c r="J11" s="256">
        <f>+'[3]Monthly TD Calc'!$DB$44</f>
        <v>9.4485545340576932E-2</v>
      </c>
    </row>
    <row r="12" spans="1:34" ht="17.25" customHeight="1" thickTop="1" thickBot="1" x14ac:dyDescent="0.3">
      <c r="A12" s="22" t="s">
        <v>143</v>
      </c>
      <c r="I12" s="40">
        <f>SUM(I8:I11)</f>
        <v>-16087.35</v>
      </c>
      <c r="J12" s="257">
        <f>SUM(J8:J11)</f>
        <v>0.99999999999999989</v>
      </c>
    </row>
    <row r="13" spans="1:34" ht="16.5" thickTop="1" thickBot="1" x14ac:dyDescent="0.3">
      <c r="U13" s="4"/>
      <c r="V13" s="5"/>
    </row>
    <row r="14" spans="1:34" ht="90.75" thickBot="1" x14ac:dyDescent="0.3">
      <c r="B14" s="140" t="str">
        <f>+'PCR Cycle 1'!B14</f>
        <v>Cumulative Over/Under Carryover From 06/01/2019 Filing</v>
      </c>
      <c r="C14" s="178" t="str">
        <f>+'PCR Cycle 1'!C14</f>
        <v>Reverse May-19 - October-19  Forecast From 06/01/2019 Filing</v>
      </c>
      <c r="D14" s="288" t="s">
        <v>39</v>
      </c>
      <c r="E14" s="288"/>
      <c r="F14" s="289"/>
      <c r="G14" s="294" t="s">
        <v>39</v>
      </c>
      <c r="H14" s="295"/>
      <c r="I14" s="296"/>
      <c r="J14" s="290" t="s">
        <v>9</v>
      </c>
      <c r="K14" s="291"/>
      <c r="L14" s="292"/>
    </row>
    <row r="15" spans="1:34" x14ac:dyDescent="0.25">
      <c r="A15" s="62" t="s">
        <v>102</v>
      </c>
      <c r="C15" s="127"/>
      <c r="D15" s="20">
        <f>+'PCR Cycle 1'!D15</f>
        <v>43616</v>
      </c>
      <c r="E15" s="20">
        <f t="shared" ref="E15:L15" si="2">EOMONTH(D15,1)</f>
        <v>43646</v>
      </c>
      <c r="F15" s="20">
        <f t="shared" si="2"/>
        <v>43677</v>
      </c>
      <c r="G15" s="14">
        <f t="shared" si="2"/>
        <v>43708</v>
      </c>
      <c r="H15" s="20">
        <f t="shared" si="2"/>
        <v>43738</v>
      </c>
      <c r="I15" s="15">
        <f t="shared" si="2"/>
        <v>43769</v>
      </c>
      <c r="J15" s="20">
        <f t="shared" si="2"/>
        <v>43799</v>
      </c>
      <c r="K15" s="20">
        <f t="shared" si="2"/>
        <v>43830</v>
      </c>
      <c r="L15" s="15">
        <f t="shared" si="2"/>
        <v>43861</v>
      </c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5">
      <c r="A16" s="62" t="s">
        <v>6</v>
      </c>
      <c r="C16" s="119">
        <v>0</v>
      </c>
      <c r="D16" s="131">
        <f t="shared" ref="D16:H16" si="3">SUM(D23:D24)</f>
        <v>0</v>
      </c>
      <c r="E16" s="131">
        <f t="shared" si="3"/>
        <v>0</v>
      </c>
      <c r="F16" s="132">
        <f t="shared" si="3"/>
        <v>0</v>
      </c>
      <c r="G16" s="16">
        <f t="shared" si="3"/>
        <v>0</v>
      </c>
      <c r="H16" s="71">
        <f t="shared" si="3"/>
        <v>0</v>
      </c>
      <c r="I16" s="191">
        <f>+I23+I24</f>
        <v>0</v>
      </c>
      <c r="J16" s="184">
        <f t="shared" ref="J16:K16" si="4">+J23+J24</f>
        <v>0</v>
      </c>
      <c r="K16" s="96">
        <f t="shared" si="4"/>
        <v>0</v>
      </c>
      <c r="L16" s="97"/>
    </row>
    <row r="17" spans="1:14" x14ac:dyDescent="0.25">
      <c r="C17" s="121"/>
      <c r="D17" s="17"/>
      <c r="E17" s="17"/>
      <c r="F17" s="17"/>
      <c r="G17" s="10"/>
      <c r="H17" s="17"/>
      <c r="I17" s="11"/>
      <c r="J17" s="44"/>
      <c r="K17" s="44"/>
      <c r="L17" s="42"/>
    </row>
    <row r="18" spans="1:14" x14ac:dyDescent="0.25">
      <c r="A18" s="62" t="s">
        <v>103</v>
      </c>
      <c r="C18" s="121"/>
      <c r="D18" s="18"/>
      <c r="E18" s="18"/>
      <c r="F18" s="18"/>
      <c r="G18" s="113"/>
      <c r="H18" s="18"/>
      <c r="I18" s="192"/>
      <c r="J18" s="44"/>
      <c r="K18" s="44"/>
      <c r="L18" s="42"/>
      <c r="M18" s="3" t="s">
        <v>66</v>
      </c>
      <c r="N18" s="53"/>
    </row>
    <row r="19" spans="1:14" x14ac:dyDescent="0.25">
      <c r="A19" s="62" t="s">
        <v>29</v>
      </c>
      <c r="C19" s="119">
        <v>43307.975409999999</v>
      </c>
      <c r="D19" s="158">
        <f>ROUND('[5]May 2019 Combined'!$F$24,2)</f>
        <v>-9900.24</v>
      </c>
      <c r="E19" s="158">
        <f>ROUND('[5]June 2019 Combined'!$F$24,2)</f>
        <v>-13371.25</v>
      </c>
      <c r="F19" s="158">
        <f>ROUND('[5]July 2019 Combined'!$F$24,2)</f>
        <v>-19184.37</v>
      </c>
      <c r="G19" s="213">
        <f>ROUND('[5]August 2019 Combined'!$F$24,2)</f>
        <v>-12540.78</v>
      </c>
      <c r="H19" s="143">
        <f>ROUND('[5]September 2019 Combined'!$F$24,2)</f>
        <v>-2522.31</v>
      </c>
      <c r="I19" s="193">
        <f>ROUND('[5]October 2019 Combined'!$F$24,2)</f>
        <v>-1990.07</v>
      </c>
      <c r="J19" s="145">
        <f>'PCR Cycle 1'!J27*$M19</f>
        <v>-1569.5228700000002</v>
      </c>
      <c r="K19" s="55">
        <f>'PCR Cycle 1'!K27*$M19</f>
        <v>-2335.0318700000003</v>
      </c>
      <c r="L19" s="77">
        <f>'PCR Cycle 1'!L27*$M19*0</f>
        <v>0</v>
      </c>
      <c r="M19" s="88">
        <v>-1.0000000000000001E-5</v>
      </c>
      <c r="N19" s="4"/>
    </row>
    <row r="20" spans="1:14" x14ac:dyDescent="0.25">
      <c r="A20" s="62" t="s">
        <v>30</v>
      </c>
      <c r="C20" s="119">
        <v>-79378.79991999999</v>
      </c>
      <c r="D20" s="158">
        <f>ROUND('[5]May 2019 Combined'!$F$25,2)</f>
        <v>22085.279999999999</v>
      </c>
      <c r="E20" s="158">
        <f>ROUND('[5]June 2019 Combined'!$F$25,2)</f>
        <v>23503.57</v>
      </c>
      <c r="F20" s="158">
        <f>ROUND('[5]July 2019 Combined'!$F$25,2)</f>
        <v>26938.51</v>
      </c>
      <c r="G20" s="213">
        <f>ROUND('[5]August 2019 Combined'!$F$25,2)</f>
        <v>16974.14</v>
      </c>
      <c r="H20" s="143">
        <f>ROUND('[5]September 2019 Combined'!$F$25,2)</f>
        <v>1633.14</v>
      </c>
      <c r="I20" s="193">
        <f>ROUND('[5]October 2019 Combined'!$F$25,2)</f>
        <v>-9.75</v>
      </c>
      <c r="J20" s="145">
        <f>'PCR Cycle 1'!J28*$M20</f>
        <v>0</v>
      </c>
      <c r="K20" s="55">
        <f>'PCR Cycle 1'!K28*$M20</f>
        <v>0</v>
      </c>
      <c r="L20" s="77">
        <f>'PCR Cycle 1'!L28*$M20</f>
        <v>0</v>
      </c>
      <c r="M20" s="88">
        <v>0</v>
      </c>
      <c r="N20" s="4"/>
    </row>
    <row r="21" spans="1:14" x14ac:dyDescent="0.25">
      <c r="C21" s="83"/>
      <c r="D21" s="84"/>
      <c r="E21" s="84"/>
      <c r="F21" s="84"/>
      <c r="G21" s="83"/>
      <c r="H21" s="84"/>
      <c r="I21" s="194"/>
      <c r="J21" s="72"/>
      <c r="K21" s="72"/>
      <c r="L21" s="13"/>
      <c r="N21" s="4"/>
    </row>
    <row r="22" spans="1:14" x14ac:dyDescent="0.25">
      <c r="A22" s="62" t="s">
        <v>105</v>
      </c>
      <c r="C22" s="50"/>
      <c r="D22" s="51"/>
      <c r="E22" s="51"/>
      <c r="F22" s="51"/>
      <c r="G22" s="50"/>
      <c r="H22" s="51"/>
      <c r="I22" s="197"/>
      <c r="J22" s="68"/>
      <c r="K22" s="68"/>
      <c r="L22" s="52"/>
    </row>
    <row r="23" spans="1:14" x14ac:dyDescent="0.25">
      <c r="A23" s="62" t="s">
        <v>29</v>
      </c>
      <c r="C23" s="119">
        <v>0</v>
      </c>
      <c r="D23" s="131">
        <v>0</v>
      </c>
      <c r="E23" s="131">
        <v>0</v>
      </c>
      <c r="F23" s="132">
        <v>0</v>
      </c>
      <c r="G23" s="16">
        <v>0</v>
      </c>
      <c r="H23" s="71">
        <v>0</v>
      </c>
      <c r="I23" s="191">
        <v>0</v>
      </c>
      <c r="J23" s="186">
        <v>0</v>
      </c>
      <c r="K23" s="166">
        <v>0</v>
      </c>
      <c r="L23" s="97"/>
    </row>
    <row r="24" spans="1:14" x14ac:dyDescent="0.25">
      <c r="A24" s="62" t="s">
        <v>30</v>
      </c>
      <c r="C24" s="119">
        <v>0</v>
      </c>
      <c r="D24" s="131">
        <v>0</v>
      </c>
      <c r="E24" s="131">
        <v>0</v>
      </c>
      <c r="F24" s="132">
        <v>0</v>
      </c>
      <c r="G24" s="16">
        <v>0</v>
      </c>
      <c r="H24" s="71">
        <v>0</v>
      </c>
      <c r="I24" s="191">
        <v>0</v>
      </c>
      <c r="J24" s="186">
        <v>0</v>
      </c>
      <c r="K24" s="166">
        <v>0</v>
      </c>
      <c r="L24" s="97"/>
      <c r="N24" s="63"/>
    </row>
    <row r="25" spans="1:14" x14ac:dyDescent="0.25">
      <c r="C25" s="121"/>
      <c r="D25" s="18"/>
      <c r="E25" s="18"/>
      <c r="F25" s="18"/>
      <c r="G25" s="113"/>
      <c r="H25" s="18"/>
      <c r="I25" s="192"/>
      <c r="J25" s="72"/>
      <c r="K25" s="72"/>
      <c r="L25" s="13"/>
    </row>
    <row r="26" spans="1:14" ht="15.75" thickBot="1" x14ac:dyDescent="0.3">
      <c r="A26" s="3" t="s">
        <v>16</v>
      </c>
      <c r="B26" s="3"/>
      <c r="C26" s="125">
        <v>-22.379999999999995</v>
      </c>
      <c r="D26" s="158">
        <v>33.620000000000005</v>
      </c>
      <c r="E26" s="158">
        <v>-0.62000000000000455</v>
      </c>
      <c r="F26" s="159">
        <v>-27.1</v>
      </c>
      <c r="G26" s="39">
        <v>-43.56</v>
      </c>
      <c r="H26" s="144">
        <v>-46.879999999999995</v>
      </c>
      <c r="I26" s="198">
        <v>-40.93</v>
      </c>
      <c r="J26" s="187">
        <v>-36.380000000000003</v>
      </c>
      <c r="K26" s="168">
        <v>-31.38</v>
      </c>
      <c r="L26" s="100"/>
    </row>
    <row r="27" spans="1:14" x14ac:dyDescent="0.25">
      <c r="C27" s="80"/>
      <c r="D27" s="173"/>
      <c r="E27" s="173"/>
      <c r="F27" s="174"/>
      <c r="G27" s="80"/>
      <c r="H27" s="47"/>
      <c r="I27" s="199"/>
      <c r="J27" s="48"/>
      <c r="K27" s="48"/>
      <c r="L27" s="76"/>
    </row>
    <row r="28" spans="1:14" x14ac:dyDescent="0.25">
      <c r="A28" s="62" t="s">
        <v>68</v>
      </c>
      <c r="C28" s="81"/>
      <c r="D28" s="174"/>
      <c r="E28" s="174"/>
      <c r="F28" s="174"/>
      <c r="G28" s="81"/>
      <c r="H28" s="49"/>
      <c r="I28" s="200"/>
      <c r="J28" s="48"/>
      <c r="K28" s="48"/>
      <c r="L28" s="76"/>
    </row>
    <row r="29" spans="1:14" x14ac:dyDescent="0.25">
      <c r="A29" s="62" t="s">
        <v>29</v>
      </c>
      <c r="C29" s="122">
        <f t="shared" ref="C29:L29" si="5">C23-C19</f>
        <v>-43307.975409999999</v>
      </c>
      <c r="D29" s="55">
        <f t="shared" si="5"/>
        <v>9900.24</v>
      </c>
      <c r="E29" s="55">
        <f t="shared" si="5"/>
        <v>13371.25</v>
      </c>
      <c r="F29" s="130">
        <f t="shared" si="5"/>
        <v>19184.37</v>
      </c>
      <c r="G29" s="54">
        <f t="shared" si="5"/>
        <v>12540.78</v>
      </c>
      <c r="H29" s="55">
        <f t="shared" si="5"/>
        <v>2522.31</v>
      </c>
      <c r="I29" s="77">
        <f t="shared" si="5"/>
        <v>1990.07</v>
      </c>
      <c r="J29" s="145">
        <f t="shared" si="5"/>
        <v>1569.5228700000002</v>
      </c>
      <c r="K29" s="55">
        <f t="shared" si="5"/>
        <v>2335.0318700000003</v>
      </c>
      <c r="L29" s="77">
        <f t="shared" si="5"/>
        <v>0</v>
      </c>
    </row>
    <row r="30" spans="1:14" x14ac:dyDescent="0.25">
      <c r="A30" s="62" t="s">
        <v>30</v>
      </c>
      <c r="C30" s="122">
        <f t="shared" ref="C30:L30" si="6">C24-C20</f>
        <v>79378.79991999999</v>
      </c>
      <c r="D30" s="55">
        <f t="shared" si="6"/>
        <v>-22085.279999999999</v>
      </c>
      <c r="E30" s="55">
        <f t="shared" si="6"/>
        <v>-23503.57</v>
      </c>
      <c r="F30" s="130">
        <f t="shared" si="6"/>
        <v>-26938.51</v>
      </c>
      <c r="G30" s="54">
        <f t="shared" si="6"/>
        <v>-16974.14</v>
      </c>
      <c r="H30" s="55">
        <f t="shared" si="6"/>
        <v>-1633.14</v>
      </c>
      <c r="I30" s="77">
        <f t="shared" si="6"/>
        <v>9.75</v>
      </c>
      <c r="J30" s="145">
        <f t="shared" si="6"/>
        <v>0</v>
      </c>
      <c r="K30" s="55">
        <f t="shared" si="6"/>
        <v>0</v>
      </c>
      <c r="L30" s="77">
        <f t="shared" si="6"/>
        <v>0</v>
      </c>
    </row>
    <row r="31" spans="1:14" x14ac:dyDescent="0.25">
      <c r="C31" s="121"/>
      <c r="D31" s="17"/>
      <c r="E31" s="17"/>
      <c r="F31" s="17"/>
      <c r="G31" s="10"/>
      <c r="H31" s="17"/>
      <c r="I31" s="11"/>
      <c r="J31" s="17"/>
      <c r="K31" s="17"/>
      <c r="L31" s="11"/>
    </row>
    <row r="32" spans="1:14" ht="15.75" thickBot="1" x14ac:dyDescent="0.3">
      <c r="A32" s="62" t="s">
        <v>69</v>
      </c>
      <c r="C32" s="121"/>
      <c r="D32" s="17"/>
      <c r="E32" s="17"/>
      <c r="F32" s="17"/>
      <c r="G32" s="10"/>
      <c r="H32" s="17"/>
      <c r="I32" s="11"/>
      <c r="J32" s="17"/>
      <c r="K32" s="17"/>
      <c r="L32" s="11"/>
    </row>
    <row r="33" spans="1:12" x14ac:dyDescent="0.25">
      <c r="A33" s="62" t="s">
        <v>29</v>
      </c>
      <c r="B33" s="138">
        <v>-14821.554590000025</v>
      </c>
      <c r="C33" s="122">
        <f>B33+C29+B38</f>
        <v>-58129.530000000028</v>
      </c>
      <c r="D33" s="55">
        <f t="shared" ref="D33:L34" si="7">C33+D29+C38</f>
        <v>-47938.390000000029</v>
      </c>
      <c r="E33" s="55">
        <f t="shared" si="7"/>
        <v>-34729.990000000027</v>
      </c>
      <c r="F33" s="130">
        <f t="shared" si="7"/>
        <v>-15671.730000000029</v>
      </c>
      <c r="G33" s="54">
        <f t="shared" si="7"/>
        <v>-3205.7800000000279</v>
      </c>
      <c r="H33" s="55">
        <f t="shared" si="7"/>
        <v>-710.50000000002797</v>
      </c>
      <c r="I33" s="77">
        <f t="shared" si="7"/>
        <v>1274.1599999999719</v>
      </c>
      <c r="J33" s="145">
        <f t="shared" si="7"/>
        <v>2844.4128699999724</v>
      </c>
      <c r="K33" s="55">
        <f t="shared" si="7"/>
        <v>5184.8147399999725</v>
      </c>
      <c r="L33" s="77">
        <f t="shared" si="7"/>
        <v>5195.2947399999721</v>
      </c>
    </row>
    <row r="34" spans="1:12" ht="15.75" thickBot="1" x14ac:dyDescent="0.3">
      <c r="A34" s="62" t="s">
        <v>30</v>
      </c>
      <c r="B34" s="139">
        <v>-4214.4099200002138</v>
      </c>
      <c r="C34" s="122">
        <f>B34+C30+B39</f>
        <v>75164.389999999781</v>
      </c>
      <c r="D34" s="55">
        <f t="shared" si="7"/>
        <v>52765.829999999783</v>
      </c>
      <c r="E34" s="55">
        <f t="shared" si="7"/>
        <v>29458.729999999785</v>
      </c>
      <c r="F34" s="130">
        <f t="shared" si="7"/>
        <v>2645.7099999997863</v>
      </c>
      <c r="G34" s="54">
        <f t="shared" si="7"/>
        <v>-14280.700000000214</v>
      </c>
      <c r="H34" s="55">
        <f t="shared" si="7"/>
        <v>-15930.370000000214</v>
      </c>
      <c r="I34" s="77">
        <f t="shared" si="7"/>
        <v>-15962.090000000213</v>
      </c>
      <c r="J34" s="145">
        <f t="shared" si="7"/>
        <v>-16003.740000000213</v>
      </c>
      <c r="K34" s="55">
        <f t="shared" si="7"/>
        <v>-16045.490000000213</v>
      </c>
      <c r="L34" s="77">
        <f t="shared" si="7"/>
        <v>-16087.350000000213</v>
      </c>
    </row>
    <row r="35" spans="1:12" x14ac:dyDescent="0.25">
      <c r="C35" s="121"/>
      <c r="D35" s="17"/>
      <c r="E35" s="17"/>
      <c r="F35" s="17"/>
      <c r="G35" s="10"/>
      <c r="H35" s="17"/>
      <c r="I35" s="11"/>
      <c r="J35" s="17"/>
      <c r="K35" s="17"/>
      <c r="L35" s="11"/>
    </row>
    <row r="36" spans="1:12" x14ac:dyDescent="0.25">
      <c r="A36" s="53" t="s">
        <v>104</v>
      </c>
      <c r="B36" s="53"/>
      <c r="C36" s="126"/>
      <c r="D36" s="101">
        <f>+'PCR Cycle 1'!D44</f>
        <v>3.0790499999999998E-3</v>
      </c>
      <c r="E36" s="101">
        <f>+'PCR Cycle 1'!E44</f>
        <v>3.0450199999999998E-3</v>
      </c>
      <c r="F36" s="101">
        <f>+'PCR Cycle 1'!F44</f>
        <v>2.9619300000000002E-3</v>
      </c>
      <c r="G36" s="102">
        <f>+'PCR Cycle 1'!G44</f>
        <v>2.8524499999999999E-3</v>
      </c>
      <c r="H36" s="101">
        <f>+'PCR Cycle 1'!H44</f>
        <v>2.7438599999999999E-3</v>
      </c>
      <c r="I36" s="114">
        <f>+'PCR Cycle 1'!I44</f>
        <v>2.60867E-3</v>
      </c>
      <c r="J36" s="101">
        <f>+'PCR Cycle 1'!J44</f>
        <v>2.60867E-3</v>
      </c>
      <c r="K36" s="101">
        <f>+'PCR Cycle 1'!K44</f>
        <v>2.60867E-3</v>
      </c>
      <c r="L36" s="103"/>
    </row>
    <row r="37" spans="1:12" x14ac:dyDescent="0.25">
      <c r="A37" s="53" t="s">
        <v>44</v>
      </c>
      <c r="B37" s="53"/>
      <c r="C37" s="128"/>
      <c r="D37" s="101"/>
      <c r="E37" s="101"/>
      <c r="F37" s="101"/>
      <c r="G37" s="102"/>
      <c r="H37" s="101"/>
      <c r="I37" s="103"/>
      <c r="J37" s="101"/>
      <c r="K37" s="101"/>
      <c r="L37" s="103"/>
    </row>
    <row r="38" spans="1:12" x14ac:dyDescent="0.25">
      <c r="A38" s="62" t="s">
        <v>29</v>
      </c>
      <c r="C38" s="122">
        <v>290.89999999999998</v>
      </c>
      <c r="D38" s="55">
        <f t="shared" ref="D38:L39" si="8">ROUND((C33+C38+D29/2)*D$36,2)</f>
        <v>-162.85</v>
      </c>
      <c r="E38" s="55">
        <f t="shared" si="8"/>
        <v>-126.11</v>
      </c>
      <c r="F38" s="130">
        <f t="shared" si="8"/>
        <v>-74.83</v>
      </c>
      <c r="G38" s="54">
        <f t="shared" si="8"/>
        <v>-27.03</v>
      </c>
      <c r="H38" s="145">
        <f t="shared" si="8"/>
        <v>-5.41</v>
      </c>
      <c r="I38" s="65">
        <f t="shared" si="8"/>
        <v>0.73</v>
      </c>
      <c r="J38" s="188">
        <f t="shared" si="8"/>
        <v>5.37</v>
      </c>
      <c r="K38" s="130">
        <f t="shared" si="8"/>
        <v>10.48</v>
      </c>
      <c r="L38" s="77">
        <f t="shared" si="8"/>
        <v>0</v>
      </c>
    </row>
    <row r="39" spans="1:12" ht="15.75" thickBot="1" x14ac:dyDescent="0.3">
      <c r="A39" s="62" t="s">
        <v>30</v>
      </c>
      <c r="C39" s="122">
        <v>-313.27999999999997</v>
      </c>
      <c r="D39" s="55">
        <f t="shared" si="8"/>
        <v>196.47</v>
      </c>
      <c r="E39" s="55">
        <f t="shared" si="8"/>
        <v>125.49</v>
      </c>
      <c r="F39" s="130">
        <f t="shared" si="8"/>
        <v>47.73</v>
      </c>
      <c r="G39" s="54">
        <f t="shared" si="8"/>
        <v>-16.53</v>
      </c>
      <c r="H39" s="145">
        <f t="shared" si="8"/>
        <v>-41.47</v>
      </c>
      <c r="I39" s="65">
        <f t="shared" si="8"/>
        <v>-41.65</v>
      </c>
      <c r="J39" s="188">
        <f t="shared" si="8"/>
        <v>-41.75</v>
      </c>
      <c r="K39" s="130">
        <f t="shared" si="8"/>
        <v>-41.86</v>
      </c>
      <c r="L39" s="77">
        <f t="shared" si="8"/>
        <v>0</v>
      </c>
    </row>
    <row r="40" spans="1:12" ht="16.5" thickTop="1" thickBot="1" x14ac:dyDescent="0.3">
      <c r="A40" s="70" t="s">
        <v>25</v>
      </c>
      <c r="B40" s="70"/>
      <c r="C40" s="129">
        <v>0</v>
      </c>
      <c r="D40" s="56">
        <f t="shared" ref="D40:I40" si="9">SUM(D38:D39)+SUM(D33:D34)-D43</f>
        <v>0</v>
      </c>
      <c r="E40" s="56">
        <f t="shared" si="9"/>
        <v>0</v>
      </c>
      <c r="F40" s="66">
        <f t="shared" ref="F40:H40" si="10">SUM(F38:F39)+SUM(F33:F34)-F43</f>
        <v>0</v>
      </c>
      <c r="G40" s="171">
        <f t="shared" si="10"/>
        <v>0</v>
      </c>
      <c r="H40" s="66">
        <f t="shared" si="10"/>
        <v>0</v>
      </c>
      <c r="I40" s="78">
        <f t="shared" si="9"/>
        <v>0</v>
      </c>
      <c r="J40" s="189">
        <f t="shared" ref="J40:L40" si="11">SUM(J38:J39)+SUM(J33:J34)-J43</f>
        <v>0</v>
      </c>
      <c r="K40" s="66">
        <f t="shared" si="11"/>
        <v>0</v>
      </c>
      <c r="L40" s="78">
        <f t="shared" si="11"/>
        <v>0</v>
      </c>
    </row>
    <row r="41" spans="1:12" ht="16.5" thickTop="1" thickBot="1" x14ac:dyDescent="0.3">
      <c r="A41" s="70" t="s">
        <v>26</v>
      </c>
      <c r="B41" s="70"/>
      <c r="C41" s="129">
        <v>0</v>
      </c>
      <c r="D41" s="56">
        <f t="shared" ref="D41:I41" si="12">SUM(D38:D39)-D26</f>
        <v>0</v>
      </c>
      <c r="E41" s="56">
        <f t="shared" si="12"/>
        <v>0</v>
      </c>
      <c r="F41" s="66">
        <f t="shared" ref="F41:H41" si="13">SUM(F38:F39)-F26</f>
        <v>0</v>
      </c>
      <c r="G41" s="171">
        <f t="shared" si="13"/>
        <v>0</v>
      </c>
      <c r="H41" s="66">
        <f t="shared" si="13"/>
        <v>0</v>
      </c>
      <c r="I41" s="78">
        <f t="shared" si="12"/>
        <v>9.9999999999980105E-3</v>
      </c>
      <c r="J41" s="190">
        <f t="shared" ref="J41:L41" si="14">SUM(J38:J39)-J26</f>
        <v>0</v>
      </c>
      <c r="K41" s="56">
        <f t="shared" si="14"/>
        <v>0</v>
      </c>
      <c r="L41" s="56">
        <f t="shared" si="14"/>
        <v>0</v>
      </c>
    </row>
    <row r="42" spans="1:12" ht="16.5" thickTop="1" thickBot="1" x14ac:dyDescent="0.3">
      <c r="C42" s="121"/>
      <c r="D42" s="17"/>
      <c r="E42" s="17"/>
      <c r="F42" s="17"/>
      <c r="G42" s="10"/>
      <c r="H42" s="17"/>
      <c r="I42" s="11"/>
      <c r="J42" s="17"/>
      <c r="K42" s="17"/>
      <c r="L42" s="11"/>
    </row>
    <row r="43" spans="1:12" ht="15.75" thickBot="1" x14ac:dyDescent="0.3">
      <c r="A43" s="62" t="s">
        <v>42</v>
      </c>
      <c r="B43" s="141">
        <f>+B33+B34</f>
        <v>-19035.964510000238</v>
      </c>
      <c r="C43" s="122">
        <f t="shared" ref="C43:L43" si="15">(C16-SUM(C19:C20))+SUM(C38:C39)+B43</f>
        <v>17012.479999999756</v>
      </c>
      <c r="D43" s="55">
        <f t="shared" si="15"/>
        <v>4861.0599999997576</v>
      </c>
      <c r="E43" s="55">
        <f t="shared" si="15"/>
        <v>-5271.8800000002429</v>
      </c>
      <c r="F43" s="130">
        <f t="shared" si="15"/>
        <v>-13053.120000000243</v>
      </c>
      <c r="G43" s="54">
        <f t="shared" si="15"/>
        <v>-17530.040000000241</v>
      </c>
      <c r="H43" s="55">
        <f t="shared" si="15"/>
        <v>-16687.75000000024</v>
      </c>
      <c r="I43" s="77">
        <f t="shared" si="15"/>
        <v>-14728.85000000024</v>
      </c>
      <c r="J43" s="188">
        <f t="shared" si="15"/>
        <v>-13195.707130000241</v>
      </c>
      <c r="K43" s="130">
        <f t="shared" si="15"/>
        <v>-10892.055260000241</v>
      </c>
      <c r="L43" s="77">
        <f t="shared" si="15"/>
        <v>-10892.055260000241</v>
      </c>
    </row>
    <row r="44" spans="1:12" x14ac:dyDescent="0.25">
      <c r="A44" s="62" t="s">
        <v>14</v>
      </c>
      <c r="C44" s="142"/>
      <c r="D44" s="17"/>
      <c r="E44" s="17"/>
      <c r="F44" s="17"/>
      <c r="G44" s="10"/>
      <c r="H44" s="17"/>
      <c r="I44" s="11"/>
      <c r="J44" s="17"/>
      <c r="K44" s="17"/>
      <c r="L44" s="11"/>
    </row>
    <row r="45" spans="1:12" ht="15.75" thickBot="1" x14ac:dyDescent="0.3">
      <c r="A45" s="51"/>
      <c r="B45" s="51"/>
      <c r="C45" s="172"/>
      <c r="D45" s="58"/>
      <c r="E45" s="58"/>
      <c r="F45" s="58"/>
      <c r="G45" s="57"/>
      <c r="H45" s="58"/>
      <c r="I45" s="59"/>
      <c r="J45" s="58"/>
      <c r="K45" s="58"/>
      <c r="L45" s="59"/>
    </row>
    <row r="47" spans="1:12" x14ac:dyDescent="0.25">
      <c r="A47" s="85" t="s">
        <v>13</v>
      </c>
      <c r="B47" s="85"/>
      <c r="C47" s="85"/>
    </row>
    <row r="48" spans="1:12" ht="31.5" customHeight="1" x14ac:dyDescent="0.25">
      <c r="A48" s="287" t="s">
        <v>117</v>
      </c>
      <c r="B48" s="287"/>
      <c r="C48" s="287"/>
      <c r="D48" s="287"/>
      <c r="E48" s="287"/>
      <c r="F48" s="287"/>
      <c r="G48" s="287"/>
      <c r="H48" s="287"/>
      <c r="I48" s="287"/>
      <c r="J48" s="211"/>
      <c r="K48" s="211"/>
      <c r="L48" s="211"/>
    </row>
    <row r="49" spans="1:12" ht="45" customHeight="1" x14ac:dyDescent="0.25">
      <c r="A49" s="287" t="s">
        <v>173</v>
      </c>
      <c r="B49" s="287"/>
      <c r="C49" s="287"/>
      <c r="D49" s="287"/>
      <c r="E49" s="287"/>
      <c r="F49" s="287"/>
      <c r="G49" s="287"/>
      <c r="H49" s="287"/>
      <c r="I49" s="287"/>
      <c r="J49" s="211"/>
      <c r="K49" s="211"/>
    </row>
    <row r="50" spans="1:12" ht="18.75" customHeight="1" x14ac:dyDescent="0.25">
      <c r="A50" s="287" t="s">
        <v>112</v>
      </c>
      <c r="B50" s="287"/>
      <c r="C50" s="287"/>
      <c r="D50" s="287"/>
      <c r="E50" s="287"/>
      <c r="F50" s="287"/>
      <c r="G50" s="287"/>
      <c r="H50" s="287"/>
      <c r="I50" s="287"/>
      <c r="J50" s="211"/>
      <c r="K50" s="211"/>
      <c r="L50" s="211"/>
    </row>
    <row r="51" spans="1:12" x14ac:dyDescent="0.25">
      <c r="A51" s="79" t="s">
        <v>37</v>
      </c>
      <c r="B51" s="79"/>
      <c r="C51" s="79"/>
      <c r="D51" s="53"/>
      <c r="E51" s="53"/>
      <c r="F51" s="53"/>
      <c r="G51" s="53"/>
      <c r="H51" s="53"/>
      <c r="I51" s="53"/>
    </row>
    <row r="52" spans="1:12" x14ac:dyDescent="0.25">
      <c r="A52" s="79" t="s">
        <v>156</v>
      </c>
      <c r="B52" s="79"/>
      <c r="C52" s="79"/>
      <c r="D52" s="53"/>
      <c r="E52" s="53"/>
      <c r="F52" s="53"/>
      <c r="G52" s="53"/>
      <c r="H52" s="53"/>
      <c r="I52" s="53"/>
    </row>
    <row r="53" spans="1:12" x14ac:dyDescent="0.25">
      <c r="A53" s="79" t="s">
        <v>118</v>
      </c>
      <c r="B53" s="79"/>
      <c r="C53" s="79"/>
      <c r="D53" s="53"/>
      <c r="E53" s="53"/>
      <c r="F53" s="53"/>
      <c r="G53" s="53"/>
      <c r="H53" s="53"/>
      <c r="I53" s="53"/>
    </row>
    <row r="54" spans="1:12" x14ac:dyDescent="0.25">
      <c r="A54" s="3" t="s">
        <v>153</v>
      </c>
      <c r="B54" s="3"/>
      <c r="C54" s="3"/>
    </row>
  </sheetData>
  <mergeCells count="6">
    <mergeCell ref="A50:I50"/>
    <mergeCell ref="A49:I49"/>
    <mergeCell ref="D14:F14"/>
    <mergeCell ref="G14:I14"/>
    <mergeCell ref="J14:L14"/>
    <mergeCell ref="A48:I48"/>
  </mergeCells>
  <pageMargins left="0.2" right="0.2" top="0.75" bottom="0.25" header="0.3" footer="0.3"/>
  <pageSetup scale="57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34"/>
  <sheetViews>
    <sheetView workbookViewId="0"/>
  </sheetViews>
  <sheetFormatPr defaultRowHeight="15" x14ac:dyDescent="0.25"/>
  <cols>
    <col min="1" max="1" width="43.140625" style="62" customWidth="1"/>
    <col min="2" max="2" width="14.28515625" style="62" bestFit="1" customWidth="1"/>
    <col min="3" max="3" width="14.28515625" style="62" customWidth="1"/>
    <col min="4" max="4" width="13.28515625" style="62" bestFit="1" customWidth="1"/>
    <col min="5" max="16384" width="9.140625" style="62"/>
  </cols>
  <sheetData>
    <row r="1" spans="1:5" x14ac:dyDescent="0.25">
      <c r="A1" s="79" t="str">
        <f>+'PPC Cycle 2'!A1</f>
        <v>Evergy Metro, Inc. - DSIM Rider Update MEEIA 3 filed January 20, 2020</v>
      </c>
    </row>
    <row r="2" spans="1:5" x14ac:dyDescent="0.25">
      <c r="A2" s="9" t="str">
        <f>+'PPC Cycle 2'!A2</f>
        <v>Projections for Cycle 2 January 2020 - December 2020 DSIM</v>
      </c>
    </row>
    <row r="3" spans="1:5" ht="45.75" customHeight="1" x14ac:dyDescent="0.25">
      <c r="B3" s="281" t="s">
        <v>120</v>
      </c>
      <c r="C3" s="281"/>
      <c r="D3" s="281"/>
    </row>
    <row r="4" spans="1:5" x14ac:dyDescent="0.25">
      <c r="B4" s="86"/>
      <c r="C4" s="86"/>
      <c r="D4" s="64" t="s">
        <v>20</v>
      </c>
    </row>
    <row r="5" spans="1:5" x14ac:dyDescent="0.25">
      <c r="A5" s="22" t="s">
        <v>99</v>
      </c>
      <c r="B5" s="86"/>
      <c r="C5" s="86"/>
      <c r="D5" s="217">
        <f>+D24</f>
        <v>0</v>
      </c>
    </row>
    <row r="6" spans="1:5" x14ac:dyDescent="0.25">
      <c r="A6" s="22" t="s">
        <v>100</v>
      </c>
      <c r="B6" s="86"/>
      <c r="C6" s="86"/>
      <c r="D6" s="217">
        <f>+D34</f>
        <v>0</v>
      </c>
    </row>
    <row r="7" spans="1:5" ht="30" x14ac:dyDescent="0.25">
      <c r="A7" s="22"/>
      <c r="B7" s="86"/>
      <c r="C7" s="86" t="s">
        <v>114</v>
      </c>
      <c r="D7" s="179"/>
    </row>
    <row r="8" spans="1:5" x14ac:dyDescent="0.25">
      <c r="A8" s="22" t="s">
        <v>29</v>
      </c>
      <c r="B8" s="86"/>
      <c r="C8" s="216">
        <v>0.5</v>
      </c>
      <c r="D8" s="249">
        <f>ROUND(SUM(D5:D6)*C8,2)</f>
        <v>0</v>
      </c>
      <c r="E8" s="4"/>
    </row>
    <row r="9" spans="1:5" x14ac:dyDescent="0.25">
      <c r="A9" s="22" t="s">
        <v>30</v>
      </c>
      <c r="B9" s="86"/>
      <c r="C9" s="216">
        <v>0.5</v>
      </c>
      <c r="D9" s="249">
        <f>ROUND(SUM(D5:D6)*C9,2)</f>
        <v>0</v>
      </c>
      <c r="E9" s="4"/>
    </row>
    <row r="10" spans="1:5" ht="15.75" thickBot="1" x14ac:dyDescent="0.3">
      <c r="A10" s="22" t="s">
        <v>6</v>
      </c>
      <c r="B10" s="86"/>
      <c r="C10" s="216">
        <f>SUM(C8:C9)</f>
        <v>1</v>
      </c>
      <c r="D10" s="250">
        <f>SUM(D8:D9)</f>
        <v>0</v>
      </c>
      <c r="E10" s="4"/>
    </row>
    <row r="11" spans="1:5" ht="16.5" thickTop="1" thickBot="1" x14ac:dyDescent="0.3">
      <c r="B11" s="33"/>
      <c r="C11" s="33"/>
      <c r="D11" s="251">
        <f>ROUND(D5+D6,2)-D10</f>
        <v>0</v>
      </c>
      <c r="E11" s="2"/>
    </row>
    <row r="12" spans="1:5" ht="60.75" thickTop="1" x14ac:dyDescent="0.25">
      <c r="D12" s="259"/>
      <c r="E12" s="258" t="s">
        <v>140</v>
      </c>
    </row>
    <row r="13" spans="1:5" x14ac:dyDescent="0.25">
      <c r="A13" s="22" t="s">
        <v>136</v>
      </c>
      <c r="D13" s="36">
        <f>ROUND($D$9*E13,2)</f>
        <v>0</v>
      </c>
      <c r="E13" s="256">
        <f>+'[3]Monthly TD Calc'!$CY$44</f>
        <v>0.14267984863071587</v>
      </c>
    </row>
    <row r="14" spans="1:5" x14ac:dyDescent="0.25">
      <c r="A14" s="22" t="s">
        <v>137</v>
      </c>
      <c r="D14" s="36">
        <f t="shared" ref="D14:D16" si="0">ROUND($D$9*E14,2)</f>
        <v>0</v>
      </c>
      <c r="E14" s="256">
        <f>+'[3]Monthly TD Calc'!$CZ$44</f>
        <v>0.35708861589367091</v>
      </c>
    </row>
    <row r="15" spans="1:5" x14ac:dyDescent="0.25">
      <c r="A15" s="22" t="s">
        <v>138</v>
      </c>
      <c r="D15" s="36">
        <f t="shared" si="0"/>
        <v>0</v>
      </c>
      <c r="E15" s="256">
        <f>+'[3]Monthly TD Calc'!$DA$44</f>
        <v>0.40574599013503615</v>
      </c>
    </row>
    <row r="16" spans="1:5" ht="15.75" thickBot="1" x14ac:dyDescent="0.3">
      <c r="A16" s="22" t="s">
        <v>139</v>
      </c>
      <c r="D16" s="36">
        <f t="shared" si="0"/>
        <v>0</v>
      </c>
      <c r="E16" s="256">
        <f>+'[3]Monthly TD Calc'!$DB$44</f>
        <v>9.4485545340576932E-2</v>
      </c>
    </row>
    <row r="17" spans="1:5" ht="16.5" thickTop="1" thickBot="1" x14ac:dyDescent="0.3">
      <c r="A17" s="22" t="s">
        <v>143</v>
      </c>
      <c r="D17" s="40">
        <f>SUM(D13:D16)</f>
        <v>0</v>
      </c>
      <c r="E17" s="257">
        <f>SUM(E13:E16)</f>
        <v>0.99999999999999989</v>
      </c>
    </row>
    <row r="18" spans="1:5" ht="15.75" thickTop="1" x14ac:dyDescent="0.25"/>
    <row r="19" spans="1:5" x14ac:dyDescent="0.25">
      <c r="A19" s="69" t="s">
        <v>13</v>
      </c>
    </row>
    <row r="20" spans="1:5" s="53" customFormat="1" x14ac:dyDescent="0.25">
      <c r="A20" s="3" t="s">
        <v>124</v>
      </c>
      <c r="B20" s="62"/>
      <c r="C20" s="62"/>
      <c r="D20" s="62"/>
    </row>
    <row r="21" spans="1:5" s="53" customFormat="1" x14ac:dyDescent="0.25">
      <c r="A21" s="3" t="s">
        <v>115</v>
      </c>
      <c r="B21" s="62"/>
      <c r="C21" s="62"/>
      <c r="D21" s="62"/>
    </row>
    <row r="22" spans="1:5" s="53" customFormat="1" x14ac:dyDescent="0.25">
      <c r="A22" s="3" t="s">
        <v>125</v>
      </c>
      <c r="B22" s="62"/>
      <c r="C22" s="62"/>
      <c r="D22" s="62"/>
    </row>
    <row r="24" spans="1:5" x14ac:dyDescent="0.25">
      <c r="A24" s="3" t="s">
        <v>123</v>
      </c>
      <c r="D24" s="219">
        <v>0</v>
      </c>
    </row>
    <row r="25" spans="1:5" x14ac:dyDescent="0.25">
      <c r="D25" s="219"/>
    </row>
    <row r="26" spans="1:5" ht="45" x14ac:dyDescent="0.25">
      <c r="B26" s="86" t="s">
        <v>116</v>
      </c>
      <c r="D26" s="219"/>
    </row>
    <row r="27" spans="1:5" x14ac:dyDescent="0.25">
      <c r="A27" s="246"/>
      <c r="B27" s="247"/>
      <c r="D27" s="219">
        <f>ROUND(SUM(D$24:D26)*B27,2)</f>
        <v>0</v>
      </c>
    </row>
    <row r="28" spans="1:5" x14ac:dyDescent="0.25">
      <c r="A28" s="246"/>
      <c r="B28" s="247"/>
      <c r="D28" s="219">
        <f>ROUND(SUM(D$24:D27)*B28,2)</f>
        <v>0</v>
      </c>
    </row>
    <row r="29" spans="1:5" x14ac:dyDescent="0.25">
      <c r="A29" s="246"/>
      <c r="B29" s="247"/>
      <c r="D29" s="219">
        <f>ROUND(SUM(D$24:D28)*B29,2)</f>
        <v>0</v>
      </c>
    </row>
    <row r="30" spans="1:5" x14ac:dyDescent="0.25">
      <c r="A30" s="246"/>
      <c r="B30" s="247"/>
      <c r="D30" s="219">
        <f>ROUND(SUM(D$24:D29)*B30,2)</f>
        <v>0</v>
      </c>
    </row>
    <row r="31" spans="1:5" x14ac:dyDescent="0.25">
      <c r="A31" s="246"/>
      <c r="B31" s="220"/>
      <c r="D31" s="219">
        <f>ROUND(SUM(D$24:D30)*B31,2)</f>
        <v>0</v>
      </c>
    </row>
    <row r="32" spans="1:5" x14ac:dyDescent="0.25">
      <c r="A32" s="246"/>
      <c r="B32" s="220"/>
      <c r="D32" s="219">
        <f>ROUND(SUM(D$24:D31)*B32,2)</f>
        <v>0</v>
      </c>
    </row>
    <row r="33" spans="1:4" ht="17.25" x14ac:dyDescent="0.4">
      <c r="A33" s="246"/>
      <c r="B33" s="220"/>
      <c r="D33" s="248">
        <f>ROUND(SUM(D$24:D32)*B33,2)</f>
        <v>0</v>
      </c>
    </row>
    <row r="34" spans="1:4" x14ac:dyDescent="0.25">
      <c r="A34" s="246"/>
      <c r="D34" s="219">
        <f>SUM(D27:D33)</f>
        <v>0</v>
      </c>
    </row>
  </sheetData>
  <mergeCells count="1">
    <mergeCell ref="B3:D3"/>
  </mergeCells>
  <pageMargins left="0.2" right="0.2" top="0.75" bottom="0.25" header="0.3" footer="0.3"/>
  <pageSetup scale="99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I54"/>
  <sheetViews>
    <sheetView workbookViewId="0"/>
  </sheetViews>
  <sheetFormatPr defaultRowHeight="15" x14ac:dyDescent="0.25"/>
  <cols>
    <col min="1" max="1" width="37.7109375" style="62" customWidth="1"/>
    <col min="2" max="2" width="12.28515625" style="62" bestFit="1" customWidth="1"/>
    <col min="3" max="3" width="12.42578125" style="62" bestFit="1" customWidth="1"/>
    <col min="4" max="4" width="15.42578125" style="62" customWidth="1"/>
    <col min="5" max="5" width="15.85546875" style="62" bestFit="1" customWidth="1"/>
    <col min="6" max="6" width="12.28515625" style="62" bestFit="1" customWidth="1"/>
    <col min="7" max="8" width="13.28515625" style="62" bestFit="1" customWidth="1"/>
    <col min="9" max="9" width="12.28515625" style="62" bestFit="1" customWidth="1"/>
    <col min="10" max="10" width="12.42578125" style="62" customWidth="1"/>
    <col min="11" max="11" width="12.85546875" style="62" customWidth="1"/>
    <col min="12" max="12" width="16" style="62" customWidth="1"/>
    <col min="13" max="13" width="15" style="62" bestFit="1" customWidth="1"/>
    <col min="14" max="14" width="16" style="62" bestFit="1" customWidth="1"/>
    <col min="15" max="15" width="17.85546875" style="62" customWidth="1"/>
    <col min="16" max="16" width="15.28515625" style="62" bestFit="1" customWidth="1"/>
    <col min="17" max="17" width="17.42578125" style="62" bestFit="1" customWidth="1"/>
    <col min="18" max="18" width="16.28515625" style="62" bestFit="1" customWidth="1"/>
    <col min="19" max="19" width="15.28515625" style="62" bestFit="1" customWidth="1"/>
    <col min="20" max="20" width="12.42578125" style="62" customWidth="1"/>
    <col min="21" max="22" width="14.28515625" style="62" bestFit="1" customWidth="1"/>
    <col min="23" max="16384" width="9.140625" style="62"/>
  </cols>
  <sheetData>
    <row r="1" spans="1:35" x14ac:dyDescent="0.25">
      <c r="A1" s="3" t="str">
        <f>+'PPC Cycle 2'!A1</f>
        <v>Evergy Metro, Inc. - DSIM Rider Update MEEIA 3 filed January 20, 2020</v>
      </c>
      <c r="B1" s="3"/>
      <c r="C1" s="3"/>
    </row>
    <row r="2" spans="1:35" x14ac:dyDescent="0.25">
      <c r="D2" s="3" t="s">
        <v>119</v>
      </c>
    </row>
    <row r="3" spans="1:35" ht="30" x14ac:dyDescent="0.25">
      <c r="D3" s="64" t="s">
        <v>62</v>
      </c>
      <c r="E3" s="86" t="s">
        <v>20</v>
      </c>
      <c r="F3" s="64" t="s">
        <v>3</v>
      </c>
      <c r="G3" s="86" t="s">
        <v>71</v>
      </c>
      <c r="H3" s="64" t="s">
        <v>11</v>
      </c>
      <c r="I3" s="64" t="s">
        <v>21</v>
      </c>
      <c r="S3" s="64"/>
    </row>
    <row r="4" spans="1:35" x14ac:dyDescent="0.25">
      <c r="A4" s="22" t="s">
        <v>29</v>
      </c>
      <c r="B4" s="22"/>
      <c r="C4" s="22"/>
      <c r="D4" s="24">
        <f>SUM(C19:L19)</f>
        <v>-4342.5</v>
      </c>
      <c r="E4" s="24">
        <f>SUM(C23:K23)</f>
        <v>-4342.5</v>
      </c>
      <c r="F4" s="24">
        <f>E4-D4</f>
        <v>0</v>
      </c>
      <c r="G4" s="24">
        <f>+B33</f>
        <v>0</v>
      </c>
      <c r="H4" s="24">
        <f>SUM(C38:K38)</f>
        <v>0</v>
      </c>
      <c r="I4" s="36">
        <f>SUM(F4:H4)</f>
        <v>0</v>
      </c>
      <c r="J4" s="63">
        <f>+I4-L33</f>
        <v>0</v>
      </c>
      <c r="M4" s="63"/>
    </row>
    <row r="5" spans="1:35" ht="15.75" thickBot="1" x14ac:dyDescent="0.3">
      <c r="A5" s="22" t="s">
        <v>30</v>
      </c>
      <c r="B5" s="22"/>
      <c r="C5" s="22"/>
      <c r="D5" s="24">
        <f>SUM(C20:L20)</f>
        <v>-4342.51</v>
      </c>
      <c r="E5" s="24">
        <f>SUM(C24:K24)</f>
        <v>-4342.51</v>
      </c>
      <c r="F5" s="24">
        <f>E5-D5</f>
        <v>0</v>
      </c>
      <c r="G5" s="24">
        <f>+B34</f>
        <v>0</v>
      </c>
      <c r="H5" s="24">
        <f>SUM(C39:K39)</f>
        <v>0</v>
      </c>
      <c r="I5" s="36">
        <f>SUM(F5:H5)</f>
        <v>0</v>
      </c>
      <c r="J5" s="63">
        <f>+I5-L34</f>
        <v>0</v>
      </c>
      <c r="M5" s="63"/>
    </row>
    <row r="6" spans="1:35" ht="16.5" thickTop="1" thickBot="1" x14ac:dyDescent="0.3">
      <c r="D6" s="40">
        <f t="shared" ref="D6" si="0">SUM(D4:D5)</f>
        <v>-8685.01</v>
      </c>
      <c r="E6" s="40">
        <f>SUM(E4:E5)</f>
        <v>-8685.01</v>
      </c>
      <c r="F6" s="40">
        <f>SUM(F4:F5)</f>
        <v>0</v>
      </c>
      <c r="G6" s="40">
        <f>SUM(G4:G5)</f>
        <v>0</v>
      </c>
      <c r="H6" s="40">
        <f>SUM(H4:H5)</f>
        <v>0</v>
      </c>
      <c r="I6" s="40">
        <f>SUM(I4:I5)</f>
        <v>0</v>
      </c>
      <c r="T6" s="5"/>
    </row>
    <row r="7" spans="1:35" ht="45.75" thickTop="1" x14ac:dyDescent="0.25">
      <c r="I7" s="259"/>
      <c r="J7" s="258" t="s">
        <v>152</v>
      </c>
    </row>
    <row r="8" spans="1:35" x14ac:dyDescent="0.25">
      <c r="A8" s="22" t="s">
        <v>136</v>
      </c>
      <c r="I8" s="36">
        <f>ROUND($I$5*J8,2)</f>
        <v>0</v>
      </c>
      <c r="J8" s="256">
        <f>+'[3]Monthly TD Calc'!$CY$44</f>
        <v>0.14267984863071587</v>
      </c>
    </row>
    <row r="9" spans="1:35" x14ac:dyDescent="0.25">
      <c r="A9" s="22" t="s">
        <v>137</v>
      </c>
      <c r="I9" s="36">
        <f t="shared" ref="I9:I11" si="1">ROUND($I$5*J9,2)</f>
        <v>0</v>
      </c>
      <c r="J9" s="256">
        <f>+'[3]Monthly TD Calc'!$CZ$44</f>
        <v>0.35708861589367091</v>
      </c>
    </row>
    <row r="10" spans="1:35" x14ac:dyDescent="0.25">
      <c r="A10" s="22" t="s">
        <v>138</v>
      </c>
      <c r="I10" s="36">
        <f t="shared" si="1"/>
        <v>0</v>
      </c>
      <c r="J10" s="256">
        <f>+'[3]Monthly TD Calc'!$DA$44</f>
        <v>0.40574599013503615</v>
      </c>
    </row>
    <row r="11" spans="1:35" ht="15.75" thickBot="1" x14ac:dyDescent="0.3">
      <c r="A11" s="22" t="s">
        <v>139</v>
      </c>
      <c r="I11" s="36">
        <f t="shared" si="1"/>
        <v>0</v>
      </c>
      <c r="J11" s="256">
        <f>+'[3]Monthly TD Calc'!$DB$44</f>
        <v>9.4485545340576932E-2</v>
      </c>
    </row>
    <row r="12" spans="1:35" ht="16.5" thickTop="1" thickBot="1" x14ac:dyDescent="0.3">
      <c r="A12" s="22" t="s">
        <v>143</v>
      </c>
      <c r="I12" s="40">
        <f>SUM(I8:I11)</f>
        <v>0</v>
      </c>
      <c r="J12" s="257">
        <f>SUM(J8:J11)</f>
        <v>0.99999999999999989</v>
      </c>
      <c r="V12" s="4"/>
    </row>
    <row r="13" spans="1:35" ht="16.5" thickTop="1" thickBot="1" x14ac:dyDescent="0.3">
      <c r="V13" s="4"/>
      <c r="W13" s="5"/>
    </row>
    <row r="14" spans="1:35" ht="90.75" thickBot="1" x14ac:dyDescent="0.3">
      <c r="B14" s="140" t="str">
        <f>+'PCR Cycle 1'!B14</f>
        <v>Cumulative Over/Under Carryover From 06/01/2019 Filing</v>
      </c>
      <c r="C14" s="178" t="str">
        <f>+'PCR Cycle 1'!C14</f>
        <v>Reverse May-19 - October-19  Forecast From 06/01/2019 Filing</v>
      </c>
      <c r="D14" s="288" t="s">
        <v>39</v>
      </c>
      <c r="E14" s="288"/>
      <c r="F14" s="289"/>
      <c r="G14" s="294" t="s">
        <v>39</v>
      </c>
      <c r="H14" s="295"/>
      <c r="I14" s="296"/>
      <c r="J14" s="290" t="s">
        <v>9</v>
      </c>
      <c r="K14" s="291"/>
      <c r="L14" s="292"/>
    </row>
    <row r="15" spans="1:35" x14ac:dyDescent="0.25">
      <c r="A15" s="62" t="s">
        <v>107</v>
      </c>
      <c r="C15" s="127"/>
      <c r="D15" s="20">
        <f>+'PCR Cycle 1'!D15</f>
        <v>43616</v>
      </c>
      <c r="E15" s="20">
        <f t="shared" ref="E15:L15" si="2">EOMONTH(D15,1)</f>
        <v>43646</v>
      </c>
      <c r="F15" s="20">
        <f t="shared" si="2"/>
        <v>43677</v>
      </c>
      <c r="G15" s="14">
        <f t="shared" si="2"/>
        <v>43708</v>
      </c>
      <c r="H15" s="20">
        <f t="shared" si="2"/>
        <v>43738</v>
      </c>
      <c r="I15" s="15">
        <f t="shared" si="2"/>
        <v>43769</v>
      </c>
      <c r="J15" s="20">
        <f t="shared" si="2"/>
        <v>43799</v>
      </c>
      <c r="K15" s="20">
        <f t="shared" si="2"/>
        <v>43830</v>
      </c>
      <c r="L15" s="15">
        <f t="shared" si="2"/>
        <v>43861</v>
      </c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62" t="s">
        <v>6</v>
      </c>
      <c r="C16" s="119">
        <v>0</v>
      </c>
      <c r="D16" s="131">
        <f>SUM(D23:D24)</f>
        <v>0</v>
      </c>
      <c r="E16" s="131">
        <f t="shared" ref="E16:H16" si="3">SUM(E23:E24)</f>
        <v>0</v>
      </c>
      <c r="F16" s="132">
        <f t="shared" si="3"/>
        <v>0</v>
      </c>
      <c r="G16" s="16">
        <f t="shared" si="3"/>
        <v>-8685.01</v>
      </c>
      <c r="H16" s="71">
        <f t="shared" si="3"/>
        <v>0</v>
      </c>
      <c r="I16" s="191">
        <f>+I23+I24</f>
        <v>0</v>
      </c>
      <c r="J16" s="184">
        <f t="shared" ref="J16:K16" si="4">+J23+J24</f>
        <v>0</v>
      </c>
      <c r="K16" s="96">
        <f t="shared" si="4"/>
        <v>0</v>
      </c>
      <c r="L16" s="97"/>
    </row>
    <row r="17" spans="1:14" x14ac:dyDescent="0.25">
      <c r="C17" s="121"/>
      <c r="D17" s="17"/>
      <c r="E17" s="17"/>
      <c r="F17" s="17"/>
      <c r="G17" s="10"/>
      <c r="H17" s="17"/>
      <c r="I17" s="11"/>
      <c r="J17" s="44"/>
      <c r="K17" s="44"/>
      <c r="L17" s="42"/>
    </row>
    <row r="18" spans="1:14" x14ac:dyDescent="0.25">
      <c r="A18" s="62" t="s">
        <v>106</v>
      </c>
      <c r="C18" s="121"/>
      <c r="D18" s="18"/>
      <c r="E18" s="18"/>
      <c r="F18" s="18"/>
      <c r="G18" s="113"/>
      <c r="H18" s="18"/>
      <c r="I18" s="192"/>
      <c r="J18" s="44"/>
      <c r="K18" s="44"/>
      <c r="L18" s="42"/>
      <c r="M18" s="3" t="s">
        <v>66</v>
      </c>
      <c r="N18" s="53"/>
    </row>
    <row r="19" spans="1:14" x14ac:dyDescent="0.25">
      <c r="A19" s="62" t="s">
        <v>29</v>
      </c>
      <c r="C19" s="119">
        <v>0</v>
      </c>
      <c r="D19" s="158">
        <v>0</v>
      </c>
      <c r="E19" s="158">
        <v>0</v>
      </c>
      <c r="F19" s="214">
        <v>0</v>
      </c>
      <c r="G19" s="16">
        <f>ROUND('[5]August 2019 Combined'!$F$44,2)</f>
        <v>-4342.5</v>
      </c>
      <c r="H19" s="143">
        <v>0</v>
      </c>
      <c r="I19" s="193">
        <v>0</v>
      </c>
      <c r="J19" s="145">
        <f>'PCR Cycle 1'!J27*$M19</f>
        <v>0</v>
      </c>
      <c r="K19" s="55">
        <f>'PCR Cycle 1'!K27*$M19</f>
        <v>0</v>
      </c>
      <c r="L19" s="77">
        <f>'PCR Cycle 1'!L27*$M19</f>
        <v>0</v>
      </c>
      <c r="M19" s="88">
        <v>0</v>
      </c>
      <c r="N19" s="4"/>
    </row>
    <row r="20" spans="1:14" x14ac:dyDescent="0.25">
      <c r="A20" s="62" t="s">
        <v>30</v>
      </c>
      <c r="C20" s="119">
        <v>0</v>
      </c>
      <c r="D20" s="158">
        <v>0</v>
      </c>
      <c r="E20" s="158">
        <v>0</v>
      </c>
      <c r="F20" s="214">
        <v>0</v>
      </c>
      <c r="G20" s="16">
        <f>ROUND('[5]August 2019 Combined'!$F$45,2)</f>
        <v>-4342.51</v>
      </c>
      <c r="H20" s="143">
        <v>0</v>
      </c>
      <c r="I20" s="193">
        <v>0</v>
      </c>
      <c r="J20" s="145">
        <f>'PCR Cycle 1'!J28*$M20</f>
        <v>0</v>
      </c>
      <c r="K20" s="55">
        <f>'PCR Cycle 1'!K28*$M20</f>
        <v>0</v>
      </c>
      <c r="L20" s="77">
        <f>'PCR Cycle 1'!L28*$M20</f>
        <v>0</v>
      </c>
      <c r="M20" s="88">
        <v>0</v>
      </c>
      <c r="N20" s="4"/>
    </row>
    <row r="21" spans="1:14" x14ac:dyDescent="0.25">
      <c r="C21" s="83"/>
      <c r="D21" s="84"/>
      <c r="E21" s="84"/>
      <c r="F21" s="84"/>
      <c r="G21" s="120"/>
      <c r="H21" s="84"/>
      <c r="I21" s="194"/>
      <c r="J21" s="72"/>
      <c r="K21" s="72"/>
      <c r="L21" s="13"/>
      <c r="N21" s="4"/>
    </row>
    <row r="22" spans="1:14" x14ac:dyDescent="0.25">
      <c r="A22" s="62" t="s">
        <v>108</v>
      </c>
      <c r="C22" s="50"/>
      <c r="D22" s="51"/>
      <c r="E22" s="51"/>
      <c r="F22" s="51"/>
      <c r="G22" s="50"/>
      <c r="H22" s="51"/>
      <c r="I22" s="197"/>
      <c r="J22" s="68"/>
      <c r="K22" s="68"/>
      <c r="L22" s="52"/>
    </row>
    <row r="23" spans="1:14" x14ac:dyDescent="0.25">
      <c r="A23" s="62" t="s">
        <v>29</v>
      </c>
      <c r="C23" s="119">
        <v>0</v>
      </c>
      <c r="D23" s="131">
        <v>0</v>
      </c>
      <c r="E23" s="131">
        <v>0</v>
      </c>
      <c r="F23" s="132">
        <v>0</v>
      </c>
      <c r="G23" s="16">
        <f>+[9]OA!D8</f>
        <v>-4342.5</v>
      </c>
      <c r="H23" s="71">
        <v>0</v>
      </c>
      <c r="I23" s="191">
        <v>0</v>
      </c>
      <c r="J23" s="186">
        <v>0</v>
      </c>
      <c r="K23" s="166">
        <v>0</v>
      </c>
      <c r="L23" s="97"/>
    </row>
    <row r="24" spans="1:14" x14ac:dyDescent="0.25">
      <c r="A24" s="62" t="s">
        <v>30</v>
      </c>
      <c r="C24" s="119">
        <v>0</v>
      </c>
      <c r="D24" s="131">
        <v>0</v>
      </c>
      <c r="E24" s="131">
        <v>0</v>
      </c>
      <c r="F24" s="132">
        <v>0</v>
      </c>
      <c r="G24" s="16">
        <f>+[9]OA!D9</f>
        <v>-4342.51</v>
      </c>
      <c r="H24" s="71">
        <v>0</v>
      </c>
      <c r="I24" s="191">
        <v>0</v>
      </c>
      <c r="J24" s="186">
        <v>0</v>
      </c>
      <c r="K24" s="166">
        <v>0</v>
      </c>
      <c r="L24" s="97"/>
      <c r="N24" s="63"/>
    </row>
    <row r="25" spans="1:14" x14ac:dyDescent="0.25">
      <c r="C25" s="121"/>
      <c r="D25" s="18"/>
      <c r="E25" s="18"/>
      <c r="F25" s="18"/>
      <c r="G25" s="113"/>
      <c r="H25" s="18"/>
      <c r="I25" s="192"/>
      <c r="J25" s="72"/>
      <c r="K25" s="72"/>
      <c r="L25" s="13"/>
    </row>
    <row r="26" spans="1:14" ht="15.75" thickBot="1" x14ac:dyDescent="0.3">
      <c r="A26" s="3" t="s">
        <v>16</v>
      </c>
      <c r="B26" s="3"/>
      <c r="C26" s="125">
        <v>0</v>
      </c>
      <c r="D26" s="158">
        <v>0</v>
      </c>
      <c r="E26" s="158">
        <v>0</v>
      </c>
      <c r="F26" s="159">
        <v>0</v>
      </c>
      <c r="G26" s="39">
        <v>0</v>
      </c>
      <c r="H26" s="144">
        <v>0</v>
      </c>
      <c r="I26" s="198">
        <v>0</v>
      </c>
      <c r="J26" s="187"/>
      <c r="K26" s="168"/>
      <c r="L26" s="100"/>
    </row>
    <row r="27" spans="1:14" x14ac:dyDescent="0.25">
      <c r="C27" s="80"/>
      <c r="D27" s="173"/>
      <c r="E27" s="173"/>
      <c r="F27" s="174"/>
      <c r="G27" s="80"/>
      <c r="H27" s="47"/>
      <c r="I27" s="199"/>
      <c r="J27" s="48"/>
      <c r="K27" s="48"/>
      <c r="L27" s="76"/>
    </row>
    <row r="28" spans="1:14" x14ac:dyDescent="0.25">
      <c r="A28" s="62" t="s">
        <v>68</v>
      </c>
      <c r="C28" s="81"/>
      <c r="D28" s="174"/>
      <c r="E28" s="174"/>
      <c r="F28" s="174"/>
      <c r="G28" s="81"/>
      <c r="H28" s="49"/>
      <c r="I28" s="200"/>
      <c r="J28" s="48"/>
      <c r="K28" s="48"/>
      <c r="L28" s="76"/>
    </row>
    <row r="29" spans="1:14" x14ac:dyDescent="0.25">
      <c r="A29" s="62" t="s">
        <v>29</v>
      </c>
      <c r="C29" s="122">
        <f t="shared" ref="C29:L29" si="5">C23-C19</f>
        <v>0</v>
      </c>
      <c r="D29" s="55">
        <f t="shared" si="5"/>
        <v>0</v>
      </c>
      <c r="E29" s="55">
        <f t="shared" si="5"/>
        <v>0</v>
      </c>
      <c r="F29" s="130">
        <f t="shared" si="5"/>
        <v>0</v>
      </c>
      <c r="G29" s="54">
        <f t="shared" si="5"/>
        <v>0</v>
      </c>
      <c r="H29" s="55">
        <f t="shared" si="5"/>
        <v>0</v>
      </c>
      <c r="I29" s="77">
        <f t="shared" si="5"/>
        <v>0</v>
      </c>
      <c r="J29" s="145">
        <f t="shared" si="5"/>
        <v>0</v>
      </c>
      <c r="K29" s="55">
        <f t="shared" si="5"/>
        <v>0</v>
      </c>
      <c r="L29" s="77">
        <f t="shared" si="5"/>
        <v>0</v>
      </c>
    </row>
    <row r="30" spans="1:14" x14ac:dyDescent="0.25">
      <c r="A30" s="62" t="s">
        <v>30</v>
      </c>
      <c r="C30" s="122">
        <f t="shared" ref="C30:L30" si="6">C24-C20</f>
        <v>0</v>
      </c>
      <c r="D30" s="55">
        <f t="shared" si="6"/>
        <v>0</v>
      </c>
      <c r="E30" s="55">
        <f t="shared" si="6"/>
        <v>0</v>
      </c>
      <c r="F30" s="130">
        <f t="shared" si="6"/>
        <v>0</v>
      </c>
      <c r="G30" s="54">
        <f t="shared" si="6"/>
        <v>0</v>
      </c>
      <c r="H30" s="55">
        <f t="shared" si="6"/>
        <v>0</v>
      </c>
      <c r="I30" s="77">
        <f t="shared" si="6"/>
        <v>0</v>
      </c>
      <c r="J30" s="145">
        <f t="shared" si="6"/>
        <v>0</v>
      </c>
      <c r="K30" s="55">
        <f t="shared" si="6"/>
        <v>0</v>
      </c>
      <c r="L30" s="77">
        <f t="shared" si="6"/>
        <v>0</v>
      </c>
    </row>
    <row r="31" spans="1:14" x14ac:dyDescent="0.25">
      <c r="C31" s="121"/>
      <c r="D31" s="17"/>
      <c r="E31" s="17"/>
      <c r="F31" s="17"/>
      <c r="G31" s="10"/>
      <c r="H31" s="17"/>
      <c r="I31" s="11"/>
      <c r="J31" s="17"/>
      <c r="K31" s="17"/>
      <c r="L31" s="11"/>
    </row>
    <row r="32" spans="1:14" ht="15.75" thickBot="1" x14ac:dyDescent="0.3">
      <c r="A32" s="62" t="s">
        <v>69</v>
      </c>
      <c r="C32" s="121"/>
      <c r="D32" s="17"/>
      <c r="E32" s="17"/>
      <c r="F32" s="17"/>
      <c r="G32" s="10"/>
      <c r="H32" s="17"/>
      <c r="I32" s="11"/>
      <c r="J32" s="17"/>
      <c r="K32" s="17"/>
      <c r="L32" s="11"/>
    </row>
    <row r="33" spans="1:12" x14ac:dyDescent="0.25">
      <c r="A33" s="62" t="s">
        <v>29</v>
      </c>
      <c r="B33" s="138">
        <v>0</v>
      </c>
      <c r="C33" s="122">
        <f>B33+C29+B38</f>
        <v>0</v>
      </c>
      <c r="D33" s="55">
        <f t="shared" ref="D33:L34" si="7">C33+D29+C38</f>
        <v>0</v>
      </c>
      <c r="E33" s="55">
        <f t="shared" si="7"/>
        <v>0</v>
      </c>
      <c r="F33" s="130">
        <f t="shared" si="7"/>
        <v>0</v>
      </c>
      <c r="G33" s="54">
        <f t="shared" si="7"/>
        <v>0</v>
      </c>
      <c r="H33" s="55">
        <f t="shared" si="7"/>
        <v>0</v>
      </c>
      <c r="I33" s="77">
        <f t="shared" si="7"/>
        <v>0</v>
      </c>
      <c r="J33" s="145">
        <f t="shared" si="7"/>
        <v>0</v>
      </c>
      <c r="K33" s="55">
        <f t="shared" si="7"/>
        <v>0</v>
      </c>
      <c r="L33" s="77">
        <f t="shared" si="7"/>
        <v>0</v>
      </c>
    </row>
    <row r="34" spans="1:12" ht="15.75" thickBot="1" x14ac:dyDescent="0.3">
      <c r="A34" s="62" t="s">
        <v>30</v>
      </c>
      <c r="B34" s="139">
        <v>0</v>
      </c>
      <c r="C34" s="122">
        <f>B34+C30+B39</f>
        <v>0</v>
      </c>
      <c r="D34" s="55">
        <f t="shared" si="7"/>
        <v>0</v>
      </c>
      <c r="E34" s="55">
        <f t="shared" si="7"/>
        <v>0</v>
      </c>
      <c r="F34" s="130">
        <f t="shared" si="7"/>
        <v>0</v>
      </c>
      <c r="G34" s="54">
        <f t="shared" si="7"/>
        <v>0</v>
      </c>
      <c r="H34" s="55">
        <f t="shared" si="7"/>
        <v>0</v>
      </c>
      <c r="I34" s="77">
        <f t="shared" si="7"/>
        <v>0</v>
      </c>
      <c r="J34" s="145">
        <f t="shared" si="7"/>
        <v>0</v>
      </c>
      <c r="K34" s="55">
        <f t="shared" si="7"/>
        <v>0</v>
      </c>
      <c r="L34" s="77">
        <f t="shared" si="7"/>
        <v>0</v>
      </c>
    </row>
    <row r="35" spans="1:12" x14ac:dyDescent="0.25">
      <c r="C35" s="121"/>
      <c r="D35" s="17"/>
      <c r="E35" s="17"/>
      <c r="F35" s="17"/>
      <c r="G35" s="10"/>
      <c r="H35" s="17"/>
      <c r="I35" s="11"/>
      <c r="J35" s="17"/>
      <c r="K35" s="17"/>
      <c r="L35" s="11"/>
    </row>
    <row r="36" spans="1:12" x14ac:dyDescent="0.25">
      <c r="A36" s="53" t="s">
        <v>104</v>
      </c>
      <c r="B36" s="53"/>
      <c r="C36" s="126"/>
      <c r="D36" s="101">
        <f>+'PCR Cycle 1'!D44</f>
        <v>3.0790499999999998E-3</v>
      </c>
      <c r="E36" s="101">
        <f>+'PCR Cycle 1'!E44</f>
        <v>3.0450199999999998E-3</v>
      </c>
      <c r="F36" s="101">
        <f>+'PCR Cycle 1'!F44</f>
        <v>2.9619300000000002E-3</v>
      </c>
      <c r="G36" s="102">
        <f>+'PCR Cycle 1'!G44</f>
        <v>2.8524499999999999E-3</v>
      </c>
      <c r="H36" s="101">
        <f>+'PCR Cycle 1'!H44</f>
        <v>2.7438599999999999E-3</v>
      </c>
      <c r="I36" s="114">
        <f>+'PCR Cycle 1'!I44</f>
        <v>2.60867E-3</v>
      </c>
      <c r="J36" s="101">
        <f>+'PCR Cycle 1'!J44</f>
        <v>2.60867E-3</v>
      </c>
      <c r="K36" s="101">
        <f>+'PCR Cycle 1'!K44</f>
        <v>2.60867E-3</v>
      </c>
      <c r="L36" s="103"/>
    </row>
    <row r="37" spans="1:12" x14ac:dyDescent="0.25">
      <c r="A37" s="53" t="s">
        <v>44</v>
      </c>
      <c r="B37" s="53"/>
      <c r="C37" s="128"/>
      <c r="D37" s="101"/>
      <c r="E37" s="101"/>
      <c r="F37" s="101"/>
      <c r="G37" s="102"/>
      <c r="H37" s="101"/>
      <c r="I37" s="103"/>
      <c r="J37" s="101"/>
      <c r="K37" s="101"/>
      <c r="L37" s="103"/>
    </row>
    <row r="38" spans="1:12" x14ac:dyDescent="0.25">
      <c r="A38" s="62" t="s">
        <v>29</v>
      </c>
      <c r="C38" s="122">
        <v>0</v>
      </c>
      <c r="D38" s="55">
        <f t="shared" ref="D38:L39" si="8">ROUND((C33+C38+D29/2)*D$36,2)</f>
        <v>0</v>
      </c>
      <c r="E38" s="55">
        <f t="shared" si="8"/>
        <v>0</v>
      </c>
      <c r="F38" s="130">
        <f t="shared" si="8"/>
        <v>0</v>
      </c>
      <c r="G38" s="54">
        <f t="shared" si="8"/>
        <v>0</v>
      </c>
      <c r="H38" s="145">
        <f t="shared" si="8"/>
        <v>0</v>
      </c>
      <c r="I38" s="65">
        <f t="shared" si="8"/>
        <v>0</v>
      </c>
      <c r="J38" s="188">
        <f t="shared" si="8"/>
        <v>0</v>
      </c>
      <c r="K38" s="130">
        <f t="shared" si="8"/>
        <v>0</v>
      </c>
      <c r="L38" s="77">
        <f t="shared" si="8"/>
        <v>0</v>
      </c>
    </row>
    <row r="39" spans="1:12" ht="15.75" thickBot="1" x14ac:dyDescent="0.3">
      <c r="A39" s="62" t="s">
        <v>30</v>
      </c>
      <c r="C39" s="122">
        <v>0</v>
      </c>
      <c r="D39" s="55">
        <f t="shared" si="8"/>
        <v>0</v>
      </c>
      <c r="E39" s="55">
        <f t="shared" si="8"/>
        <v>0</v>
      </c>
      <c r="F39" s="130">
        <f t="shared" si="8"/>
        <v>0</v>
      </c>
      <c r="G39" s="54">
        <f t="shared" si="8"/>
        <v>0</v>
      </c>
      <c r="H39" s="145">
        <f t="shared" si="8"/>
        <v>0</v>
      </c>
      <c r="I39" s="65">
        <f t="shared" si="8"/>
        <v>0</v>
      </c>
      <c r="J39" s="188">
        <f t="shared" si="8"/>
        <v>0</v>
      </c>
      <c r="K39" s="130">
        <f t="shared" si="8"/>
        <v>0</v>
      </c>
      <c r="L39" s="77">
        <f t="shared" si="8"/>
        <v>0</v>
      </c>
    </row>
    <row r="40" spans="1:12" ht="16.5" thickTop="1" thickBot="1" x14ac:dyDescent="0.3">
      <c r="A40" s="70" t="s">
        <v>25</v>
      </c>
      <c r="B40" s="70"/>
      <c r="C40" s="129">
        <v>0</v>
      </c>
      <c r="D40" s="56">
        <f t="shared" ref="D40:I40" si="9">SUM(D38:D39)+SUM(D33:D34)-D43</f>
        <v>0</v>
      </c>
      <c r="E40" s="56">
        <f t="shared" si="9"/>
        <v>0</v>
      </c>
      <c r="F40" s="66">
        <f t="shared" ref="F40:H40" si="10">SUM(F38:F39)+SUM(F33:F34)-F43</f>
        <v>0</v>
      </c>
      <c r="G40" s="171">
        <f t="shared" si="10"/>
        <v>0</v>
      </c>
      <c r="H40" s="66">
        <f t="shared" si="10"/>
        <v>0</v>
      </c>
      <c r="I40" s="78">
        <f t="shared" si="9"/>
        <v>0</v>
      </c>
      <c r="J40" s="189">
        <f t="shared" ref="J40:L40" si="11">SUM(J38:J39)+SUM(J33:J34)-J43</f>
        <v>0</v>
      </c>
      <c r="K40" s="66">
        <f t="shared" si="11"/>
        <v>0</v>
      </c>
      <c r="L40" s="78">
        <f t="shared" si="11"/>
        <v>0</v>
      </c>
    </row>
    <row r="41" spans="1:12" ht="16.5" thickTop="1" thickBot="1" x14ac:dyDescent="0.3">
      <c r="A41" s="70" t="s">
        <v>26</v>
      </c>
      <c r="B41" s="70"/>
      <c r="C41" s="129">
        <v>0</v>
      </c>
      <c r="D41" s="56">
        <f t="shared" ref="D41:I41" si="12">SUM(D38:D39)-D26</f>
        <v>0</v>
      </c>
      <c r="E41" s="56">
        <f t="shared" si="12"/>
        <v>0</v>
      </c>
      <c r="F41" s="66">
        <f t="shared" ref="F41:H41" si="13">SUM(F38:F39)-F26</f>
        <v>0</v>
      </c>
      <c r="G41" s="171">
        <f t="shared" si="13"/>
        <v>0</v>
      </c>
      <c r="H41" s="66">
        <f t="shared" si="13"/>
        <v>0</v>
      </c>
      <c r="I41" s="78">
        <f t="shared" si="12"/>
        <v>0</v>
      </c>
      <c r="J41" s="190">
        <f t="shared" ref="J41:L41" si="14">SUM(J38:J39)-J26</f>
        <v>0</v>
      </c>
      <c r="K41" s="56">
        <f t="shared" si="14"/>
        <v>0</v>
      </c>
      <c r="L41" s="56">
        <f t="shared" si="14"/>
        <v>0</v>
      </c>
    </row>
    <row r="42" spans="1:12" ht="16.5" thickTop="1" thickBot="1" x14ac:dyDescent="0.3">
      <c r="C42" s="121"/>
      <c r="D42" s="17"/>
      <c r="E42" s="17"/>
      <c r="F42" s="17"/>
      <c r="G42" s="10"/>
      <c r="H42" s="17"/>
      <c r="I42" s="11"/>
      <c r="J42" s="17"/>
      <c r="K42" s="17"/>
      <c r="L42" s="11"/>
    </row>
    <row r="43" spans="1:12" ht="15.75" thickBot="1" x14ac:dyDescent="0.3">
      <c r="A43" s="62" t="s">
        <v>42</v>
      </c>
      <c r="B43" s="141">
        <v>0</v>
      </c>
      <c r="C43" s="122">
        <f t="shared" ref="C43:L43" si="15">(C16-SUM(C19:C20))+SUM(C38:C39)+B43</f>
        <v>0</v>
      </c>
      <c r="D43" s="55">
        <f t="shared" si="15"/>
        <v>0</v>
      </c>
      <c r="E43" s="55">
        <f t="shared" si="15"/>
        <v>0</v>
      </c>
      <c r="F43" s="130">
        <f t="shared" si="15"/>
        <v>0</v>
      </c>
      <c r="G43" s="54">
        <f t="shared" si="15"/>
        <v>0</v>
      </c>
      <c r="H43" s="55">
        <f t="shared" si="15"/>
        <v>0</v>
      </c>
      <c r="I43" s="77">
        <f t="shared" si="15"/>
        <v>0</v>
      </c>
      <c r="J43" s="188">
        <f t="shared" si="15"/>
        <v>0</v>
      </c>
      <c r="K43" s="130">
        <f t="shared" si="15"/>
        <v>0</v>
      </c>
      <c r="L43" s="77">
        <f t="shared" si="15"/>
        <v>0</v>
      </c>
    </row>
    <row r="44" spans="1:12" x14ac:dyDescent="0.25">
      <c r="A44" s="62" t="s">
        <v>14</v>
      </c>
      <c r="C44" s="142"/>
      <c r="D44" s="17"/>
      <c r="E44" s="17"/>
      <c r="F44" s="17"/>
      <c r="G44" s="10"/>
      <c r="H44" s="17"/>
      <c r="I44" s="11"/>
      <c r="J44" s="17"/>
      <c r="K44" s="17"/>
      <c r="L44" s="11"/>
    </row>
    <row r="45" spans="1:12" ht="15.75" thickBot="1" x14ac:dyDescent="0.3">
      <c r="A45" s="51"/>
      <c r="B45" s="51"/>
      <c r="C45" s="172"/>
      <c r="D45" s="58"/>
      <c r="E45" s="58"/>
      <c r="F45" s="58"/>
      <c r="G45" s="57"/>
      <c r="H45" s="58"/>
      <c r="I45" s="59"/>
      <c r="J45" s="58"/>
      <c r="K45" s="58"/>
      <c r="L45" s="59"/>
    </row>
    <row r="47" spans="1:12" x14ac:dyDescent="0.25">
      <c r="A47" s="85" t="s">
        <v>13</v>
      </c>
      <c r="B47" s="85"/>
      <c r="C47" s="85"/>
    </row>
    <row r="48" spans="1:12" x14ac:dyDescent="0.25">
      <c r="A48" s="293" t="s">
        <v>175</v>
      </c>
      <c r="B48" s="293"/>
      <c r="C48" s="293"/>
      <c r="D48" s="293"/>
      <c r="E48" s="293"/>
      <c r="F48" s="293"/>
      <c r="G48" s="293"/>
      <c r="H48" s="293"/>
      <c r="I48" s="293"/>
      <c r="J48" s="211"/>
      <c r="K48" s="211"/>
      <c r="L48" s="211"/>
    </row>
    <row r="49" spans="1:12" ht="32.25" customHeight="1" x14ac:dyDescent="0.25">
      <c r="A49" s="293" t="s">
        <v>176</v>
      </c>
      <c r="B49" s="293"/>
      <c r="C49" s="293"/>
      <c r="D49" s="293"/>
      <c r="E49" s="293"/>
      <c r="F49" s="293"/>
      <c r="G49" s="293"/>
      <c r="H49" s="293"/>
      <c r="I49" s="293"/>
      <c r="J49" s="211"/>
      <c r="K49" s="211"/>
    </row>
    <row r="50" spans="1:12" ht="18.75" customHeight="1" x14ac:dyDescent="0.25">
      <c r="A50" s="3" t="s">
        <v>37</v>
      </c>
      <c r="B50" s="3"/>
      <c r="C50" s="3"/>
      <c r="I50" s="4"/>
      <c r="J50" s="211"/>
      <c r="K50" s="211"/>
      <c r="L50" s="211"/>
    </row>
    <row r="51" spans="1:12" x14ac:dyDescent="0.25">
      <c r="A51" s="3" t="s">
        <v>156</v>
      </c>
      <c r="B51" s="3"/>
      <c r="C51" s="3"/>
      <c r="I51" s="4"/>
    </row>
    <row r="52" spans="1:12" x14ac:dyDescent="0.25">
      <c r="A52" s="3" t="s">
        <v>174</v>
      </c>
      <c r="B52" s="3"/>
      <c r="C52" s="3"/>
      <c r="I52" s="4"/>
    </row>
    <row r="53" spans="1:12" x14ac:dyDescent="0.25">
      <c r="A53" s="3" t="s">
        <v>153</v>
      </c>
      <c r="B53" s="79"/>
      <c r="C53" s="79"/>
      <c r="D53" s="53"/>
      <c r="E53" s="53"/>
      <c r="F53" s="53"/>
      <c r="G53" s="53"/>
      <c r="H53" s="53"/>
      <c r="I53" s="53"/>
    </row>
    <row r="54" spans="1:12" x14ac:dyDescent="0.25">
      <c r="A54" s="3"/>
      <c r="B54" s="3"/>
      <c r="C54" s="3"/>
    </row>
  </sheetData>
  <mergeCells count="5">
    <mergeCell ref="D14:F14"/>
    <mergeCell ref="G14:I14"/>
    <mergeCell ref="J14:L14"/>
    <mergeCell ref="A48:I48"/>
    <mergeCell ref="A49:I49"/>
  </mergeCells>
  <pageMargins left="0.2" right="0.2" top="0.75" bottom="0.25" header="0.3" footer="0.3"/>
  <pageSetup scale="62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54"/>
  <sheetViews>
    <sheetView workbookViewId="0">
      <selection activeCell="A2" sqref="A2"/>
    </sheetView>
  </sheetViews>
  <sheetFormatPr defaultRowHeight="15" x14ac:dyDescent="0.25"/>
  <cols>
    <col min="1" max="1" width="20.85546875" customWidth="1"/>
    <col min="2" max="2" width="22" customWidth="1"/>
    <col min="3" max="3" width="17.28515625" customWidth="1"/>
    <col min="4" max="4" width="16.28515625" customWidth="1"/>
    <col min="5" max="5" width="15.5703125" bestFit="1" customWidth="1"/>
    <col min="6" max="9" width="17.7109375" customWidth="1"/>
  </cols>
  <sheetData>
    <row r="1" spans="1:32" s="62" customFormat="1" x14ac:dyDescent="0.25">
      <c r="A1" s="79" t="s">
        <v>203</v>
      </c>
    </row>
    <row r="2" spans="1:32" ht="15.75" thickBot="1" x14ac:dyDescent="0.3">
      <c r="A2" s="9" t="s">
        <v>142</v>
      </c>
    </row>
    <row r="3" spans="1:32" ht="35.25" customHeight="1" thickBot="1" x14ac:dyDescent="0.3">
      <c r="B3" s="281" t="s">
        <v>85</v>
      </c>
      <c r="C3" s="281"/>
      <c r="E3" s="282" t="s">
        <v>5</v>
      </c>
      <c r="F3" s="283"/>
      <c r="G3" s="283"/>
      <c r="H3" s="283"/>
      <c r="I3" s="284"/>
    </row>
    <row r="4" spans="1:32" ht="45" x14ac:dyDescent="0.25">
      <c r="B4" s="86" t="s">
        <v>60</v>
      </c>
      <c r="C4" s="6" t="s">
        <v>31</v>
      </c>
      <c r="E4" s="10"/>
      <c r="F4" s="90" t="s">
        <v>29</v>
      </c>
      <c r="G4" s="90" t="s">
        <v>30</v>
      </c>
      <c r="H4" s="90" t="s">
        <v>80</v>
      </c>
      <c r="I4" s="91" t="s">
        <v>1</v>
      </c>
    </row>
    <row r="5" spans="1:32" x14ac:dyDescent="0.25">
      <c r="A5" s="22" t="s">
        <v>29</v>
      </c>
      <c r="B5" s="93">
        <f>SUM('[1]Billed kWh Sales'!$E36:$F36)</f>
        <v>2542026221</v>
      </c>
      <c r="C5" s="36">
        <f>SUM(F9:I9)</f>
        <v>201485.565</v>
      </c>
      <c r="D5" s="4"/>
      <c r="E5" s="25"/>
      <c r="F5" s="27">
        <v>1</v>
      </c>
      <c r="G5" s="27">
        <v>0</v>
      </c>
      <c r="H5" s="27">
        <v>0.5</v>
      </c>
      <c r="I5" s="28">
        <v>0.5</v>
      </c>
    </row>
    <row r="6" spans="1:32" ht="15.75" thickBot="1" x14ac:dyDescent="0.3">
      <c r="A6" s="22" t="s">
        <v>30</v>
      </c>
      <c r="B6" s="93">
        <f>SUM('[1]Billed kWh Sales'!$E37:$F40)</f>
        <v>4173610681</v>
      </c>
      <c r="C6" s="36">
        <f>SUM(F10:I10)</f>
        <v>265812.97499999998</v>
      </c>
      <c r="D6" s="4"/>
      <c r="E6" s="25"/>
      <c r="F6" s="27">
        <v>0</v>
      </c>
      <c r="G6" s="27">
        <v>1</v>
      </c>
      <c r="H6" s="27">
        <v>0.5</v>
      </c>
      <c r="I6" s="28">
        <v>0.5</v>
      </c>
    </row>
    <row r="7" spans="1:32" ht="16.5" thickTop="1" thickBot="1" x14ac:dyDescent="0.3">
      <c r="A7" s="22" t="s">
        <v>6</v>
      </c>
      <c r="B7" s="35">
        <f>SUM(B5:B6)</f>
        <v>6715636902</v>
      </c>
      <c r="C7" s="24">
        <f>SUM(C5:C6)</f>
        <v>467298.54</v>
      </c>
      <c r="D7" s="4"/>
      <c r="E7" s="31" t="s">
        <v>12</v>
      </c>
      <c r="F7" s="21">
        <f>1-SUM(F5:F6)</f>
        <v>0</v>
      </c>
      <c r="G7" s="21">
        <f>1-SUM(G5:G6)</f>
        <v>0</v>
      </c>
      <c r="H7" s="21">
        <f>1-SUM(H5:H6)</f>
        <v>0</v>
      </c>
      <c r="I7" s="21">
        <f>1-SUM(I5:I6)</f>
        <v>0</v>
      </c>
    </row>
    <row r="8" spans="1:32" ht="16.5" thickTop="1" thickBot="1" x14ac:dyDescent="0.3">
      <c r="B8" s="33" t="s">
        <v>12</v>
      </c>
      <c r="C8" s="21">
        <f>SUM(F8:I8)-C7</f>
        <v>0</v>
      </c>
      <c r="D8" s="2"/>
      <c r="E8" s="32" t="s">
        <v>6</v>
      </c>
      <c r="F8" s="37">
        <f>+'[2]Program Costs - Metro'!$BS$159</f>
        <v>180591.84</v>
      </c>
      <c r="G8" s="37">
        <f>+'[2]Program Costs - Metro'!$BS$160</f>
        <v>244919.25</v>
      </c>
      <c r="H8" s="37">
        <f>+'[2]Program Costs - Metro'!$BS$161</f>
        <v>41787.450000000004</v>
      </c>
      <c r="I8" s="38">
        <f>+'[2]Program Costs - Metro'!$BS$162</f>
        <v>0</v>
      </c>
    </row>
    <row r="9" spans="1:32" ht="30.75" thickTop="1" x14ac:dyDescent="0.25">
      <c r="D9" s="258" t="s">
        <v>147</v>
      </c>
      <c r="E9" s="105" t="s">
        <v>29</v>
      </c>
      <c r="F9" s="106">
        <f t="shared" ref="F9:I10" si="0">F5*F$8</f>
        <v>180591.84</v>
      </c>
      <c r="G9" s="106">
        <f t="shared" si="0"/>
        <v>0</v>
      </c>
      <c r="H9" s="106">
        <f t="shared" si="0"/>
        <v>20893.725000000002</v>
      </c>
      <c r="I9" s="107">
        <f t="shared" si="0"/>
        <v>0</v>
      </c>
    </row>
    <row r="10" spans="1:32" ht="15.75" thickBot="1" x14ac:dyDescent="0.3">
      <c r="A10" s="22" t="s">
        <v>136</v>
      </c>
      <c r="B10" s="93">
        <f>SUM('[1]Billed kWh Sales'!$E37:F37)</f>
        <v>421005913</v>
      </c>
      <c r="C10" s="36">
        <f>ROUND($C$6*D10,2)</f>
        <v>37926.160000000003</v>
      </c>
      <c r="D10" s="256">
        <f>+'[3]Monthly TD Calc'!$CY$44</f>
        <v>0.14267984863071587</v>
      </c>
      <c r="E10" s="26" t="s">
        <v>30</v>
      </c>
      <c r="F10" s="29">
        <f t="shared" si="0"/>
        <v>0</v>
      </c>
      <c r="G10" s="29">
        <f t="shared" si="0"/>
        <v>244919.25</v>
      </c>
      <c r="H10" s="29">
        <f t="shared" si="0"/>
        <v>20893.725000000002</v>
      </c>
      <c r="I10" s="30">
        <f t="shared" si="0"/>
        <v>0</v>
      </c>
    </row>
    <row r="11" spans="1:32" x14ac:dyDescent="0.25">
      <c r="A11" s="22" t="s">
        <v>137</v>
      </c>
      <c r="B11" s="93">
        <f>SUM('[1]Billed kWh Sales'!$E38:F38)</f>
        <v>1187184791</v>
      </c>
      <c r="C11" s="36">
        <f>ROUND($C$6*D11,2)</f>
        <v>94918.79</v>
      </c>
      <c r="D11" s="256">
        <f>+'[3]Monthly TD Calc'!$CZ$44</f>
        <v>0.35708861589367091</v>
      </c>
    </row>
    <row r="12" spans="1:32" x14ac:dyDescent="0.25">
      <c r="A12" s="22" t="s">
        <v>138</v>
      </c>
      <c r="B12" s="93">
        <f>SUM('[1]Billed kWh Sales'!$E39:F39)</f>
        <v>1892660614</v>
      </c>
      <c r="C12" s="36">
        <f>ROUND($C$6*D12,2)</f>
        <v>107852.55</v>
      </c>
      <c r="D12" s="256">
        <f>+'[3]Monthly TD Calc'!$DA$44</f>
        <v>0.40574599013503615</v>
      </c>
    </row>
    <row r="13" spans="1:32" x14ac:dyDescent="0.25">
      <c r="A13" s="22" t="s">
        <v>139</v>
      </c>
      <c r="B13" s="93">
        <f>SUM('[1]Billed kWh Sales'!$E40:F40)</f>
        <v>672759363</v>
      </c>
      <c r="C13" s="36">
        <f>ROUND($C$6*D13,2)</f>
        <v>25115.48</v>
      </c>
      <c r="D13" s="256">
        <f>+'[3]Monthly TD Calc'!$DB$44</f>
        <v>9.4485545340576932E-2</v>
      </c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62" customFormat="1" x14ac:dyDescent="0.25">
      <c r="A14" s="43" t="s">
        <v>143</v>
      </c>
      <c r="B14" s="35">
        <f>SUM(B10:B13)</f>
        <v>4173610681</v>
      </c>
      <c r="C14" s="24">
        <f>SUM(C10:C13)</f>
        <v>265812.98</v>
      </c>
      <c r="D14" s="257">
        <f>SUM(D10:D13)</f>
        <v>0.99999999999999989</v>
      </c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5">
      <c r="F15" s="61"/>
      <c r="G15" s="61"/>
      <c r="H15" s="61"/>
      <c r="I15" s="175"/>
      <c r="J15" s="61"/>
    </row>
    <row r="16" spans="1:32" s="62" customFormat="1" x14ac:dyDescent="0.25">
      <c r="A16" s="69" t="s">
        <v>13</v>
      </c>
      <c r="I16" s="175"/>
    </row>
    <row r="17" spans="1:10" x14ac:dyDescent="0.25">
      <c r="A17" s="285" t="s">
        <v>134</v>
      </c>
      <c r="B17" s="285"/>
      <c r="C17" s="285"/>
      <c r="D17" s="285"/>
      <c r="E17" s="285"/>
      <c r="F17" s="285"/>
      <c r="G17" s="285"/>
      <c r="H17" s="285"/>
      <c r="I17" s="285"/>
    </row>
    <row r="18" spans="1:10" x14ac:dyDescent="0.25">
      <c r="A18" s="285" t="s">
        <v>135</v>
      </c>
      <c r="B18" s="285"/>
      <c r="C18" s="285"/>
      <c r="D18" s="285"/>
      <c r="E18" s="285"/>
      <c r="F18" s="285"/>
      <c r="G18" s="285"/>
      <c r="H18" s="285"/>
      <c r="I18" s="285"/>
    </row>
    <row r="19" spans="1:10" x14ac:dyDescent="0.25">
      <c r="A19" s="3" t="s">
        <v>141</v>
      </c>
      <c r="I19" s="175"/>
    </row>
    <row r="20" spans="1:10" x14ac:dyDescent="0.25">
      <c r="I20" s="175"/>
    </row>
    <row r="21" spans="1:10" x14ac:dyDescent="0.25">
      <c r="I21" s="175"/>
    </row>
    <row r="28" spans="1:10" x14ac:dyDescent="0.25">
      <c r="C28" s="2"/>
    </row>
    <row r="30" spans="1:10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25">
      <c r="A31" s="62"/>
      <c r="B31" s="62"/>
      <c r="C31" s="62"/>
      <c r="E31" s="62"/>
      <c r="F31" s="62"/>
      <c r="G31" s="62"/>
      <c r="H31" s="62"/>
      <c r="I31" s="62"/>
      <c r="J31" s="62"/>
    </row>
    <row r="32" spans="1:10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</row>
    <row r="33" spans="1:10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</row>
    <row r="36" spans="1:10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</row>
    <row r="38" spans="1:10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</row>
    <row r="39" spans="1:10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</row>
    <row r="40" spans="1:10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</row>
    <row r="41" spans="1:10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</row>
    <row r="42" spans="1:10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</row>
    <row r="43" spans="1:10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</row>
    <row r="44" spans="1:10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</row>
    <row r="50" spans="2:4" x14ac:dyDescent="0.25">
      <c r="B50" s="8"/>
      <c r="C50" s="8"/>
      <c r="D50" s="8"/>
    </row>
    <row r="54" spans="2:4" x14ac:dyDescent="0.25">
      <c r="B54" s="8"/>
      <c r="C54" s="8"/>
      <c r="D54" s="8"/>
    </row>
  </sheetData>
  <mergeCells count="4">
    <mergeCell ref="B3:C3"/>
    <mergeCell ref="E3:I3"/>
    <mergeCell ref="A17:I17"/>
    <mergeCell ref="A18:I18"/>
  </mergeCells>
  <pageMargins left="0.2" right="0.2" top="0.75" bottom="0.25" header="0.3" footer="0.3"/>
  <pageSetup scale="80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C4F0-FFC7-44B5-9D2D-BC0992E47F43}">
  <sheetPr>
    <pageSetUpPr fitToPage="1"/>
  </sheetPr>
  <dimension ref="A1:Y49"/>
  <sheetViews>
    <sheetView workbookViewId="0"/>
  </sheetViews>
  <sheetFormatPr defaultRowHeight="15" x14ac:dyDescent="0.25"/>
  <cols>
    <col min="1" max="1" width="20.85546875" style="62" customWidth="1"/>
    <col min="2" max="2" width="22" style="62" customWidth="1"/>
    <col min="3" max="3" width="17.28515625" style="62" customWidth="1"/>
    <col min="4" max="16384" width="9.140625" style="62"/>
  </cols>
  <sheetData>
    <row r="1" spans="1:25" x14ac:dyDescent="0.25">
      <c r="A1" s="79" t="str">
        <f>+'PPC Cycle 2'!A1</f>
        <v>Evergy Metro, Inc. - DSIM Rider Update MEEIA 3 filed January 20, 2020</v>
      </c>
    </row>
    <row r="2" spans="1:25" x14ac:dyDescent="0.25">
      <c r="A2" s="9" t="s">
        <v>144</v>
      </c>
    </row>
    <row r="3" spans="1:25" ht="35.25" customHeight="1" x14ac:dyDescent="0.25">
      <c r="B3" s="281" t="s">
        <v>145</v>
      </c>
      <c r="C3" s="281"/>
    </row>
    <row r="4" spans="1:25" x14ac:dyDescent="0.25">
      <c r="B4" s="264" t="s">
        <v>148</v>
      </c>
    </row>
    <row r="5" spans="1:25" x14ac:dyDescent="0.25">
      <c r="A5" s="22" t="s">
        <v>29</v>
      </c>
      <c r="B5" s="262">
        <f>ROUND(SUM('[4]Monthly Program Costs'!$H291:$I291),2)</f>
        <v>6141583.4800000004</v>
      </c>
    </row>
    <row r="6" spans="1:25" x14ac:dyDescent="0.25">
      <c r="A6" s="22" t="s">
        <v>136</v>
      </c>
      <c r="B6" s="262">
        <f>ROUND(SUM('[4]Monthly Program Costs'!$H292:$I292),2)</f>
        <v>589503.51</v>
      </c>
    </row>
    <row r="7" spans="1:25" x14ac:dyDescent="0.25">
      <c r="A7" s="22" t="s">
        <v>137</v>
      </c>
      <c r="B7" s="262">
        <f>ROUND(SUM('[4]Monthly Program Costs'!$H293:$I293),2)</f>
        <v>1355115.21</v>
      </c>
    </row>
    <row r="8" spans="1:25" x14ac:dyDescent="0.25">
      <c r="A8" s="22" t="s">
        <v>138</v>
      </c>
      <c r="B8" s="262">
        <f>ROUND(SUM('[4]Monthly Program Costs'!$H294:$I294),2)</f>
        <v>2282517.67</v>
      </c>
    </row>
    <row r="9" spans="1:25" x14ac:dyDescent="0.25">
      <c r="A9" s="22" t="s">
        <v>139</v>
      </c>
      <c r="B9" s="262">
        <f>ROUND(SUM('[4]Monthly Program Costs'!$H295:$I295),2)</f>
        <v>805570.42</v>
      </c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43" t="s">
        <v>143</v>
      </c>
      <c r="B10" s="263">
        <f>SUM(B5:B9)</f>
        <v>11174290.290000001</v>
      </c>
      <c r="P10" s="1"/>
      <c r="Q10" s="1"/>
      <c r="R10" s="1"/>
      <c r="S10" s="1"/>
      <c r="T10" s="1"/>
      <c r="U10" s="1"/>
      <c r="V10" s="1"/>
      <c r="W10" s="1"/>
      <c r="X10" s="1"/>
      <c r="Y10" s="1"/>
    </row>
    <row r="12" spans="1:25" x14ac:dyDescent="0.25">
      <c r="A12" s="69" t="s">
        <v>13</v>
      </c>
    </row>
    <row r="13" spans="1:25" ht="47.25" customHeight="1" x14ac:dyDescent="0.25">
      <c r="A13" s="286" t="s">
        <v>149</v>
      </c>
      <c r="B13" s="286"/>
      <c r="C13" s="286"/>
    </row>
    <row r="14" spans="1:25" x14ac:dyDescent="0.25">
      <c r="A14" s="3"/>
    </row>
    <row r="23" spans="3:3" x14ac:dyDescent="0.25">
      <c r="C23" s="2"/>
    </row>
    <row r="45" spans="2:3" x14ac:dyDescent="0.25">
      <c r="B45" s="8"/>
      <c r="C45" s="8"/>
    </row>
    <row r="49" spans="2:3" x14ac:dyDescent="0.25">
      <c r="B49" s="8"/>
      <c r="C49" s="8"/>
    </row>
  </sheetData>
  <mergeCells count="2">
    <mergeCell ref="B3:C3"/>
    <mergeCell ref="A13:C13"/>
  </mergeCells>
  <pageMargins left="0.2" right="0.2" top="0.75" bottom="0.25" header="0.3" footer="0.3"/>
  <pageSetup scale="80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71"/>
  <sheetViews>
    <sheetView workbookViewId="0"/>
  </sheetViews>
  <sheetFormatPr defaultRowHeight="15" x14ac:dyDescent="0.25"/>
  <cols>
    <col min="1" max="1" width="54.5703125" customWidth="1"/>
    <col min="2" max="2" width="14.7109375" style="62" bestFit="1" customWidth="1"/>
    <col min="3" max="3" width="15" style="62" bestFit="1" customWidth="1"/>
    <col min="4" max="4" width="15.140625" customWidth="1"/>
    <col min="5" max="5" width="15.85546875" bestFit="1" customWidth="1"/>
    <col min="6" max="6" width="17.5703125" style="62" bestFit="1" customWidth="1"/>
    <col min="7" max="8" width="13.28515625" style="62" bestFit="1" customWidth="1"/>
    <col min="9" max="9" width="12.5703125" bestFit="1" customWidth="1"/>
    <col min="10" max="11" width="12.5703125" style="62" bestFit="1" customWidth="1"/>
    <col min="12" max="12" width="12.28515625" style="62" bestFit="1" customWidth="1"/>
    <col min="13" max="13" width="15" bestFit="1" customWidth="1"/>
    <col min="14" max="14" width="16.28515625" bestFit="1" customWidth="1"/>
    <col min="15" max="15" width="15.5703125" customWidth="1"/>
    <col min="16" max="16" width="13" customWidth="1"/>
    <col min="18" max="18" width="14.28515625" bestFit="1" customWidth="1"/>
  </cols>
  <sheetData>
    <row r="1" spans="1:31" x14ac:dyDescent="0.25">
      <c r="A1" s="3" t="str">
        <f>+'PPC Cycle 2'!A1</f>
        <v>Evergy Metro, Inc. - DSIM Rider Update MEEIA 3 filed January 20, 2020</v>
      </c>
      <c r="B1" s="3"/>
      <c r="C1" s="3"/>
    </row>
    <row r="2" spans="1:31" x14ac:dyDescent="0.25">
      <c r="D2" s="3" t="s">
        <v>79</v>
      </c>
    </row>
    <row r="3" spans="1:31" ht="30" x14ac:dyDescent="0.25">
      <c r="D3" s="6" t="s">
        <v>62</v>
      </c>
      <c r="E3" s="6" t="s">
        <v>61</v>
      </c>
      <c r="F3" s="86" t="s">
        <v>2</v>
      </c>
      <c r="G3" s="6" t="s">
        <v>3</v>
      </c>
      <c r="H3" s="86" t="s">
        <v>71</v>
      </c>
      <c r="I3" s="6" t="s">
        <v>11</v>
      </c>
      <c r="J3" s="6" t="s">
        <v>4</v>
      </c>
    </row>
    <row r="4" spans="1:31" x14ac:dyDescent="0.25">
      <c r="A4" s="22" t="s">
        <v>29</v>
      </c>
      <c r="D4" s="24">
        <f>SUM(C31:L31)</f>
        <v>0</v>
      </c>
      <c r="E4" s="160">
        <f>SUM(C27:L27)</f>
        <v>1380664357.1892004</v>
      </c>
      <c r="F4" s="24">
        <f>SUM(C23:K23)</f>
        <v>0</v>
      </c>
      <c r="G4" s="24">
        <f>F4-D4</f>
        <v>0</v>
      </c>
      <c r="H4" s="24">
        <f>+B41</f>
        <v>0</v>
      </c>
      <c r="I4" s="24">
        <f>SUM(C46:K46)</f>
        <v>0</v>
      </c>
      <c r="J4" s="36">
        <f>SUM(G4:I4)</f>
        <v>0</v>
      </c>
      <c r="K4" s="63">
        <f>+J4-L41</f>
        <v>0</v>
      </c>
      <c r="M4" s="45"/>
    </row>
    <row r="5" spans="1:31" ht="15.75" thickBot="1" x14ac:dyDescent="0.3">
      <c r="A5" s="22" t="s">
        <v>30</v>
      </c>
      <c r="D5" s="24">
        <f>SUM(C32:L32)</f>
        <v>-7456.3871200000003</v>
      </c>
      <c r="E5" s="160">
        <f>SUM(C28:L28)</f>
        <v>1176033045.3496001</v>
      </c>
      <c r="F5" s="24">
        <f>SUM(C24:K24)</f>
        <v>0</v>
      </c>
      <c r="G5" s="24">
        <f>F5-D5</f>
        <v>7456.3871200000003</v>
      </c>
      <c r="H5" s="24">
        <f>+B42</f>
        <v>-7430.9199999999992</v>
      </c>
      <c r="I5" s="24">
        <f>SUM(C47:K47)</f>
        <v>-25.470000000000002</v>
      </c>
      <c r="J5" s="36">
        <f>SUM(G5:I5)</f>
        <v>-2.8799999988429192E-3</v>
      </c>
      <c r="K5" s="63">
        <f>+J5-L42</f>
        <v>-3.907985046680551E-14</v>
      </c>
      <c r="M5" s="45"/>
    </row>
    <row r="6" spans="1:31" ht="16.5" thickTop="1" thickBot="1" x14ac:dyDescent="0.3">
      <c r="D6" s="40">
        <f t="shared" ref="D6" si="0">SUM(D4:D5)</f>
        <v>-7456.3871200000003</v>
      </c>
      <c r="E6" s="40">
        <f t="shared" ref="E6:H6" si="1">SUM(E4:E5)</f>
        <v>2556697402.5388002</v>
      </c>
      <c r="F6" s="40">
        <f t="shared" si="1"/>
        <v>0</v>
      </c>
      <c r="G6" s="40">
        <f t="shared" si="1"/>
        <v>7456.3871200000003</v>
      </c>
      <c r="H6" s="40">
        <f t="shared" si="1"/>
        <v>-7430.9199999999992</v>
      </c>
      <c r="I6" s="40">
        <f>SUM(I4:I5)</f>
        <v>-25.470000000000002</v>
      </c>
      <c r="J6" s="40">
        <f>SUM(J4:J5)</f>
        <v>-2.8799999988429192E-3</v>
      </c>
    </row>
    <row r="7" spans="1:31" s="62" customFormat="1" ht="45.75" thickTop="1" x14ac:dyDescent="0.25">
      <c r="D7" s="260"/>
      <c r="E7" s="261"/>
      <c r="F7" s="260"/>
      <c r="G7" s="260"/>
      <c r="H7" s="260"/>
      <c r="I7" s="259"/>
      <c r="J7" s="259"/>
      <c r="K7" s="258" t="s">
        <v>152</v>
      </c>
    </row>
    <row r="8" spans="1:31" s="62" customFormat="1" x14ac:dyDescent="0.25">
      <c r="A8" s="22" t="s">
        <v>136</v>
      </c>
      <c r="D8" s="260"/>
      <c r="E8" s="261"/>
      <c r="F8" s="260"/>
      <c r="G8" s="260"/>
      <c r="H8" s="260"/>
      <c r="I8" s="259"/>
      <c r="J8" s="36">
        <f>ROUND($J$5*K8,2)</f>
        <v>0</v>
      </c>
      <c r="K8" s="256">
        <f>+'[3]Monthly TD Calc'!$CY$44</f>
        <v>0.14267984863071587</v>
      </c>
    </row>
    <row r="9" spans="1:31" s="62" customFormat="1" x14ac:dyDescent="0.25">
      <c r="A9" s="22" t="s">
        <v>137</v>
      </c>
      <c r="D9" s="260"/>
      <c r="E9" s="261"/>
      <c r="F9" s="260"/>
      <c r="G9" s="260"/>
      <c r="H9" s="260"/>
      <c r="I9" s="259"/>
      <c r="J9" s="36">
        <f t="shared" ref="J9:J11" si="2">ROUND($J$5*K9,2)</f>
        <v>0</v>
      </c>
      <c r="K9" s="256">
        <f>+'[3]Monthly TD Calc'!$CZ$44</f>
        <v>0.35708861589367091</v>
      </c>
    </row>
    <row r="10" spans="1:31" s="62" customFormat="1" x14ac:dyDescent="0.25">
      <c r="A10" s="22" t="s">
        <v>138</v>
      </c>
      <c r="D10" s="260"/>
      <c r="E10" s="261"/>
      <c r="F10" s="260"/>
      <c r="G10" s="260"/>
      <c r="H10" s="260"/>
      <c r="I10" s="259"/>
      <c r="J10" s="36">
        <f t="shared" si="2"/>
        <v>0</v>
      </c>
      <c r="K10" s="256">
        <f>+'[3]Monthly TD Calc'!$DA$44</f>
        <v>0.40574599013503615</v>
      </c>
    </row>
    <row r="11" spans="1:31" s="62" customFormat="1" ht="15.75" thickBot="1" x14ac:dyDescent="0.3">
      <c r="A11" s="22" t="s">
        <v>139</v>
      </c>
      <c r="D11" s="260"/>
      <c r="E11" s="261"/>
      <c r="F11" s="260"/>
      <c r="G11" s="260"/>
      <c r="H11" s="260"/>
      <c r="I11" s="259"/>
      <c r="J11" s="36">
        <f t="shared" si="2"/>
        <v>0</v>
      </c>
      <c r="K11" s="256">
        <f>+'[3]Monthly TD Calc'!$DB$44</f>
        <v>9.4485545340576932E-2</v>
      </c>
    </row>
    <row r="12" spans="1:31" s="62" customFormat="1" ht="16.5" thickTop="1" thickBot="1" x14ac:dyDescent="0.3">
      <c r="A12" s="22" t="s">
        <v>143</v>
      </c>
      <c r="D12" s="260"/>
      <c r="E12" s="261"/>
      <c r="F12" s="260"/>
      <c r="G12" s="260"/>
      <c r="H12" s="260"/>
      <c r="I12" s="259"/>
      <c r="J12" s="40">
        <f>SUM(J8:J11)</f>
        <v>0</v>
      </c>
      <c r="K12" s="257">
        <f>SUM(K8:K11)</f>
        <v>0.99999999999999989</v>
      </c>
    </row>
    <row r="13" spans="1:31" ht="16.5" thickTop="1" thickBot="1" x14ac:dyDescent="0.3"/>
    <row r="14" spans="1:31" ht="75.75" thickBot="1" x14ac:dyDescent="0.3">
      <c r="B14" s="140" t="s">
        <v>121</v>
      </c>
      <c r="C14" s="178" t="s">
        <v>122</v>
      </c>
      <c r="D14" s="288" t="s">
        <v>39</v>
      </c>
      <c r="E14" s="288"/>
      <c r="F14" s="289"/>
      <c r="G14" s="201" t="s">
        <v>39</v>
      </c>
      <c r="H14" s="202"/>
      <c r="I14" s="203"/>
      <c r="J14" s="182" t="s">
        <v>9</v>
      </c>
      <c r="K14" s="182"/>
      <c r="L14" s="183"/>
    </row>
    <row r="15" spans="1:31" x14ac:dyDescent="0.25">
      <c r="A15" t="s">
        <v>38</v>
      </c>
      <c r="C15" s="14"/>
      <c r="D15" s="20">
        <v>43616</v>
      </c>
      <c r="E15" s="20">
        <f>EOMONTH(D15,1)</f>
        <v>43646</v>
      </c>
      <c r="F15" s="20">
        <f t="shared" ref="F15:L15" si="3">EOMONTH(E15,1)</f>
        <v>43677</v>
      </c>
      <c r="G15" s="14">
        <f t="shared" si="3"/>
        <v>43708</v>
      </c>
      <c r="H15" s="20">
        <f t="shared" si="3"/>
        <v>43738</v>
      </c>
      <c r="I15" s="15">
        <f t="shared" si="3"/>
        <v>43769</v>
      </c>
      <c r="J15" s="20">
        <f t="shared" si="3"/>
        <v>43799</v>
      </c>
      <c r="K15" s="20">
        <f t="shared" si="3"/>
        <v>43830</v>
      </c>
      <c r="L15" s="117">
        <f t="shared" si="3"/>
        <v>43861</v>
      </c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t="s">
        <v>29</v>
      </c>
      <c r="C16" s="119">
        <v>0</v>
      </c>
      <c r="D16" s="131">
        <v>0</v>
      </c>
      <c r="E16" s="131">
        <v>0</v>
      </c>
      <c r="F16" s="132">
        <v>0</v>
      </c>
      <c r="G16" s="16">
        <v>0</v>
      </c>
      <c r="H16" s="71">
        <v>0</v>
      </c>
      <c r="I16" s="191">
        <v>0</v>
      </c>
      <c r="J16" s="204">
        <v>0</v>
      </c>
      <c r="K16" s="163">
        <v>0</v>
      </c>
      <c r="L16" s="94"/>
    </row>
    <row r="17" spans="1:14" x14ac:dyDescent="0.25">
      <c r="A17" t="s">
        <v>30</v>
      </c>
      <c r="C17" s="119">
        <v>0</v>
      </c>
      <c r="D17" s="131">
        <v>0</v>
      </c>
      <c r="E17" s="131">
        <v>0</v>
      </c>
      <c r="F17" s="132">
        <v>0</v>
      </c>
      <c r="G17" s="16">
        <v>0</v>
      </c>
      <c r="H17" s="71">
        <v>0</v>
      </c>
      <c r="I17" s="191">
        <v>0</v>
      </c>
      <c r="J17" s="204">
        <v>0</v>
      </c>
      <c r="K17" s="163">
        <v>0</v>
      </c>
      <c r="L17" s="94"/>
      <c r="M17" s="79" t="s">
        <v>32</v>
      </c>
    </row>
    <row r="18" spans="1:14" x14ac:dyDescent="0.25">
      <c r="A18" t="s">
        <v>0</v>
      </c>
      <c r="C18" s="119">
        <v>0</v>
      </c>
      <c r="D18" s="131">
        <v>0</v>
      </c>
      <c r="E18" s="131">
        <v>0</v>
      </c>
      <c r="F18" s="132">
        <v>0</v>
      </c>
      <c r="G18" s="16">
        <v>0</v>
      </c>
      <c r="H18" s="71">
        <v>0</v>
      </c>
      <c r="I18" s="191">
        <v>0</v>
      </c>
      <c r="J18" s="204">
        <v>0</v>
      </c>
      <c r="K18" s="163">
        <v>0</v>
      </c>
      <c r="L18" s="94"/>
      <c r="M18" s="89">
        <v>0.5</v>
      </c>
    </row>
    <row r="19" spans="1:14" x14ac:dyDescent="0.25">
      <c r="A19" t="s">
        <v>1</v>
      </c>
      <c r="C19" s="119">
        <v>0</v>
      </c>
      <c r="D19" s="131">
        <v>0</v>
      </c>
      <c r="E19" s="131">
        <v>0</v>
      </c>
      <c r="F19" s="132">
        <v>0</v>
      </c>
      <c r="G19" s="16">
        <v>0</v>
      </c>
      <c r="H19" s="71">
        <v>0</v>
      </c>
      <c r="I19" s="191">
        <v>0</v>
      </c>
      <c r="J19" s="204">
        <v>0</v>
      </c>
      <c r="K19" s="163">
        <v>0</v>
      </c>
      <c r="L19" s="94"/>
      <c r="M19" s="79" t="s">
        <v>28</v>
      </c>
    </row>
    <row r="20" spans="1:14" s="62" customFormat="1" x14ac:dyDescent="0.25">
      <c r="A20" s="62" t="s">
        <v>27</v>
      </c>
      <c r="C20" s="119">
        <v>0</v>
      </c>
      <c r="D20" s="131">
        <v>0</v>
      </c>
      <c r="E20" s="131">
        <v>0</v>
      </c>
      <c r="F20" s="132">
        <v>0</v>
      </c>
      <c r="G20" s="16">
        <v>0</v>
      </c>
      <c r="H20" s="71">
        <v>0</v>
      </c>
      <c r="I20" s="191">
        <v>0</v>
      </c>
      <c r="J20" s="204">
        <v>0</v>
      </c>
      <c r="K20" s="163">
        <v>0</v>
      </c>
      <c r="L20" s="94"/>
      <c r="M20" s="89">
        <v>2.4400000000000002E-2</v>
      </c>
    </row>
    <row r="21" spans="1:14" x14ac:dyDescent="0.25">
      <c r="C21" s="120"/>
      <c r="D21" s="44"/>
      <c r="E21" s="44"/>
      <c r="F21" s="44"/>
      <c r="G21" s="41"/>
      <c r="H21" s="44"/>
      <c r="I21" s="11"/>
      <c r="J21" s="44"/>
      <c r="K21" s="44"/>
      <c r="L21" s="42"/>
    </row>
    <row r="22" spans="1:14" x14ac:dyDescent="0.25">
      <c r="A22" t="s">
        <v>41</v>
      </c>
      <c r="C22" s="121"/>
      <c r="D22" s="44"/>
      <c r="E22" s="44"/>
      <c r="F22" s="44"/>
      <c r="G22" s="41"/>
      <c r="H22" s="44"/>
      <c r="I22" s="192"/>
      <c r="J22" s="17"/>
      <c r="K22" s="17"/>
      <c r="L22" s="11"/>
    </row>
    <row r="23" spans="1:14" x14ac:dyDescent="0.25">
      <c r="A23" s="62" t="s">
        <v>29</v>
      </c>
      <c r="C23" s="54">
        <f t="shared" ref="C23:I23" si="4">C16+($M$18*C$18)+($M$18*C$19)+C$20*(1-$M$20)</f>
        <v>0</v>
      </c>
      <c r="D23" s="55">
        <f t="shared" si="4"/>
        <v>0</v>
      </c>
      <c r="E23" s="55">
        <f t="shared" si="4"/>
        <v>0</v>
      </c>
      <c r="F23" s="130">
        <f t="shared" si="4"/>
        <v>0</v>
      </c>
      <c r="G23" s="54">
        <f t="shared" si="4"/>
        <v>0</v>
      </c>
      <c r="H23" s="55">
        <f t="shared" si="4"/>
        <v>0</v>
      </c>
      <c r="I23" s="77">
        <f t="shared" si="4"/>
        <v>0</v>
      </c>
      <c r="J23" s="145">
        <f t="shared" ref="J23:L23" si="5">J16+($M$18*J$18)+($M$18*J$19)+J$20*(1-$M$20)</f>
        <v>0</v>
      </c>
      <c r="K23" s="55">
        <f t="shared" si="5"/>
        <v>0</v>
      </c>
      <c r="L23" s="77">
        <f t="shared" si="5"/>
        <v>0</v>
      </c>
    </row>
    <row r="24" spans="1:14" x14ac:dyDescent="0.25">
      <c r="A24" t="s">
        <v>30</v>
      </c>
      <c r="C24" s="54">
        <f t="shared" ref="C24:I24" si="6">(C$17+$M$18*C$18+C$20*$M$20)+C$19*$M$18</f>
        <v>0</v>
      </c>
      <c r="D24" s="55">
        <f t="shared" si="6"/>
        <v>0</v>
      </c>
      <c r="E24" s="55">
        <f t="shared" si="6"/>
        <v>0</v>
      </c>
      <c r="F24" s="130">
        <f t="shared" si="6"/>
        <v>0</v>
      </c>
      <c r="G24" s="54">
        <f t="shared" si="6"/>
        <v>0</v>
      </c>
      <c r="H24" s="55">
        <f t="shared" si="6"/>
        <v>0</v>
      </c>
      <c r="I24" s="77">
        <f t="shared" si="6"/>
        <v>0</v>
      </c>
      <c r="J24" s="145">
        <f t="shared" ref="J24:L24" si="7">(J$17+$M$18*J$18+J$20*$M$20)+J$19*$M$18</f>
        <v>0</v>
      </c>
      <c r="K24" s="55">
        <f t="shared" si="7"/>
        <v>0</v>
      </c>
      <c r="L24" s="77">
        <f t="shared" si="7"/>
        <v>0</v>
      </c>
    </row>
    <row r="25" spans="1:14" x14ac:dyDescent="0.25">
      <c r="C25" s="121"/>
      <c r="D25" s="44"/>
      <c r="E25" s="44"/>
      <c r="F25" s="44"/>
      <c r="G25" s="41"/>
      <c r="H25" s="44"/>
      <c r="I25" s="11"/>
      <c r="J25" s="17"/>
      <c r="K25" s="17"/>
      <c r="L25" s="11"/>
    </row>
    <row r="26" spans="1:14" x14ac:dyDescent="0.25">
      <c r="A26" s="53" t="s">
        <v>63</v>
      </c>
      <c r="B26" s="53"/>
      <c r="C26" s="123"/>
      <c r="D26" s="44"/>
      <c r="E26" s="44"/>
      <c r="F26" s="44"/>
      <c r="G26" s="41"/>
      <c r="H26" s="44"/>
      <c r="I26" s="11"/>
      <c r="J26" s="17"/>
      <c r="K26" s="17"/>
      <c r="L26" s="11"/>
    </row>
    <row r="27" spans="1:14" x14ac:dyDescent="0.25">
      <c r="A27" s="62" t="s">
        <v>29</v>
      </c>
      <c r="C27" s="124">
        <v>-618685363</v>
      </c>
      <c r="D27" s="133">
        <f>+'[5]May 2019 Combined'!$F$55</f>
        <v>141611603.10630003</v>
      </c>
      <c r="E27" s="133">
        <f>+'[5]June 2019 Combined'!$F$55</f>
        <v>191066375.41019997</v>
      </c>
      <c r="F27" s="133">
        <f>+'[5]July 2019 Combined'!$F$55</f>
        <v>274853973.83500004</v>
      </c>
      <c r="G27" s="212">
        <f>+'[5]August 2019 Combined'!$F$60</f>
        <v>289178916.20470035</v>
      </c>
      <c r="H27" s="93">
        <f>+'[5]September 2019 Combined'!$F$55</f>
        <v>251510125.52000004</v>
      </c>
      <c r="I27" s="210">
        <f>+'[5]October 2019 Combined'!$F$55</f>
        <v>198213542.11300012</v>
      </c>
      <c r="J27" s="205">
        <f>+'[1]Billed kWh Sales'!M24</f>
        <v>156952287</v>
      </c>
      <c r="K27" s="164">
        <f>+'[1]Billed kWh Sales'!N24</f>
        <v>233503187</v>
      </c>
      <c r="L27" s="95">
        <f>+'[1]Billed kWh Sales'!O24</f>
        <v>262459710</v>
      </c>
    </row>
    <row r="28" spans="1:14" x14ac:dyDescent="0.25">
      <c r="A28" s="62" t="s">
        <v>30</v>
      </c>
      <c r="C28" s="124">
        <v>-1133982856</v>
      </c>
      <c r="D28" s="133">
        <f>+'[5]May 2019 Combined'!$F$56</f>
        <v>315314577.79310006</v>
      </c>
      <c r="E28" s="133">
        <f>+'[5]June 2019 Combined'!$F$56</f>
        <v>335591914.8994</v>
      </c>
      <c r="F28" s="133">
        <f>+'[5]July 2019 Combined'!$F$56</f>
        <v>384867228.13210005</v>
      </c>
      <c r="G28" s="212">
        <f>+'[5]August 2019 Combined'!$F$61</f>
        <v>385816525.63920003</v>
      </c>
      <c r="H28" s="93">
        <f>+'[5]September 2019 Combined'!$F$56</f>
        <v>417726543.09179997</v>
      </c>
      <c r="I28" s="210">
        <f>+'[5]October 2019 Combined'!$F$56</f>
        <v>366459490.79399991</v>
      </c>
      <c r="J28" s="205">
        <f>+'[1]Billed kWh Sales'!M25</f>
        <v>32283286</v>
      </c>
      <c r="K28" s="164">
        <f>+'[1]Billed kWh Sales'!N25</f>
        <v>35631496</v>
      </c>
      <c r="L28" s="95">
        <f>+'[1]Billed kWh Sales'!O25</f>
        <v>36324839</v>
      </c>
    </row>
    <row r="29" spans="1:14" x14ac:dyDescent="0.25">
      <c r="C29" s="121"/>
      <c r="D29" s="44"/>
      <c r="E29" s="44"/>
      <c r="F29" s="44"/>
      <c r="G29" s="41"/>
      <c r="H29" s="44"/>
      <c r="I29" s="11"/>
      <c r="J29" s="17"/>
      <c r="K29" s="17"/>
      <c r="L29" s="11"/>
    </row>
    <row r="30" spans="1:14" x14ac:dyDescent="0.25">
      <c r="A30" t="s">
        <v>40</v>
      </c>
      <c r="C30" s="121"/>
      <c r="D30" s="18"/>
      <c r="E30" s="18"/>
      <c r="F30" s="18"/>
      <c r="G30" s="113"/>
      <c r="H30" s="18"/>
      <c r="I30" s="11"/>
      <c r="J30" s="73"/>
      <c r="K30" s="73"/>
      <c r="L30" s="74"/>
      <c r="M30" s="79" t="s">
        <v>66</v>
      </c>
      <c r="N30" s="53"/>
    </row>
    <row r="31" spans="1:14" x14ac:dyDescent="0.25">
      <c r="A31" s="62" t="s">
        <v>29</v>
      </c>
      <c r="C31" s="119">
        <v>0</v>
      </c>
      <c r="D31" s="131">
        <f>ROUND(+'[5]May 2019 Combined'!$F$9+'[5]May 2019 Combined'!$F$14,2)</f>
        <v>0</v>
      </c>
      <c r="E31" s="131">
        <f>ROUND(+'[5]June 2019 Combined'!$F$9+'[5]June 2019 Combined'!$F$14,2)</f>
        <v>0</v>
      </c>
      <c r="F31" s="131">
        <f>ROUND(+'[5]July 2019 Combined'!$F$9+'[5]July 2019 Combined'!$F$14,2)</f>
        <v>0</v>
      </c>
      <c r="G31" s="213">
        <f>ROUND(+'[5]August 2019 Combined'!$F$9+'[5]August 2019 Combined'!$F$14,2)</f>
        <v>0</v>
      </c>
      <c r="H31" s="170">
        <f>+'[5]September 2019 Combined'!$F$9+'[5]September 2019 Combined'!$F$14</f>
        <v>0</v>
      </c>
      <c r="I31" s="209">
        <f>+'[5]October 2019 Combined'!$F$9+'[5]October 2019 Combined'!$F$14</f>
        <v>0</v>
      </c>
      <c r="J31" s="145">
        <f t="shared" ref="J31:L32" si="8">J27*$M31</f>
        <v>0</v>
      </c>
      <c r="K31" s="55">
        <f t="shared" si="8"/>
        <v>0</v>
      </c>
      <c r="L31" s="77">
        <f t="shared" si="8"/>
        <v>0</v>
      </c>
      <c r="M31" s="88">
        <v>0</v>
      </c>
    </row>
    <row r="32" spans="1:14" x14ac:dyDescent="0.25">
      <c r="A32" t="str">
        <f>A28</f>
        <v>Non-Residential</v>
      </c>
      <c r="C32" s="119">
        <v>-22679.65712</v>
      </c>
      <c r="D32" s="131">
        <f>ROUND(+'[5]May 2019 Combined'!$F$10+'[5]May 2019 Combined'!$F$15,2)</f>
        <v>6318.8</v>
      </c>
      <c r="E32" s="131">
        <f>ROUND(+'[5]June 2019 Combined'!$F$10+'[5]June 2019 Combined'!$F$15,2)</f>
        <v>6725.5</v>
      </c>
      <c r="F32" s="131">
        <f>ROUND(+'[5]July 2019 Combined'!$F$10+'[5]July 2019 Combined'!$F$15,2)</f>
        <v>7698.3</v>
      </c>
      <c r="G32" s="213">
        <f>ROUND(+'[5]August 2019 Combined'!$F$10+'[5]August 2019 Combined'!$F$15,2)</f>
        <v>-5519.33</v>
      </c>
      <c r="H32" s="170">
        <f>+'[5]September 2019 Combined'!$F$10+'[5]September 2019 Combined'!$F$15</f>
        <v>0</v>
      </c>
      <c r="I32" s="209">
        <f>+'[5]October 2019 Combined'!$F$10+'[5]October 2019 Combined'!$F$15</f>
        <v>0</v>
      </c>
      <c r="J32" s="145">
        <f t="shared" si="8"/>
        <v>0</v>
      </c>
      <c r="K32" s="55">
        <f t="shared" si="8"/>
        <v>0</v>
      </c>
      <c r="L32" s="77">
        <f t="shared" si="8"/>
        <v>0</v>
      </c>
      <c r="M32" s="88">
        <v>0</v>
      </c>
    </row>
    <row r="33" spans="1:13" x14ac:dyDescent="0.25">
      <c r="C33" s="83"/>
      <c r="D33" s="18"/>
      <c r="E33" s="18"/>
      <c r="F33" s="18"/>
      <c r="G33" s="113"/>
      <c r="H33" s="18"/>
      <c r="I33" s="11"/>
      <c r="J33" s="72"/>
      <c r="K33" s="72"/>
      <c r="L33" s="13"/>
      <c r="M33" s="4"/>
    </row>
    <row r="34" spans="1:13" ht="15.75" thickBot="1" x14ac:dyDescent="0.3">
      <c r="A34" t="s">
        <v>16</v>
      </c>
      <c r="C34" s="125">
        <v>-74.37</v>
      </c>
      <c r="D34" s="134">
        <v>36.99</v>
      </c>
      <c r="E34" s="134">
        <v>16.84</v>
      </c>
      <c r="F34" s="135">
        <v>-4.93</v>
      </c>
      <c r="G34" s="39">
        <v>0</v>
      </c>
      <c r="H34" s="144">
        <v>0</v>
      </c>
      <c r="I34" s="208">
        <v>0</v>
      </c>
      <c r="J34" s="206"/>
      <c r="K34" s="165"/>
      <c r="L34" s="99"/>
    </row>
    <row r="35" spans="1:13" x14ac:dyDescent="0.25">
      <c r="C35" s="121"/>
      <c r="D35" s="44"/>
      <c r="E35" s="44"/>
      <c r="F35" s="44"/>
      <c r="G35" s="41"/>
      <c r="H35" s="44"/>
      <c r="I35" s="11"/>
      <c r="J35" s="17"/>
      <c r="K35" s="17"/>
      <c r="L35" s="11"/>
    </row>
    <row r="36" spans="1:13" x14ac:dyDescent="0.25">
      <c r="A36" t="s">
        <v>68</v>
      </c>
      <c r="C36" s="121"/>
      <c r="D36" s="44"/>
      <c r="E36" s="44"/>
      <c r="F36" s="44"/>
      <c r="G36" s="41"/>
      <c r="H36" s="44"/>
      <c r="I36" s="11"/>
      <c r="J36" s="17"/>
      <c r="K36" s="17"/>
      <c r="L36" s="11"/>
    </row>
    <row r="37" spans="1:13" x14ac:dyDescent="0.25">
      <c r="A37" s="62" t="s">
        <v>29</v>
      </c>
      <c r="C37" s="54">
        <f t="shared" ref="C37:C38" si="9">C23-C31</f>
        <v>0</v>
      </c>
      <c r="D37" s="55">
        <f t="shared" ref="D37:I38" si="10">D23-D31</f>
        <v>0</v>
      </c>
      <c r="E37" s="55">
        <f t="shared" si="10"/>
        <v>0</v>
      </c>
      <c r="F37" s="130">
        <f t="shared" ref="F37:H37" si="11">F23-F31</f>
        <v>0</v>
      </c>
      <c r="G37" s="54">
        <f t="shared" si="11"/>
        <v>0</v>
      </c>
      <c r="H37" s="55">
        <f t="shared" si="11"/>
        <v>0</v>
      </c>
      <c r="I37" s="77">
        <f t="shared" si="10"/>
        <v>0</v>
      </c>
      <c r="J37" s="145">
        <f t="shared" ref="J37:K37" si="12">J23-J31</f>
        <v>0</v>
      </c>
      <c r="K37" s="55">
        <f t="shared" si="12"/>
        <v>0</v>
      </c>
      <c r="L37" s="65">
        <f t="shared" ref="L37" si="13">L23-L31</f>
        <v>0</v>
      </c>
    </row>
    <row r="38" spans="1:13" x14ac:dyDescent="0.25">
      <c r="A38" t="s">
        <v>30</v>
      </c>
      <c r="C38" s="54">
        <f t="shared" si="9"/>
        <v>22679.65712</v>
      </c>
      <c r="D38" s="55">
        <f t="shared" si="10"/>
        <v>-6318.8</v>
      </c>
      <c r="E38" s="55">
        <f t="shared" si="10"/>
        <v>-6725.5</v>
      </c>
      <c r="F38" s="130">
        <f t="shared" ref="F38:H38" si="14">F24-F32</f>
        <v>-7698.3</v>
      </c>
      <c r="G38" s="54">
        <f t="shared" si="14"/>
        <v>5519.33</v>
      </c>
      <c r="H38" s="55">
        <f t="shared" si="14"/>
        <v>0</v>
      </c>
      <c r="I38" s="77">
        <f t="shared" si="10"/>
        <v>0</v>
      </c>
      <c r="J38" s="145">
        <f t="shared" ref="J38:K38" si="15">J24-J32</f>
        <v>0</v>
      </c>
      <c r="K38" s="55">
        <f t="shared" si="15"/>
        <v>0</v>
      </c>
      <c r="L38" s="65">
        <f t="shared" ref="L38" si="16">L24-L32</f>
        <v>0</v>
      </c>
    </row>
    <row r="39" spans="1:13" x14ac:dyDescent="0.25">
      <c r="A39" s="62"/>
      <c r="C39" s="121"/>
      <c r="D39" s="44"/>
      <c r="E39" s="44"/>
      <c r="F39" s="44"/>
      <c r="G39" s="41"/>
      <c r="H39" s="44"/>
      <c r="I39" s="11"/>
      <c r="J39" s="17"/>
      <c r="K39" s="17"/>
      <c r="L39" s="11"/>
    </row>
    <row r="40" spans="1:13" ht="15.75" thickBot="1" x14ac:dyDescent="0.3">
      <c r="A40" s="62" t="s">
        <v>69</v>
      </c>
      <c r="C40" s="126"/>
      <c r="D40" s="44"/>
      <c r="E40" s="44"/>
      <c r="F40" s="44"/>
      <c r="G40" s="41"/>
      <c r="H40" s="44"/>
      <c r="I40" s="11"/>
      <c r="J40" s="17"/>
      <c r="K40" s="17"/>
      <c r="L40" s="11"/>
    </row>
    <row r="41" spans="1:13" x14ac:dyDescent="0.25">
      <c r="A41" s="62" t="s">
        <v>29</v>
      </c>
      <c r="B41" s="138">
        <v>0</v>
      </c>
      <c r="C41" s="55">
        <f>B41+C37+B46</f>
        <v>0</v>
      </c>
      <c r="D41" s="55">
        <f t="shared" ref="D41" si="17">C41+D37+C46</f>
        <v>0</v>
      </c>
      <c r="E41" s="55">
        <f t="shared" ref="E41:I42" si="18">D41+E37+D46</f>
        <v>0</v>
      </c>
      <c r="F41" s="130">
        <f t="shared" si="18"/>
        <v>0</v>
      </c>
      <c r="G41" s="54">
        <f t="shared" si="18"/>
        <v>0</v>
      </c>
      <c r="H41" s="55">
        <f t="shared" si="18"/>
        <v>0</v>
      </c>
      <c r="I41" s="77">
        <f t="shared" si="18"/>
        <v>0</v>
      </c>
      <c r="J41" s="145">
        <f t="shared" ref="J41:J42" si="19">I41+J37+I46</f>
        <v>0</v>
      </c>
      <c r="K41" s="55">
        <f t="shared" ref="K41:L42" si="20">J41+K37+J46</f>
        <v>0</v>
      </c>
      <c r="L41" s="65">
        <f t="shared" si="20"/>
        <v>0</v>
      </c>
    </row>
    <row r="42" spans="1:13" ht="15.75" thickBot="1" x14ac:dyDescent="0.3">
      <c r="A42" s="62" t="s">
        <v>30</v>
      </c>
      <c r="B42" s="139">
        <f>-7430.94+0.02</f>
        <v>-7430.9199999999992</v>
      </c>
      <c r="C42" s="55">
        <f>B42+C38+B47</f>
        <v>15248.737120000002</v>
      </c>
      <c r="D42" s="55">
        <f t="shared" ref="D42" si="21">C42+D38+C47</f>
        <v>8855.5671200000015</v>
      </c>
      <c r="E42" s="55">
        <f t="shared" si="18"/>
        <v>2167.0571200000013</v>
      </c>
      <c r="F42" s="130">
        <f t="shared" si="18"/>
        <v>-5514.4028799999987</v>
      </c>
      <c r="G42" s="54">
        <f t="shared" si="18"/>
        <v>-2.8799999988038394E-3</v>
      </c>
      <c r="H42" s="55">
        <f t="shared" si="18"/>
        <v>-2.8799999988038394E-3</v>
      </c>
      <c r="I42" s="77">
        <f t="shared" si="18"/>
        <v>-2.8799999988038394E-3</v>
      </c>
      <c r="J42" s="145">
        <f t="shared" si="19"/>
        <v>-2.8799999988038394E-3</v>
      </c>
      <c r="K42" s="55">
        <f t="shared" si="20"/>
        <v>-2.8799999988038394E-3</v>
      </c>
      <c r="L42" s="65">
        <f t="shared" si="20"/>
        <v>-2.8799999988038394E-3</v>
      </c>
    </row>
    <row r="43" spans="1:13" x14ac:dyDescent="0.25">
      <c r="C43" s="121"/>
      <c r="D43" s="44"/>
      <c r="E43" s="44"/>
      <c r="F43" s="44"/>
      <c r="G43" s="41"/>
      <c r="H43" s="44"/>
      <c r="I43" s="11"/>
      <c r="J43" s="17"/>
      <c r="K43" s="17"/>
      <c r="L43" s="11"/>
    </row>
    <row r="44" spans="1:13" s="62" customFormat="1" x14ac:dyDescent="0.25">
      <c r="A44" s="53" t="s">
        <v>65</v>
      </c>
      <c r="B44" s="53"/>
      <c r="C44" s="126"/>
      <c r="D44" s="221">
        <f>+'[6]May 2019'!$F$43</f>
        <v>3.0790499999999998E-3</v>
      </c>
      <c r="E44" s="101">
        <f>+'[6]June 2019'!$F$43</f>
        <v>3.0450199999999998E-3</v>
      </c>
      <c r="F44" s="101">
        <f>+'[6]July 2019'!$F$43</f>
        <v>2.9619300000000002E-3</v>
      </c>
      <c r="G44" s="102">
        <f>+'[6]Aug 2019'!$F$43</f>
        <v>2.8524499999999999E-3</v>
      </c>
      <c r="H44" s="101">
        <f>+'[6]Sept 2019'!$F$43</f>
        <v>2.7438599999999999E-3</v>
      </c>
      <c r="I44" s="114">
        <f>+'[6]Oct 2019'!$F$43</f>
        <v>2.60867E-3</v>
      </c>
      <c r="J44" s="101">
        <f>+I44</f>
        <v>2.60867E-3</v>
      </c>
      <c r="K44" s="101">
        <f>+J44</f>
        <v>2.60867E-3</v>
      </c>
      <c r="L44" s="114"/>
    </row>
    <row r="45" spans="1:13" x14ac:dyDescent="0.25">
      <c r="A45" s="53" t="s">
        <v>44</v>
      </c>
      <c r="B45" s="53"/>
      <c r="C45" s="121"/>
      <c r="D45" s="44"/>
      <c r="E45" s="44"/>
      <c r="F45" s="44"/>
      <c r="G45" s="41"/>
      <c r="H45" s="44"/>
      <c r="I45" s="11"/>
      <c r="J45" s="17"/>
      <c r="K45" s="17"/>
      <c r="L45" s="11"/>
      <c r="M45" s="87"/>
    </row>
    <row r="46" spans="1:13" x14ac:dyDescent="0.25">
      <c r="A46" s="62" t="s">
        <v>29</v>
      </c>
      <c r="C46" s="54">
        <v>0</v>
      </c>
      <c r="D46" s="55">
        <f t="shared" ref="D46" si="22">ROUND((C41+C46+D37/2)*D$44,2)</f>
        <v>0</v>
      </c>
      <c r="E46" s="55">
        <f t="shared" ref="E46:I47" si="23">ROUND((D41+D46+E37/2)*E$44,2)</f>
        <v>0</v>
      </c>
      <c r="F46" s="130">
        <f t="shared" si="23"/>
        <v>0</v>
      </c>
      <c r="G46" s="218">
        <f>ROUND((F41+F46+G37/2)*G$44,2)*0</f>
        <v>0</v>
      </c>
      <c r="H46" s="145">
        <f t="shared" si="23"/>
        <v>0</v>
      </c>
      <c r="I46" s="65">
        <f t="shared" si="23"/>
        <v>0</v>
      </c>
      <c r="J46" s="145">
        <f t="shared" ref="J46:J47" si="24">ROUND((I41+I46+J37/2)*J$44,2)</f>
        <v>0</v>
      </c>
      <c r="K46" s="145">
        <f>ROUND((J41+J46+K37/2)*K$44,2)</f>
        <v>0</v>
      </c>
      <c r="L46" s="65"/>
    </row>
    <row r="47" spans="1:13" ht="15.75" thickBot="1" x14ac:dyDescent="0.3">
      <c r="A47" t="s">
        <v>30</v>
      </c>
      <c r="C47" s="136">
        <v>-74.37</v>
      </c>
      <c r="D47" s="55">
        <f>ROUND((C42+C47+D38/2)*D$44,2)</f>
        <v>36.99</v>
      </c>
      <c r="E47" s="55">
        <f t="shared" si="23"/>
        <v>16.84</v>
      </c>
      <c r="F47" s="130">
        <f t="shared" si="23"/>
        <v>-4.93</v>
      </c>
      <c r="G47" s="54">
        <f>ROUND((F42+F47+G38/2)*G$44,2)*0</f>
        <v>0</v>
      </c>
      <c r="H47" s="145">
        <f t="shared" si="23"/>
        <v>0</v>
      </c>
      <c r="I47" s="65">
        <f t="shared" si="23"/>
        <v>0</v>
      </c>
      <c r="J47" s="145">
        <f t="shared" si="24"/>
        <v>0</v>
      </c>
      <c r="K47" s="145">
        <f>ROUND((J42+J47+K38/2)*K$44,2)</f>
        <v>0</v>
      </c>
      <c r="L47" s="65"/>
    </row>
    <row r="48" spans="1:13" ht="16.5" thickTop="1" thickBot="1" x14ac:dyDescent="0.3">
      <c r="A48" s="70" t="s">
        <v>25</v>
      </c>
      <c r="B48" s="70"/>
      <c r="C48" s="137">
        <v>0</v>
      </c>
      <c r="D48" s="46">
        <f t="shared" ref="D48:I48" si="25">SUM(D46:D47)+SUM(D41:D42)-D51</f>
        <v>0</v>
      </c>
      <c r="E48" s="46">
        <f t="shared" si="25"/>
        <v>0</v>
      </c>
      <c r="F48" s="66">
        <f t="shared" ref="F48:H48" si="26">SUM(F46:F47)+SUM(F41:F42)-F51</f>
        <v>0</v>
      </c>
      <c r="G48" s="146">
        <f t="shared" si="26"/>
        <v>2.9132252166164108E-13</v>
      </c>
      <c r="H48" s="46">
        <f t="shared" si="26"/>
        <v>2.9132252166164108E-13</v>
      </c>
      <c r="I48" s="78">
        <f t="shared" si="25"/>
        <v>2.9132252166164108E-13</v>
      </c>
      <c r="J48" s="190">
        <f t="shared" ref="J48:K48" si="27">SUM(J46:J47)+SUM(J41:J42)-J51</f>
        <v>2.9132252166164108E-13</v>
      </c>
      <c r="K48" s="46">
        <f t="shared" si="27"/>
        <v>2.9132252166164108E-13</v>
      </c>
      <c r="L48" s="118">
        <f t="shared" ref="L48" si="28">SUM(L46:L47)+SUM(L41:L42)-L51</f>
        <v>2.9132252166164108E-13</v>
      </c>
    </row>
    <row r="49" spans="1:14" ht="16.5" thickTop="1" thickBot="1" x14ac:dyDescent="0.3">
      <c r="A49" s="70" t="s">
        <v>26</v>
      </c>
      <c r="B49" s="70"/>
      <c r="C49" s="129">
        <v>0</v>
      </c>
      <c r="D49" s="46">
        <f t="shared" ref="D49:I49" si="29">SUM(D46:D47)-D34</f>
        <v>0</v>
      </c>
      <c r="E49" s="46">
        <f t="shared" si="29"/>
        <v>0</v>
      </c>
      <c r="F49" s="66">
        <f t="shared" ref="F49:H49" si="30">SUM(F46:F47)-F34</f>
        <v>0</v>
      </c>
      <c r="G49" s="67">
        <f t="shared" si="30"/>
        <v>0</v>
      </c>
      <c r="H49" s="46">
        <f t="shared" si="30"/>
        <v>0</v>
      </c>
      <c r="I49" s="78">
        <f t="shared" si="29"/>
        <v>0</v>
      </c>
      <c r="J49" s="190">
        <f t="shared" ref="J49:K49" si="31">SUM(J46:J47)-J34</f>
        <v>0</v>
      </c>
      <c r="K49" s="46">
        <f t="shared" si="31"/>
        <v>0</v>
      </c>
      <c r="L49" s="118">
        <f t="shared" ref="L49" si="32">SUM(L46:L47)-L34</f>
        <v>0</v>
      </c>
    </row>
    <row r="50" spans="1:14" ht="16.5" thickTop="1" thickBot="1" x14ac:dyDescent="0.3">
      <c r="C50" s="121"/>
      <c r="D50" s="17"/>
      <c r="E50" s="17"/>
      <c r="F50" s="17"/>
      <c r="G50" s="10"/>
      <c r="H50" s="17"/>
      <c r="I50" s="11"/>
      <c r="J50" s="17"/>
      <c r="K50" s="17"/>
      <c r="L50" s="11"/>
    </row>
    <row r="51" spans="1:14" ht="15.75" thickBot="1" x14ac:dyDescent="0.3">
      <c r="A51" t="s">
        <v>42</v>
      </c>
      <c r="B51" s="141">
        <f>+B41+B42</f>
        <v>-7430.9199999999992</v>
      </c>
      <c r="C51" s="54">
        <f t="shared" ref="C51:I51" si="33">(SUM(C16:C20)-SUM(C31:C32))+SUM(C46:C47)+B51</f>
        <v>15174.367120000003</v>
      </c>
      <c r="D51" s="55">
        <f t="shared" si="33"/>
        <v>8892.5571200000013</v>
      </c>
      <c r="E51" s="55">
        <f t="shared" si="33"/>
        <v>2183.8971200000015</v>
      </c>
      <c r="F51" s="130">
        <f t="shared" si="33"/>
        <v>-5519.332879999999</v>
      </c>
      <c r="G51" s="54">
        <f t="shared" si="33"/>
        <v>-2.8799999990951619E-3</v>
      </c>
      <c r="H51" s="55">
        <f t="shared" si="33"/>
        <v>-2.8799999990951619E-3</v>
      </c>
      <c r="I51" s="77">
        <f t="shared" si="33"/>
        <v>-2.8799999990951619E-3</v>
      </c>
      <c r="J51" s="145">
        <f t="shared" ref="J51" si="34">(SUM(J16:J20)-SUM(J31:J32))+SUM(J46:J47)+I51</f>
        <v>-2.8799999990951619E-3</v>
      </c>
      <c r="K51" s="55">
        <f t="shared" ref="K51:L51" si="35">(SUM(K16:K20)-SUM(K31:K32))+SUM(K46:K47)+J51</f>
        <v>-2.8799999990951619E-3</v>
      </c>
      <c r="L51" s="77">
        <f t="shared" si="35"/>
        <v>-2.8799999990951619E-3</v>
      </c>
    </row>
    <row r="52" spans="1:14" x14ac:dyDescent="0.25">
      <c r="C52" s="142"/>
      <c r="D52" s="72"/>
      <c r="E52" s="19"/>
      <c r="F52" s="72"/>
      <c r="G52" s="12"/>
      <c r="H52" s="72"/>
      <c r="I52" s="11"/>
      <c r="J52" s="17"/>
      <c r="K52" s="17"/>
      <c r="L52" s="11"/>
    </row>
    <row r="53" spans="1:14" ht="15.75" thickBot="1" x14ac:dyDescent="0.3">
      <c r="A53" s="62"/>
      <c r="B53" s="17"/>
      <c r="C53" s="57"/>
      <c r="D53" s="58"/>
      <c r="E53" s="58"/>
      <c r="F53" s="58"/>
      <c r="G53" s="57"/>
      <c r="H53" s="58"/>
      <c r="I53" s="59"/>
      <c r="J53" s="58"/>
      <c r="K53" s="58"/>
      <c r="L53" s="59"/>
    </row>
    <row r="55" spans="1:14" x14ac:dyDescent="0.25">
      <c r="A55" s="85" t="s">
        <v>13</v>
      </c>
      <c r="B55" s="85"/>
      <c r="C55" s="85"/>
      <c r="D55" s="60"/>
      <c r="E55" s="60"/>
      <c r="I55" s="60"/>
      <c r="M55" s="60"/>
      <c r="N55" s="60"/>
    </row>
    <row r="56" spans="1:14" x14ac:dyDescent="0.25">
      <c r="A56" s="287" t="s">
        <v>111</v>
      </c>
      <c r="B56" s="287"/>
      <c r="C56" s="287"/>
      <c r="D56" s="287"/>
      <c r="E56" s="287"/>
      <c r="F56" s="287"/>
      <c r="G56" s="287"/>
      <c r="H56" s="287"/>
      <c r="I56" s="287"/>
      <c r="J56" s="162"/>
      <c r="K56" s="162"/>
      <c r="L56" s="112"/>
      <c r="M56" s="60"/>
      <c r="N56" s="60"/>
    </row>
    <row r="57" spans="1:14" ht="27" customHeight="1" x14ac:dyDescent="0.25">
      <c r="A57" s="287" t="s">
        <v>154</v>
      </c>
      <c r="B57" s="287"/>
      <c r="C57" s="287"/>
      <c r="D57" s="287"/>
      <c r="E57" s="287"/>
      <c r="F57" s="287"/>
      <c r="G57" s="287"/>
      <c r="H57" s="287"/>
      <c r="I57" s="287"/>
      <c r="J57" s="162"/>
      <c r="K57" s="162"/>
      <c r="L57" s="112"/>
      <c r="M57" s="60"/>
      <c r="N57" s="60"/>
    </row>
    <row r="58" spans="1:14" ht="31.5" customHeight="1" x14ac:dyDescent="0.25">
      <c r="A58" s="287" t="s">
        <v>155</v>
      </c>
      <c r="B58" s="287"/>
      <c r="C58" s="287"/>
      <c r="D58" s="287"/>
      <c r="E58" s="287"/>
      <c r="F58" s="287"/>
      <c r="G58" s="287"/>
      <c r="H58" s="287"/>
      <c r="I58" s="287"/>
      <c r="J58" s="162"/>
      <c r="K58" s="162"/>
      <c r="L58" s="112"/>
      <c r="M58" s="60"/>
      <c r="N58" s="60"/>
    </row>
    <row r="59" spans="1:14" x14ac:dyDescent="0.25">
      <c r="A59" s="3" t="s">
        <v>37</v>
      </c>
      <c r="B59" s="3"/>
      <c r="C59" s="3"/>
      <c r="D59" s="60"/>
      <c r="E59" s="60"/>
      <c r="I59" s="4"/>
      <c r="M59" s="60"/>
      <c r="N59" s="60"/>
    </row>
    <row r="60" spans="1:14" s="62" customFormat="1" x14ac:dyDescent="0.25">
      <c r="A60" s="79" t="s">
        <v>156</v>
      </c>
      <c r="B60" s="3"/>
      <c r="C60" s="3"/>
      <c r="I60" s="4"/>
    </row>
    <row r="61" spans="1:14" x14ac:dyDescent="0.25">
      <c r="A61" s="3" t="s">
        <v>67</v>
      </c>
      <c r="B61" s="3"/>
      <c r="C61" s="3"/>
      <c r="D61" s="60"/>
      <c r="E61" s="60"/>
      <c r="I61" s="4"/>
      <c r="M61" s="60"/>
      <c r="N61" s="60"/>
    </row>
    <row r="62" spans="1:14" x14ac:dyDescent="0.25">
      <c r="A62" s="3" t="s">
        <v>153</v>
      </c>
      <c r="C62" s="63"/>
      <c r="D62" s="60"/>
      <c r="E62" s="60"/>
      <c r="I62" s="60"/>
      <c r="M62" s="60"/>
      <c r="N62" s="60"/>
    </row>
    <row r="63" spans="1:14" x14ac:dyDescent="0.25">
      <c r="C63" s="63"/>
      <c r="D63" s="60"/>
      <c r="E63" s="60"/>
      <c r="I63" s="60"/>
      <c r="M63" s="60"/>
      <c r="N63" s="60"/>
    </row>
    <row r="64" spans="1:14" x14ac:dyDescent="0.25">
      <c r="C64" s="63"/>
      <c r="D64" s="60"/>
      <c r="E64" s="60"/>
      <c r="G64" s="60"/>
      <c r="I64" s="62"/>
      <c r="M64" s="60"/>
      <c r="N64" s="60"/>
    </row>
    <row r="65" spans="4:14" x14ac:dyDescent="0.25">
      <c r="D65" s="220"/>
      <c r="E65" s="220"/>
      <c r="F65" s="220"/>
      <c r="G65" s="220"/>
      <c r="H65" s="220"/>
      <c r="I65" s="220"/>
      <c r="M65" s="60"/>
      <c r="N65" s="60"/>
    </row>
    <row r="66" spans="4:14" x14ac:dyDescent="0.25">
      <c r="D66" s="60"/>
      <c r="E66" s="60"/>
      <c r="I66" s="60"/>
      <c r="M66" s="60"/>
      <c r="N66" s="60"/>
    </row>
    <row r="67" spans="4:14" x14ac:dyDescent="0.25">
      <c r="D67" s="60"/>
      <c r="E67" s="60"/>
      <c r="I67" s="60"/>
      <c r="M67" s="60"/>
      <c r="N67" s="60"/>
    </row>
    <row r="68" spans="4:14" x14ac:dyDescent="0.25">
      <c r="D68" s="60"/>
      <c r="E68" s="60"/>
      <c r="I68" s="60"/>
      <c r="M68" s="60"/>
      <c r="N68" s="60"/>
    </row>
    <row r="69" spans="4:14" x14ac:dyDescent="0.25">
      <c r="D69" s="60"/>
      <c r="E69" s="60"/>
      <c r="I69" s="60"/>
      <c r="M69" s="60"/>
      <c r="N69" s="60"/>
    </row>
    <row r="71" spans="4:14" x14ac:dyDescent="0.25">
      <c r="M71" s="8"/>
    </row>
  </sheetData>
  <mergeCells count="4">
    <mergeCell ref="A56:I56"/>
    <mergeCell ref="A57:I57"/>
    <mergeCell ref="A58:I58"/>
    <mergeCell ref="D14:F14"/>
  </mergeCells>
  <pageMargins left="0.2" right="0.2" top="0.75" bottom="0.25" header="0.3" footer="0.3"/>
  <pageSetup scale="56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71"/>
  <sheetViews>
    <sheetView workbookViewId="0"/>
  </sheetViews>
  <sheetFormatPr defaultRowHeight="15" x14ac:dyDescent="0.25"/>
  <cols>
    <col min="1" max="1" width="54.5703125" style="62" customWidth="1"/>
    <col min="2" max="2" width="14.7109375" style="62" customWidth="1"/>
    <col min="3" max="3" width="15" style="62" customWidth="1"/>
    <col min="4" max="4" width="15.28515625" style="62" customWidth="1"/>
    <col min="5" max="5" width="15.85546875" style="62" customWidth="1"/>
    <col min="6" max="6" width="17.5703125" style="62" customWidth="1"/>
    <col min="7" max="8" width="13.28515625" style="62" customWidth="1"/>
    <col min="9" max="9" width="15.7109375" style="62" customWidth="1"/>
    <col min="10" max="11" width="12.5703125" style="62" bestFit="1" customWidth="1"/>
    <col min="12" max="12" width="14.42578125" style="62" customWidth="1"/>
    <col min="13" max="13" width="15" style="62" bestFit="1" customWidth="1"/>
    <col min="14" max="14" width="16.28515625" style="62" bestFit="1" customWidth="1"/>
    <col min="15" max="15" width="16.140625" style="62" customWidth="1"/>
    <col min="16" max="16" width="17.28515625" style="62" bestFit="1" customWidth="1"/>
    <col min="17" max="17" width="17.42578125" style="62" customWidth="1"/>
    <col min="18" max="18" width="15.5703125" style="62" customWidth="1"/>
    <col min="19" max="19" width="13" style="62" customWidth="1"/>
    <col min="20" max="20" width="9.140625" style="62"/>
    <col min="21" max="21" width="14.28515625" style="62" bestFit="1" customWidth="1"/>
    <col min="22" max="16384" width="9.140625" style="62"/>
  </cols>
  <sheetData>
    <row r="1" spans="1:34" x14ac:dyDescent="0.25">
      <c r="A1" s="3" t="str">
        <f>+'PPC Cycle 2'!A1</f>
        <v>Evergy Metro, Inc. - DSIM Rider Update MEEIA 3 filed January 20, 2020</v>
      </c>
      <c r="B1" s="3"/>
      <c r="C1" s="3"/>
    </row>
    <row r="2" spans="1:34" x14ac:dyDescent="0.25">
      <c r="D2" s="3" t="s">
        <v>81</v>
      </c>
    </row>
    <row r="3" spans="1:34" ht="30" x14ac:dyDescent="0.25">
      <c r="D3" s="64" t="s">
        <v>62</v>
      </c>
      <c r="E3" s="64" t="s">
        <v>61</v>
      </c>
      <c r="F3" s="86" t="s">
        <v>2</v>
      </c>
      <c r="G3" s="64" t="s">
        <v>3</v>
      </c>
      <c r="H3" s="86" t="s">
        <v>71</v>
      </c>
      <c r="I3" s="64" t="s">
        <v>11</v>
      </c>
      <c r="J3" s="64" t="s">
        <v>4</v>
      </c>
    </row>
    <row r="4" spans="1:34" x14ac:dyDescent="0.25">
      <c r="A4" s="22" t="s">
        <v>29</v>
      </c>
      <c r="D4" s="24">
        <f>SUM(C31:L31)</f>
        <v>3676414.3998599998</v>
      </c>
      <c r="E4" s="160">
        <f>SUM(C27:L27)</f>
        <v>1380664357.1892004</v>
      </c>
      <c r="F4" s="24">
        <f>SUM(C23:K23)</f>
        <v>4652955.835</v>
      </c>
      <c r="G4" s="24">
        <f>F4-D4</f>
        <v>976541.43514000019</v>
      </c>
      <c r="H4" s="24">
        <f>+B41</f>
        <v>778269.76985999977</v>
      </c>
      <c r="I4" s="24">
        <f>SUM(C46:K46)</f>
        <v>29324.16</v>
      </c>
      <c r="J4" s="36">
        <f>SUM(G4:I4)</f>
        <v>1784135.365</v>
      </c>
      <c r="K4" s="63">
        <f>+J4-L41</f>
        <v>0</v>
      </c>
    </row>
    <row r="5" spans="1:34" ht="15.75" thickBot="1" x14ac:dyDescent="0.3">
      <c r="A5" s="22" t="s">
        <v>30</v>
      </c>
      <c r="D5" s="24">
        <f>SUM(C32:L32)</f>
        <v>2633652.5267200004</v>
      </c>
      <c r="E5" s="160">
        <f>SUM(C28:L28)</f>
        <v>1176033045.3496001</v>
      </c>
      <c r="F5" s="24">
        <f>SUM(C24:K24)</f>
        <v>4758588.3650000002</v>
      </c>
      <c r="G5" s="24">
        <f>F5-D5</f>
        <v>2124935.8382799998</v>
      </c>
      <c r="H5" s="24">
        <f>+B42</f>
        <v>-117276.03327999997</v>
      </c>
      <c r="I5" s="24">
        <f>SUM(C47:K47)</f>
        <v>1698.4299999999998</v>
      </c>
      <c r="J5" s="36">
        <f>SUM(G5:I5)</f>
        <v>2009358.2349999996</v>
      </c>
      <c r="K5" s="63">
        <f>+J5-L42</f>
        <v>0</v>
      </c>
    </row>
    <row r="6" spans="1:34" ht="16.5" thickTop="1" thickBot="1" x14ac:dyDescent="0.3">
      <c r="D6" s="40">
        <f t="shared" ref="D6" si="0">SUM(D4:D5)</f>
        <v>6310066.9265800007</v>
      </c>
      <c r="E6" s="40">
        <f t="shared" ref="E6:H6" si="1">SUM(E4:E5)</f>
        <v>2556697402.5388002</v>
      </c>
      <c r="F6" s="40">
        <f t="shared" si="1"/>
        <v>9411544.1999999993</v>
      </c>
      <c r="G6" s="40">
        <f t="shared" si="1"/>
        <v>3101477.27342</v>
      </c>
      <c r="H6" s="40">
        <f t="shared" si="1"/>
        <v>660993.73657999979</v>
      </c>
      <c r="I6" s="40">
        <f>SUM(I4:I5)</f>
        <v>31022.59</v>
      </c>
      <c r="J6" s="40">
        <f>SUM(J4:J5)</f>
        <v>3793493.5999999996</v>
      </c>
    </row>
    <row r="7" spans="1:34" ht="45.75" thickTop="1" x14ac:dyDescent="0.25">
      <c r="D7" s="260"/>
      <c r="E7" s="261"/>
      <c r="F7" s="260"/>
      <c r="G7" s="260"/>
      <c r="H7" s="260"/>
      <c r="I7" s="259"/>
      <c r="J7" s="259"/>
      <c r="K7" s="258" t="s">
        <v>152</v>
      </c>
    </row>
    <row r="8" spans="1:34" x14ac:dyDescent="0.25">
      <c r="A8" s="22" t="s">
        <v>136</v>
      </c>
      <c r="D8" s="260"/>
      <c r="E8" s="261"/>
      <c r="F8" s="260"/>
      <c r="G8" s="260"/>
      <c r="H8" s="260"/>
      <c r="I8" s="259"/>
      <c r="J8" s="36">
        <f>ROUND($J$5*K8,2)</f>
        <v>286694.93</v>
      </c>
      <c r="K8" s="256">
        <f>+'[3]Monthly TD Calc'!$CY$44</f>
        <v>0.14267984863071587</v>
      </c>
    </row>
    <row r="9" spans="1:34" x14ac:dyDescent="0.25">
      <c r="A9" s="22" t="s">
        <v>137</v>
      </c>
      <c r="D9" s="260"/>
      <c r="E9" s="261"/>
      <c r="F9" s="260"/>
      <c r="G9" s="260"/>
      <c r="H9" s="260"/>
      <c r="I9" s="259"/>
      <c r="J9" s="36">
        <f t="shared" ref="J9:J11" si="2">ROUND($J$5*K9,2)</f>
        <v>717518.95</v>
      </c>
      <c r="K9" s="256">
        <f>+'[3]Monthly TD Calc'!$CZ$44</f>
        <v>0.35708861589367091</v>
      </c>
    </row>
    <row r="10" spans="1:34" x14ac:dyDescent="0.25">
      <c r="A10" s="22" t="s">
        <v>138</v>
      </c>
      <c r="D10" s="260"/>
      <c r="E10" s="261"/>
      <c r="F10" s="260"/>
      <c r="G10" s="260"/>
      <c r="H10" s="260"/>
      <c r="I10" s="259"/>
      <c r="J10" s="36">
        <f t="shared" si="2"/>
        <v>815289.05</v>
      </c>
      <c r="K10" s="256">
        <f>+'[3]Monthly TD Calc'!$DA$44</f>
        <v>0.40574599013503615</v>
      </c>
    </row>
    <row r="11" spans="1:34" ht="15.75" thickBot="1" x14ac:dyDescent="0.3">
      <c r="A11" s="22" t="s">
        <v>139</v>
      </c>
      <c r="D11" s="260"/>
      <c r="E11" s="261"/>
      <c r="F11" s="260"/>
      <c r="G11" s="260"/>
      <c r="H11" s="260"/>
      <c r="I11" s="259"/>
      <c r="J11" s="36">
        <f t="shared" si="2"/>
        <v>189855.31</v>
      </c>
      <c r="K11" s="256">
        <f>+'[3]Monthly TD Calc'!$DB$44</f>
        <v>9.4485545340576932E-2</v>
      </c>
    </row>
    <row r="12" spans="1:34" ht="16.5" thickTop="1" thickBot="1" x14ac:dyDescent="0.3">
      <c r="A12" s="22" t="s">
        <v>143</v>
      </c>
      <c r="D12" s="260"/>
      <c r="E12" s="261"/>
      <c r="F12" s="260"/>
      <c r="G12" s="260"/>
      <c r="H12" s="260"/>
      <c r="I12" s="259"/>
      <c r="J12" s="40">
        <f>SUM(J8:J11)</f>
        <v>2009358.24</v>
      </c>
      <c r="K12" s="257">
        <f>SUM(K8:K11)</f>
        <v>0.99999999999999989</v>
      </c>
    </row>
    <row r="13" spans="1:34" ht="16.5" thickTop="1" thickBot="1" x14ac:dyDescent="0.3"/>
    <row r="14" spans="1:34" ht="75.75" thickBot="1" x14ac:dyDescent="0.3">
      <c r="B14" s="140" t="str">
        <f>+'PCR Cycle 1'!B14</f>
        <v>Cumulative Over/Under Carryover From 06/01/2019 Filing</v>
      </c>
      <c r="C14" s="178" t="str">
        <f>+'PCR Cycle 1'!C14</f>
        <v>Reverse May-19 - October-19  Forecast From 06/01/2019 Filing</v>
      </c>
      <c r="D14" s="288" t="s">
        <v>39</v>
      </c>
      <c r="E14" s="288"/>
      <c r="F14" s="289"/>
      <c r="G14" s="282" t="s">
        <v>39</v>
      </c>
      <c r="H14" s="283"/>
      <c r="I14" s="284"/>
      <c r="J14" s="290" t="s">
        <v>9</v>
      </c>
      <c r="K14" s="291"/>
      <c r="L14" s="292"/>
    </row>
    <row r="15" spans="1:34" x14ac:dyDescent="0.25">
      <c r="A15" s="62" t="s">
        <v>38</v>
      </c>
      <c r="C15" s="14"/>
      <c r="D15" s="20">
        <f>+'PCR Cycle 1'!D15</f>
        <v>43616</v>
      </c>
      <c r="E15" s="20">
        <f t="shared" ref="E15:L15" si="3">EOMONTH(D15,1)</f>
        <v>43646</v>
      </c>
      <c r="F15" s="20">
        <f t="shared" si="3"/>
        <v>43677</v>
      </c>
      <c r="G15" s="14">
        <f t="shared" si="3"/>
        <v>43708</v>
      </c>
      <c r="H15" s="20">
        <f t="shared" si="3"/>
        <v>43738</v>
      </c>
      <c r="I15" s="15">
        <f t="shared" si="3"/>
        <v>43769</v>
      </c>
      <c r="J15" s="20">
        <f t="shared" si="3"/>
        <v>43799</v>
      </c>
      <c r="K15" s="20">
        <f t="shared" si="3"/>
        <v>43830</v>
      </c>
      <c r="L15" s="117">
        <f t="shared" si="3"/>
        <v>43861</v>
      </c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5">
      <c r="A16" s="62" t="s">
        <v>29</v>
      </c>
      <c r="C16" s="119">
        <v>-949185.87000000011</v>
      </c>
      <c r="D16" s="131">
        <f>ROUND([7]Pivot!C26,2)</f>
        <v>314376.19</v>
      </c>
      <c r="E16" s="131">
        <f>ROUND([7]Pivot!D26,2)</f>
        <v>810750.2</v>
      </c>
      <c r="F16" s="132">
        <f>ROUND([7]Pivot!E26,2)</f>
        <v>897022.07</v>
      </c>
      <c r="G16" s="16">
        <f>ROUND([7]Pivot!F26,2)</f>
        <v>-125930.97</v>
      </c>
      <c r="H16" s="71">
        <f>ROUND([7]Pivot!G26,2)</f>
        <v>514194.92</v>
      </c>
      <c r="I16" s="191">
        <f>ROUND([7]Pivot!H26,2)</f>
        <v>739913.82</v>
      </c>
      <c r="J16" s="204">
        <f>ROUND('[2]Program Costs - Metro'!BF153,2)</f>
        <v>495028.33</v>
      </c>
      <c r="K16" s="163">
        <f>ROUND('[2]Program Costs - Metro'!BG153,2)</f>
        <v>1299872.56</v>
      </c>
      <c r="L16" s="94"/>
    </row>
    <row r="17" spans="1:14" x14ac:dyDescent="0.25">
      <c r="A17" s="62" t="s">
        <v>30</v>
      </c>
      <c r="C17" s="119">
        <v>-1718643.65</v>
      </c>
      <c r="D17" s="131">
        <f>ROUND([7]Pivot!C27,2)</f>
        <v>690123.45</v>
      </c>
      <c r="E17" s="131">
        <f>ROUND([7]Pivot!D27,2)</f>
        <v>311753.84000000003</v>
      </c>
      <c r="F17" s="132">
        <f>ROUND([7]Pivot!E27,2)</f>
        <v>398742.61</v>
      </c>
      <c r="G17" s="16">
        <f>ROUND([7]Pivot!F27,2)</f>
        <v>649363.11</v>
      </c>
      <c r="H17" s="71">
        <f>ROUND([7]Pivot!G27,2)</f>
        <v>744000.63</v>
      </c>
      <c r="I17" s="191">
        <f>ROUND([7]Pivot!H27,2)</f>
        <v>523246.83</v>
      </c>
      <c r="J17" s="204">
        <f>ROUND('[2]Program Costs - Metro'!BF154,2)</f>
        <v>1036009.34</v>
      </c>
      <c r="K17" s="163">
        <f>ROUND('[2]Program Costs - Metro'!BG154,2)</f>
        <v>1467077.62</v>
      </c>
      <c r="L17" s="94"/>
      <c r="M17" s="79" t="s">
        <v>32</v>
      </c>
    </row>
    <row r="18" spans="1:14" x14ac:dyDescent="0.25">
      <c r="A18" s="62" t="s">
        <v>0</v>
      </c>
      <c r="C18" s="119">
        <v>-183454.51</v>
      </c>
      <c r="D18" s="131">
        <f>ROUND([7]Pivot!C28,2)</f>
        <v>60190.99</v>
      </c>
      <c r="E18" s="131">
        <f>ROUND([7]Pivot!D28,2)</f>
        <v>171495.05</v>
      </c>
      <c r="F18" s="132">
        <f>ROUND([7]Pivot!E28,2)</f>
        <v>266684.48</v>
      </c>
      <c r="G18" s="16">
        <f>ROUND([7]Pivot!F28,2)</f>
        <v>97935.9</v>
      </c>
      <c r="H18" s="71">
        <f>ROUND([7]Pivot!G28,2)</f>
        <v>152685.32</v>
      </c>
      <c r="I18" s="191">
        <f>ROUND([7]Pivot!H28,2)</f>
        <v>142319.79</v>
      </c>
      <c r="J18" s="204">
        <f>ROUND('[2]Program Costs - Metro'!BF155,2)</f>
        <v>141925.26999999999</v>
      </c>
      <c r="K18" s="163">
        <f>ROUND('[2]Program Costs - Metro'!BG155,2)</f>
        <v>167562.72</v>
      </c>
      <c r="L18" s="94"/>
      <c r="M18" s="89">
        <v>0.5</v>
      </c>
    </row>
    <row r="19" spans="1:14" x14ac:dyDescent="0.25">
      <c r="A19" s="62" t="s">
        <v>1</v>
      </c>
      <c r="C19" s="119">
        <v>0</v>
      </c>
      <c r="D19" s="131">
        <f>ROUND([7]Pivot!C29,2)</f>
        <v>55576.24</v>
      </c>
      <c r="E19" s="131">
        <f>ROUND([7]Pivot!D29,2)</f>
        <v>35511.339999999997</v>
      </c>
      <c r="F19" s="132">
        <f>ROUND([7]Pivot!E29,2)</f>
        <v>95051.58</v>
      </c>
      <c r="G19" s="16">
        <f>ROUND([7]Pivot!F29,2)</f>
        <v>14865.35</v>
      </c>
      <c r="H19" s="71">
        <f>ROUND([7]Pivot!G29,2)</f>
        <v>39381.14</v>
      </c>
      <c r="I19" s="191">
        <f>ROUND([7]Pivot!H29,2)</f>
        <v>56098.51</v>
      </c>
      <c r="J19" s="204">
        <f>ROUND('[2]Program Costs - Metro'!BF156,2)</f>
        <v>0</v>
      </c>
      <c r="K19" s="163">
        <f>ROUND('[2]Program Costs - Metro'!BG156,2)</f>
        <v>0</v>
      </c>
      <c r="L19" s="94"/>
      <c r="M19" s="79"/>
    </row>
    <row r="20" spans="1:14" x14ac:dyDescent="0.25">
      <c r="C20" s="120"/>
      <c r="D20" s="44"/>
      <c r="E20" s="44"/>
      <c r="F20" s="44"/>
      <c r="G20" s="41"/>
      <c r="H20" s="44"/>
      <c r="I20" s="11"/>
      <c r="J20" s="44"/>
      <c r="K20" s="44"/>
      <c r="L20" s="42"/>
    </row>
    <row r="21" spans="1:14" x14ac:dyDescent="0.25">
      <c r="C21" s="120"/>
      <c r="D21" s="44"/>
      <c r="E21" s="44"/>
      <c r="F21" s="44"/>
      <c r="G21" s="41"/>
      <c r="H21" s="44"/>
      <c r="I21" s="11"/>
      <c r="J21" s="44"/>
      <c r="K21" s="44"/>
      <c r="L21" s="42"/>
    </row>
    <row r="22" spans="1:14" x14ac:dyDescent="0.25">
      <c r="A22" s="62" t="s">
        <v>41</v>
      </c>
      <c r="C22" s="121"/>
      <c r="D22" s="44"/>
      <c r="E22" s="44"/>
      <c r="F22" s="44"/>
      <c r="G22" s="41"/>
      <c r="H22" s="44"/>
      <c r="I22" s="192"/>
      <c r="J22" s="17"/>
      <c r="K22" s="17"/>
      <c r="L22" s="11"/>
    </row>
    <row r="23" spans="1:14" x14ac:dyDescent="0.25">
      <c r="A23" s="62" t="s">
        <v>29</v>
      </c>
      <c r="C23" s="54">
        <f t="shared" ref="C23:K23" si="4">C16+($M$18*C$18)+($M$18*C$19)</f>
        <v>-1040913.1250000001</v>
      </c>
      <c r="D23" s="55">
        <f t="shared" si="4"/>
        <v>372259.80499999999</v>
      </c>
      <c r="E23" s="55">
        <f t="shared" si="4"/>
        <v>914253.39500000002</v>
      </c>
      <c r="F23" s="130">
        <f t="shared" si="4"/>
        <v>1077890.0999999999</v>
      </c>
      <c r="G23" s="54">
        <f t="shared" si="4"/>
        <v>-69530.345000000001</v>
      </c>
      <c r="H23" s="55">
        <f t="shared" si="4"/>
        <v>610228.14999999991</v>
      </c>
      <c r="I23" s="77">
        <f t="shared" si="4"/>
        <v>839122.97</v>
      </c>
      <c r="J23" s="145">
        <f t="shared" si="4"/>
        <v>565990.96499999997</v>
      </c>
      <c r="K23" s="55">
        <f t="shared" si="4"/>
        <v>1383653.9200000002</v>
      </c>
      <c r="L23" s="77">
        <f t="shared" ref="L23" si="5">L16+($M$18*L$18)+($M$18*L$19)+L$20*(1-$M$20)</f>
        <v>0</v>
      </c>
    </row>
    <row r="24" spans="1:14" x14ac:dyDescent="0.25">
      <c r="A24" s="62" t="s">
        <v>30</v>
      </c>
      <c r="C24" s="54">
        <f t="shared" ref="C24:K24" si="6">(C$17+$M$18*C$18)+C$19*$M$18</f>
        <v>-1810370.9049999998</v>
      </c>
      <c r="D24" s="55">
        <f t="shared" si="6"/>
        <v>748007.06499999994</v>
      </c>
      <c r="E24" s="55">
        <f t="shared" si="6"/>
        <v>415257.03499999997</v>
      </c>
      <c r="F24" s="130">
        <f t="shared" si="6"/>
        <v>579610.64</v>
      </c>
      <c r="G24" s="54">
        <f t="shared" si="6"/>
        <v>705763.73499999999</v>
      </c>
      <c r="H24" s="55">
        <f t="shared" si="6"/>
        <v>840033.86</v>
      </c>
      <c r="I24" s="77">
        <f t="shared" si="6"/>
        <v>622455.98</v>
      </c>
      <c r="J24" s="145">
        <f t="shared" si="6"/>
        <v>1106971.9749999999</v>
      </c>
      <c r="K24" s="55">
        <f t="shared" si="6"/>
        <v>1550858.9800000002</v>
      </c>
      <c r="L24" s="77">
        <f t="shared" ref="L24" si="7">(L$17+$M$18*L$18+L$20*$M$20)+L$19*$M$18</f>
        <v>0</v>
      </c>
    </row>
    <row r="25" spans="1:14" x14ac:dyDescent="0.25">
      <c r="C25" s="121"/>
      <c r="D25" s="44"/>
      <c r="E25" s="44"/>
      <c r="F25" s="44"/>
      <c r="G25" s="41"/>
      <c r="H25" s="44"/>
      <c r="I25" s="11"/>
      <c r="J25" s="17"/>
      <c r="K25" s="17"/>
      <c r="L25" s="11"/>
    </row>
    <row r="26" spans="1:14" x14ac:dyDescent="0.25">
      <c r="A26" s="53" t="s">
        <v>63</v>
      </c>
      <c r="B26" s="53"/>
      <c r="C26" s="123"/>
      <c r="D26" s="44"/>
      <c r="E26" s="44"/>
      <c r="F26" s="44"/>
      <c r="G26" s="41"/>
      <c r="H26" s="44"/>
      <c r="I26" s="11"/>
      <c r="J26" s="17"/>
      <c r="K26" s="17"/>
      <c r="L26" s="11"/>
    </row>
    <row r="27" spans="1:14" x14ac:dyDescent="0.25">
      <c r="A27" s="62" t="s">
        <v>29</v>
      </c>
      <c r="C27" s="124">
        <v>-618685363</v>
      </c>
      <c r="D27" s="133">
        <f>+'[5]May 2019 Combined'!$C$61</f>
        <v>141611603.10630003</v>
      </c>
      <c r="E27" s="133">
        <f>+'[5]June 2019 Combined'!$C$61</f>
        <v>191066375.41019997</v>
      </c>
      <c r="F27" s="133">
        <f>+'[5]July 2019 Combined'!$C$61</f>
        <v>274853973.83500004</v>
      </c>
      <c r="G27" s="212">
        <f>+'[5]August 2019 Combined'!$C$66</f>
        <v>289178916.20470035</v>
      </c>
      <c r="H27" s="215">
        <f>+'[5]September 2019 Combined'!$C$61</f>
        <v>251510125.52000004</v>
      </c>
      <c r="I27" s="210">
        <f>+'[5]October 2019 Combined'!$C$61</f>
        <v>198213542.11300012</v>
      </c>
      <c r="J27" s="205">
        <f>+'PCR Cycle 1'!J27</f>
        <v>156952287</v>
      </c>
      <c r="K27" s="164">
        <f>+'PCR Cycle 1'!K27</f>
        <v>233503187</v>
      </c>
      <c r="L27" s="95">
        <f>+'PCR Cycle 1'!L27</f>
        <v>262459710</v>
      </c>
    </row>
    <row r="28" spans="1:14" x14ac:dyDescent="0.25">
      <c r="A28" s="62" t="s">
        <v>30</v>
      </c>
      <c r="C28" s="124">
        <v>-1133982856</v>
      </c>
      <c r="D28" s="133">
        <f>+'[5]May 2019 Combined'!$C$62</f>
        <v>315314577.79310006</v>
      </c>
      <c r="E28" s="133">
        <f>+'[5]June 2019 Combined'!$C$62</f>
        <v>335591914.8994</v>
      </c>
      <c r="F28" s="133">
        <f>+'[5]July 2019 Combined'!$C$62</f>
        <v>384867228.13210005</v>
      </c>
      <c r="G28" s="212">
        <f>+'[5]August 2019 Combined'!$C$67</f>
        <v>385816525.63920003</v>
      </c>
      <c r="H28" s="215">
        <f>+'[5]September 2019 Combined'!$C$62</f>
        <v>417726543.09179997</v>
      </c>
      <c r="I28" s="210">
        <f>+'[5]October 2019 Combined'!$C$62</f>
        <v>366459490.79399991</v>
      </c>
      <c r="J28" s="205">
        <f>+'PCR Cycle 1'!J28</f>
        <v>32283286</v>
      </c>
      <c r="K28" s="164">
        <f>+'PCR Cycle 1'!K28</f>
        <v>35631496</v>
      </c>
      <c r="L28" s="95">
        <f>+'PCR Cycle 1'!L28</f>
        <v>36324839</v>
      </c>
    </row>
    <row r="29" spans="1:14" x14ac:dyDescent="0.25">
      <c r="C29" s="121"/>
      <c r="D29" s="44"/>
      <c r="E29" s="44"/>
      <c r="F29" s="44"/>
      <c r="G29" s="41"/>
      <c r="H29" s="44"/>
      <c r="I29" s="11"/>
      <c r="J29" s="17"/>
      <c r="K29" s="17"/>
      <c r="L29" s="11"/>
    </row>
    <row r="30" spans="1:14" x14ac:dyDescent="0.25">
      <c r="A30" s="62" t="s">
        <v>40</v>
      </c>
      <c r="C30" s="121"/>
      <c r="D30" s="18"/>
      <c r="E30" s="18"/>
      <c r="F30" s="18"/>
      <c r="G30" s="113"/>
      <c r="H30" s="18"/>
      <c r="I30" s="11"/>
      <c r="J30" s="73"/>
      <c r="K30" s="73"/>
      <c r="L30" s="74"/>
      <c r="M30" s="79" t="s">
        <v>66</v>
      </c>
      <c r="N30" s="53"/>
    </row>
    <row r="31" spans="1:14" x14ac:dyDescent="0.25">
      <c r="A31" s="62" t="s">
        <v>29</v>
      </c>
      <c r="C31" s="119">
        <v>136110.77986000001</v>
      </c>
      <c r="D31" s="131">
        <f>ROUND(+'[5]May 2019 Combined'!$F$34+'[5]May 2019 Combined'!$F$39,2)</f>
        <v>-30828.080000000002</v>
      </c>
      <c r="E31" s="131">
        <f>ROUND(+'[5]June 2019 Combined'!$F$34+'[5]June 2019 Combined'!$F$39,2)</f>
        <v>-41774.74</v>
      </c>
      <c r="F31" s="133">
        <f>ROUND(+'[5]July 2019 Combined'!$F$34+'[5]July 2019 Combined'!$F$39,2)</f>
        <v>-59947.74</v>
      </c>
      <c r="G31" s="213">
        <f>ROUND(+'[5]August 2019 Combined'!$F$34+'[5]August 2019 Combined'!$F$39,2)</f>
        <v>354844.94</v>
      </c>
      <c r="H31" s="71">
        <f>ROUND(+'[5]September 2019 Combined'!$F$34+'[5]September 2019 Combined'!$F$39,2)</f>
        <v>756380.92</v>
      </c>
      <c r="I31" s="207">
        <f>ROUND(+'[5]October 2019 Combined'!$F$34+'[5]October 2019 Combined'!$F$39,2)</f>
        <v>596353.62</v>
      </c>
      <c r="J31" s="145">
        <f>ROUND(J27*$M31,2)</f>
        <v>472426.38</v>
      </c>
      <c r="K31" s="55">
        <f t="shared" ref="K31:L31" si="8">ROUND(K27*$M31,2)</f>
        <v>702844.59</v>
      </c>
      <c r="L31" s="77">
        <f t="shared" si="8"/>
        <v>790003.73</v>
      </c>
      <c r="M31" s="88">
        <v>3.0099999999999997E-3</v>
      </c>
    </row>
    <row r="32" spans="1:14" x14ac:dyDescent="0.25">
      <c r="A32" s="62" t="str">
        <f>A28</f>
        <v>Non-Residential</v>
      </c>
      <c r="C32" s="119">
        <v>-2415383.4832799998</v>
      </c>
      <c r="D32" s="131">
        <f>ROUND(+'[5]May 2019 Combined'!$F$35+'[5]May 2019 Combined'!$F$40,2)</f>
        <v>671401.03</v>
      </c>
      <c r="E32" s="131">
        <f>ROUND(+'[5]June 2019 Combined'!$F$35+'[5]June 2019 Combined'!$F$40,2)</f>
        <v>715460.87</v>
      </c>
      <c r="F32" s="133">
        <f>ROUND(+'[5]July 2019 Combined'!$F$35+'[5]July 2019 Combined'!$F$40,2)</f>
        <v>819752.35</v>
      </c>
      <c r="G32" s="213">
        <f>ROUND(+'[5]August 2019 Combined'!$F$35+'[5]August 2019 Combined'!$F$40,2)</f>
        <v>857746.51</v>
      </c>
      <c r="H32" s="71">
        <f>ROUND(+'[5]September 2019 Combined'!$F$35+'[5]September 2019 Combined'!$F$40,2)</f>
        <v>930287.29</v>
      </c>
      <c r="I32" s="207">
        <f>ROUND(+'[5]October 2019 Combined'!$F$35+'[5]October 2019 Combined'!$F$40,2)</f>
        <v>820891.21</v>
      </c>
      <c r="J32" s="145">
        <f>ROUND(J28*$M32,2)</f>
        <v>72314.559999999998</v>
      </c>
      <c r="K32" s="55">
        <f t="shared" ref="K32:L32" si="9">ROUND(K28*$M32,2)</f>
        <v>79814.55</v>
      </c>
      <c r="L32" s="77">
        <f t="shared" si="9"/>
        <v>81367.64</v>
      </c>
      <c r="M32" s="88">
        <v>2.2399999999999998E-3</v>
      </c>
    </row>
    <row r="33" spans="1:13" x14ac:dyDescent="0.25">
      <c r="C33" s="83"/>
      <c r="D33" s="18"/>
      <c r="E33" s="18"/>
      <c r="F33" s="18"/>
      <c r="G33" s="113"/>
      <c r="H33" s="18"/>
      <c r="I33" s="11"/>
      <c r="J33" s="72"/>
      <c r="K33" s="72"/>
      <c r="L33" s="13"/>
      <c r="M33" s="4"/>
    </row>
    <row r="34" spans="1:13" ht="15.75" thickBot="1" x14ac:dyDescent="0.3">
      <c r="A34" s="62" t="s">
        <v>16</v>
      </c>
      <c r="C34" s="125">
        <v>-4725.1000000000004</v>
      </c>
      <c r="D34" s="134">
        <v>997.93</v>
      </c>
      <c r="E34" s="134">
        <v>2718.7799999999997</v>
      </c>
      <c r="F34" s="135">
        <v>4953.3599999999997</v>
      </c>
      <c r="G34" s="39">
        <v>5242.7</v>
      </c>
      <c r="H34" s="144">
        <v>3942.45</v>
      </c>
      <c r="I34" s="208">
        <v>3507.95</v>
      </c>
      <c r="J34" s="206">
        <v>4176.41</v>
      </c>
      <c r="K34" s="165">
        <v>6635.18</v>
      </c>
      <c r="L34" s="99"/>
    </row>
    <row r="35" spans="1:13" x14ac:dyDescent="0.25">
      <c r="C35" s="121"/>
      <c r="D35" s="44"/>
      <c r="E35" s="44"/>
      <c r="F35" s="44"/>
      <c r="G35" s="41"/>
      <c r="H35" s="44"/>
      <c r="I35" s="11"/>
      <c r="J35" s="17"/>
      <c r="K35" s="17"/>
      <c r="L35" s="11"/>
    </row>
    <row r="36" spans="1:13" x14ac:dyDescent="0.25">
      <c r="A36" s="62" t="s">
        <v>68</v>
      </c>
      <c r="C36" s="121"/>
      <c r="D36" s="44"/>
      <c r="E36" s="44"/>
      <c r="F36" s="44"/>
      <c r="G36" s="41"/>
      <c r="H36" s="44"/>
      <c r="I36" s="11"/>
      <c r="J36" s="17"/>
      <c r="K36" s="17"/>
      <c r="L36" s="11"/>
    </row>
    <row r="37" spans="1:13" x14ac:dyDescent="0.25">
      <c r="A37" s="62" t="s">
        <v>29</v>
      </c>
      <c r="C37" s="54">
        <f t="shared" ref="C37:L38" si="10">C23-C31</f>
        <v>-1177023.9048600001</v>
      </c>
      <c r="D37" s="55">
        <f t="shared" si="10"/>
        <v>403087.88500000001</v>
      </c>
      <c r="E37" s="55">
        <f t="shared" si="10"/>
        <v>956028.13500000001</v>
      </c>
      <c r="F37" s="130">
        <f t="shared" si="10"/>
        <v>1137837.8399999999</v>
      </c>
      <c r="G37" s="54">
        <f t="shared" si="10"/>
        <v>-424375.28500000003</v>
      </c>
      <c r="H37" s="55">
        <f t="shared" si="10"/>
        <v>-146152.77000000014</v>
      </c>
      <c r="I37" s="77">
        <f t="shared" si="10"/>
        <v>242769.34999999998</v>
      </c>
      <c r="J37" s="145">
        <f t="shared" si="10"/>
        <v>93564.584999999963</v>
      </c>
      <c r="K37" s="55">
        <f t="shared" si="10"/>
        <v>680809.33000000019</v>
      </c>
      <c r="L37" s="65">
        <f t="shared" si="10"/>
        <v>-790003.73</v>
      </c>
    </row>
    <row r="38" spans="1:13" x14ac:dyDescent="0.25">
      <c r="A38" s="62" t="s">
        <v>30</v>
      </c>
      <c r="C38" s="54">
        <f t="shared" si="10"/>
        <v>605012.57828000002</v>
      </c>
      <c r="D38" s="55">
        <f t="shared" si="10"/>
        <v>76606.034999999916</v>
      </c>
      <c r="E38" s="55">
        <f t="shared" si="10"/>
        <v>-300203.83500000002</v>
      </c>
      <c r="F38" s="130">
        <f t="shared" si="10"/>
        <v>-240141.70999999996</v>
      </c>
      <c r="G38" s="54">
        <f t="shared" si="10"/>
        <v>-151982.77500000002</v>
      </c>
      <c r="H38" s="55">
        <f t="shared" si="10"/>
        <v>-90253.430000000051</v>
      </c>
      <c r="I38" s="77">
        <f t="shared" si="10"/>
        <v>-198435.22999999998</v>
      </c>
      <c r="J38" s="145">
        <f t="shared" si="10"/>
        <v>1034657.4149999998</v>
      </c>
      <c r="K38" s="55">
        <f t="shared" si="10"/>
        <v>1471044.4300000002</v>
      </c>
      <c r="L38" s="65">
        <f t="shared" si="10"/>
        <v>-81367.64</v>
      </c>
    </row>
    <row r="39" spans="1:13" x14ac:dyDescent="0.25">
      <c r="C39" s="121"/>
      <c r="D39" s="44"/>
      <c r="E39" s="44"/>
      <c r="F39" s="44"/>
      <c r="G39" s="41"/>
      <c r="H39" s="44"/>
      <c r="I39" s="11"/>
      <c r="J39" s="17"/>
      <c r="K39" s="17"/>
      <c r="L39" s="11"/>
    </row>
    <row r="40" spans="1:13" ht="15.75" thickBot="1" x14ac:dyDescent="0.3">
      <c r="A40" s="62" t="s">
        <v>69</v>
      </c>
      <c r="C40" s="126"/>
      <c r="D40" s="44"/>
      <c r="E40" s="44"/>
      <c r="F40" s="44"/>
      <c r="G40" s="41"/>
      <c r="H40" s="44"/>
      <c r="I40" s="11"/>
      <c r="J40" s="17"/>
      <c r="K40" s="17"/>
      <c r="L40" s="11"/>
    </row>
    <row r="41" spans="1:13" x14ac:dyDescent="0.25">
      <c r="A41" s="62" t="s">
        <v>29</v>
      </c>
      <c r="B41" s="138">
        <v>778269.76985999977</v>
      </c>
      <c r="C41" s="55">
        <f>B41+C37+B46</f>
        <v>-398754.13500000036</v>
      </c>
      <c r="D41" s="55">
        <f t="shared" ref="D41:L41" si="11">C41+D37+C46</f>
        <v>3520.4299999996506</v>
      </c>
      <c r="E41" s="55">
        <f t="shared" si="11"/>
        <v>958938.84499999974</v>
      </c>
      <c r="F41" s="130">
        <f t="shared" si="11"/>
        <v>2098241.1149999998</v>
      </c>
      <c r="G41" s="54">
        <f t="shared" si="11"/>
        <v>1678395.5799999996</v>
      </c>
      <c r="H41" s="55">
        <f t="shared" si="11"/>
        <v>1537635.5999999996</v>
      </c>
      <c r="I41" s="77">
        <f t="shared" si="11"/>
        <v>1784824.5199999998</v>
      </c>
      <c r="J41" s="145">
        <f t="shared" si="11"/>
        <v>1882728.4749999999</v>
      </c>
      <c r="K41" s="55">
        <f t="shared" si="11"/>
        <v>2568327.1850000001</v>
      </c>
      <c r="L41" s="65">
        <f t="shared" si="11"/>
        <v>1784135.365</v>
      </c>
    </row>
    <row r="42" spans="1:13" ht="15.75" thickBot="1" x14ac:dyDescent="0.3">
      <c r="A42" s="62" t="s">
        <v>30</v>
      </c>
      <c r="B42" s="139">
        <v>-117276.03327999997</v>
      </c>
      <c r="C42" s="55">
        <f>B42+C38+B47</f>
        <v>487736.54500000004</v>
      </c>
      <c r="D42" s="55">
        <f t="shared" ref="D42:L42" si="12">C42+D38+C47</f>
        <v>560430.79999999993</v>
      </c>
      <c r="E42" s="55">
        <f t="shared" si="12"/>
        <v>261834.62499999991</v>
      </c>
      <c r="F42" s="130">
        <f t="shared" si="12"/>
        <v>22947.274999999951</v>
      </c>
      <c r="G42" s="54">
        <f t="shared" si="12"/>
        <v>-128611.89000000007</v>
      </c>
      <c r="H42" s="55">
        <f t="shared" si="12"/>
        <v>-219015.42000000013</v>
      </c>
      <c r="I42" s="77">
        <f t="shared" si="12"/>
        <v>-417927.78000000014</v>
      </c>
      <c r="J42" s="145">
        <f t="shared" si="12"/>
        <v>615898.22499999963</v>
      </c>
      <c r="K42" s="55">
        <f t="shared" si="12"/>
        <v>2087199.7949999997</v>
      </c>
      <c r="L42" s="65">
        <f t="shared" si="12"/>
        <v>2009358.2349999999</v>
      </c>
    </row>
    <row r="43" spans="1:13" x14ac:dyDescent="0.25">
      <c r="C43" s="121"/>
      <c r="D43" s="44"/>
      <c r="E43" s="44"/>
      <c r="F43" s="44"/>
      <c r="G43" s="41"/>
      <c r="H43" s="44"/>
      <c r="I43" s="11"/>
      <c r="J43" s="17"/>
      <c r="K43" s="17"/>
      <c r="L43" s="11"/>
    </row>
    <row r="44" spans="1:13" x14ac:dyDescent="0.25">
      <c r="A44" s="53" t="s">
        <v>65</v>
      </c>
      <c r="B44" s="53"/>
      <c r="C44" s="126"/>
      <c r="D44" s="101">
        <f>+'PCR Cycle 1'!D44</f>
        <v>3.0790499999999998E-3</v>
      </c>
      <c r="E44" s="101">
        <f>+'PCR Cycle 1'!E44</f>
        <v>3.0450199999999998E-3</v>
      </c>
      <c r="F44" s="101">
        <f>+'PCR Cycle 1'!F44</f>
        <v>2.9619300000000002E-3</v>
      </c>
      <c r="G44" s="102">
        <f>+'PCR Cycle 1'!G44</f>
        <v>2.8524499999999999E-3</v>
      </c>
      <c r="H44" s="101">
        <f>+'PCR Cycle 1'!H44</f>
        <v>2.7438599999999999E-3</v>
      </c>
      <c r="I44" s="114">
        <f>+'PCR Cycle 1'!I44</f>
        <v>2.60867E-3</v>
      </c>
      <c r="J44" s="101">
        <f>+'PCR Cycle 1'!J44</f>
        <v>2.60867E-3</v>
      </c>
      <c r="K44" s="101">
        <f>+'PCR Cycle 1'!K44</f>
        <v>2.60867E-3</v>
      </c>
      <c r="L44" s="114"/>
    </row>
    <row r="45" spans="1:13" x14ac:dyDescent="0.25">
      <c r="A45" s="53" t="s">
        <v>44</v>
      </c>
      <c r="B45" s="53"/>
      <c r="C45" s="121"/>
      <c r="D45" s="44"/>
      <c r="E45" s="44"/>
      <c r="F45" s="44"/>
      <c r="G45" s="41"/>
      <c r="H45" s="44"/>
      <c r="I45" s="11"/>
      <c r="J45" s="17"/>
      <c r="K45" s="17"/>
      <c r="L45" s="11"/>
      <c r="M45" s="87"/>
    </row>
    <row r="46" spans="1:13" x14ac:dyDescent="0.25">
      <c r="A46" s="62" t="s">
        <v>29</v>
      </c>
      <c r="C46" s="54">
        <v>-813.32</v>
      </c>
      <c r="D46" s="55">
        <f t="shared" ref="D46" si="13">ROUND((C41+C46+D37/2)*D$44,2)</f>
        <v>-609.72</v>
      </c>
      <c r="E46" s="55">
        <f t="shared" ref="E46:E47" si="14">ROUND((D41+D46+E37/2)*E$44,2)</f>
        <v>1464.43</v>
      </c>
      <c r="F46" s="130">
        <f t="shared" ref="F46:F47" si="15">ROUND((E41+E46+F37/2)*F$44,2)</f>
        <v>4529.75</v>
      </c>
      <c r="G46" s="54">
        <f t="shared" ref="G46:G47" si="16">ROUND((F41+F46+G37/2)*G$44,2)</f>
        <v>5392.79</v>
      </c>
      <c r="H46" s="145">
        <f t="shared" ref="H46:I47" si="17">ROUND((G41+G46+H37/2)*H$44,2)</f>
        <v>4419.57</v>
      </c>
      <c r="I46" s="77">
        <f t="shared" si="17"/>
        <v>4339.37</v>
      </c>
      <c r="J46" s="145">
        <f t="shared" ref="J46:J47" si="18">ROUND((I41+I46+J37/2)*J$44,2)</f>
        <v>4789.38</v>
      </c>
      <c r="K46" s="145">
        <f t="shared" ref="K46:K47" si="19">ROUND((J41+J46+K37/2)*K$44,2)</f>
        <v>5811.91</v>
      </c>
      <c r="L46" s="65"/>
    </row>
    <row r="47" spans="1:13" ht="15.75" thickBot="1" x14ac:dyDescent="0.3">
      <c r="A47" s="62" t="s">
        <v>30</v>
      </c>
      <c r="C47" s="136">
        <v>-3911.7799999999997</v>
      </c>
      <c r="D47" s="55">
        <f>ROUND((C42+C47+D38/2)*D$44,2)</f>
        <v>1607.66</v>
      </c>
      <c r="E47" s="55">
        <f t="shared" si="14"/>
        <v>1254.3599999999999</v>
      </c>
      <c r="F47" s="130">
        <f t="shared" si="15"/>
        <v>423.61</v>
      </c>
      <c r="G47" s="54">
        <f t="shared" si="16"/>
        <v>-150.1</v>
      </c>
      <c r="H47" s="145">
        <f t="shared" si="17"/>
        <v>-477.13</v>
      </c>
      <c r="I47" s="77">
        <f t="shared" si="17"/>
        <v>-831.41</v>
      </c>
      <c r="J47" s="145">
        <f t="shared" si="18"/>
        <v>257.14</v>
      </c>
      <c r="K47" s="145">
        <f t="shared" si="19"/>
        <v>3526.08</v>
      </c>
      <c r="L47" s="65"/>
    </row>
    <row r="48" spans="1:13" ht="16.5" thickTop="1" thickBot="1" x14ac:dyDescent="0.3">
      <c r="A48" s="70" t="s">
        <v>25</v>
      </c>
      <c r="B48" s="70"/>
      <c r="C48" s="137">
        <v>0</v>
      </c>
      <c r="D48" s="46">
        <f t="shared" ref="D48:L48" si="20">SUM(D46:D47)+SUM(D41:D42)-D51</f>
        <v>0</v>
      </c>
      <c r="E48" s="46">
        <f t="shared" si="20"/>
        <v>0</v>
      </c>
      <c r="F48" s="66">
        <f t="shared" si="20"/>
        <v>0</v>
      </c>
      <c r="G48" s="146">
        <f t="shared" si="20"/>
        <v>0</v>
      </c>
      <c r="H48" s="46">
        <f t="shared" si="20"/>
        <v>0</v>
      </c>
      <c r="I48" s="78">
        <f t="shared" si="20"/>
        <v>0</v>
      </c>
      <c r="J48" s="190">
        <f t="shared" si="20"/>
        <v>0</v>
      </c>
      <c r="K48" s="46">
        <f t="shared" si="20"/>
        <v>0</v>
      </c>
      <c r="L48" s="118">
        <f t="shared" si="20"/>
        <v>0</v>
      </c>
    </row>
    <row r="49" spans="1:12" ht="16.5" thickTop="1" thickBot="1" x14ac:dyDescent="0.3">
      <c r="A49" s="70" t="s">
        <v>26</v>
      </c>
      <c r="B49" s="70"/>
      <c r="C49" s="129">
        <v>0</v>
      </c>
      <c r="D49" s="46">
        <f t="shared" ref="D49:I49" si="21">SUM(D46:D47)-D34</f>
        <v>1.0000000000104592E-2</v>
      </c>
      <c r="E49" s="46">
        <f t="shared" si="21"/>
        <v>1.0000000000218279E-2</v>
      </c>
      <c r="F49" s="66">
        <f t="shared" ref="F49:H49" si="22">SUM(F46:F47)-F34</f>
        <v>0</v>
      </c>
      <c r="G49" s="67">
        <f t="shared" si="22"/>
        <v>-1.0000000000218279E-2</v>
      </c>
      <c r="H49" s="46">
        <f t="shared" si="22"/>
        <v>-1.0000000000218279E-2</v>
      </c>
      <c r="I49" s="78">
        <f t="shared" si="21"/>
        <v>1.0000000000218279E-2</v>
      </c>
      <c r="J49" s="190">
        <f t="shared" ref="J49:L49" si="23">SUM(J46:J47)-J34</f>
        <v>870.11000000000058</v>
      </c>
      <c r="K49" s="46">
        <f t="shared" si="23"/>
        <v>2702.8099999999995</v>
      </c>
      <c r="L49" s="118">
        <f t="shared" si="23"/>
        <v>0</v>
      </c>
    </row>
    <row r="50" spans="1:12" ht="16.5" thickTop="1" thickBot="1" x14ac:dyDescent="0.3">
      <c r="C50" s="121"/>
      <c r="D50" s="17"/>
      <c r="E50" s="17"/>
      <c r="F50" s="17"/>
      <c r="G50" s="10"/>
      <c r="H50" s="17"/>
      <c r="I50" s="11"/>
      <c r="J50" s="17"/>
      <c r="K50" s="17"/>
      <c r="L50" s="11"/>
    </row>
    <row r="51" spans="1:12" ht="15.75" thickBot="1" x14ac:dyDescent="0.3">
      <c r="A51" s="62" t="s">
        <v>42</v>
      </c>
      <c r="B51" s="141">
        <f>+B41+B42</f>
        <v>660993.73657999979</v>
      </c>
      <c r="C51" s="54">
        <f t="shared" ref="C51:I51" si="24">(SUM(C16:C20)-SUM(C31:C32))+SUM(C46:C47)+B51</f>
        <v>84257.309999999241</v>
      </c>
      <c r="D51" s="55">
        <f t="shared" si="24"/>
        <v>564949.16999999899</v>
      </c>
      <c r="E51" s="55">
        <f t="shared" si="24"/>
        <v>1223492.2599999993</v>
      </c>
      <c r="F51" s="130">
        <f t="shared" si="24"/>
        <v>2126141.7499999991</v>
      </c>
      <c r="G51" s="54">
        <f t="shared" si="24"/>
        <v>1555026.379999999</v>
      </c>
      <c r="H51" s="55">
        <f t="shared" si="24"/>
        <v>1322562.6199999989</v>
      </c>
      <c r="I51" s="77">
        <f t="shared" si="24"/>
        <v>1370404.6999999988</v>
      </c>
      <c r="J51" s="145">
        <f t="shared" ref="J51" si="25">(SUM(J16:J20)-SUM(J31:J32))+SUM(J46:J47)+I51</f>
        <v>2503673.2199999988</v>
      </c>
      <c r="K51" s="55">
        <f t="shared" ref="K51:L51" si="26">(SUM(K16:K20)-SUM(K31:K32))+SUM(K46:K47)+J51</f>
        <v>4664864.9699999988</v>
      </c>
      <c r="L51" s="77">
        <f t="shared" si="26"/>
        <v>3793493.5999999987</v>
      </c>
    </row>
    <row r="52" spans="1:12" x14ac:dyDescent="0.25">
      <c r="A52" s="62" t="s">
        <v>14</v>
      </c>
      <c r="C52" s="142"/>
      <c r="D52" s="72"/>
      <c r="E52" s="72"/>
      <c r="F52" s="72"/>
      <c r="G52" s="12"/>
      <c r="H52" s="72"/>
      <c r="I52" s="11"/>
      <c r="J52" s="17"/>
      <c r="K52" s="17"/>
      <c r="L52" s="11"/>
    </row>
    <row r="53" spans="1:12" ht="15.75" thickBot="1" x14ac:dyDescent="0.3">
      <c r="B53" s="17"/>
      <c r="C53" s="57"/>
      <c r="D53" s="58"/>
      <c r="E53" s="58"/>
      <c r="F53" s="58"/>
      <c r="G53" s="57"/>
      <c r="H53" s="58"/>
      <c r="I53" s="59"/>
      <c r="J53" s="58"/>
      <c r="K53" s="58"/>
      <c r="L53" s="59"/>
    </row>
    <row r="55" spans="1:12" x14ac:dyDescent="0.25">
      <c r="A55" s="85" t="s">
        <v>13</v>
      </c>
      <c r="B55" s="85"/>
      <c r="C55" s="85"/>
    </row>
    <row r="56" spans="1:12" ht="42.75" customHeight="1" x14ac:dyDescent="0.25">
      <c r="A56" s="287" t="s">
        <v>157</v>
      </c>
      <c r="B56" s="287"/>
      <c r="C56" s="287"/>
      <c r="D56" s="287"/>
      <c r="E56" s="287"/>
      <c r="F56" s="287"/>
      <c r="G56" s="287"/>
      <c r="H56" s="287"/>
      <c r="I56" s="287"/>
      <c r="J56" s="169"/>
      <c r="K56" s="169"/>
      <c r="L56" s="169"/>
    </row>
    <row r="57" spans="1:12" ht="33.75" customHeight="1" x14ac:dyDescent="0.25">
      <c r="A57" s="287" t="s">
        <v>154</v>
      </c>
      <c r="B57" s="287"/>
      <c r="C57" s="287"/>
      <c r="D57" s="287"/>
      <c r="E57" s="287"/>
      <c r="F57" s="287"/>
      <c r="G57" s="287"/>
      <c r="H57" s="287"/>
      <c r="I57" s="287"/>
      <c r="J57" s="169"/>
      <c r="K57" s="169"/>
      <c r="L57" s="169"/>
    </row>
    <row r="58" spans="1:12" ht="33.75" customHeight="1" x14ac:dyDescent="0.25">
      <c r="A58" s="287" t="s">
        <v>155</v>
      </c>
      <c r="B58" s="287"/>
      <c r="C58" s="287"/>
      <c r="D58" s="287"/>
      <c r="E58" s="287"/>
      <c r="F58" s="287"/>
      <c r="G58" s="287"/>
      <c r="H58" s="287"/>
      <c r="I58" s="287"/>
      <c r="J58" s="169"/>
      <c r="K58" s="169"/>
      <c r="L58" s="169"/>
    </row>
    <row r="59" spans="1:12" x14ac:dyDescent="0.25">
      <c r="A59" s="3" t="s">
        <v>37</v>
      </c>
      <c r="B59" s="3"/>
      <c r="C59" s="3"/>
      <c r="I59" s="4"/>
    </row>
    <row r="60" spans="1:12" x14ac:dyDescent="0.25">
      <c r="A60" s="79" t="s">
        <v>156</v>
      </c>
      <c r="B60" s="3"/>
      <c r="C60" s="3"/>
      <c r="I60" s="4"/>
    </row>
    <row r="61" spans="1:12" x14ac:dyDescent="0.25">
      <c r="A61" s="3" t="s">
        <v>67</v>
      </c>
      <c r="B61" s="3"/>
      <c r="C61" s="3"/>
      <c r="I61" s="4"/>
    </row>
    <row r="62" spans="1:12" x14ac:dyDescent="0.25">
      <c r="A62" s="3" t="s">
        <v>153</v>
      </c>
    </row>
    <row r="71" spans="13:13" x14ac:dyDescent="0.25">
      <c r="M71" s="8"/>
    </row>
  </sheetData>
  <mergeCells count="6">
    <mergeCell ref="J14:L14"/>
    <mergeCell ref="A58:I58"/>
    <mergeCell ref="D14:F14"/>
    <mergeCell ref="A56:I56"/>
    <mergeCell ref="A57:I57"/>
    <mergeCell ref="G14:I14"/>
  </mergeCells>
  <pageMargins left="0.2" right="0.2" top="0.75" bottom="0.25" header="0.3" footer="0.3"/>
  <pageSetup scale="54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2"/>
  <sheetViews>
    <sheetView workbookViewId="0"/>
  </sheetViews>
  <sheetFormatPr defaultRowHeight="15" x14ac:dyDescent="0.25"/>
  <cols>
    <col min="1" max="1" width="24.7109375" customWidth="1"/>
    <col min="2" max="2" width="16.140625" customWidth="1"/>
    <col min="3" max="3" width="15.140625" customWidth="1"/>
  </cols>
  <sheetData>
    <row r="1" spans="1:23" s="62" customFormat="1" x14ac:dyDescent="0.25">
      <c r="A1" s="3" t="str">
        <f>+'PPC Cycle 2'!A1</f>
        <v>Evergy Metro, Inc. - DSIM Rider Update MEEIA 3 filed January 20, 2020</v>
      </c>
    </row>
    <row r="2" spans="1:23" x14ac:dyDescent="0.25">
      <c r="A2" s="9" t="str">
        <f>+'PPC Cycle 2'!A2</f>
        <v>Projections for Cycle 2 January 2020 - December 2020 DSIM</v>
      </c>
    </row>
    <row r="3" spans="1:23" s="62" customFormat="1" x14ac:dyDescent="0.25">
      <c r="A3" s="9"/>
    </row>
    <row r="4" spans="1:23" ht="40.5" customHeight="1" x14ac:dyDescent="0.25">
      <c r="B4" s="281" t="s">
        <v>87</v>
      </c>
      <c r="C4" s="281"/>
    </row>
    <row r="5" spans="1:23" ht="45" x14ac:dyDescent="0.25">
      <c r="B5" s="177" t="s">
        <v>88</v>
      </c>
      <c r="C5" s="6" t="s">
        <v>34</v>
      </c>
    </row>
    <row r="6" spans="1:23" x14ac:dyDescent="0.25">
      <c r="A6" s="22" t="s">
        <v>29</v>
      </c>
      <c r="B6" s="34">
        <f>+'[2]Metro Monthly TD Calc'!BG357</f>
        <v>37102945.906518809</v>
      </c>
      <c r="C6" s="104">
        <f>ROUND('[2]Metro Monthly TD Calc'!BG326,2)</f>
        <v>2667485.0099999998</v>
      </c>
    </row>
    <row r="7" spans="1:23" x14ac:dyDescent="0.25">
      <c r="A7" s="43" t="s">
        <v>30</v>
      </c>
      <c r="B7" s="34">
        <f>+'[2]Metro Monthly TD Calc'!BG358</f>
        <v>68325808.857900232</v>
      </c>
      <c r="C7" s="104">
        <f>ROUND('[2]Metro Monthly TD Calc'!BG327,2)</f>
        <v>2748522.91</v>
      </c>
    </row>
    <row r="8" spans="1:23" x14ac:dyDescent="0.25">
      <c r="A8" s="22" t="s">
        <v>6</v>
      </c>
      <c r="B8" s="35">
        <f>SUM(B6:B7)</f>
        <v>105428754.76441905</v>
      </c>
      <c r="C8" s="24">
        <f>SUM(C6:C7)</f>
        <v>5416007.9199999999</v>
      </c>
    </row>
    <row r="9" spans="1:23" s="62" customFormat="1" x14ac:dyDescent="0.25">
      <c r="A9" s="22"/>
    </row>
    <row r="10" spans="1:23" s="62" customFormat="1" x14ac:dyDescent="0.25">
      <c r="A10" s="22" t="s">
        <v>136</v>
      </c>
      <c r="B10" s="34">
        <f>+'[2]Metro Monthly TD Calc'!BG361</f>
        <v>6579145.8267717129</v>
      </c>
      <c r="C10" s="104">
        <f>+'[2]Metro Monthly TD Calc'!BG336</f>
        <v>510612.43</v>
      </c>
    </row>
    <row r="11" spans="1:23" s="62" customFormat="1" x14ac:dyDescent="0.25">
      <c r="A11" s="22" t="s">
        <v>137</v>
      </c>
      <c r="B11" s="34">
        <f>+'[2]Metro Monthly TD Calc'!BG362</f>
        <v>23029113.400481995</v>
      </c>
      <c r="C11" s="104">
        <f>+'[2]Metro Monthly TD Calc'!BG337</f>
        <v>1138458.3499999999</v>
      </c>
    </row>
    <row r="12" spans="1:23" s="62" customFormat="1" x14ac:dyDescent="0.25">
      <c r="A12" s="22" t="s">
        <v>138</v>
      </c>
      <c r="B12" s="34">
        <f>+'[2]Metro Monthly TD Calc'!BG363</f>
        <v>30885242.787437897</v>
      </c>
      <c r="C12" s="104">
        <f>+'[2]Metro Monthly TD Calc'!BG338</f>
        <v>981390.21</v>
      </c>
    </row>
    <row r="13" spans="1:23" s="62" customFormat="1" x14ac:dyDescent="0.25">
      <c r="A13" s="22" t="s">
        <v>139</v>
      </c>
      <c r="B13" s="34">
        <f>+'[2]Metro Monthly TD Calc'!BG364</f>
        <v>7832306.8432086241</v>
      </c>
      <c r="C13" s="104">
        <f>+'[2]Metro Monthly TD Calc'!BG339</f>
        <v>118061.93000000001</v>
      </c>
    </row>
    <row r="14" spans="1:23" x14ac:dyDescent="0.25">
      <c r="A14" s="43" t="s">
        <v>143</v>
      </c>
      <c r="B14" s="35">
        <f>SUM(B10:B13)</f>
        <v>68325808.857900232</v>
      </c>
      <c r="C14" s="24">
        <f>SUM(C10:C13)</f>
        <v>2748522.92</v>
      </c>
    </row>
    <row r="15" spans="1:23" x14ac:dyDescent="0.25">
      <c r="A15" s="62"/>
      <c r="B15" s="62"/>
      <c r="C15" s="62"/>
    </row>
    <row r="16" spans="1:23" x14ac:dyDescent="0.25">
      <c r="A16" s="85" t="s">
        <v>35</v>
      </c>
      <c r="B16" s="22"/>
      <c r="C16" s="23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13" s="53" customFormat="1" x14ac:dyDescent="0.25">
      <c r="A17" s="285" t="s">
        <v>158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</row>
    <row r="18" spans="1:13" s="53" customFormat="1" x14ac:dyDescent="0.25">
      <c r="A18" s="285" t="s">
        <v>159</v>
      </c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</row>
    <row r="38" spans="2:3" x14ac:dyDescent="0.25">
      <c r="B38" s="8"/>
      <c r="C38" s="8"/>
    </row>
    <row r="42" spans="2:3" x14ac:dyDescent="0.25">
      <c r="B42" s="8"/>
      <c r="C42" s="8"/>
    </row>
  </sheetData>
  <mergeCells count="3">
    <mergeCell ref="B4:C4"/>
    <mergeCell ref="A17:M17"/>
    <mergeCell ref="A18:M18"/>
  </mergeCells>
  <pageMargins left="0.2" right="0.2" top="0.75" bottom="0.25" header="0.3" footer="0.3"/>
  <pageSetup scale="96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DA52-1042-45D8-A4CB-A6813B156E39}">
  <sheetPr>
    <pageSetUpPr fitToPage="1"/>
  </sheetPr>
  <dimension ref="A1:W39"/>
  <sheetViews>
    <sheetView workbookViewId="0"/>
  </sheetViews>
  <sheetFormatPr defaultRowHeight="15" x14ac:dyDescent="0.25"/>
  <cols>
    <col min="1" max="1" width="24.7109375" style="62" customWidth="1"/>
    <col min="2" max="2" width="16.140625" style="62" customWidth="1"/>
    <col min="3" max="3" width="15.140625" style="62" customWidth="1"/>
    <col min="4" max="16384" width="9.140625" style="62"/>
  </cols>
  <sheetData>
    <row r="1" spans="1:23" x14ac:dyDescent="0.25">
      <c r="A1" s="3" t="str">
        <f>+'PPC Cycle 2'!A1</f>
        <v>Evergy Metro, Inc. - DSIM Rider Update MEEIA 3 filed January 20, 2020</v>
      </c>
    </row>
    <row r="2" spans="1:23" x14ac:dyDescent="0.25">
      <c r="A2" s="9" t="str">
        <f>+'PPC Cycle 3'!A2</f>
        <v>Projections for Cycle 3 January 2020 - December 2020 DSIM</v>
      </c>
    </row>
    <row r="3" spans="1:23" x14ac:dyDescent="0.25">
      <c r="A3" s="9"/>
    </row>
    <row r="4" spans="1:23" ht="40.5" customHeight="1" x14ac:dyDescent="0.25">
      <c r="B4" s="281" t="s">
        <v>146</v>
      </c>
      <c r="C4" s="281"/>
    </row>
    <row r="5" spans="1:23" ht="45" x14ac:dyDescent="0.25">
      <c r="B5" s="177" t="s">
        <v>88</v>
      </c>
      <c r="C5" s="64" t="s">
        <v>34</v>
      </c>
    </row>
    <row r="6" spans="1:23" x14ac:dyDescent="0.25">
      <c r="A6" s="22" t="s">
        <v>29</v>
      </c>
      <c r="B6" s="34">
        <f>SUM('[4]Monthly TD Calc'!$E492:$P492)</f>
        <v>21620914.394758172</v>
      </c>
      <c r="C6" s="104">
        <f>ROUND(SUM('[4]Monthly TD Calc'!$G608:$H608),2)</f>
        <v>1898919.61</v>
      </c>
    </row>
    <row r="7" spans="1:23" x14ac:dyDescent="0.25">
      <c r="A7" s="22" t="s">
        <v>136</v>
      </c>
      <c r="B7" s="34">
        <f>SUM('[4]Monthly TD Calc'!$E493:$P493)</f>
        <v>1010272.4664291386</v>
      </c>
      <c r="C7" s="104">
        <f>ROUND(SUM('[4]Monthly TD Calc'!$G609:$H609),2)</f>
        <v>83880.990000000005</v>
      </c>
    </row>
    <row r="8" spans="1:23" x14ac:dyDescent="0.25">
      <c r="A8" s="22" t="s">
        <v>137</v>
      </c>
      <c r="B8" s="34">
        <f>SUM('[4]Monthly TD Calc'!$E494:$P494)</f>
        <v>2830905.5386032104</v>
      </c>
      <c r="C8" s="104">
        <f>ROUND(SUM('[4]Monthly TD Calc'!$G610:$H610),2)</f>
        <v>147201.51999999999</v>
      </c>
    </row>
    <row r="9" spans="1:23" x14ac:dyDescent="0.25">
      <c r="A9" s="22" t="s">
        <v>138</v>
      </c>
      <c r="B9" s="34">
        <f>SUM('[4]Monthly TD Calc'!$E495:$P495)</f>
        <v>4555031.8186147334</v>
      </c>
      <c r="C9" s="104">
        <f>ROUND(SUM('[4]Monthly TD Calc'!$G611:$H611),2)</f>
        <v>142550.04999999999</v>
      </c>
    </row>
    <row r="10" spans="1:23" x14ac:dyDescent="0.25">
      <c r="A10" s="22" t="s">
        <v>139</v>
      </c>
      <c r="B10" s="34">
        <f>SUM('[4]Monthly TD Calc'!$E496:$P496)</f>
        <v>1617140.3266141531</v>
      </c>
      <c r="C10" s="104">
        <f>ROUND(SUM('[4]Monthly TD Calc'!$G612:$H612),2)</f>
        <v>17772.04</v>
      </c>
    </row>
    <row r="11" spans="1:23" x14ac:dyDescent="0.25">
      <c r="A11" s="43" t="s">
        <v>6</v>
      </c>
      <c r="B11" s="35">
        <f>SUM(B6:B10)</f>
        <v>31634264.545019403</v>
      </c>
      <c r="C11" s="35">
        <f>SUM(C6:C10)</f>
        <v>2290324.21</v>
      </c>
    </row>
    <row r="13" spans="1:23" x14ac:dyDescent="0.25">
      <c r="A13" s="85" t="s">
        <v>35</v>
      </c>
      <c r="B13" s="22"/>
      <c r="C13" s="23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s="53" customFormat="1" x14ac:dyDescent="0.25">
      <c r="A14" s="285" t="s">
        <v>150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</row>
    <row r="15" spans="1:23" s="53" customFormat="1" x14ac:dyDescent="0.25">
      <c r="A15" s="285" t="s">
        <v>151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</row>
    <row r="35" spans="2:3" x14ac:dyDescent="0.25">
      <c r="B35" s="8"/>
      <c r="C35" s="8"/>
    </row>
    <row r="39" spans="2:3" x14ac:dyDescent="0.25">
      <c r="B39" s="8"/>
      <c r="C39" s="8"/>
    </row>
  </sheetData>
  <mergeCells count="3">
    <mergeCell ref="B4:C4"/>
    <mergeCell ref="A14:M14"/>
    <mergeCell ref="A15:M15"/>
  </mergeCells>
  <pageMargins left="0.2" right="0.2" top="0.75" bottom="0.25" header="0.3" footer="0.3"/>
  <pageSetup scale="96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8"/>
  <sheetViews>
    <sheetView zoomScaleNormal="100" workbookViewId="0"/>
  </sheetViews>
  <sheetFormatPr defaultRowHeight="15" x14ac:dyDescent="0.25"/>
  <cols>
    <col min="1" max="1" width="37.7109375" customWidth="1"/>
    <col min="2" max="2" width="12.28515625" style="62" bestFit="1" customWidth="1"/>
    <col min="3" max="3" width="12.42578125" style="62" bestFit="1" customWidth="1"/>
    <col min="4" max="4" width="15.42578125" customWidth="1"/>
    <col min="5" max="5" width="15.85546875" bestFit="1" customWidth="1"/>
    <col min="6" max="6" width="12.28515625" style="62" bestFit="1" customWidth="1"/>
    <col min="7" max="8" width="13.28515625" style="62" bestFit="1" customWidth="1"/>
    <col min="9" max="9" width="12.28515625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bestFit="1" customWidth="1"/>
    <col min="14" max="14" width="16" bestFit="1" customWidth="1"/>
    <col min="15" max="15" width="15.28515625" bestFit="1" customWidth="1"/>
    <col min="16" max="16" width="17.42578125" bestFit="1" customWidth="1"/>
    <col min="17" max="17" width="16.28515625" bestFit="1" customWidth="1"/>
    <col min="18" max="18" width="15.28515625" bestFit="1" customWidth="1"/>
    <col min="19" max="19" width="12.42578125" customWidth="1"/>
    <col min="20" max="21" width="14.28515625" bestFit="1" customWidth="1"/>
  </cols>
  <sheetData>
    <row r="1" spans="1:34" x14ac:dyDescent="0.25">
      <c r="A1" s="3" t="str">
        <f>+'PPC Cycle 2'!A1</f>
        <v>Evergy Metro, Inc. - DSIM Rider Update MEEIA 3 filed January 20, 2020</v>
      </c>
      <c r="B1" s="3"/>
      <c r="C1" s="3"/>
    </row>
    <row r="2" spans="1:34" x14ac:dyDescent="0.25">
      <c r="D2" s="3" t="s">
        <v>86</v>
      </c>
    </row>
    <row r="3" spans="1:34" ht="30" x14ac:dyDescent="0.25">
      <c r="D3" s="6" t="s">
        <v>62</v>
      </c>
      <c r="E3" s="86" t="s">
        <v>45</v>
      </c>
      <c r="F3" s="86" t="s">
        <v>46</v>
      </c>
      <c r="G3" s="6" t="s">
        <v>3</v>
      </c>
      <c r="H3" s="86" t="s">
        <v>71</v>
      </c>
      <c r="I3" s="6" t="s">
        <v>11</v>
      </c>
      <c r="J3" s="6" t="s">
        <v>10</v>
      </c>
      <c r="R3" s="6"/>
    </row>
    <row r="4" spans="1:34" x14ac:dyDescent="0.25">
      <c r="A4" s="22" t="s">
        <v>29</v>
      </c>
      <c r="B4" s="22"/>
      <c r="C4" s="22"/>
      <c r="D4" s="24">
        <f>SUM(C19:L19)</f>
        <v>-827.31</v>
      </c>
      <c r="E4" s="160">
        <f>M23</f>
        <v>0</v>
      </c>
      <c r="F4" s="24">
        <f>SUM(C27:K27)</f>
        <v>0</v>
      </c>
      <c r="G4" s="24">
        <f>F4-D4</f>
        <v>827.31</v>
      </c>
      <c r="H4" s="24">
        <f>+B37</f>
        <v>-824.96</v>
      </c>
      <c r="I4" s="24">
        <f>SUM(C42:K42)</f>
        <v>-2.3500000000000005</v>
      </c>
      <c r="J4" s="36">
        <f>SUM(G4:I4)</f>
        <v>-9.1482377229112899E-14</v>
      </c>
      <c r="K4" s="63">
        <f>+J4-L37</f>
        <v>-1.461053500406706E-13</v>
      </c>
      <c r="M4" s="63"/>
    </row>
    <row r="5" spans="1:34" ht="15.75" thickBot="1" x14ac:dyDescent="0.3">
      <c r="A5" s="22" t="s">
        <v>30</v>
      </c>
      <c r="B5" s="22"/>
      <c r="C5" s="22"/>
      <c r="D5" s="24">
        <f>SUM(C20:L20)</f>
        <v>-10486.23856</v>
      </c>
      <c r="E5" s="160">
        <f>M24</f>
        <v>0</v>
      </c>
      <c r="F5" s="24">
        <f>SUM(C28:K28)</f>
        <v>0</v>
      </c>
      <c r="G5" s="24">
        <f>F5-D5</f>
        <v>10486.23856</v>
      </c>
      <c r="H5" s="24">
        <f>+B38</f>
        <v>-10465.93</v>
      </c>
      <c r="I5" s="24">
        <f>SUM(C43:K43)</f>
        <v>-20.310000000000002</v>
      </c>
      <c r="J5" s="36">
        <f>SUM(G5:I5)</f>
        <v>-1.4400000005139191E-3</v>
      </c>
      <c r="K5" s="63">
        <f>+J5-L38</f>
        <v>1.2363443602225743E-12</v>
      </c>
      <c r="M5" s="63"/>
    </row>
    <row r="6" spans="1:34" ht="16.5" thickTop="1" thickBot="1" x14ac:dyDescent="0.3">
      <c r="D6" s="40">
        <f t="shared" ref="D6" si="0">SUM(D4:D5)</f>
        <v>-11313.548559999999</v>
      </c>
      <c r="E6" s="161">
        <f t="shared" ref="E6:H6" si="1">SUM(E4:E5)</f>
        <v>0</v>
      </c>
      <c r="F6" s="40">
        <f t="shared" si="1"/>
        <v>0</v>
      </c>
      <c r="G6" s="40">
        <f t="shared" si="1"/>
        <v>11313.548559999999</v>
      </c>
      <c r="H6" s="40">
        <f t="shared" si="1"/>
        <v>-11290.89</v>
      </c>
      <c r="I6" s="40">
        <f>SUM(I4:I5)</f>
        <v>-22.660000000000004</v>
      </c>
      <c r="J6" s="40">
        <f>SUM(J4:J5)</f>
        <v>-1.4400000006054015E-3</v>
      </c>
      <c r="K6"/>
      <c r="M6" s="62"/>
      <c r="S6" s="5"/>
    </row>
    <row r="7" spans="1:34" ht="45.75" thickTop="1" x14ac:dyDescent="0.25">
      <c r="J7" s="259"/>
      <c r="K7" s="258" t="s">
        <v>162</v>
      </c>
    </row>
    <row r="8" spans="1:34" s="62" customFormat="1" x14ac:dyDescent="0.25">
      <c r="A8" s="22" t="s">
        <v>136</v>
      </c>
      <c r="J8" s="36">
        <f>ROUND($J$5*K8,2)</f>
        <v>0</v>
      </c>
      <c r="K8" s="256">
        <f>+'[3]Monthly TD Calc'!$CY$44</f>
        <v>0.14267984863071587</v>
      </c>
    </row>
    <row r="9" spans="1:34" s="62" customFormat="1" x14ac:dyDescent="0.25">
      <c r="A9" s="22" t="s">
        <v>137</v>
      </c>
      <c r="J9" s="36">
        <f t="shared" ref="J9:J11" si="2">ROUND($J$5*K9,2)</f>
        <v>0</v>
      </c>
      <c r="K9" s="256">
        <f>+'[3]Monthly TD Calc'!$CZ$44</f>
        <v>0.35708861589367091</v>
      </c>
    </row>
    <row r="10" spans="1:34" s="62" customFormat="1" x14ac:dyDescent="0.25">
      <c r="A10" s="22" t="s">
        <v>138</v>
      </c>
      <c r="J10" s="36">
        <f t="shared" si="2"/>
        <v>0</v>
      </c>
      <c r="K10" s="256">
        <f>+'[3]Monthly TD Calc'!$DA$44</f>
        <v>0.40574599013503615</v>
      </c>
    </row>
    <row r="11" spans="1:34" s="62" customFormat="1" ht="15.75" thickBot="1" x14ac:dyDescent="0.3">
      <c r="A11" s="22" t="s">
        <v>139</v>
      </c>
      <c r="J11" s="36">
        <f t="shared" si="2"/>
        <v>0</v>
      </c>
      <c r="K11" s="256">
        <f>+'[3]Monthly TD Calc'!$DB$44</f>
        <v>9.4485545340576932E-2</v>
      </c>
    </row>
    <row r="12" spans="1:34" s="62" customFormat="1" ht="16.5" thickTop="1" thickBot="1" x14ac:dyDescent="0.3">
      <c r="A12" s="22" t="s">
        <v>143</v>
      </c>
      <c r="J12" s="40">
        <f>SUM(J8:J11)</f>
        <v>0</v>
      </c>
      <c r="K12" s="257">
        <f>SUM(K8:K11)</f>
        <v>0.99999999999999989</v>
      </c>
    </row>
    <row r="13" spans="1:34" ht="16.5" thickTop="1" thickBot="1" x14ac:dyDescent="0.3">
      <c r="U13" s="4"/>
      <c r="V13" s="5"/>
    </row>
    <row r="14" spans="1:34" ht="90.75" thickBot="1" x14ac:dyDescent="0.3">
      <c r="B14" s="140" t="str">
        <f>+'PCR Cycle 1'!B14</f>
        <v>Cumulative Over/Under Carryover From 06/01/2019 Filing</v>
      </c>
      <c r="C14" s="178" t="str">
        <f>+'PCR Cycle 1'!C14</f>
        <v>Reverse May-19 - October-19  Forecast From 06/01/2019 Filing</v>
      </c>
      <c r="D14" s="288" t="s">
        <v>39</v>
      </c>
      <c r="E14" s="288"/>
      <c r="F14" s="289"/>
      <c r="G14" s="294" t="s">
        <v>39</v>
      </c>
      <c r="H14" s="295"/>
      <c r="I14" s="296"/>
      <c r="J14" s="290" t="s">
        <v>9</v>
      </c>
      <c r="K14" s="291"/>
      <c r="L14" s="292"/>
    </row>
    <row r="15" spans="1:34" x14ac:dyDescent="0.25">
      <c r="A15" t="s">
        <v>43</v>
      </c>
      <c r="C15" s="127"/>
      <c r="D15" s="20">
        <f>+'PCR Cycle 1'!D15</f>
        <v>43616</v>
      </c>
      <c r="E15" s="20">
        <f t="shared" ref="E15:L15" si="3">EOMONTH(D15,1)</f>
        <v>43646</v>
      </c>
      <c r="F15" s="20">
        <f t="shared" si="3"/>
        <v>43677</v>
      </c>
      <c r="G15" s="14">
        <f t="shared" si="3"/>
        <v>43708</v>
      </c>
      <c r="H15" s="20">
        <f t="shared" si="3"/>
        <v>43738</v>
      </c>
      <c r="I15" s="15">
        <f t="shared" si="3"/>
        <v>43769</v>
      </c>
      <c r="J15" s="20">
        <f t="shared" si="3"/>
        <v>43799</v>
      </c>
      <c r="K15" s="20">
        <f t="shared" si="3"/>
        <v>43830</v>
      </c>
      <c r="L15" s="15">
        <f t="shared" si="3"/>
        <v>43861</v>
      </c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5">
      <c r="A16" t="s">
        <v>6</v>
      </c>
      <c r="C16" s="119">
        <v>0</v>
      </c>
      <c r="D16" s="131">
        <f>SUM(D27:D28)</f>
        <v>0</v>
      </c>
      <c r="E16" s="131">
        <f t="shared" ref="E16:H16" si="4">SUM(E27:E28)</f>
        <v>0</v>
      </c>
      <c r="F16" s="132">
        <f t="shared" si="4"/>
        <v>0</v>
      </c>
      <c r="G16" s="16">
        <f t="shared" si="4"/>
        <v>0</v>
      </c>
      <c r="H16" s="71">
        <f t="shared" si="4"/>
        <v>0</v>
      </c>
      <c r="I16" s="191">
        <f>+I27+I28</f>
        <v>0</v>
      </c>
      <c r="J16" s="184">
        <f t="shared" ref="J16:K16" si="5">+J27+J28</f>
        <v>0</v>
      </c>
      <c r="K16" s="96">
        <f t="shared" si="5"/>
        <v>0</v>
      </c>
      <c r="L16" s="97"/>
    </row>
    <row r="17" spans="1:14" x14ac:dyDescent="0.25">
      <c r="C17" s="121"/>
      <c r="D17" s="17"/>
      <c r="E17" s="17"/>
      <c r="F17" s="17"/>
      <c r="G17" s="10"/>
      <c r="H17" s="17"/>
      <c r="I17" s="11"/>
      <c r="J17" s="44"/>
      <c r="K17" s="44"/>
      <c r="L17" s="42"/>
    </row>
    <row r="18" spans="1:14" x14ac:dyDescent="0.25">
      <c r="A18" t="s">
        <v>17</v>
      </c>
      <c r="C18" s="121"/>
      <c r="D18" s="18"/>
      <c r="E18" s="18"/>
      <c r="F18" s="18"/>
      <c r="G18" s="113"/>
      <c r="H18" s="18"/>
      <c r="I18" s="192"/>
      <c r="J18" s="44"/>
      <c r="K18" s="44"/>
      <c r="L18" s="42"/>
      <c r="M18" s="3" t="s">
        <v>93</v>
      </c>
      <c r="N18" s="53"/>
    </row>
    <row r="19" spans="1:14" x14ac:dyDescent="0.25">
      <c r="A19" t="s">
        <v>29</v>
      </c>
      <c r="C19" s="119">
        <v>0</v>
      </c>
      <c r="D19" s="158">
        <f>ROUND(+'[5]May 2019 Combined'!$F$19,2)</f>
        <v>0.15</v>
      </c>
      <c r="E19" s="158">
        <f>ROUND(+'[5]June 2019 Combined'!$F$19,2)</f>
        <v>-0.25</v>
      </c>
      <c r="F19" s="158">
        <f>ROUND(+'[5]July 2019 Combined'!$F$19,2)</f>
        <v>0.8</v>
      </c>
      <c r="G19" s="16">
        <f>ROUND(+'[5]August 2019 Combined'!$F$19,2)</f>
        <v>-828.01</v>
      </c>
      <c r="H19" s="143">
        <f>ROUND(+'[5]September 2019 Combined'!$F$19,2)</f>
        <v>0</v>
      </c>
      <c r="I19" s="193">
        <f>ROUND(+'[5]October 2019 Combined'!$F$19,2)</f>
        <v>0</v>
      </c>
      <c r="J19" s="145">
        <f>'PCR Cycle 1'!J27*'TDR Cycle 1'!$M19</f>
        <v>0</v>
      </c>
      <c r="K19" s="55">
        <f>'PCR Cycle 1'!K27*'TDR Cycle 1'!$M19</f>
        <v>0</v>
      </c>
      <c r="L19" s="77">
        <f>'PCR Cycle 1'!L27*'TDR Cycle 1'!$M19</f>
        <v>0</v>
      </c>
      <c r="M19" s="88">
        <v>0</v>
      </c>
      <c r="N19" s="4"/>
    </row>
    <row r="20" spans="1:14" x14ac:dyDescent="0.25">
      <c r="A20" t="s">
        <v>30</v>
      </c>
      <c r="C20" s="119">
        <v>-11339.82856</v>
      </c>
      <c r="D20" s="158">
        <f>ROUND(+'[5]May 2019 Combined'!$F$20,2)</f>
        <v>3159.33</v>
      </c>
      <c r="E20" s="158">
        <f>ROUND(+'[5]June 2019 Combined'!$F$20,2)</f>
        <v>3362.8</v>
      </c>
      <c r="F20" s="158">
        <f>ROUND(+'[5]July 2019 Combined'!$F$20,2)</f>
        <v>3849.15</v>
      </c>
      <c r="G20" s="16">
        <f>ROUND(+'[5]August 2019 Combined'!$F$20,2)</f>
        <v>-9517.69</v>
      </c>
      <c r="H20" s="143">
        <f>ROUND(+'[5]September 2019 Combined'!$F$20,2)</f>
        <v>0</v>
      </c>
      <c r="I20" s="193">
        <f>ROUND(+'[5]October 2019 Combined'!$F$20,2)</f>
        <v>0</v>
      </c>
      <c r="J20" s="145">
        <f>'PCR Cycle 1'!J28*'TDR Cycle 1'!$M20</f>
        <v>0</v>
      </c>
      <c r="K20" s="55">
        <f>'PCR Cycle 1'!K28*'TDR Cycle 1'!$M20</f>
        <v>0</v>
      </c>
      <c r="L20" s="77">
        <f>'PCR Cycle 1'!L28*'TDR Cycle 1'!$M20</f>
        <v>0</v>
      </c>
      <c r="M20" s="88">
        <v>0</v>
      </c>
      <c r="N20" s="4"/>
    </row>
    <row r="21" spans="1:14" x14ac:dyDescent="0.25">
      <c r="C21" s="83"/>
      <c r="D21" s="84"/>
      <c r="E21" s="84"/>
      <c r="F21" s="84"/>
      <c r="G21" s="83"/>
      <c r="H21" s="84"/>
      <c r="I21" s="194"/>
      <c r="J21" s="72"/>
      <c r="K21" s="72"/>
      <c r="L21" s="13"/>
      <c r="N21" s="4"/>
    </row>
    <row r="22" spans="1:14" x14ac:dyDescent="0.25">
      <c r="A22" s="53" t="s">
        <v>36</v>
      </c>
      <c r="B22" s="53"/>
      <c r="C22" s="83"/>
      <c r="D22" s="72"/>
      <c r="E22" s="72"/>
      <c r="F22" s="72"/>
      <c r="G22" s="12"/>
      <c r="H22" s="72"/>
      <c r="I22" s="195"/>
      <c r="J22" s="72"/>
      <c r="K22" s="72"/>
      <c r="L22" s="13"/>
      <c r="M22" s="7"/>
      <c r="N22" s="62"/>
    </row>
    <row r="23" spans="1:14" x14ac:dyDescent="0.25">
      <c r="A23" s="62" t="s">
        <v>29</v>
      </c>
      <c r="C23" s="124">
        <v>0</v>
      </c>
      <c r="D23" s="133">
        <v>0</v>
      </c>
      <c r="E23" s="133">
        <v>0</v>
      </c>
      <c r="F23" s="147">
        <v>0</v>
      </c>
      <c r="G23" s="92">
        <v>0</v>
      </c>
      <c r="H23" s="93">
        <v>0</v>
      </c>
      <c r="I23" s="196">
        <v>0</v>
      </c>
      <c r="J23" s="185">
        <v>0</v>
      </c>
      <c r="K23" s="167">
        <v>0</v>
      </c>
      <c r="L23" s="98"/>
      <c r="M23" s="75">
        <f>SUM(C23:K23)</f>
        <v>0</v>
      </c>
      <c r="N23" s="62"/>
    </row>
    <row r="24" spans="1:14" x14ac:dyDescent="0.25">
      <c r="A24" t="s">
        <v>30</v>
      </c>
      <c r="C24" s="124">
        <v>0</v>
      </c>
      <c r="D24" s="133">
        <v>0</v>
      </c>
      <c r="E24" s="133">
        <v>0</v>
      </c>
      <c r="F24" s="147">
        <v>0</v>
      </c>
      <c r="G24" s="92">
        <v>0</v>
      </c>
      <c r="H24" s="93">
        <v>0</v>
      </c>
      <c r="I24" s="196">
        <v>0</v>
      </c>
      <c r="J24" s="185">
        <v>0</v>
      </c>
      <c r="K24" s="167">
        <v>0</v>
      </c>
      <c r="L24" s="98"/>
      <c r="M24" s="75">
        <f>SUM(C24:I24)</f>
        <v>0</v>
      </c>
      <c r="N24" s="62"/>
    </row>
    <row r="25" spans="1:14" s="62" customFormat="1" x14ac:dyDescent="0.25">
      <c r="C25" s="83"/>
      <c r="D25" s="84"/>
      <c r="E25" s="84"/>
      <c r="F25" s="84"/>
      <c r="G25" s="83"/>
      <c r="H25" s="84"/>
      <c r="I25" s="194"/>
      <c r="J25" s="72"/>
      <c r="K25" s="72"/>
      <c r="L25" s="13"/>
    </row>
    <row r="26" spans="1:14" x14ac:dyDescent="0.25">
      <c r="A26" s="62" t="s">
        <v>90</v>
      </c>
      <c r="C26" s="50"/>
      <c r="D26" s="51"/>
      <c r="E26" s="51"/>
      <c r="F26" s="51"/>
      <c r="G26" s="50"/>
      <c r="H26" s="51"/>
      <c r="I26" s="197"/>
      <c r="J26" s="68"/>
      <c r="K26" s="68"/>
      <c r="L26" s="52"/>
      <c r="M26" s="62"/>
      <c r="N26" s="62"/>
    </row>
    <row r="27" spans="1:14" x14ac:dyDescent="0.25">
      <c r="A27" s="62" t="s">
        <v>29</v>
      </c>
      <c r="C27" s="119">
        <v>0</v>
      </c>
      <c r="D27" s="131">
        <v>0</v>
      </c>
      <c r="E27" s="131">
        <v>0</v>
      </c>
      <c r="F27" s="132">
        <v>0</v>
      </c>
      <c r="G27" s="16">
        <v>0</v>
      </c>
      <c r="H27" s="71">
        <v>0</v>
      </c>
      <c r="I27" s="191">
        <v>0</v>
      </c>
      <c r="J27" s="186">
        <v>0</v>
      </c>
      <c r="K27" s="166">
        <v>0</v>
      </c>
      <c r="L27" s="97"/>
    </row>
    <row r="28" spans="1:14" x14ac:dyDescent="0.25">
      <c r="A28" s="62" t="s">
        <v>30</v>
      </c>
      <c r="C28" s="119">
        <v>0</v>
      </c>
      <c r="D28" s="131">
        <v>0</v>
      </c>
      <c r="E28" s="131">
        <v>0</v>
      </c>
      <c r="F28" s="132">
        <v>0</v>
      </c>
      <c r="G28" s="16">
        <v>0</v>
      </c>
      <c r="H28" s="71">
        <v>0</v>
      </c>
      <c r="I28" s="191">
        <v>0</v>
      </c>
      <c r="J28" s="186">
        <v>0</v>
      </c>
      <c r="K28" s="166">
        <v>0</v>
      </c>
      <c r="L28" s="97"/>
      <c r="N28" s="63"/>
    </row>
    <row r="29" spans="1:14" s="62" customFormat="1" x14ac:dyDescent="0.25">
      <c r="C29" s="121"/>
      <c r="D29" s="18"/>
      <c r="E29" s="18"/>
      <c r="F29" s="18"/>
      <c r="G29" s="113"/>
      <c r="H29" s="18"/>
      <c r="I29" s="192"/>
      <c r="J29" s="72"/>
      <c r="K29" s="72"/>
      <c r="L29" s="13"/>
    </row>
    <row r="30" spans="1:14" ht="15.75" thickBot="1" x14ac:dyDescent="0.3">
      <c r="A30" s="3" t="s">
        <v>18</v>
      </c>
      <c r="B30" s="3"/>
      <c r="C30" s="125">
        <v>21.380000000000003</v>
      </c>
      <c r="D30" s="158">
        <v>-4.6400000000000006</v>
      </c>
      <c r="E30" s="158">
        <v>-14.54</v>
      </c>
      <c r="F30" s="159">
        <v>-24.860000000000003</v>
      </c>
      <c r="G30" s="39">
        <v>0</v>
      </c>
      <c r="H30" s="144">
        <v>0</v>
      </c>
      <c r="I30" s="198">
        <v>0</v>
      </c>
      <c r="J30" s="187">
        <v>0</v>
      </c>
      <c r="K30" s="168">
        <v>0</v>
      </c>
      <c r="L30" s="100"/>
    </row>
    <row r="31" spans="1:14" x14ac:dyDescent="0.25">
      <c r="C31" s="80"/>
      <c r="D31" s="173"/>
      <c r="E31" s="173"/>
      <c r="F31" s="174"/>
      <c r="G31" s="80"/>
      <c r="H31" s="47"/>
      <c r="I31" s="199"/>
      <c r="J31" s="48"/>
      <c r="K31" s="48"/>
      <c r="L31" s="76"/>
    </row>
    <row r="32" spans="1:14" x14ac:dyDescent="0.25">
      <c r="A32" t="s">
        <v>68</v>
      </c>
      <c r="C32" s="81"/>
      <c r="D32" s="174"/>
      <c r="E32" s="174"/>
      <c r="F32" s="174"/>
      <c r="G32" s="81"/>
      <c r="H32" s="49"/>
      <c r="I32" s="200"/>
      <c r="J32" s="48"/>
      <c r="K32" s="48"/>
      <c r="L32" s="76"/>
    </row>
    <row r="33" spans="1:12" x14ac:dyDescent="0.25">
      <c r="A33" s="62" t="s">
        <v>29</v>
      </c>
      <c r="C33" s="122">
        <f t="shared" ref="C33:C34" si="6">C27-C19</f>
        <v>0</v>
      </c>
      <c r="D33" s="55">
        <f t="shared" ref="D33:I34" si="7">D27-D19</f>
        <v>-0.15</v>
      </c>
      <c r="E33" s="55">
        <f t="shared" si="7"/>
        <v>0.25</v>
      </c>
      <c r="F33" s="130">
        <f t="shared" ref="F33:H33" si="8">F27-F19</f>
        <v>-0.8</v>
      </c>
      <c r="G33" s="54">
        <f t="shared" si="8"/>
        <v>828.01</v>
      </c>
      <c r="H33" s="55">
        <f t="shared" si="8"/>
        <v>0</v>
      </c>
      <c r="I33" s="77">
        <f t="shared" si="7"/>
        <v>0</v>
      </c>
      <c r="J33" s="145">
        <f t="shared" ref="J33:K33" si="9">J27-J19</f>
        <v>0</v>
      </c>
      <c r="K33" s="55">
        <f t="shared" si="9"/>
        <v>0</v>
      </c>
      <c r="L33" s="77">
        <f t="shared" ref="L33" si="10">L27-L19</f>
        <v>0</v>
      </c>
    </row>
    <row r="34" spans="1:12" x14ac:dyDescent="0.25">
      <c r="A34" t="s">
        <v>30</v>
      </c>
      <c r="C34" s="122">
        <f t="shared" si="6"/>
        <v>11339.82856</v>
      </c>
      <c r="D34" s="55">
        <f t="shared" si="7"/>
        <v>-3159.33</v>
      </c>
      <c r="E34" s="55">
        <f t="shared" si="7"/>
        <v>-3362.8</v>
      </c>
      <c r="F34" s="130">
        <f t="shared" ref="F34:H34" si="11">F28-F20</f>
        <v>-3849.15</v>
      </c>
      <c r="G34" s="54">
        <f t="shared" si="11"/>
        <v>9517.69</v>
      </c>
      <c r="H34" s="55">
        <f t="shared" si="11"/>
        <v>0</v>
      </c>
      <c r="I34" s="77">
        <f t="shared" si="7"/>
        <v>0</v>
      </c>
      <c r="J34" s="145">
        <f t="shared" ref="J34:K34" si="12">J28-J20</f>
        <v>0</v>
      </c>
      <c r="K34" s="55">
        <f t="shared" si="12"/>
        <v>0</v>
      </c>
      <c r="L34" s="77">
        <f t="shared" ref="L34" si="13">L28-L20</f>
        <v>0</v>
      </c>
    </row>
    <row r="35" spans="1:12" x14ac:dyDescent="0.25">
      <c r="C35" s="121"/>
      <c r="D35" s="17"/>
      <c r="E35" s="17"/>
      <c r="F35" s="17"/>
      <c r="G35" s="10"/>
      <c r="H35" s="17"/>
      <c r="I35" s="11"/>
      <c r="J35" s="17"/>
      <c r="K35" s="17"/>
      <c r="L35" s="11"/>
    </row>
    <row r="36" spans="1:12" ht="15.75" thickBot="1" x14ac:dyDescent="0.3">
      <c r="A36" t="s">
        <v>69</v>
      </c>
      <c r="C36" s="121"/>
      <c r="D36" s="17"/>
      <c r="E36" s="17"/>
      <c r="F36" s="17"/>
      <c r="G36" s="10"/>
      <c r="H36" s="17"/>
      <c r="I36" s="11"/>
      <c r="J36" s="17"/>
      <c r="K36" s="17"/>
      <c r="L36" s="11"/>
    </row>
    <row r="37" spans="1:12" x14ac:dyDescent="0.25">
      <c r="A37" s="62" t="s">
        <v>29</v>
      </c>
      <c r="B37" s="138">
        <f>-824.75-0.21</f>
        <v>-824.96</v>
      </c>
      <c r="C37" s="122">
        <f>B37+C33+B42</f>
        <v>-824.96</v>
      </c>
      <c r="D37" s="55">
        <f t="shared" ref="D37" si="14">C37+D33+C42</f>
        <v>-820</v>
      </c>
      <c r="E37" s="55">
        <f t="shared" ref="E37:I38" si="15">D37+E33+D42</f>
        <v>-822.27</v>
      </c>
      <c r="F37" s="130">
        <f t="shared" si="15"/>
        <v>-825.56999999999994</v>
      </c>
      <c r="G37" s="54">
        <f t="shared" si="15"/>
        <v>5.4622972811557702E-14</v>
      </c>
      <c r="H37" s="55">
        <f t="shared" si="15"/>
        <v>5.4622972811557702E-14</v>
      </c>
      <c r="I37" s="77">
        <f t="shared" si="15"/>
        <v>5.4622972811557702E-14</v>
      </c>
      <c r="J37" s="145">
        <f t="shared" ref="J37:J38" si="16">I37+J33+I42</f>
        <v>5.4622972811557702E-14</v>
      </c>
      <c r="K37" s="55">
        <f t="shared" ref="K37:K38" si="17">J37+K33+J42</f>
        <v>5.4622972811557702E-14</v>
      </c>
      <c r="L37" s="77">
        <f t="shared" ref="L37:L38" si="18">K37+L33+K42</f>
        <v>5.4622972811557702E-14</v>
      </c>
    </row>
    <row r="38" spans="1:12" ht="15.75" thickBot="1" x14ac:dyDescent="0.3">
      <c r="A38" t="s">
        <v>30</v>
      </c>
      <c r="B38" s="139">
        <f>-10465.06-0.87</f>
        <v>-10465.93</v>
      </c>
      <c r="C38" s="122">
        <f>B38+C34+B43</f>
        <v>873.89855999999963</v>
      </c>
      <c r="D38" s="55">
        <f t="shared" ref="D38" si="19">C38+D34+C43</f>
        <v>-2269.1614400000003</v>
      </c>
      <c r="E38" s="55">
        <f t="shared" si="15"/>
        <v>-5634.0814400000008</v>
      </c>
      <c r="F38" s="130">
        <f t="shared" si="15"/>
        <v>-9495.2714400000023</v>
      </c>
      <c r="G38" s="54">
        <f t="shared" si="15"/>
        <v>-1.4400000017502634E-3</v>
      </c>
      <c r="H38" s="55">
        <f t="shared" si="15"/>
        <v>-1.4400000017502634E-3</v>
      </c>
      <c r="I38" s="77">
        <f t="shared" si="15"/>
        <v>-1.4400000017502634E-3</v>
      </c>
      <c r="J38" s="145">
        <f t="shared" si="16"/>
        <v>-1.4400000017502634E-3</v>
      </c>
      <c r="K38" s="55">
        <f t="shared" si="17"/>
        <v>-1.4400000017502634E-3</v>
      </c>
      <c r="L38" s="77">
        <f t="shared" si="18"/>
        <v>-1.4400000017502634E-3</v>
      </c>
    </row>
    <row r="39" spans="1:12" x14ac:dyDescent="0.25">
      <c r="C39" s="121"/>
      <c r="D39" s="17"/>
      <c r="E39" s="17"/>
      <c r="F39" s="17"/>
      <c r="G39" s="10"/>
      <c r="H39" s="17"/>
      <c r="I39" s="11"/>
      <c r="J39" s="17"/>
      <c r="K39" s="17"/>
      <c r="L39" s="11"/>
    </row>
    <row r="40" spans="1:12" x14ac:dyDescent="0.25">
      <c r="A40" s="53" t="s">
        <v>160</v>
      </c>
      <c r="B40" s="53"/>
      <c r="C40" s="126"/>
      <c r="D40" s="101">
        <f>+'PCR Cycle 1'!D44</f>
        <v>3.0790499999999998E-3</v>
      </c>
      <c r="E40" s="101">
        <f>+'PCR Cycle 1'!E44</f>
        <v>3.0450199999999998E-3</v>
      </c>
      <c r="F40" s="101">
        <f>+'PCR Cycle 1'!F44</f>
        <v>2.9619300000000002E-3</v>
      </c>
      <c r="G40" s="102">
        <f>+'PCR Cycle 1'!G44</f>
        <v>2.8524499999999999E-3</v>
      </c>
      <c r="H40" s="101">
        <f>+'PCR Cycle 1'!H44</f>
        <v>2.7438599999999999E-3</v>
      </c>
      <c r="I40" s="114">
        <f>+'PCR Cycle 1'!I44</f>
        <v>2.60867E-3</v>
      </c>
      <c r="J40" s="101">
        <f>+'PCR Cycle 1'!J44</f>
        <v>2.60867E-3</v>
      </c>
      <c r="K40" s="101">
        <f>+'PCR Cycle 1'!K44</f>
        <v>2.60867E-3</v>
      </c>
      <c r="L40" s="103"/>
    </row>
    <row r="41" spans="1:12" s="62" customFormat="1" x14ac:dyDescent="0.25">
      <c r="A41" s="53" t="s">
        <v>44</v>
      </c>
      <c r="B41" s="53"/>
      <c r="C41" s="128"/>
      <c r="D41" s="101"/>
      <c r="E41" s="101"/>
      <c r="F41" s="101"/>
      <c r="G41" s="102"/>
      <c r="H41" s="101"/>
      <c r="I41" s="103"/>
      <c r="J41" s="101"/>
      <c r="K41" s="101"/>
      <c r="L41" s="103"/>
    </row>
    <row r="42" spans="1:12" x14ac:dyDescent="0.25">
      <c r="A42" s="62" t="s">
        <v>29</v>
      </c>
      <c r="C42" s="122">
        <v>5.1099999999999994</v>
      </c>
      <c r="D42" s="55">
        <f t="shared" ref="D42" si="20">ROUND((C37+C42+D33/2)*D$40,2)</f>
        <v>-2.52</v>
      </c>
      <c r="E42" s="55">
        <f t="shared" ref="E42:I43" si="21">ROUND((D37+D42+E33/2)*E$40,2)</f>
        <v>-2.5</v>
      </c>
      <c r="F42" s="130">
        <f t="shared" si="21"/>
        <v>-2.44</v>
      </c>
      <c r="G42" s="54">
        <f>ROUND((F37+F42+G33/2)*G$40,2)*0</f>
        <v>0</v>
      </c>
      <c r="H42" s="145">
        <f t="shared" si="21"/>
        <v>0</v>
      </c>
      <c r="I42" s="65">
        <f t="shared" si="21"/>
        <v>0</v>
      </c>
      <c r="J42" s="188">
        <f t="shared" ref="J42:J43" si="22">ROUND((I37+I42+J33/2)*J$40,2)</f>
        <v>0</v>
      </c>
      <c r="K42" s="130">
        <f t="shared" ref="K42:K43" si="23">ROUND((J37+J42+K33/2)*K$40,2)</f>
        <v>0</v>
      </c>
      <c r="L42" s="77">
        <f t="shared" ref="L42:L43" si="24">ROUND((K37+K42+L33/2)*L$40,2)</f>
        <v>0</v>
      </c>
    </row>
    <row r="43" spans="1:12" ht="15.75" thickBot="1" x14ac:dyDescent="0.3">
      <c r="A43" t="s">
        <v>30</v>
      </c>
      <c r="C43" s="122">
        <v>16.27</v>
      </c>
      <c r="D43" s="55">
        <f t="shared" ref="D43" si="25">ROUND((C38+C43+D34/2)*D$40,2)</f>
        <v>-2.12</v>
      </c>
      <c r="E43" s="55">
        <f t="shared" si="21"/>
        <v>-12.04</v>
      </c>
      <c r="F43" s="130">
        <f t="shared" si="21"/>
        <v>-22.42</v>
      </c>
      <c r="G43" s="54">
        <f>ROUND((F38+F43+G34/2)*G$40,2)*0</f>
        <v>0</v>
      </c>
      <c r="H43" s="145">
        <f t="shared" si="21"/>
        <v>0</v>
      </c>
      <c r="I43" s="65">
        <f t="shared" si="21"/>
        <v>0</v>
      </c>
      <c r="J43" s="188">
        <f t="shared" si="22"/>
        <v>0</v>
      </c>
      <c r="K43" s="130">
        <f t="shared" si="23"/>
        <v>0</v>
      </c>
      <c r="L43" s="77">
        <f t="shared" si="24"/>
        <v>0</v>
      </c>
    </row>
    <row r="44" spans="1:12" ht="16.5" thickTop="1" thickBot="1" x14ac:dyDescent="0.3">
      <c r="A44" s="70" t="s">
        <v>25</v>
      </c>
      <c r="B44" s="70"/>
      <c r="C44" s="129">
        <v>0</v>
      </c>
      <c r="D44" s="56">
        <f t="shared" ref="D44:I44" si="26">SUM(D42:D43)+SUM(D37:D38)-D47</f>
        <v>0</v>
      </c>
      <c r="E44" s="56">
        <f t="shared" si="26"/>
        <v>0</v>
      </c>
      <c r="F44" s="66">
        <f t="shared" ref="F44:H44" si="27">SUM(F42:F43)+SUM(F37:F38)-F47</f>
        <v>0</v>
      </c>
      <c r="G44" s="171">
        <f t="shared" si="27"/>
        <v>-1.6933121571582888E-12</v>
      </c>
      <c r="H44" s="66">
        <f t="shared" si="27"/>
        <v>-1.6933121571582888E-12</v>
      </c>
      <c r="I44" s="78">
        <f t="shared" si="26"/>
        <v>-1.6933121571582888E-12</v>
      </c>
      <c r="J44" s="189">
        <f t="shared" ref="J44:L44" si="28">SUM(J42:J43)+SUM(J37:J38)-J47</f>
        <v>-1.6933121571582888E-12</v>
      </c>
      <c r="K44" s="66">
        <f t="shared" si="28"/>
        <v>-1.6933121571582888E-12</v>
      </c>
      <c r="L44" s="78">
        <f t="shared" si="28"/>
        <v>-1.6933121571582888E-12</v>
      </c>
    </row>
    <row r="45" spans="1:12" s="62" customFormat="1" ht="16.5" thickTop="1" thickBot="1" x14ac:dyDescent="0.3">
      <c r="A45" s="70" t="s">
        <v>26</v>
      </c>
      <c r="B45" s="70"/>
      <c r="C45" s="129">
        <v>0</v>
      </c>
      <c r="D45" s="56">
        <f t="shared" ref="D45:I45" si="29">SUM(D42:D43)-D30</f>
        <v>0</v>
      </c>
      <c r="E45" s="56">
        <f t="shared" si="29"/>
        <v>0</v>
      </c>
      <c r="F45" s="66">
        <f t="shared" ref="F45:H45" si="30">SUM(F42:F43)-F30</f>
        <v>0</v>
      </c>
      <c r="G45" s="171">
        <f t="shared" si="30"/>
        <v>0</v>
      </c>
      <c r="H45" s="66">
        <f t="shared" si="30"/>
        <v>0</v>
      </c>
      <c r="I45" s="78">
        <f t="shared" si="29"/>
        <v>0</v>
      </c>
      <c r="J45" s="190">
        <f t="shared" ref="J45:L45" si="31">SUM(J42:J43)-J30</f>
        <v>0</v>
      </c>
      <c r="K45" s="56">
        <f t="shared" si="31"/>
        <v>0</v>
      </c>
      <c r="L45" s="56">
        <f t="shared" si="31"/>
        <v>0</v>
      </c>
    </row>
    <row r="46" spans="1:12" ht="16.5" thickTop="1" thickBot="1" x14ac:dyDescent="0.3">
      <c r="C46" s="121"/>
      <c r="D46" s="17"/>
      <c r="E46" s="17"/>
      <c r="F46" s="17"/>
      <c r="G46" s="10"/>
      <c r="H46" s="17"/>
      <c r="I46" s="11"/>
      <c r="J46" s="17"/>
      <c r="K46" s="17"/>
      <c r="L46" s="11"/>
    </row>
    <row r="47" spans="1:12" ht="15.75" thickBot="1" x14ac:dyDescent="0.3">
      <c r="A47" t="s">
        <v>42</v>
      </c>
      <c r="B47" s="141">
        <f>+B37+B38</f>
        <v>-11290.89</v>
      </c>
      <c r="C47" s="122">
        <f>(C16-SUM(C19:C20))+SUM(C42:C43)+B47</f>
        <v>70.318559999999707</v>
      </c>
      <c r="D47" s="55">
        <f t="shared" ref="D47:I47" si="32">(D16-SUM(D19:D20))+SUM(D42:D43)+C47</f>
        <v>-3093.8014400000002</v>
      </c>
      <c r="E47" s="55">
        <f t="shared" si="32"/>
        <v>-6470.8914400000003</v>
      </c>
      <c r="F47" s="130">
        <f t="shared" si="32"/>
        <v>-10345.701440000001</v>
      </c>
      <c r="G47" s="54">
        <f t="shared" si="32"/>
        <v>-1.4400000000023283E-3</v>
      </c>
      <c r="H47" s="55">
        <f t="shared" si="32"/>
        <v>-1.4400000000023283E-3</v>
      </c>
      <c r="I47" s="77">
        <f t="shared" si="32"/>
        <v>-1.4400000000023283E-3</v>
      </c>
      <c r="J47" s="188">
        <f t="shared" ref="J47" si="33">(J16-SUM(J19:J20))+SUM(J42:J43)+I47</f>
        <v>-1.4400000000023283E-3</v>
      </c>
      <c r="K47" s="130">
        <f t="shared" ref="K47" si="34">(K16-SUM(K19:K20))+SUM(K42:K43)+J47</f>
        <v>-1.4400000000023283E-3</v>
      </c>
      <c r="L47" s="77">
        <f t="shared" ref="L47" si="35">(L16-SUM(L19:L20))+SUM(L42:L43)+K47</f>
        <v>-1.4400000000023283E-3</v>
      </c>
    </row>
    <row r="48" spans="1:12" x14ac:dyDescent="0.25">
      <c r="A48" t="s">
        <v>14</v>
      </c>
      <c r="C48" s="142"/>
      <c r="D48" s="17"/>
      <c r="E48" s="17"/>
      <c r="F48" s="17"/>
      <c r="G48" s="10"/>
      <c r="H48" s="17"/>
      <c r="I48" s="11"/>
      <c r="J48" s="17"/>
      <c r="K48" s="17"/>
      <c r="L48" s="11"/>
    </row>
    <row r="49" spans="1:35" ht="15.75" thickBot="1" x14ac:dyDescent="0.3">
      <c r="A49" s="51"/>
      <c r="B49" s="51"/>
      <c r="C49" s="172"/>
      <c r="D49" s="58"/>
      <c r="E49" s="58"/>
      <c r="F49" s="58"/>
      <c r="G49" s="57"/>
      <c r="H49" s="58"/>
      <c r="I49" s="59"/>
      <c r="J49" s="58"/>
      <c r="K49" s="58"/>
      <c r="L49" s="59"/>
    </row>
    <row r="50" spans="1:35" x14ac:dyDescent="0.25">
      <c r="A50" s="62"/>
      <c r="D50" s="62"/>
      <c r="E50" s="62"/>
      <c r="I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</row>
    <row r="51" spans="1:35" x14ac:dyDescent="0.25">
      <c r="A51" s="85" t="s">
        <v>13</v>
      </c>
      <c r="B51" s="85"/>
      <c r="C51" s="85"/>
      <c r="D51" s="62"/>
      <c r="E51" s="62"/>
      <c r="I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</row>
    <row r="52" spans="1:35" ht="31.5" customHeight="1" x14ac:dyDescent="0.25">
      <c r="A52" s="287" t="s">
        <v>109</v>
      </c>
      <c r="B52" s="287"/>
      <c r="C52" s="287"/>
      <c r="D52" s="287"/>
      <c r="E52" s="287"/>
      <c r="F52" s="287"/>
      <c r="G52" s="287"/>
      <c r="H52" s="287"/>
      <c r="I52" s="287"/>
      <c r="J52" s="162"/>
      <c r="K52" s="162"/>
      <c r="L52" s="11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</row>
    <row r="53" spans="1:35" s="62" customFormat="1" ht="44.25" customHeight="1" x14ac:dyDescent="0.25">
      <c r="A53" s="287" t="s">
        <v>163</v>
      </c>
      <c r="B53" s="287"/>
      <c r="C53" s="287"/>
      <c r="D53" s="287"/>
      <c r="E53" s="287"/>
      <c r="F53" s="287"/>
      <c r="G53" s="287"/>
      <c r="H53" s="287"/>
      <c r="I53" s="287"/>
      <c r="J53" s="176"/>
      <c r="K53" s="176"/>
    </row>
    <row r="54" spans="1:35" ht="18.75" customHeight="1" x14ac:dyDescent="0.25">
      <c r="A54" s="293" t="s">
        <v>110</v>
      </c>
      <c r="B54" s="293"/>
      <c r="C54" s="293"/>
      <c r="D54" s="293"/>
      <c r="E54" s="293"/>
      <c r="F54" s="293"/>
      <c r="G54" s="293"/>
      <c r="H54" s="293"/>
      <c r="I54" s="293"/>
      <c r="J54" s="162"/>
      <c r="K54" s="162"/>
      <c r="L54" s="11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</row>
    <row r="55" spans="1:35" x14ac:dyDescent="0.25">
      <c r="A55" s="3" t="s">
        <v>91</v>
      </c>
      <c r="B55" s="3"/>
      <c r="C55" s="3"/>
    </row>
    <row r="56" spans="1:35" x14ac:dyDescent="0.25">
      <c r="A56" s="79" t="s">
        <v>164</v>
      </c>
      <c r="B56" s="3"/>
      <c r="C56" s="3"/>
    </row>
    <row r="57" spans="1:35" x14ac:dyDescent="0.25">
      <c r="A57" s="3" t="s">
        <v>92</v>
      </c>
      <c r="B57" s="3"/>
      <c r="C57" s="3"/>
    </row>
    <row r="58" spans="1:35" x14ac:dyDescent="0.25">
      <c r="A58" s="3" t="s">
        <v>161</v>
      </c>
      <c r="B58" s="3"/>
      <c r="C58" s="3"/>
    </row>
  </sheetData>
  <mergeCells count="6">
    <mergeCell ref="J14:L14"/>
    <mergeCell ref="A52:I52"/>
    <mergeCell ref="A54:I54"/>
    <mergeCell ref="D14:F14"/>
    <mergeCell ref="G14:I14"/>
    <mergeCell ref="A53:I53"/>
  </mergeCells>
  <pageMargins left="0.2" right="0.2" top="0.75" bottom="0.25" header="0.3" footer="0.3"/>
  <pageSetup scale="57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58"/>
  <sheetViews>
    <sheetView zoomScaleNormal="100" workbookViewId="0">
      <pane xSplit="1" ySplit="2" topLeftCell="B3" activePane="bottomRight" state="frozen"/>
      <selection activeCell="J18" sqref="J18"/>
      <selection pane="topRight" activeCell="J18" sqref="J18"/>
      <selection pane="bottomLeft" activeCell="J18" sqref="J18"/>
      <selection pane="bottomRight" activeCell="B3" sqref="B3"/>
    </sheetView>
  </sheetViews>
  <sheetFormatPr defaultRowHeight="15" x14ac:dyDescent="0.25"/>
  <cols>
    <col min="1" max="1" width="61.7109375" style="62" customWidth="1"/>
    <col min="2" max="2" width="12.140625" style="62" customWidth="1"/>
    <col min="3" max="4" width="12.42578125" style="62" customWidth="1"/>
    <col min="5" max="5" width="15.42578125" style="62" customWidth="1"/>
    <col min="6" max="6" width="15.85546875" style="62" customWidth="1"/>
    <col min="7" max="7" width="12.28515625" style="62" customWidth="1"/>
    <col min="8" max="9" width="13.28515625" style="62" customWidth="1"/>
    <col min="10" max="10" width="12.28515625" style="62" bestFit="1" customWidth="1"/>
    <col min="11" max="11" width="11.5703125" style="62" bestFit="1" customWidth="1"/>
    <col min="12" max="12" width="12.85546875" style="62" customWidth="1"/>
    <col min="13" max="13" width="16" style="62" customWidth="1"/>
    <col min="14" max="14" width="15" style="62" bestFit="1" customWidth="1"/>
    <col min="15" max="15" width="16" style="62" bestFit="1" customWidth="1"/>
    <col min="16" max="16" width="15.28515625" style="62" bestFit="1" customWidth="1"/>
    <col min="17" max="17" width="17.42578125" style="62" bestFit="1" customWidth="1"/>
    <col min="18" max="18" width="16.28515625" style="62" bestFit="1" customWidth="1"/>
    <col min="19" max="19" width="15.28515625" style="62" bestFit="1" customWidth="1"/>
    <col min="20" max="20" width="12.42578125" style="62" customWidth="1"/>
    <col min="21" max="22" width="14.28515625" style="62" bestFit="1" customWidth="1"/>
    <col min="23" max="16384" width="9.140625" style="62"/>
  </cols>
  <sheetData>
    <row r="1" spans="1:35" x14ac:dyDescent="0.25">
      <c r="A1" s="3" t="str">
        <f>+'PPC Cycle 2'!A1</f>
        <v>Evergy Metro, Inc. - DSIM Rider Update MEEIA 3 filed January 20, 2020</v>
      </c>
      <c r="B1" s="3"/>
      <c r="C1" s="3"/>
      <c r="D1" s="3"/>
    </row>
    <row r="2" spans="1:35" x14ac:dyDescent="0.25">
      <c r="E2" s="3" t="s">
        <v>82</v>
      </c>
    </row>
    <row r="3" spans="1:35" ht="30" x14ac:dyDescent="0.25">
      <c r="E3" s="64" t="s">
        <v>62</v>
      </c>
      <c r="F3" s="86" t="s">
        <v>96</v>
      </c>
      <c r="G3" s="86" t="s">
        <v>70</v>
      </c>
      <c r="H3" s="64" t="s">
        <v>3</v>
      </c>
      <c r="I3" s="86" t="s">
        <v>71</v>
      </c>
      <c r="J3" s="64" t="s">
        <v>11</v>
      </c>
      <c r="K3" s="64" t="s">
        <v>10</v>
      </c>
      <c r="S3" s="64"/>
    </row>
    <row r="4" spans="1:35" x14ac:dyDescent="0.25">
      <c r="A4" s="22" t="s">
        <v>29</v>
      </c>
      <c r="B4" s="22"/>
      <c r="C4" s="22"/>
      <c r="D4" s="22"/>
      <c r="E4" s="24">
        <f>SUM(C19:M19)</f>
        <v>833707.10710000002</v>
      </c>
      <c r="F4" s="160">
        <f>N23</f>
        <v>20348279.10106859</v>
      </c>
      <c r="G4" s="24">
        <f>SUM(C27:L27)</f>
        <v>1614641.8599999996</v>
      </c>
      <c r="H4" s="24">
        <f>G4-E4</f>
        <v>780934.75289999961</v>
      </c>
      <c r="I4" s="24">
        <f>+B37</f>
        <v>-42237.916980000184</v>
      </c>
      <c r="J4" s="24">
        <f>SUM(C42:L42)</f>
        <v>11176.58</v>
      </c>
      <c r="K4" s="36">
        <f>SUM(H4:J4)</f>
        <v>749873.41591999936</v>
      </c>
      <c r="L4" s="63">
        <f>+K4-M37</f>
        <v>0</v>
      </c>
    </row>
    <row r="5" spans="1:35" ht="15.75" thickBot="1" x14ac:dyDescent="0.3">
      <c r="A5" s="22" t="s">
        <v>30</v>
      </c>
      <c r="B5" s="22"/>
      <c r="C5" s="22"/>
      <c r="D5" s="22"/>
      <c r="E5" s="24">
        <f>SUM(C20:M20)</f>
        <v>381455.6773199999</v>
      </c>
      <c r="F5" s="160">
        <f>N24</f>
        <v>24841848.836113866</v>
      </c>
      <c r="G5" s="24">
        <f>SUM(C28:L28)</f>
        <v>1052314.3600000001</v>
      </c>
      <c r="H5" s="24">
        <f>G5-E5</f>
        <v>670858.6826800002</v>
      </c>
      <c r="I5" s="24">
        <f>+B38</f>
        <v>-637674.4898400004</v>
      </c>
      <c r="J5" s="24">
        <f>SUM(C43:L43)</f>
        <v>-4709.5999999999995</v>
      </c>
      <c r="K5" s="36">
        <f>SUM(H5:J5)</f>
        <v>28474.592839999801</v>
      </c>
      <c r="L5" s="63">
        <f>+K5-M38</f>
        <v>8.7311491370201111E-11</v>
      </c>
    </row>
    <row r="6" spans="1:35" ht="16.5" thickTop="1" thickBot="1" x14ac:dyDescent="0.3">
      <c r="E6" s="40">
        <f t="shared" ref="E6" si="0">SUM(E4:E5)</f>
        <v>1215162.7844199999</v>
      </c>
      <c r="F6" s="161">
        <f t="shared" ref="F6:I6" si="1">SUM(F4:F5)</f>
        <v>45190127.937182456</v>
      </c>
      <c r="G6" s="40">
        <f t="shared" si="1"/>
        <v>2666956.2199999997</v>
      </c>
      <c r="H6" s="40">
        <f t="shared" si="1"/>
        <v>1451793.4355799998</v>
      </c>
      <c r="I6" s="40">
        <f t="shared" si="1"/>
        <v>-679912.40682000061</v>
      </c>
      <c r="J6" s="40">
        <f>SUM(J4:J5)</f>
        <v>6466.9800000000005</v>
      </c>
      <c r="K6" s="40">
        <f>SUM(K4:K5)</f>
        <v>778348.00875999918</v>
      </c>
      <c r="T6" s="5"/>
    </row>
    <row r="7" spans="1:35" ht="45.75" thickTop="1" x14ac:dyDescent="0.25">
      <c r="K7" s="259"/>
      <c r="L7" s="258" t="s">
        <v>162</v>
      </c>
    </row>
    <row r="8" spans="1:35" x14ac:dyDescent="0.25">
      <c r="A8" s="22" t="s">
        <v>136</v>
      </c>
      <c r="K8" s="36">
        <f>ROUND($K$5*L8,2)</f>
        <v>4062.75</v>
      </c>
      <c r="L8" s="256">
        <f>+'[3]Monthly TD Calc'!$CY$44</f>
        <v>0.14267984863071587</v>
      </c>
    </row>
    <row r="9" spans="1:35" x14ac:dyDescent="0.25">
      <c r="A9" s="22" t="s">
        <v>137</v>
      </c>
      <c r="K9" s="36">
        <f t="shared" ref="K9:K11" si="2">ROUND($K$5*L9,2)</f>
        <v>10167.950000000001</v>
      </c>
      <c r="L9" s="256">
        <f>+'[3]Monthly TD Calc'!$CZ$44</f>
        <v>0.35708861589367091</v>
      </c>
    </row>
    <row r="10" spans="1:35" x14ac:dyDescent="0.25">
      <c r="A10" s="22" t="s">
        <v>138</v>
      </c>
      <c r="K10" s="36">
        <f t="shared" si="2"/>
        <v>11553.45</v>
      </c>
      <c r="L10" s="256">
        <f>+'[3]Monthly TD Calc'!$DA$44</f>
        <v>0.40574599013503615</v>
      </c>
    </row>
    <row r="11" spans="1:35" ht="15.75" thickBot="1" x14ac:dyDescent="0.3">
      <c r="A11" s="22" t="s">
        <v>139</v>
      </c>
      <c r="J11" s="4"/>
      <c r="K11" s="36">
        <f t="shared" si="2"/>
        <v>2690.44</v>
      </c>
      <c r="L11" s="256">
        <f>+'[3]Monthly TD Calc'!$DB$44</f>
        <v>9.4485545340576932E-2</v>
      </c>
      <c r="V11" s="4"/>
    </row>
    <row r="12" spans="1:35" ht="16.5" thickTop="1" thickBot="1" x14ac:dyDescent="0.3">
      <c r="A12" s="22" t="s">
        <v>143</v>
      </c>
      <c r="K12" s="40">
        <f>SUM(K8:K11)</f>
        <v>28474.59</v>
      </c>
      <c r="L12" s="257">
        <f>SUM(L8:L11)</f>
        <v>0.99999999999999989</v>
      </c>
      <c r="V12" s="4"/>
      <c r="W12" s="5"/>
    </row>
    <row r="13" spans="1:35" ht="16.5" thickTop="1" thickBot="1" x14ac:dyDescent="0.3">
      <c r="V13" s="4"/>
      <c r="W13" s="5"/>
    </row>
    <row r="14" spans="1:35" ht="90.75" thickBot="1" x14ac:dyDescent="0.3">
      <c r="B14" s="140" t="str">
        <f>+'PCR Cycle 1'!B14</f>
        <v>Cumulative Over/Under Carryover From 06/01/2019 Filing</v>
      </c>
      <c r="C14" s="178" t="str">
        <f>+'PCR Cycle 1'!C14</f>
        <v>Reverse May-19 - October-19  Forecast From 06/01/2019 Filing</v>
      </c>
      <c r="D14" s="244" t="s">
        <v>113</v>
      </c>
      <c r="E14" s="288" t="s">
        <v>39</v>
      </c>
      <c r="F14" s="288"/>
      <c r="G14" s="289"/>
      <c r="H14" s="294" t="s">
        <v>39</v>
      </c>
      <c r="I14" s="295"/>
      <c r="J14" s="296"/>
      <c r="K14" s="290" t="s">
        <v>9</v>
      </c>
      <c r="L14" s="291"/>
      <c r="M14" s="292"/>
    </row>
    <row r="15" spans="1:35" x14ac:dyDescent="0.25">
      <c r="A15" s="62" t="s">
        <v>84</v>
      </c>
      <c r="C15" s="127"/>
      <c r="D15" s="245"/>
      <c r="E15" s="20">
        <f>+'PCR Cycle 1'!D15</f>
        <v>43616</v>
      </c>
      <c r="F15" s="20">
        <f t="shared" ref="F15:M15" si="3">EOMONTH(E15,1)</f>
        <v>43646</v>
      </c>
      <c r="G15" s="20">
        <f t="shared" si="3"/>
        <v>43677</v>
      </c>
      <c r="H15" s="14">
        <f t="shared" si="3"/>
        <v>43708</v>
      </c>
      <c r="I15" s="20">
        <f t="shared" si="3"/>
        <v>43738</v>
      </c>
      <c r="J15" s="15">
        <f t="shared" si="3"/>
        <v>43769</v>
      </c>
      <c r="K15" s="20">
        <f t="shared" si="3"/>
        <v>43799</v>
      </c>
      <c r="L15" s="20">
        <f t="shared" si="3"/>
        <v>43830</v>
      </c>
      <c r="M15" s="15">
        <f t="shared" si="3"/>
        <v>43861</v>
      </c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62" t="s">
        <v>6</v>
      </c>
      <c r="C16" s="225">
        <v>-537939.78</v>
      </c>
      <c r="D16" s="228">
        <f t="shared" ref="D16:I16" si="4">+D27+D28</f>
        <v>0</v>
      </c>
      <c r="E16" s="131">
        <f t="shared" si="4"/>
        <v>255809.29</v>
      </c>
      <c r="F16" s="131">
        <f t="shared" si="4"/>
        <v>404877.20999999996</v>
      </c>
      <c r="G16" s="132">
        <f t="shared" si="4"/>
        <v>489094.08</v>
      </c>
      <c r="H16" s="16">
        <f t="shared" si="4"/>
        <v>535206.40000000002</v>
      </c>
      <c r="I16" s="71">
        <f t="shared" si="4"/>
        <v>506447.41</v>
      </c>
      <c r="J16" s="191">
        <f t="shared" ref="J16:L16" si="5">+J27+J28</f>
        <v>355345.70999999996</v>
      </c>
      <c r="K16" s="184">
        <f t="shared" si="5"/>
        <v>304043.56</v>
      </c>
      <c r="L16" s="96">
        <f t="shared" si="5"/>
        <v>354072.34</v>
      </c>
      <c r="M16" s="97"/>
    </row>
    <row r="17" spans="1:15" x14ac:dyDescent="0.25">
      <c r="C17" s="121"/>
      <c r="D17" s="229"/>
      <c r="E17" s="17"/>
      <c r="F17" s="17"/>
      <c r="G17" s="17"/>
      <c r="H17" s="10"/>
      <c r="I17" s="17"/>
      <c r="J17" s="11"/>
      <c r="K17" s="44"/>
      <c r="L17" s="44"/>
      <c r="M17" s="42"/>
    </row>
    <row r="18" spans="1:15" x14ac:dyDescent="0.25">
      <c r="A18" s="62" t="s">
        <v>83</v>
      </c>
      <c r="C18" s="121"/>
      <c r="D18" s="229"/>
      <c r="E18" s="18"/>
      <c r="F18" s="18"/>
      <c r="G18" s="18"/>
      <c r="H18" s="113"/>
      <c r="I18" s="18"/>
      <c r="J18" s="192"/>
      <c r="K18" s="44"/>
      <c r="L18" s="44"/>
      <c r="M18" s="42"/>
      <c r="N18" s="3" t="s">
        <v>93</v>
      </c>
      <c r="O18" s="53"/>
    </row>
    <row r="19" spans="1:15" x14ac:dyDescent="0.25">
      <c r="A19" s="62" t="s">
        <v>29</v>
      </c>
      <c r="C19" s="225">
        <v>-284595.26698000001</v>
      </c>
      <c r="D19" s="228">
        <v>0</v>
      </c>
      <c r="E19" s="158">
        <f>ROUND('[5]May 2019 Combined'!$F$44,2)</f>
        <v>65376.61</v>
      </c>
      <c r="F19" s="158">
        <f>ROUND('[5]June 2019 Combined'!$F$44,2)</f>
        <v>88090.33</v>
      </c>
      <c r="G19" s="158">
        <f>ROUND('[5]July 2019 Combined'!$F$44,2)</f>
        <v>126662.92</v>
      </c>
      <c r="H19" s="16">
        <f>ROUND('[5]August 2019 Combined'!$F$49,2)</f>
        <v>154490.88</v>
      </c>
      <c r="I19" s="143">
        <f>ROUND('[5]September 2019 Combined'!$F$44,2)</f>
        <v>155965.01</v>
      </c>
      <c r="J19" s="196">
        <f>ROUND('[5]October 2019 Combined'!$F$44,2)</f>
        <v>122909.21</v>
      </c>
      <c r="K19" s="145">
        <f>'PCR Cycle 1'!J27*'TDR Cycle 2'!$N19</f>
        <v>97310.417939999999</v>
      </c>
      <c r="L19" s="55">
        <f>'PCR Cycle 1'!K27*'TDR Cycle 2'!$N19</f>
        <v>144771.97594</v>
      </c>
      <c r="M19" s="77">
        <f>'PCR Cycle 1'!L27*'TDR Cycle 2'!$N19</f>
        <v>162725.0202</v>
      </c>
      <c r="N19" s="88">
        <v>6.2E-4</v>
      </c>
      <c r="O19" s="4"/>
    </row>
    <row r="20" spans="1:15" x14ac:dyDescent="0.25">
      <c r="A20" s="62" t="s">
        <v>30</v>
      </c>
      <c r="C20" s="225">
        <v>-578331.25656000001</v>
      </c>
      <c r="D20" s="228">
        <v>0</v>
      </c>
      <c r="E20" s="158">
        <f>ROUND('[5]May 2019 Combined'!$F$45,2)</f>
        <v>161379.32999999999</v>
      </c>
      <c r="F20" s="158">
        <f>ROUND('[5]June 2019 Combined'!$F$45,2)</f>
        <v>171567.6</v>
      </c>
      <c r="G20" s="158">
        <f>ROUND('[5]July 2019 Combined'!$F$45,2)</f>
        <v>196314.19</v>
      </c>
      <c r="H20" s="16">
        <f>ROUND('[5]August 2019 Combined'!$F$50,2)</f>
        <v>165246.85999999999</v>
      </c>
      <c r="I20" s="143">
        <f>ROUND('[5]September 2019 Combined'!$F$45,2)</f>
        <v>133546.79</v>
      </c>
      <c r="J20" s="196">
        <f>ROUND('[5]October 2019 Combined'!$F$45,2)</f>
        <v>102545.07</v>
      </c>
      <c r="K20" s="145">
        <f>'PCR Cycle 1'!J28*'TDR Cycle 2'!$N20</f>
        <v>9039.3200799999995</v>
      </c>
      <c r="L20" s="55">
        <f>'PCR Cycle 1'!K28*'TDR Cycle 2'!$N20</f>
        <v>9976.8188799999989</v>
      </c>
      <c r="M20" s="77">
        <f>'PCR Cycle 1'!L28*'TDR Cycle 2'!$N20</f>
        <v>10170.954919999998</v>
      </c>
      <c r="N20" s="88">
        <v>2.7999999999999998E-4</v>
      </c>
      <c r="O20" s="4"/>
    </row>
    <row r="21" spans="1:15" x14ac:dyDescent="0.25">
      <c r="C21" s="83"/>
      <c r="D21" s="230"/>
      <c r="E21" s="84"/>
      <c r="F21" s="84"/>
      <c r="G21" s="84"/>
      <c r="H21" s="83"/>
      <c r="I21" s="84"/>
      <c r="J21" s="194"/>
      <c r="K21" s="72"/>
      <c r="L21" s="72"/>
      <c r="M21" s="13"/>
      <c r="O21" s="4"/>
    </row>
    <row r="22" spans="1:15" x14ac:dyDescent="0.25">
      <c r="A22" s="53" t="s">
        <v>89</v>
      </c>
      <c r="B22" s="53"/>
      <c r="C22" s="83"/>
      <c r="D22" s="230"/>
      <c r="E22" s="72"/>
      <c r="F22" s="72"/>
      <c r="G22" s="72"/>
      <c r="H22" s="12"/>
      <c r="I22" s="72"/>
      <c r="J22" s="195"/>
      <c r="K22" s="72"/>
      <c r="L22" s="72"/>
      <c r="M22" s="13"/>
      <c r="N22" s="7"/>
    </row>
    <row r="23" spans="1:15" x14ac:dyDescent="0.25">
      <c r="A23" s="62" t="s">
        <v>29</v>
      </c>
      <c r="C23" s="226">
        <v>-2604766.7739270469</v>
      </c>
      <c r="D23" s="231"/>
      <c r="E23" s="133">
        <f>+'[3]Monthly TD Calc'!AN285</f>
        <v>1905075.120396107</v>
      </c>
      <c r="F23" s="133">
        <f>+'[3]Monthly TD Calc'!AO285</f>
        <v>2344550.5987205859</v>
      </c>
      <c r="G23" s="147">
        <f>+'[3]Monthly TD Calc'!AP285</f>
        <v>3114470.6319201724</v>
      </c>
      <c r="H23" s="92">
        <f>+'[3]Monthly TD Calc'!AQ285</f>
        <v>3439521.9753904017</v>
      </c>
      <c r="I23" s="93">
        <f>+'[3]Monthly TD Calc'!AR285</f>
        <v>3297099.524945932</v>
      </c>
      <c r="J23" s="196">
        <f>+'[3]Monthly TD Calc'!AS285</f>
        <v>3534138.4194082278</v>
      </c>
      <c r="K23" s="185">
        <f>+'[2]Metro Monthly TD Calc'!AT352</f>
        <v>2247983.6198608307</v>
      </c>
      <c r="L23" s="167">
        <f>+'[2]Metro Monthly TD Calc'!AU352</f>
        <v>3070205.9843533784</v>
      </c>
      <c r="M23" s="98"/>
      <c r="N23" s="75">
        <f>SUM(C23:L23)</f>
        <v>20348279.10106859</v>
      </c>
    </row>
    <row r="24" spans="1:15" x14ac:dyDescent="0.25">
      <c r="A24" s="62" t="s">
        <v>30</v>
      </c>
      <c r="C24" s="226">
        <v>-7597114.8463291731</v>
      </c>
      <c r="D24" s="231"/>
      <c r="E24" s="133">
        <f>+'[3]Monthly TD Calc'!AN286</f>
        <v>3556084.3845155714</v>
      </c>
      <c r="F24" s="133">
        <f>+'[3]Monthly TD Calc'!AO286</f>
        <v>3632905.5034914077</v>
      </c>
      <c r="G24" s="147">
        <f>+'[3]Monthly TD Calc'!AP286</f>
        <v>3797043.102911015</v>
      </c>
      <c r="H24" s="92">
        <f>+'[3]Monthly TD Calc'!AQ286</f>
        <v>4002247.7226888952</v>
      </c>
      <c r="I24" s="93">
        <f>+'[3]Monthly TD Calc'!AR286</f>
        <v>3844357.4120946513</v>
      </c>
      <c r="J24" s="196">
        <f>+'[3]Monthly TD Calc'!AS286</f>
        <v>4225710.795167882</v>
      </c>
      <c r="K24" s="185">
        <f>+'[2]Metro Monthly TD Calc'!AT353</f>
        <v>4346128.6482501319</v>
      </c>
      <c r="L24" s="167">
        <f>+'[2]Metro Monthly TD Calc'!AU353</f>
        <v>5034486.1133234836</v>
      </c>
      <c r="M24" s="98"/>
      <c r="N24" s="75">
        <f>SUM(C24:L24)</f>
        <v>24841848.836113866</v>
      </c>
    </row>
    <row r="25" spans="1:15" x14ac:dyDescent="0.25">
      <c r="C25" s="83"/>
      <c r="D25" s="230"/>
      <c r="E25" s="84"/>
      <c r="F25" s="84"/>
      <c r="G25" s="84"/>
      <c r="H25" s="83"/>
      <c r="I25" s="84"/>
      <c r="J25" s="194"/>
      <c r="K25" s="72"/>
      <c r="L25" s="72"/>
      <c r="M25" s="13"/>
    </row>
    <row r="26" spans="1:15" x14ac:dyDescent="0.25">
      <c r="A26" s="62" t="s">
        <v>94</v>
      </c>
      <c r="C26" s="50"/>
      <c r="D26" s="232"/>
      <c r="E26" s="51"/>
      <c r="F26" s="51"/>
      <c r="G26" s="51"/>
      <c r="H26" s="50"/>
      <c r="I26" s="51"/>
      <c r="J26" s="197"/>
      <c r="K26" s="68"/>
      <c r="L26" s="68"/>
      <c r="M26" s="52"/>
    </row>
    <row r="27" spans="1:15" x14ac:dyDescent="0.25">
      <c r="A27" s="62" t="s">
        <v>29</v>
      </c>
      <c r="C27" s="225">
        <v>-197002.57</v>
      </c>
      <c r="D27" s="228"/>
      <c r="E27" s="131">
        <f>ROUND('[3]Monthly TD Calc'!AN318,2)</f>
        <v>118374.82</v>
      </c>
      <c r="F27" s="131">
        <f>ROUND('[3]Monthly TD Calc'!AO318,2)</f>
        <v>220770.4</v>
      </c>
      <c r="G27" s="132">
        <f>ROUND('[3]Monthly TD Calc'!AP318,2)</f>
        <v>302603.44</v>
      </c>
      <c r="H27" s="16">
        <f>ROUND('[3]Monthly TD Calc'!AQ318,2)</f>
        <v>333733.05</v>
      </c>
      <c r="I27" s="71">
        <f>ROUND('[3]Monthly TD Calc'!AR318,2)</f>
        <v>312883.67</v>
      </c>
      <c r="J27" s="196">
        <f>ROUND('[3]Monthly TD Calc'!AS318,2)</f>
        <v>203322.69</v>
      </c>
      <c r="K27" s="186">
        <f>ROUND('[2]Metro Monthly TD Calc'!AT322,2)</f>
        <v>139647.91</v>
      </c>
      <c r="L27" s="166">
        <f>ROUND('[2]Metro Monthly TD Calc'!AU322,2)</f>
        <v>180308.45</v>
      </c>
      <c r="M27" s="97"/>
    </row>
    <row r="28" spans="1:15" x14ac:dyDescent="0.25">
      <c r="A28" s="62" t="s">
        <v>30</v>
      </c>
      <c r="C28" s="225">
        <v>-340937.20999999996</v>
      </c>
      <c r="D28" s="228"/>
      <c r="E28" s="131">
        <f>ROUND('[3]Monthly TD Calc'!AN319,2)</f>
        <v>137434.47</v>
      </c>
      <c r="F28" s="131">
        <f>ROUND('[3]Monthly TD Calc'!AO319,2)</f>
        <v>184106.81</v>
      </c>
      <c r="G28" s="132">
        <f>ROUND('[3]Monthly TD Calc'!AP319,2)</f>
        <v>186490.64</v>
      </c>
      <c r="H28" s="16">
        <f>ROUND('[3]Monthly TD Calc'!AQ319,2)</f>
        <v>201473.35</v>
      </c>
      <c r="I28" s="71">
        <f>ROUND('[3]Monthly TD Calc'!AR319,2)</f>
        <v>193563.74</v>
      </c>
      <c r="J28" s="196">
        <f>ROUND('[3]Monthly TD Calc'!AS319,2)</f>
        <v>152023.01999999999</v>
      </c>
      <c r="K28" s="186">
        <f>ROUND('[2]Metro Monthly TD Calc'!AT323,2)</f>
        <v>164395.65</v>
      </c>
      <c r="L28" s="166">
        <f>ROUND('[2]Metro Monthly TD Calc'!AU323,2)</f>
        <v>173763.89</v>
      </c>
      <c r="M28" s="97"/>
      <c r="O28" s="63"/>
    </row>
    <row r="29" spans="1:15" x14ac:dyDescent="0.25">
      <c r="C29" s="121"/>
      <c r="D29" s="229"/>
      <c r="E29" s="18"/>
      <c r="F29" s="18"/>
      <c r="G29" s="18"/>
      <c r="H29" s="113"/>
      <c r="I29" s="18"/>
      <c r="J29" s="192"/>
      <c r="K29" s="72"/>
      <c r="L29" s="72"/>
      <c r="M29" s="13"/>
    </row>
    <row r="30" spans="1:15" ht="15.75" thickBot="1" x14ac:dyDescent="0.3">
      <c r="A30" s="3" t="s">
        <v>18</v>
      </c>
      <c r="B30" s="3"/>
      <c r="C30" s="227">
        <v>2274.63</v>
      </c>
      <c r="D30" s="233"/>
      <c r="E30" s="158">
        <v>-1041.0999999999999</v>
      </c>
      <c r="F30" s="158">
        <v>-767.43</v>
      </c>
      <c r="G30" s="159">
        <v>-287.69000000000005</v>
      </c>
      <c r="H30" s="39">
        <v>266.3599999999999</v>
      </c>
      <c r="I30" s="144">
        <v>850.16</v>
      </c>
      <c r="J30" s="198">
        <v>1262.8899999999999</v>
      </c>
      <c r="K30" s="187">
        <v>1584.7000000000003</v>
      </c>
      <c r="L30" s="168">
        <v>1877.8599999999997</v>
      </c>
      <c r="M30" s="100"/>
    </row>
    <row r="31" spans="1:15" x14ac:dyDescent="0.25">
      <c r="C31" s="80"/>
      <c r="D31" s="236"/>
      <c r="E31" s="82"/>
      <c r="F31" s="82"/>
      <c r="G31" s="47"/>
      <c r="H31" s="80"/>
      <c r="I31" s="47"/>
      <c r="J31" s="199"/>
      <c r="K31" s="48"/>
      <c r="L31" s="48"/>
      <c r="M31" s="76"/>
    </row>
    <row r="32" spans="1:15" x14ac:dyDescent="0.25">
      <c r="A32" s="62" t="s">
        <v>68</v>
      </c>
      <c r="C32" s="81"/>
      <c r="D32" s="237"/>
      <c r="E32" s="49"/>
      <c r="F32" s="49"/>
      <c r="G32" s="49"/>
      <c r="H32" s="81"/>
      <c r="I32" s="49"/>
      <c r="J32" s="200"/>
      <c r="K32" s="48"/>
      <c r="L32" s="48"/>
      <c r="M32" s="76"/>
    </row>
    <row r="33" spans="1:13" x14ac:dyDescent="0.25">
      <c r="A33" s="62" t="s">
        <v>29</v>
      </c>
      <c r="C33" s="234">
        <f t="shared" ref="C33:M34" si="6">C27-C19</f>
        <v>87592.696980000008</v>
      </c>
      <c r="D33" s="238">
        <f t="shared" ref="D33" si="7">D27-D19</f>
        <v>0</v>
      </c>
      <c r="E33" s="55">
        <f t="shared" si="6"/>
        <v>52998.210000000006</v>
      </c>
      <c r="F33" s="55">
        <f t="shared" si="6"/>
        <v>132680.07</v>
      </c>
      <c r="G33" s="130">
        <f t="shared" si="6"/>
        <v>175940.52000000002</v>
      </c>
      <c r="H33" s="54">
        <f t="shared" si="6"/>
        <v>179242.16999999998</v>
      </c>
      <c r="I33" s="55">
        <f t="shared" si="6"/>
        <v>156918.65999999997</v>
      </c>
      <c r="J33" s="77">
        <f t="shared" si="6"/>
        <v>80413.48</v>
      </c>
      <c r="K33" s="145">
        <f t="shared" si="6"/>
        <v>42337.492060000004</v>
      </c>
      <c r="L33" s="55">
        <f t="shared" si="6"/>
        <v>35536.474060000008</v>
      </c>
      <c r="M33" s="77">
        <f t="shared" si="6"/>
        <v>-162725.0202</v>
      </c>
    </row>
    <row r="34" spans="1:13" x14ac:dyDescent="0.25">
      <c r="A34" s="62" t="s">
        <v>30</v>
      </c>
      <c r="C34" s="234">
        <f t="shared" si="6"/>
        <v>237394.04656000005</v>
      </c>
      <c r="D34" s="238">
        <f t="shared" ref="D34" si="8">D28-D20</f>
        <v>0</v>
      </c>
      <c r="E34" s="55">
        <f t="shared" si="6"/>
        <v>-23944.859999999986</v>
      </c>
      <c r="F34" s="55">
        <f t="shared" si="6"/>
        <v>12539.209999999992</v>
      </c>
      <c r="G34" s="130">
        <f t="shared" si="6"/>
        <v>-9823.5499999999884</v>
      </c>
      <c r="H34" s="54">
        <f t="shared" si="6"/>
        <v>36226.49000000002</v>
      </c>
      <c r="I34" s="55">
        <f t="shared" si="6"/>
        <v>60016.949999999983</v>
      </c>
      <c r="J34" s="77">
        <f t="shared" si="6"/>
        <v>49477.949999999983</v>
      </c>
      <c r="K34" s="145">
        <f t="shared" si="6"/>
        <v>155356.32991999999</v>
      </c>
      <c r="L34" s="55">
        <f t="shared" si="6"/>
        <v>163787.07112000001</v>
      </c>
      <c r="M34" s="77">
        <f t="shared" si="6"/>
        <v>-10170.954919999998</v>
      </c>
    </row>
    <row r="35" spans="1:13" x14ac:dyDescent="0.25">
      <c r="C35" s="121"/>
      <c r="D35" s="229"/>
      <c r="E35" s="17"/>
      <c r="F35" s="17"/>
      <c r="G35" s="17"/>
      <c r="H35" s="10"/>
      <c r="I35" s="17"/>
      <c r="J35" s="11"/>
      <c r="K35" s="17"/>
      <c r="L35" s="17"/>
      <c r="M35" s="11"/>
    </row>
    <row r="36" spans="1:13" ht="15.75" thickBot="1" x14ac:dyDescent="0.3">
      <c r="A36" s="62" t="s">
        <v>69</v>
      </c>
      <c r="C36" s="121"/>
      <c r="D36" s="229"/>
      <c r="E36" s="17"/>
      <c r="F36" s="17"/>
      <c r="G36" s="17"/>
      <c r="H36" s="10"/>
      <c r="I36" s="17"/>
      <c r="J36" s="11"/>
      <c r="K36" s="17"/>
      <c r="L36" s="17"/>
      <c r="M36" s="11"/>
    </row>
    <row r="37" spans="1:13" x14ac:dyDescent="0.25">
      <c r="A37" s="62" t="s">
        <v>29</v>
      </c>
      <c r="B37" s="138">
        <v>-42237.916980000184</v>
      </c>
      <c r="C37" s="234">
        <f t="shared" ref="C37:E38" si="9">+B37+C33+B42</f>
        <v>45354.779999999824</v>
      </c>
      <c r="D37" s="238">
        <f t="shared" si="9"/>
        <v>45007.999999999825</v>
      </c>
      <c r="E37" s="55">
        <f t="shared" si="9"/>
        <v>98006.209999999832</v>
      </c>
      <c r="F37" s="55">
        <f t="shared" ref="F37:M37" si="10">+E37+F33+E42</f>
        <v>230906.44999999987</v>
      </c>
      <c r="G37" s="130">
        <f t="shared" si="10"/>
        <v>407348.07999999984</v>
      </c>
      <c r="H37" s="54">
        <f t="shared" si="10"/>
        <v>587536.21999999974</v>
      </c>
      <c r="I37" s="55">
        <f t="shared" si="10"/>
        <v>745875.15999999968</v>
      </c>
      <c r="J37" s="77">
        <f t="shared" si="10"/>
        <v>828119.93999999971</v>
      </c>
      <c r="K37" s="145">
        <f t="shared" si="10"/>
        <v>872512.8420599997</v>
      </c>
      <c r="L37" s="55">
        <f t="shared" si="10"/>
        <v>910270.19611999975</v>
      </c>
      <c r="M37" s="77">
        <f t="shared" si="10"/>
        <v>749873.41591999971</v>
      </c>
    </row>
    <row r="38" spans="1:13" ht="15.75" thickBot="1" x14ac:dyDescent="0.3">
      <c r="A38" s="62" t="s">
        <v>30</v>
      </c>
      <c r="B38" s="139">
        <v>-637674.4898400004</v>
      </c>
      <c r="C38" s="234">
        <f t="shared" si="9"/>
        <v>-400280.44328000036</v>
      </c>
      <c r="D38" s="238">
        <f t="shared" si="9"/>
        <v>-397659.03328000038</v>
      </c>
      <c r="E38" s="55">
        <f t="shared" si="9"/>
        <v>-421603.89328000037</v>
      </c>
      <c r="F38" s="55">
        <f t="shared" ref="F38:M38" si="11">+E38+F34+E43</f>
        <v>-410325.96328000037</v>
      </c>
      <c r="G38" s="130">
        <f t="shared" si="11"/>
        <v>-421418.05328000034</v>
      </c>
      <c r="H38" s="54">
        <f t="shared" si="11"/>
        <v>-386425.22328000033</v>
      </c>
      <c r="I38" s="55">
        <f t="shared" si="11"/>
        <v>-327562.20328000031</v>
      </c>
      <c r="J38" s="77">
        <f t="shared" si="11"/>
        <v>-279065.37328000029</v>
      </c>
      <c r="K38" s="145">
        <f t="shared" si="11"/>
        <v>-124501.5733600003</v>
      </c>
      <c r="L38" s="55">
        <f t="shared" si="11"/>
        <v>38758.077759999709</v>
      </c>
      <c r="M38" s="77">
        <f t="shared" si="11"/>
        <v>28474.592839999714</v>
      </c>
    </row>
    <row r="39" spans="1:13" x14ac:dyDescent="0.25">
      <c r="C39" s="121"/>
      <c r="D39" s="229"/>
      <c r="E39" s="17"/>
      <c r="F39" s="17"/>
      <c r="G39" s="17"/>
      <c r="H39" s="10"/>
      <c r="I39" s="17"/>
      <c r="J39" s="11"/>
      <c r="K39" s="17"/>
      <c r="L39" s="17"/>
      <c r="M39" s="11"/>
    </row>
    <row r="40" spans="1:13" x14ac:dyDescent="0.25">
      <c r="A40" s="53" t="s">
        <v>160</v>
      </c>
      <c r="B40" s="53"/>
      <c r="C40" s="126"/>
      <c r="D40" s="239"/>
      <c r="E40" s="101">
        <f>+'PCR Cycle 1'!D44</f>
        <v>3.0790499999999998E-3</v>
      </c>
      <c r="F40" s="101">
        <f>+'PCR Cycle 1'!E44</f>
        <v>3.0450199999999998E-3</v>
      </c>
      <c r="G40" s="101">
        <f>+'PCR Cycle 1'!F44</f>
        <v>2.9619300000000002E-3</v>
      </c>
      <c r="H40" s="102">
        <f>+'PCR Cycle 1'!G44</f>
        <v>2.8524499999999999E-3</v>
      </c>
      <c r="I40" s="101">
        <f>+'PCR Cycle 1'!H44</f>
        <v>2.7438599999999999E-3</v>
      </c>
      <c r="J40" s="114">
        <f>+'PCR Cycle 1'!I44</f>
        <v>2.60867E-3</v>
      </c>
      <c r="K40" s="101">
        <f>+'PCR Cycle 1'!J44</f>
        <v>2.60867E-3</v>
      </c>
      <c r="L40" s="101">
        <f>+'PCR Cycle 1'!K44</f>
        <v>2.60867E-3</v>
      </c>
      <c r="M40" s="103"/>
    </row>
    <row r="41" spans="1:13" x14ac:dyDescent="0.25">
      <c r="A41" s="53" t="s">
        <v>44</v>
      </c>
      <c r="B41" s="53"/>
      <c r="C41" s="128"/>
      <c r="D41" s="240"/>
      <c r="E41" s="101"/>
      <c r="F41" s="101"/>
      <c r="G41" s="101"/>
      <c r="H41" s="102"/>
      <c r="I41" s="101"/>
      <c r="J41" s="103"/>
      <c r="K41" s="101"/>
      <c r="L41" s="101"/>
      <c r="M41" s="103"/>
    </row>
    <row r="42" spans="1:13" x14ac:dyDescent="0.25">
      <c r="A42" s="62" t="s">
        <v>29</v>
      </c>
      <c r="C42" s="234">
        <v>-346.78</v>
      </c>
      <c r="D42" s="238"/>
      <c r="E42" s="55">
        <f>ROUND((D37+D42+E33/2)*E$40,2)</f>
        <v>220.17</v>
      </c>
      <c r="F42" s="55">
        <f t="shared" ref="F42:F43" si="12">ROUND((E37+E42+F33/2)*F$40,2)</f>
        <v>501.11</v>
      </c>
      <c r="G42" s="130">
        <f t="shared" ref="G42:G43" si="13">ROUND((F37+F42+G33/2)*G$40,2)</f>
        <v>945.97</v>
      </c>
      <c r="H42" s="54">
        <f t="shared" ref="H42:H43" si="14">ROUND((G37+G42+H33/2)*H$40,2)</f>
        <v>1420.28</v>
      </c>
      <c r="I42" s="145">
        <f t="shared" ref="I42:J43" si="15">ROUND((H37+H42+I33/2)*I$40,2)</f>
        <v>1831.3</v>
      </c>
      <c r="J42" s="77">
        <f t="shared" si="15"/>
        <v>2055.41</v>
      </c>
      <c r="K42" s="188">
        <f t="shared" ref="K42:K43" si="16">ROUND((J37+J42+K33/2)*K$40,2)</f>
        <v>2220.88</v>
      </c>
      <c r="L42" s="130">
        <f t="shared" ref="L42:L43" si="17">ROUND((K37+K42+L33/2)*L$40,2)</f>
        <v>2328.2399999999998</v>
      </c>
      <c r="M42" s="77">
        <f t="shared" ref="M42:M43" si="18">ROUND((L37+L42+M33/2)*M$40,2)</f>
        <v>0</v>
      </c>
    </row>
    <row r="43" spans="1:13" ht="15.75" thickBot="1" x14ac:dyDescent="0.3">
      <c r="A43" s="62" t="s">
        <v>30</v>
      </c>
      <c r="C43" s="234">
        <v>2621.41</v>
      </c>
      <c r="D43" s="238"/>
      <c r="E43" s="55">
        <f>ROUND((D38+D43+E34/2)*E$40,2)</f>
        <v>-1261.28</v>
      </c>
      <c r="F43" s="55">
        <f t="shared" si="12"/>
        <v>-1268.54</v>
      </c>
      <c r="G43" s="130">
        <f t="shared" si="13"/>
        <v>-1233.6600000000001</v>
      </c>
      <c r="H43" s="54">
        <f t="shared" si="14"/>
        <v>-1153.93</v>
      </c>
      <c r="I43" s="145">
        <f t="shared" si="15"/>
        <v>-981.12</v>
      </c>
      <c r="J43" s="77">
        <f t="shared" si="15"/>
        <v>-792.53</v>
      </c>
      <c r="K43" s="188">
        <f t="shared" si="16"/>
        <v>-527.41999999999996</v>
      </c>
      <c r="L43" s="130">
        <f t="shared" si="17"/>
        <v>-112.53</v>
      </c>
      <c r="M43" s="77">
        <f t="shared" si="18"/>
        <v>0</v>
      </c>
    </row>
    <row r="44" spans="1:13" ht="16.5" thickTop="1" thickBot="1" x14ac:dyDescent="0.3">
      <c r="A44" s="70" t="s">
        <v>25</v>
      </c>
      <c r="B44" s="70"/>
      <c r="C44" s="235">
        <v>0</v>
      </c>
      <c r="D44" s="241"/>
      <c r="E44" s="56">
        <f>SUM(E42:E43)+SUM(E37:E38)-E47</f>
        <v>0</v>
      </c>
      <c r="F44" s="56">
        <f t="shared" ref="F44:M44" si="19">SUM(F42:F43)+SUM(F37:F38)-F47</f>
        <v>0</v>
      </c>
      <c r="G44" s="66">
        <f t="shared" si="19"/>
        <v>1.7644197214394808E-10</v>
      </c>
      <c r="H44" s="67">
        <f t="shared" si="19"/>
        <v>0</v>
      </c>
      <c r="I44" s="56">
        <f t="shared" si="19"/>
        <v>0</v>
      </c>
      <c r="J44" s="78">
        <f t="shared" si="19"/>
        <v>0</v>
      </c>
      <c r="K44" s="189">
        <f t="shared" si="19"/>
        <v>0</v>
      </c>
      <c r="L44" s="66">
        <f t="shared" si="19"/>
        <v>0</v>
      </c>
      <c r="M44" s="78">
        <f t="shared" si="19"/>
        <v>0</v>
      </c>
    </row>
    <row r="45" spans="1:13" ht="16.5" thickTop="1" thickBot="1" x14ac:dyDescent="0.3">
      <c r="A45" s="70" t="s">
        <v>26</v>
      </c>
      <c r="B45" s="70"/>
      <c r="C45" s="235">
        <v>0</v>
      </c>
      <c r="D45" s="241"/>
      <c r="E45" s="56">
        <f>SUM(E42:E43)-E30</f>
        <v>-9.9999999999909051E-3</v>
      </c>
      <c r="F45" s="56">
        <f t="shared" ref="F45:J45" si="20">SUM(F42:F43)-F30</f>
        <v>0</v>
      </c>
      <c r="G45" s="66">
        <f t="shared" ref="G45:I45" si="21">SUM(G42:G43)-G30</f>
        <v>0</v>
      </c>
      <c r="H45" s="67">
        <f t="shared" si="21"/>
        <v>-9.9999999999909051E-3</v>
      </c>
      <c r="I45" s="56">
        <f t="shared" si="21"/>
        <v>1.999999999998181E-2</v>
      </c>
      <c r="J45" s="78">
        <f t="shared" si="20"/>
        <v>-9.9999999999909051E-3</v>
      </c>
      <c r="K45" s="190">
        <f t="shared" ref="K45:M45" si="22">SUM(K42:K43)-K30</f>
        <v>108.75999999999976</v>
      </c>
      <c r="L45" s="56">
        <f t="shared" si="22"/>
        <v>337.84999999999991</v>
      </c>
      <c r="M45" s="56">
        <f t="shared" si="22"/>
        <v>0</v>
      </c>
    </row>
    <row r="46" spans="1:13" ht="16.5" thickTop="1" thickBot="1" x14ac:dyDescent="0.3">
      <c r="C46" s="121"/>
      <c r="D46" s="229"/>
      <c r="E46" s="17"/>
      <c r="F46" s="17"/>
      <c r="G46" s="17"/>
      <c r="H46" s="10"/>
      <c r="I46" s="17"/>
      <c r="J46" s="11"/>
      <c r="K46" s="17"/>
      <c r="L46" s="17"/>
      <c r="M46" s="11"/>
    </row>
    <row r="47" spans="1:13" ht="15.75" thickBot="1" x14ac:dyDescent="0.3">
      <c r="A47" s="62" t="s">
        <v>42</v>
      </c>
      <c r="B47" s="141">
        <f>+B37+B38</f>
        <v>-679912.40682000061</v>
      </c>
      <c r="C47" s="234">
        <f>(C16-SUM(C19:C20))+SUM(C42:C43)+B47</f>
        <v>-352651.03328000067</v>
      </c>
      <c r="D47" s="238">
        <f>(D16-SUM(D19:D20))+SUM(D42:D43)+C47</f>
        <v>-352651.03328000067</v>
      </c>
      <c r="E47" s="55">
        <f>(E16-SUM(E19:E20))+SUM(E42:E43)+D47</f>
        <v>-324638.79328000068</v>
      </c>
      <c r="F47" s="55">
        <f t="shared" ref="F47:M47" si="23">(F16-SUM(F19:F20))+SUM(F42:F43)+E47</f>
        <v>-180186.94328000071</v>
      </c>
      <c r="G47" s="130">
        <f t="shared" si="23"/>
        <v>-14357.663280000677</v>
      </c>
      <c r="H47" s="54">
        <f t="shared" si="23"/>
        <v>201377.34671999936</v>
      </c>
      <c r="I47" s="55">
        <f t="shared" si="23"/>
        <v>419163.13671999925</v>
      </c>
      <c r="J47" s="77">
        <f t="shared" si="23"/>
        <v>550317.44671999919</v>
      </c>
      <c r="K47" s="188">
        <f t="shared" si="23"/>
        <v>749704.72869999916</v>
      </c>
      <c r="L47" s="130">
        <f t="shared" si="23"/>
        <v>951243.98387999914</v>
      </c>
      <c r="M47" s="77">
        <f t="shared" si="23"/>
        <v>778348.00875999918</v>
      </c>
    </row>
    <row r="48" spans="1:13" x14ac:dyDescent="0.25">
      <c r="A48" s="62" t="s">
        <v>14</v>
      </c>
      <c r="C48" s="142"/>
      <c r="D48" s="242"/>
      <c r="E48" s="17"/>
      <c r="F48" s="17"/>
      <c r="G48" s="17"/>
      <c r="H48" s="10"/>
      <c r="I48" s="17"/>
      <c r="J48" s="11"/>
      <c r="K48" s="17"/>
      <c r="L48" s="17"/>
      <c r="M48" s="11"/>
    </row>
    <row r="49" spans="1:13" ht="15.75" thickBot="1" x14ac:dyDescent="0.3">
      <c r="A49" s="51"/>
      <c r="B49" s="51"/>
      <c r="C49" s="172"/>
      <c r="D49" s="243"/>
      <c r="E49" s="58"/>
      <c r="F49" s="58"/>
      <c r="G49" s="58"/>
      <c r="H49" s="57"/>
      <c r="I49" s="58"/>
      <c r="J49" s="59"/>
      <c r="K49" s="58"/>
      <c r="L49" s="58"/>
      <c r="M49" s="59"/>
    </row>
    <row r="51" spans="1:13" x14ac:dyDescent="0.25">
      <c r="A51" s="85" t="s">
        <v>13</v>
      </c>
      <c r="B51" s="85"/>
      <c r="C51" s="85"/>
      <c r="D51" s="85"/>
    </row>
    <row r="52" spans="1:13" ht="34.5" customHeight="1" x14ac:dyDescent="0.25">
      <c r="A52" s="287" t="s">
        <v>165</v>
      </c>
      <c r="B52" s="287"/>
      <c r="C52" s="287"/>
      <c r="D52" s="287"/>
      <c r="E52" s="287"/>
      <c r="F52" s="287"/>
      <c r="G52" s="287"/>
      <c r="H52" s="287"/>
      <c r="I52" s="287"/>
      <c r="J52" s="287"/>
      <c r="K52" s="222"/>
      <c r="L52" s="169"/>
      <c r="M52" s="169"/>
    </row>
    <row r="53" spans="1:13" ht="42.75" customHeight="1" x14ac:dyDescent="0.25">
      <c r="A53" s="287" t="s">
        <v>166</v>
      </c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169"/>
      <c r="M53" s="169"/>
    </row>
    <row r="54" spans="1:13" ht="33.75" customHeight="1" x14ac:dyDescent="0.25">
      <c r="A54" s="287" t="s">
        <v>167</v>
      </c>
      <c r="B54" s="287"/>
      <c r="C54" s="287"/>
      <c r="D54" s="287"/>
      <c r="E54" s="287"/>
      <c r="F54" s="287"/>
      <c r="G54" s="287"/>
      <c r="H54" s="287"/>
      <c r="I54" s="287"/>
      <c r="J54" s="287"/>
      <c r="K54" s="222"/>
      <c r="L54" s="169"/>
      <c r="M54" s="169"/>
    </row>
    <row r="55" spans="1:13" x14ac:dyDescent="0.25">
      <c r="A55" s="3" t="s">
        <v>91</v>
      </c>
      <c r="B55" s="3"/>
      <c r="C55" s="3"/>
      <c r="D55" s="3"/>
    </row>
    <row r="56" spans="1:13" x14ac:dyDescent="0.25">
      <c r="A56" s="79" t="s">
        <v>164</v>
      </c>
      <c r="B56" s="3"/>
      <c r="C56" s="3"/>
      <c r="D56" s="3"/>
    </row>
    <row r="57" spans="1:13" x14ac:dyDescent="0.25">
      <c r="A57" s="3" t="s">
        <v>95</v>
      </c>
      <c r="B57" s="3"/>
      <c r="C57" s="3"/>
      <c r="D57" s="3"/>
    </row>
    <row r="58" spans="1:13" x14ac:dyDescent="0.25">
      <c r="A58" s="3" t="s">
        <v>161</v>
      </c>
      <c r="B58" s="3"/>
      <c r="C58" s="3"/>
      <c r="D58" s="3"/>
    </row>
  </sheetData>
  <mergeCells count="6">
    <mergeCell ref="A54:J54"/>
    <mergeCell ref="E14:G14"/>
    <mergeCell ref="A52:J52"/>
    <mergeCell ref="A53:K53"/>
    <mergeCell ref="H14:J14"/>
    <mergeCell ref="K14:M14"/>
  </mergeCells>
  <pageMargins left="0.2" right="0.2" top="0.75" bottom="0.25" header="0.3" footer="0.3"/>
  <pageSetup scale="49" orientation="landscape" r:id="rId1"/>
  <headerFooter>
    <oddHeader>&amp;C&amp;F &amp;A&amp;R&amp;"Arial"&amp;10&amp;K000000CONFIDENTIAL</oddHeader>
    <oddFooter>&amp;R&amp;1#&amp;"Calibri"&amp;10&amp;KA80000Internal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EDB18C5607042858DD9C0A8275B18" ma:contentTypeVersion="" ma:contentTypeDescription="Create a new document." ma:contentTypeScope="" ma:versionID="a8e216e06ef6f22d6d5d250416d93215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F68F8259-C817-48C4-8806-06C5ACE81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E680F6-EEBC-41A4-AEB5-0B773B5EACA2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c85253b9-0a55-49a1-98ad-b5b6252d707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tariff tables</vt:lpstr>
      <vt:lpstr>PPC Cycle 2</vt:lpstr>
      <vt:lpstr>PPC Cycle 3</vt:lpstr>
      <vt:lpstr>PCR Cycle 1</vt:lpstr>
      <vt:lpstr>PCR Cycle 2</vt:lpstr>
      <vt:lpstr>PTD Cycle 2</vt:lpstr>
      <vt:lpstr>PTD Cycle 3</vt:lpstr>
      <vt:lpstr>TDR Cycle 1</vt:lpstr>
      <vt:lpstr>TDR Cycle 2</vt:lpstr>
      <vt:lpstr>EO Cycle 2</vt:lpstr>
      <vt:lpstr>EOR Cycle 1</vt:lpstr>
      <vt:lpstr>OA Cycle 2</vt:lpstr>
      <vt:lpstr>OAR Cycle 2</vt:lpstr>
      <vt:lpstr>'PCR Cycle 1'!Print_Area</vt:lpstr>
      <vt:lpstr>'PCR Cycle 2'!Print_Area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Shelley Jordan</cp:lastModifiedBy>
  <cp:lastPrinted>2019-05-23T21:26:27Z</cp:lastPrinted>
  <dcterms:created xsi:type="dcterms:W3CDTF">2013-08-12T19:20:10Z</dcterms:created>
  <dcterms:modified xsi:type="dcterms:W3CDTF">2020-01-09T20:03:31Z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0x01010060CEDB18C5607042858DD9C0A8275B18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d275ac46-98b9-4d64-949f-e82ee8dc823c_Enabled">
    <vt:lpwstr>True</vt:lpwstr>
  </property>
  <property fmtid="{D5CDD505-2E9C-101B-9397-08002B2CF9AE}" pid="6" name="MSIP_Label_d275ac46-98b9-4d64-949f-e82ee8dc823c_SiteId">
    <vt:lpwstr>9ef58ab0-3510-4d99-8d3e-3c9e02ebab7f</vt:lpwstr>
  </property>
  <property fmtid="{D5CDD505-2E9C-101B-9397-08002B2CF9AE}" pid="7" name="MSIP_Label_d275ac46-98b9-4d64-949f-e82ee8dc823c_Owner">
    <vt:lpwstr>Mark.Foltz@kcpl.com</vt:lpwstr>
  </property>
  <property fmtid="{D5CDD505-2E9C-101B-9397-08002B2CF9AE}" pid="8" name="MSIP_Label_d275ac46-98b9-4d64-949f-e82ee8dc823c_SetDate">
    <vt:lpwstr>2018-11-14T16:29:38.6736549Z</vt:lpwstr>
  </property>
  <property fmtid="{D5CDD505-2E9C-101B-9397-08002B2CF9AE}" pid="9" name="MSIP_Label_d275ac46-98b9-4d64-949f-e82ee8dc823c_Name">
    <vt:lpwstr>Internal Use Only</vt:lpwstr>
  </property>
  <property fmtid="{D5CDD505-2E9C-101B-9397-08002B2CF9AE}" pid="10" name="MSIP_Label_d275ac46-98b9-4d64-949f-e82ee8dc823c_Application">
    <vt:lpwstr>Microsoft Azure Information Protection</vt:lpwstr>
  </property>
  <property fmtid="{D5CDD505-2E9C-101B-9397-08002B2CF9AE}" pid="11" name="MSIP_Label_d275ac46-98b9-4d64-949f-e82ee8dc823c_Extended_MSFT_Method">
    <vt:lpwstr>Automatic</vt:lpwstr>
  </property>
  <property fmtid="{D5CDD505-2E9C-101B-9397-08002B2CF9AE}" pid="12" name="Sensitivity">
    <vt:lpwstr>Internal Use Only</vt:lpwstr>
  </property>
</Properties>
</file>