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24226"/>
  <mc:AlternateContent xmlns:mc="http://schemas.openxmlformats.org/markup-compatibility/2006">
    <mc:Choice Requires="x15">
      <x15ac:absPath xmlns:x15ac="http://schemas.microsoft.com/office/spreadsheetml/2010/11/ac" url="\\Ntas22\regulatory\Regulatory\Regulatory Accounting\Projects\KCPL-MO and GMO MEEIA Cycle 3\Cycle 3 semi-annual filing 2020-12\West workpapers\"/>
    </mc:Choice>
  </mc:AlternateContent>
  <xr:revisionPtr revIDLastSave="0" documentId="13_ncr:1_{4183E0A9-B086-4C65-A991-F4D5B386994C}" xr6:coauthVersionLast="45" xr6:coauthVersionMax="45" xr10:uidLastSave="{00000000-0000-0000-0000-000000000000}"/>
  <bookViews>
    <workbookView xWindow="28770" yWindow="0" windowWidth="28830" windowHeight="15600" xr2:uid="{00000000-000D-0000-FFFF-FFFF00000000}"/>
  </bookViews>
  <sheets>
    <sheet name="tariff tables" sheetId="5" r:id="rId1"/>
    <sheet name="tariff tables v. current tariff" sheetId="27" r:id="rId2"/>
    <sheet name="DSIM Cycle Tables" sheetId="20" r:id="rId3"/>
    <sheet name="PPC Cycle 2" sheetId="4" r:id="rId4"/>
    <sheet name="PPC Cycle 3" sheetId="18" r:id="rId5"/>
    <sheet name="PCR Cycle 2" sheetId="15" r:id="rId6"/>
    <sheet name="PCR Cycle 3" sheetId="22" r:id="rId7"/>
    <sheet name="PTD Cycle 2" sheetId="12" r:id="rId8"/>
    <sheet name="PTD Cycle 3" sheetId="19" r:id="rId9"/>
    <sheet name="TDR Cycle 2" sheetId="16" r:id="rId10"/>
    <sheet name="TDR Cycle 3" sheetId="24" r:id="rId11"/>
    <sheet name="EO Cycle 2" sheetId="8" r:id="rId12"/>
    <sheet name="EOR Cycle 1" sheetId="9" r:id="rId13"/>
    <sheet name="EOR Cycle 2" sheetId="23" r:id="rId14"/>
    <sheet name="OA Cycle 2" sheetId="10" r:id="rId15"/>
    <sheet name="OAR Cycle 2" sheetId="13"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5">'PCR Cycle 2'!$A$1:$N$64</definedName>
    <definedName name="_xlnm.Print_Area" localSheetId="6">'PCR Cycle 3'!$A$1:$N$64</definedName>
    <definedName name="solver_adj" localSheetId="5" hidden="1">'PCR Cycle 2'!$E$47</definedName>
    <definedName name="solver_adj" localSheetId="6" hidden="1">'PCR Cycle 3'!$E$45</definedName>
    <definedName name="solver_adj" localSheetId="9" hidden="1">'TDR Cycle 2'!#REF!</definedName>
    <definedName name="solver_adj" localSheetId="10" hidden="1">'TDR Cycle 3'!#REF!</definedName>
    <definedName name="solver_cvg" localSheetId="5" hidden="1">0.0001</definedName>
    <definedName name="solver_cvg" localSheetId="6" hidden="1">0.0001</definedName>
    <definedName name="solver_cvg" localSheetId="9" hidden="1">0.0001</definedName>
    <definedName name="solver_cvg" localSheetId="10" hidden="1">0.0001</definedName>
    <definedName name="solver_drv" localSheetId="5" hidden="1">1</definedName>
    <definedName name="solver_drv" localSheetId="6" hidden="1">1</definedName>
    <definedName name="solver_drv" localSheetId="9" hidden="1">2</definedName>
    <definedName name="solver_drv" localSheetId="10" hidden="1">2</definedName>
    <definedName name="solver_eng" localSheetId="5" hidden="1">1</definedName>
    <definedName name="solver_eng" localSheetId="6" hidden="1">1</definedName>
    <definedName name="solver_eng" localSheetId="9" hidden="1">1</definedName>
    <definedName name="solver_eng" localSheetId="10" hidden="1">1</definedName>
    <definedName name="solver_est" localSheetId="5" hidden="1">1</definedName>
    <definedName name="solver_est" localSheetId="6" hidden="1">1</definedName>
    <definedName name="solver_est" localSheetId="9" hidden="1">1</definedName>
    <definedName name="solver_est" localSheetId="10" hidden="1">1</definedName>
    <definedName name="solver_itr" localSheetId="5" hidden="1">2147483647</definedName>
    <definedName name="solver_itr" localSheetId="6" hidden="1">2147483647</definedName>
    <definedName name="solver_itr" localSheetId="9" hidden="1">2147483647</definedName>
    <definedName name="solver_itr" localSheetId="10" hidden="1">2147483647</definedName>
    <definedName name="solver_mip" localSheetId="5" hidden="1">2147483647</definedName>
    <definedName name="solver_mip" localSheetId="6" hidden="1">2147483647</definedName>
    <definedName name="solver_mip" localSheetId="9" hidden="1">2147483647</definedName>
    <definedName name="solver_mip" localSheetId="10" hidden="1">2147483647</definedName>
    <definedName name="solver_mni" localSheetId="5" hidden="1">30</definedName>
    <definedName name="solver_mni" localSheetId="6" hidden="1">30</definedName>
    <definedName name="solver_mni" localSheetId="9" hidden="1">30</definedName>
    <definedName name="solver_mni" localSheetId="10" hidden="1">30</definedName>
    <definedName name="solver_mrt" localSheetId="5" hidden="1">0.075</definedName>
    <definedName name="solver_mrt" localSheetId="6" hidden="1">0.075</definedName>
    <definedName name="solver_mrt" localSheetId="9" hidden="1">0.075</definedName>
    <definedName name="solver_mrt" localSheetId="10" hidden="1">0.075</definedName>
    <definedName name="solver_msl" localSheetId="5" hidden="1">2</definedName>
    <definedName name="solver_msl" localSheetId="6" hidden="1">2</definedName>
    <definedName name="solver_msl" localSheetId="9" hidden="1">2</definedName>
    <definedName name="solver_msl" localSheetId="10" hidden="1">2</definedName>
    <definedName name="solver_neg" localSheetId="5" hidden="1">1</definedName>
    <definedName name="solver_neg" localSheetId="6" hidden="1">1</definedName>
    <definedName name="solver_neg" localSheetId="9" hidden="1">1</definedName>
    <definedName name="solver_neg" localSheetId="10" hidden="1">1</definedName>
    <definedName name="solver_nod" localSheetId="5" hidden="1">2147483647</definedName>
    <definedName name="solver_nod" localSheetId="6" hidden="1">2147483647</definedName>
    <definedName name="solver_nod" localSheetId="9" hidden="1">2147483647</definedName>
    <definedName name="solver_nod" localSheetId="10" hidden="1">2147483647</definedName>
    <definedName name="solver_num" localSheetId="5" hidden="1">0</definedName>
    <definedName name="solver_num" localSheetId="6" hidden="1">0</definedName>
    <definedName name="solver_num" localSheetId="9" hidden="1">0</definedName>
    <definedName name="solver_num" localSheetId="10" hidden="1">0</definedName>
    <definedName name="solver_nwt" localSheetId="5" hidden="1">1</definedName>
    <definedName name="solver_nwt" localSheetId="6" hidden="1">1</definedName>
    <definedName name="solver_nwt" localSheetId="9" hidden="1">1</definedName>
    <definedName name="solver_nwt" localSheetId="10" hidden="1">1</definedName>
    <definedName name="solver_opt" localSheetId="5" hidden="1">'PCR Cycle 2'!$E$52</definedName>
    <definedName name="solver_opt" localSheetId="6" hidden="1">'PCR Cycle 3'!$E$52</definedName>
    <definedName name="solver_opt" localSheetId="9" hidden="1">'TDR Cycle 2'!#REF!</definedName>
    <definedName name="solver_opt" localSheetId="10" hidden="1">'TDR Cycle 3'!#REF!</definedName>
    <definedName name="solver_pre" localSheetId="5" hidden="1">0.000001</definedName>
    <definedName name="solver_pre" localSheetId="6" hidden="1">0.000001</definedName>
    <definedName name="solver_pre" localSheetId="9" hidden="1">0.000001</definedName>
    <definedName name="solver_pre" localSheetId="10" hidden="1">0.000001</definedName>
    <definedName name="solver_rbv" localSheetId="5" hidden="1">1</definedName>
    <definedName name="solver_rbv" localSheetId="6" hidden="1">1</definedName>
    <definedName name="solver_rbv" localSheetId="9" hidden="1">2</definedName>
    <definedName name="solver_rbv" localSheetId="10" hidden="1">2</definedName>
    <definedName name="solver_rlx" localSheetId="5" hidden="1">2</definedName>
    <definedName name="solver_rlx" localSheetId="6" hidden="1">2</definedName>
    <definedName name="solver_rlx" localSheetId="9" hidden="1">2</definedName>
    <definedName name="solver_rlx" localSheetId="10" hidden="1">2</definedName>
    <definedName name="solver_rsd" localSheetId="5" hidden="1">0</definedName>
    <definedName name="solver_rsd" localSheetId="6" hidden="1">0</definedName>
    <definedName name="solver_rsd" localSheetId="9" hidden="1">0</definedName>
    <definedName name="solver_rsd" localSheetId="10" hidden="1">0</definedName>
    <definedName name="solver_scl" localSheetId="5" hidden="1">1</definedName>
    <definedName name="solver_scl" localSheetId="6" hidden="1">1</definedName>
    <definedName name="solver_scl" localSheetId="9" hidden="1">2</definedName>
    <definedName name="solver_scl" localSheetId="10" hidden="1">2</definedName>
    <definedName name="solver_sho" localSheetId="5" hidden="1">2</definedName>
    <definedName name="solver_sho" localSheetId="6" hidden="1">2</definedName>
    <definedName name="solver_sho" localSheetId="9" hidden="1">2</definedName>
    <definedName name="solver_sho" localSheetId="10" hidden="1">2</definedName>
    <definedName name="solver_ssz" localSheetId="5" hidden="1">100</definedName>
    <definedName name="solver_ssz" localSheetId="6" hidden="1">100</definedName>
    <definedName name="solver_ssz" localSheetId="9" hidden="1">100</definedName>
    <definedName name="solver_ssz" localSheetId="10" hidden="1">100</definedName>
    <definedName name="solver_tim" localSheetId="5" hidden="1">2147483647</definedName>
    <definedName name="solver_tim" localSheetId="6" hidden="1">2147483647</definedName>
    <definedName name="solver_tim" localSheetId="9" hidden="1">2147483647</definedName>
    <definedName name="solver_tim" localSheetId="10" hidden="1">2147483647</definedName>
    <definedName name="solver_tol" localSheetId="5" hidden="1">0.01</definedName>
    <definedName name="solver_tol" localSheetId="6" hidden="1">0.01</definedName>
    <definedName name="solver_tol" localSheetId="9" hidden="1">0.01</definedName>
    <definedName name="solver_tol" localSheetId="10" hidden="1">0.01</definedName>
    <definedName name="solver_typ" localSheetId="5" hidden="1">3</definedName>
    <definedName name="solver_typ" localSheetId="6" hidden="1">3</definedName>
    <definedName name="solver_typ" localSheetId="9" hidden="1">3</definedName>
    <definedName name="solver_typ" localSheetId="10" hidden="1">3</definedName>
    <definedName name="solver_val" localSheetId="5" hidden="1">0</definedName>
    <definedName name="solver_val" localSheetId="6" hidden="1">0</definedName>
    <definedName name="solver_val" localSheetId="9" hidden="1">23888.44</definedName>
    <definedName name="solver_val" localSheetId="10" hidden="1">23888.44</definedName>
    <definedName name="solver_ver" localSheetId="5" hidden="1">3</definedName>
    <definedName name="solver_ver" localSheetId="6" hidden="1">3</definedName>
    <definedName name="solver_ver" localSheetId="9" hidden="1">3</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24" l="1"/>
  <c r="L21" i="24" l="1"/>
  <c r="K22" i="24"/>
  <c r="L22" i="24"/>
  <c r="L23" i="24"/>
  <c r="K23" i="24"/>
  <c r="K24" i="24"/>
  <c r="L24" i="24"/>
  <c r="B7" i="19" l="1"/>
  <c r="B6" i="19" l="1"/>
  <c r="B8" i="19"/>
  <c r="B9" i="19" l="1"/>
  <c r="B35" i="8" l="1"/>
  <c r="B34" i="8"/>
  <c r="B33" i="8"/>
  <c r="B30" i="8"/>
  <c r="B29" i="8"/>
  <c r="B24" i="8"/>
  <c r="B23" i="8"/>
  <c r="B22" i="8"/>
  <c r="B19" i="8"/>
  <c r="B18" i="8"/>
  <c r="D29" i="8" l="1"/>
  <c r="C29" i="8" l="1"/>
  <c r="D35" i="8"/>
  <c r="C35" i="8" l="1"/>
  <c r="D34" i="8"/>
  <c r="C34" i="8"/>
  <c r="D33" i="8" l="1"/>
  <c r="C33" i="8" l="1"/>
  <c r="D30" i="8"/>
  <c r="C30" i="8"/>
  <c r="C23" i="8" l="1"/>
  <c r="C24" i="8"/>
  <c r="C22" i="8"/>
  <c r="C19" i="8"/>
  <c r="C18" i="8" l="1"/>
  <c r="D24" i="8" l="1"/>
  <c r="D23" i="8"/>
  <c r="D22" i="8"/>
  <c r="D19" i="8"/>
  <c r="E24" i="8"/>
  <c r="E23" i="8"/>
  <c r="D18" i="8" l="1"/>
  <c r="E22" i="8"/>
  <c r="E18" i="8" l="1"/>
  <c r="E19" i="8"/>
  <c r="E33" i="8" l="1"/>
  <c r="E34" i="8" l="1"/>
  <c r="E35" i="8"/>
  <c r="E30" i="8" l="1"/>
  <c r="E29" i="8"/>
  <c r="A1" i="27" l="1"/>
  <c r="B8" i="8" l="1"/>
  <c r="B7" i="8"/>
  <c r="B31" i="8" l="1"/>
  <c r="B41" i="23"/>
  <c r="B40" i="23"/>
  <c r="B39" i="23"/>
  <c r="B38" i="23"/>
  <c r="B9" i="8" l="1"/>
  <c r="C48" i="23" l="1"/>
  <c r="C47" i="23"/>
  <c r="C46" i="23"/>
  <c r="C45" i="23"/>
  <c r="C29" i="23"/>
  <c r="A2" i="12" l="1"/>
  <c r="J16" i="22" l="1"/>
  <c r="J17" i="22"/>
  <c r="K16" i="22"/>
  <c r="K17" i="22"/>
  <c r="C5" i="18" l="1"/>
  <c r="J14" i="22"/>
  <c r="J15" i="22"/>
  <c r="K15" i="22"/>
  <c r="C7" i="18" l="1"/>
  <c r="C8" i="18"/>
  <c r="K14" i="22" l="1"/>
  <c r="C6" i="18"/>
  <c r="L27" i="24" l="1"/>
  <c r="L28" i="24"/>
  <c r="L29" i="24"/>
  <c r="K27" i="24"/>
  <c r="K30" i="24"/>
  <c r="L30" i="24"/>
  <c r="K29" i="24" l="1"/>
  <c r="K28" i="24"/>
  <c r="C7" i="19" l="1"/>
  <c r="C8" i="19" l="1"/>
  <c r="C6" i="19"/>
  <c r="C9" i="19" l="1"/>
  <c r="I17" i="22" l="1"/>
  <c r="I16" i="22"/>
  <c r="I15" i="22"/>
  <c r="I14" i="22"/>
  <c r="H17" i="22" l="1"/>
  <c r="H16" i="22"/>
  <c r="H15" i="22"/>
  <c r="H14" i="22"/>
  <c r="G17" i="22" l="1"/>
  <c r="G16" i="22"/>
  <c r="G15" i="22"/>
  <c r="G14" i="22"/>
  <c r="F17" i="22" l="1"/>
  <c r="F16" i="22"/>
  <c r="F15" i="22"/>
  <c r="F14" i="22"/>
  <c r="E17" i="22" l="1"/>
  <c r="E16" i="22"/>
  <c r="E15" i="22"/>
  <c r="E14" i="22"/>
  <c r="D17" i="22" l="1"/>
  <c r="D16" i="22"/>
  <c r="D15" i="22"/>
  <c r="D14" i="22"/>
  <c r="I18" i="15" l="1"/>
  <c r="H18" i="15"/>
  <c r="G18" i="15"/>
  <c r="F18" i="15"/>
  <c r="E18" i="15"/>
  <c r="D18" i="15"/>
  <c r="I17" i="15"/>
  <c r="H17" i="15"/>
  <c r="G17" i="15"/>
  <c r="F17" i="15"/>
  <c r="E17" i="15"/>
  <c r="D17" i="15"/>
  <c r="I16" i="15"/>
  <c r="H16" i="15"/>
  <c r="G16" i="15"/>
  <c r="F16" i="15"/>
  <c r="E16" i="15"/>
  <c r="D16" i="15"/>
  <c r="I15" i="15"/>
  <c r="H15" i="15"/>
  <c r="G15" i="15"/>
  <c r="F15" i="15"/>
  <c r="E15" i="15"/>
  <c r="D15" i="15"/>
  <c r="C10" i="12" l="1"/>
  <c r="C11" i="12"/>
  <c r="B11" i="12"/>
  <c r="B12" i="12" l="1"/>
  <c r="B10" i="12"/>
  <c r="B6" i="12"/>
  <c r="C12" i="12"/>
  <c r="C6" i="12" l="1"/>
  <c r="G5" i="23" l="1"/>
  <c r="D12" i="4"/>
  <c r="L10" i="16" s="1"/>
  <c r="D11" i="4"/>
  <c r="D10" i="4"/>
  <c r="K9" i="15" l="1"/>
  <c r="E14" i="10"/>
  <c r="J9" i="9"/>
  <c r="K10" i="15"/>
  <c r="K8" i="15"/>
  <c r="E13" i="10"/>
  <c r="J8" i="9"/>
  <c r="J10" i="23"/>
  <c r="E15" i="10"/>
  <c r="J10" i="9"/>
  <c r="L8" i="16"/>
  <c r="L9" i="16"/>
  <c r="J8" i="23"/>
  <c r="J9" i="23"/>
  <c r="F31" i="16"/>
  <c r="F33" i="16"/>
  <c r="F25" i="16"/>
  <c r="G32" i="16"/>
  <c r="G26" i="16"/>
  <c r="G33" i="16"/>
  <c r="G27" i="16"/>
  <c r="E33" i="16"/>
  <c r="E27" i="16"/>
  <c r="G25" i="16"/>
  <c r="E31" i="16"/>
  <c r="E25" i="16"/>
  <c r="F27" i="16"/>
  <c r="E24" i="16"/>
  <c r="F24" i="16"/>
  <c r="G24" i="16"/>
  <c r="E26" i="16" l="1"/>
  <c r="H33" i="16"/>
  <c r="G31" i="16"/>
  <c r="F30" i="16"/>
  <c r="H31" i="16"/>
  <c r="F26" i="16"/>
  <c r="H27" i="16"/>
  <c r="H25" i="16"/>
  <c r="H32" i="16"/>
  <c r="H26" i="16"/>
  <c r="E30" i="16"/>
  <c r="H24" i="16"/>
  <c r="E32" i="16" l="1"/>
  <c r="I31" i="16"/>
  <c r="I33" i="16"/>
  <c r="I27" i="16"/>
  <c r="I32" i="16"/>
  <c r="I26" i="16"/>
  <c r="I25" i="16"/>
  <c r="I24" i="16"/>
  <c r="G30" i="16" l="1"/>
  <c r="J33" i="16"/>
  <c r="H30" i="16"/>
  <c r="J32" i="16"/>
  <c r="J26" i="16"/>
  <c r="J31" i="16"/>
  <c r="J25" i="16"/>
  <c r="J27" i="16"/>
  <c r="J24" i="16"/>
  <c r="F32" i="16" l="1"/>
  <c r="K27" i="16"/>
  <c r="K33" i="16"/>
  <c r="K32" i="16"/>
  <c r="K26" i="16"/>
  <c r="K31" i="16"/>
  <c r="K25" i="16"/>
  <c r="K24" i="16"/>
  <c r="I30" i="16" l="1"/>
  <c r="L33" i="16"/>
  <c r="L31" i="16"/>
  <c r="L32" i="16"/>
  <c r="L26" i="16"/>
  <c r="L25" i="16"/>
  <c r="L27" i="16"/>
  <c r="L24" i="16"/>
  <c r="J30" i="16" l="1"/>
  <c r="K30" i="16"/>
  <c r="L30" i="16" l="1"/>
  <c r="J18" i="24" l="1"/>
  <c r="I18" i="24"/>
  <c r="H18" i="24"/>
  <c r="G18" i="24"/>
  <c r="F18" i="24"/>
  <c r="E18" i="24"/>
  <c r="J17" i="24"/>
  <c r="I17" i="24"/>
  <c r="H17" i="24"/>
  <c r="G17" i="24"/>
  <c r="F17" i="24"/>
  <c r="E17" i="24"/>
  <c r="J16" i="24"/>
  <c r="I16" i="24"/>
  <c r="H16" i="24"/>
  <c r="G16" i="24"/>
  <c r="F16" i="24"/>
  <c r="E16" i="24"/>
  <c r="J15" i="24"/>
  <c r="I15" i="24"/>
  <c r="H15" i="24"/>
  <c r="G15" i="24"/>
  <c r="F15" i="24"/>
  <c r="E15" i="24"/>
  <c r="I21" i="23"/>
  <c r="H21" i="23"/>
  <c r="G21" i="23"/>
  <c r="F21" i="23"/>
  <c r="E21" i="23"/>
  <c r="D21" i="23"/>
  <c r="I20" i="23"/>
  <c r="H20" i="23"/>
  <c r="G20" i="23"/>
  <c r="F20" i="23"/>
  <c r="E20" i="23"/>
  <c r="D20" i="23"/>
  <c r="I19" i="23"/>
  <c r="H19" i="23"/>
  <c r="G19" i="23"/>
  <c r="F19" i="23"/>
  <c r="E19" i="23"/>
  <c r="D19" i="23"/>
  <c r="I18" i="23"/>
  <c r="H18" i="23"/>
  <c r="G18" i="23"/>
  <c r="F18" i="23"/>
  <c r="E18" i="23"/>
  <c r="D18" i="23"/>
  <c r="J21" i="16"/>
  <c r="I21" i="16"/>
  <c r="H21" i="16"/>
  <c r="G21" i="16"/>
  <c r="F21" i="16"/>
  <c r="J20" i="16"/>
  <c r="I20" i="16"/>
  <c r="H20" i="16"/>
  <c r="G20" i="16"/>
  <c r="F20" i="16"/>
  <c r="J19" i="16"/>
  <c r="I19" i="16"/>
  <c r="H19" i="16"/>
  <c r="G19" i="16"/>
  <c r="F19" i="16"/>
  <c r="J18" i="16"/>
  <c r="I18" i="16"/>
  <c r="H18" i="16"/>
  <c r="G18" i="16"/>
  <c r="F18" i="16"/>
  <c r="E21" i="16"/>
  <c r="E20" i="16"/>
  <c r="E19" i="16"/>
  <c r="E18" i="16"/>
  <c r="I29" i="22"/>
  <c r="I28" i="22"/>
  <c r="I27" i="22"/>
  <c r="I26" i="22"/>
  <c r="I23" i="22"/>
  <c r="I22" i="22"/>
  <c r="I21" i="22"/>
  <c r="I20" i="22"/>
  <c r="H29" i="22"/>
  <c r="H28" i="22"/>
  <c r="H27" i="22"/>
  <c r="H26" i="22"/>
  <c r="H23" i="22"/>
  <c r="H22" i="22"/>
  <c r="H21" i="22"/>
  <c r="H20" i="22"/>
  <c r="F29" i="22"/>
  <c r="F28" i="22"/>
  <c r="F27" i="22"/>
  <c r="F26" i="22"/>
  <c r="F23" i="22"/>
  <c r="F22" i="22"/>
  <c r="F21" i="22"/>
  <c r="F20" i="22"/>
  <c r="E29" i="22"/>
  <c r="E28" i="22"/>
  <c r="E27" i="22"/>
  <c r="E26" i="22"/>
  <c r="E23" i="22"/>
  <c r="E22" i="22"/>
  <c r="E21" i="22"/>
  <c r="E20" i="22"/>
  <c r="D29" i="22"/>
  <c r="D28" i="22"/>
  <c r="D27" i="22"/>
  <c r="D26" i="22"/>
  <c r="D23" i="22"/>
  <c r="D22" i="22"/>
  <c r="D21" i="22"/>
  <c r="D20" i="22"/>
  <c r="G29" i="22"/>
  <c r="G28" i="22"/>
  <c r="G27" i="22"/>
  <c r="G26" i="22"/>
  <c r="G23" i="22"/>
  <c r="G22" i="22"/>
  <c r="G21" i="22"/>
  <c r="G20" i="22"/>
  <c r="I35" i="15"/>
  <c r="I34" i="15"/>
  <c r="I33" i="15"/>
  <c r="I32" i="15"/>
  <c r="I29" i="15"/>
  <c r="I28" i="15"/>
  <c r="I27" i="15"/>
  <c r="I26" i="15"/>
  <c r="H35" i="15"/>
  <c r="H34" i="15"/>
  <c r="H33" i="15"/>
  <c r="H32" i="15"/>
  <c r="H29" i="15"/>
  <c r="H28" i="15"/>
  <c r="H27" i="15"/>
  <c r="H26" i="15"/>
  <c r="G35" i="15"/>
  <c r="G34" i="15"/>
  <c r="G33" i="15"/>
  <c r="G32" i="15"/>
  <c r="G29" i="15"/>
  <c r="G28" i="15"/>
  <c r="G27" i="15"/>
  <c r="G26" i="15"/>
  <c r="F35" i="15"/>
  <c r="F34" i="15"/>
  <c r="F33" i="15"/>
  <c r="F32" i="15"/>
  <c r="F29" i="15"/>
  <c r="F28" i="15"/>
  <c r="F27" i="15"/>
  <c r="F26" i="15"/>
  <c r="E35" i="15"/>
  <c r="E34" i="15"/>
  <c r="E33" i="15"/>
  <c r="E32" i="15"/>
  <c r="E29" i="15"/>
  <c r="E28" i="15"/>
  <c r="E27" i="15"/>
  <c r="E26" i="15"/>
  <c r="D35" i="15"/>
  <c r="D34" i="15"/>
  <c r="D33" i="15"/>
  <c r="D32" i="15"/>
  <c r="D29" i="15"/>
  <c r="D28" i="15"/>
  <c r="D27" i="15"/>
  <c r="D26" i="15"/>
  <c r="B52" i="23" l="1"/>
  <c r="B55" i="24"/>
  <c r="B54" i="22"/>
  <c r="I47" i="15"/>
  <c r="H47" i="15"/>
  <c r="G47" i="15"/>
  <c r="F47" i="15"/>
  <c r="D47" i="15"/>
  <c r="E47" i="15"/>
  <c r="B12" i="4" l="1"/>
  <c r="B11" i="4"/>
  <c r="B10" i="4"/>
  <c r="B5" i="4"/>
  <c r="B8" i="18"/>
  <c r="G7" i="5" s="1"/>
  <c r="B7" i="18"/>
  <c r="G6" i="5" s="1"/>
  <c r="B6" i="18"/>
  <c r="G5" i="5" s="1"/>
  <c r="B5" i="18"/>
  <c r="G4" i="5" s="1"/>
  <c r="B9" i="18" l="1"/>
  <c r="D39" i="16" l="1"/>
  <c r="C39" i="16"/>
  <c r="E25" i="8" l="1"/>
  <c r="B25" i="8"/>
  <c r="D25" i="8"/>
  <c r="E20" i="8"/>
  <c r="F23" i="8"/>
  <c r="G23" i="8" s="1"/>
  <c r="F19" i="8"/>
  <c r="G19" i="8" s="1"/>
  <c r="B20" i="8"/>
  <c r="C20" i="8"/>
  <c r="F22" i="8"/>
  <c r="G22" i="8" s="1"/>
  <c r="D20" i="8"/>
  <c r="C25" i="8"/>
  <c r="F24" i="8"/>
  <c r="G24" i="8" s="1"/>
  <c r="F18" i="8"/>
  <c r="G18" i="8" s="1"/>
  <c r="G26" i="23" l="1"/>
  <c r="F26" i="23"/>
  <c r="E26" i="23"/>
  <c r="D26" i="23"/>
  <c r="G27" i="23"/>
  <c r="F27" i="23"/>
  <c r="E27" i="23"/>
  <c r="D27" i="23"/>
  <c r="F25" i="8"/>
  <c r="F20" i="8"/>
  <c r="G20" i="8" l="1"/>
  <c r="G24" i="23"/>
  <c r="F24" i="23"/>
  <c r="E24" i="23"/>
  <c r="D24" i="23"/>
  <c r="G25" i="8"/>
  <c r="G25" i="23"/>
  <c r="F25" i="23"/>
  <c r="E25" i="23"/>
  <c r="D25" i="23"/>
  <c r="G5" i="16" l="1"/>
  <c r="L29" i="15" l="1"/>
  <c r="K29" i="15"/>
  <c r="J29" i="15"/>
  <c r="L28" i="15"/>
  <c r="K28" i="15"/>
  <c r="J28" i="15"/>
  <c r="L27" i="15"/>
  <c r="K27" i="15"/>
  <c r="J27" i="15"/>
  <c r="L26" i="15"/>
  <c r="K26" i="15"/>
  <c r="J26" i="15"/>
  <c r="I6" i="24" l="1"/>
  <c r="I5" i="24"/>
  <c r="C38" i="24" l="1"/>
  <c r="C44" i="24" s="1"/>
  <c r="C37" i="24"/>
  <c r="C43" i="24" s="1"/>
  <c r="C36" i="24"/>
  <c r="C42" i="24" s="1"/>
  <c r="C35" i="24"/>
  <c r="F15" i="16" l="1"/>
  <c r="H15" i="16" l="1"/>
  <c r="G15" i="16"/>
  <c r="I15" i="16" l="1"/>
  <c r="J15" i="16" l="1"/>
  <c r="K15" i="16" l="1"/>
  <c r="L15" i="16" l="1"/>
  <c r="N26" i="16" l="1"/>
  <c r="N25" i="16"/>
  <c r="J39" i="16" l="1"/>
  <c r="I39" i="16"/>
  <c r="H39" i="16"/>
  <c r="L34" i="15" l="1"/>
  <c r="K22" i="22"/>
  <c r="K28" i="22" s="1"/>
  <c r="L33" i="15"/>
  <c r="K33" i="15"/>
  <c r="K20" i="22"/>
  <c r="J21" i="22"/>
  <c r="J27" i="22" s="1"/>
  <c r="L21" i="22" l="1"/>
  <c r="L27" i="22" s="1"/>
  <c r="J33" i="15"/>
  <c r="K21" i="22"/>
  <c r="K27" i="22" s="1"/>
  <c r="J20" i="23"/>
  <c r="K17" i="24"/>
  <c r="K20" i="16"/>
  <c r="J21" i="23"/>
  <c r="K18" i="24"/>
  <c r="K21" i="16"/>
  <c r="K21" i="23"/>
  <c r="L18" i="24"/>
  <c r="L21" i="16"/>
  <c r="K34" i="15"/>
  <c r="J22" i="22"/>
  <c r="J28" i="22" s="1"/>
  <c r="L18" i="13"/>
  <c r="L18" i="9"/>
  <c r="L18" i="23"/>
  <c r="M15" i="24"/>
  <c r="M35" i="24" s="1"/>
  <c r="M18" i="16"/>
  <c r="L20" i="23"/>
  <c r="M17" i="24"/>
  <c r="M37" i="24" s="1"/>
  <c r="M20" i="16"/>
  <c r="J34" i="15"/>
  <c r="J18" i="13"/>
  <c r="J18" i="9"/>
  <c r="J18" i="23"/>
  <c r="K15" i="24"/>
  <c r="K18" i="16"/>
  <c r="J20" i="22"/>
  <c r="L22" i="22"/>
  <c r="L28" i="22" s="1"/>
  <c r="J23" i="22"/>
  <c r="K18" i="13"/>
  <c r="K18" i="9"/>
  <c r="K18" i="23"/>
  <c r="L15" i="24"/>
  <c r="L18" i="16"/>
  <c r="L21" i="23"/>
  <c r="M18" i="24"/>
  <c r="M38" i="24" s="1"/>
  <c r="M21" i="16"/>
  <c r="K19" i="13"/>
  <c r="K19" i="9"/>
  <c r="K19" i="23"/>
  <c r="L16" i="24"/>
  <c r="L19" i="16"/>
  <c r="L19" i="13"/>
  <c r="L19" i="9"/>
  <c r="L19" i="23"/>
  <c r="M16" i="24"/>
  <c r="M36" i="24" s="1"/>
  <c r="M19" i="16"/>
  <c r="J19" i="13"/>
  <c r="J19" i="9"/>
  <c r="J19" i="23"/>
  <c r="K16" i="24"/>
  <c r="K19" i="16"/>
  <c r="L20" i="22"/>
  <c r="K23" i="22"/>
  <c r="K20" i="23"/>
  <c r="L17" i="24"/>
  <c r="L20" i="16"/>
  <c r="L23" i="22"/>
  <c r="E5" i="16" l="1"/>
  <c r="D5" i="23"/>
  <c r="M39" i="16"/>
  <c r="E5" i="24"/>
  <c r="L39" i="16"/>
  <c r="K39" i="16"/>
  <c r="E6" i="24"/>
  <c r="H6" i="22" l="1"/>
  <c r="E6" i="22"/>
  <c r="D6" i="22"/>
  <c r="H5" i="22"/>
  <c r="E5" i="22"/>
  <c r="D5" i="22"/>
  <c r="L36" i="22" l="1"/>
  <c r="H36" i="22"/>
  <c r="G36" i="22"/>
  <c r="F36" i="22"/>
  <c r="E36" i="22"/>
  <c r="D36" i="22"/>
  <c r="C36" i="22"/>
  <c r="C42" i="22" s="1"/>
  <c r="L35" i="22"/>
  <c r="H35" i="22"/>
  <c r="G35" i="22"/>
  <c r="F35" i="22"/>
  <c r="E35" i="22"/>
  <c r="D35" i="22"/>
  <c r="C35" i="22"/>
  <c r="C41" i="22" s="1"/>
  <c r="D41" i="22" l="1"/>
  <c r="D42" i="22"/>
  <c r="L34" i="23" l="1"/>
  <c r="G34" i="23"/>
  <c r="F34" i="23"/>
  <c r="E34" i="23"/>
  <c r="D34" i="23"/>
  <c r="C34" i="23"/>
  <c r="C40" i="23" s="1"/>
  <c r="L33" i="23"/>
  <c r="G33" i="23"/>
  <c r="F33" i="23"/>
  <c r="E33" i="23"/>
  <c r="D33" i="23"/>
  <c r="C33" i="23"/>
  <c r="C39" i="23" s="1"/>
  <c r="C13" i="13"/>
  <c r="B13" i="13"/>
  <c r="C13" i="23"/>
  <c r="B13" i="23"/>
  <c r="C13" i="9"/>
  <c r="B13" i="9"/>
  <c r="C10" i="24"/>
  <c r="B10" i="24"/>
  <c r="C13" i="16"/>
  <c r="B13" i="16"/>
  <c r="C10" i="22"/>
  <c r="B10" i="22"/>
  <c r="D40" i="23" l="1"/>
  <c r="D39" i="23"/>
  <c r="J47" i="15"/>
  <c r="K47" i="15" s="1"/>
  <c r="G39" i="16" l="1"/>
  <c r="F39" i="16"/>
  <c r="E39" i="16"/>
  <c r="E15" i="16" l="1"/>
  <c r="N27" i="16" l="1"/>
  <c r="F5" i="16" s="1"/>
  <c r="C55" i="24" l="1"/>
  <c r="C41" i="24"/>
  <c r="E11" i="24"/>
  <c r="F11" i="24" s="1"/>
  <c r="G11" i="24" s="1"/>
  <c r="H11" i="24" s="1"/>
  <c r="I11" i="24" s="1"/>
  <c r="J11" i="24" s="1"/>
  <c r="K11" i="24" s="1"/>
  <c r="L11" i="24" s="1"/>
  <c r="M11" i="24" s="1"/>
  <c r="I7" i="24"/>
  <c r="I4" i="24"/>
  <c r="A1" i="24"/>
  <c r="I8" i="24" l="1"/>
  <c r="E7" i="24"/>
  <c r="E4" i="24"/>
  <c r="E8" i="24" l="1"/>
  <c r="D14" i="13" l="1"/>
  <c r="D14" i="23"/>
  <c r="E14" i="23" s="1"/>
  <c r="F14" i="23" s="1"/>
  <c r="G14" i="23" s="1"/>
  <c r="H14" i="23" s="1"/>
  <c r="I14" i="23" s="1"/>
  <c r="J14" i="23" s="1"/>
  <c r="K14" i="23" s="1"/>
  <c r="L14" i="23" s="1"/>
  <c r="D14" i="9"/>
  <c r="E14" i="16"/>
  <c r="D11" i="22"/>
  <c r="E14" i="15"/>
  <c r="F14" i="15" s="1"/>
  <c r="G14" i="15" s="1"/>
  <c r="H14" i="15" s="1"/>
  <c r="I14" i="15" s="1"/>
  <c r="J14" i="15" s="1"/>
  <c r="K14" i="15" s="1"/>
  <c r="L14" i="15" s="1"/>
  <c r="L11" i="22" s="1"/>
  <c r="C52" i="23"/>
  <c r="C35" i="23"/>
  <c r="C41" i="23" s="1"/>
  <c r="C32" i="23"/>
  <c r="C38" i="23" s="1"/>
  <c r="L35" i="23"/>
  <c r="G35" i="23"/>
  <c r="E35" i="23"/>
  <c r="D35" i="23"/>
  <c r="L32" i="23"/>
  <c r="G32" i="23"/>
  <c r="F32" i="23"/>
  <c r="D32" i="23"/>
  <c r="G15" i="23"/>
  <c r="F15" i="23"/>
  <c r="E15" i="23"/>
  <c r="D15" i="23"/>
  <c r="G4" i="23"/>
  <c r="G6" i="23" s="1"/>
  <c r="A1" i="23"/>
  <c r="C38" i="16"/>
  <c r="C54" i="22"/>
  <c r="L52" i="22"/>
  <c r="L29" i="22"/>
  <c r="K29" i="22"/>
  <c r="J29" i="22"/>
  <c r="L26" i="22"/>
  <c r="K26" i="22"/>
  <c r="J26" i="22"/>
  <c r="C37" i="22"/>
  <c r="C43" i="22" s="1"/>
  <c r="G37" i="22"/>
  <c r="F37" i="22"/>
  <c r="F34" i="22"/>
  <c r="E34" i="22"/>
  <c r="H7" i="22"/>
  <c r="H4" i="22"/>
  <c r="A1" i="22"/>
  <c r="H8" i="22" l="1"/>
  <c r="L34" i="22"/>
  <c r="G34" i="22"/>
  <c r="H34" i="22"/>
  <c r="E37" i="22"/>
  <c r="H37" i="22"/>
  <c r="J11" i="23"/>
  <c r="D38" i="23"/>
  <c r="E4" i="22"/>
  <c r="L37" i="22"/>
  <c r="E7" i="22"/>
  <c r="D4" i="23"/>
  <c r="E11" i="22"/>
  <c r="G11" i="22"/>
  <c r="F11" i="22"/>
  <c r="H11" i="22"/>
  <c r="I11" i="22"/>
  <c r="J11" i="22"/>
  <c r="K11" i="22"/>
  <c r="D41" i="23"/>
  <c r="E32" i="23"/>
  <c r="F35" i="23"/>
  <c r="D37" i="22"/>
  <c r="D43" i="22" s="1"/>
  <c r="D7" i="22"/>
  <c r="D4" i="22"/>
  <c r="C34" i="22"/>
  <c r="C40" i="22" s="1"/>
  <c r="D34" i="22"/>
  <c r="D6" i="23" l="1"/>
  <c r="E8" i="22"/>
  <c r="D8" i="22"/>
  <c r="D40" i="22"/>
  <c r="A1" i="18" l="1"/>
  <c r="F7" i="4" l="1"/>
  <c r="G7" i="4"/>
  <c r="H7" i="4"/>
  <c r="I7" i="4"/>
  <c r="F9" i="4"/>
  <c r="G9" i="4"/>
  <c r="H10" i="4"/>
  <c r="I10" i="4"/>
  <c r="A2" i="19"/>
  <c r="A1" i="19"/>
  <c r="F10" i="4" l="1"/>
  <c r="Z23" i="5"/>
  <c r="AA23" i="5"/>
  <c r="AA15" i="5"/>
  <c r="Z15" i="5"/>
  <c r="AA22" i="5"/>
  <c r="AA14" i="5"/>
  <c r="Z22" i="5"/>
  <c r="Z14" i="5"/>
  <c r="H9" i="4"/>
  <c r="I9" i="4"/>
  <c r="B13" i="4"/>
  <c r="B6" i="4" s="1"/>
  <c r="B7" i="4" s="1"/>
  <c r="D13" i="4"/>
  <c r="G10" i="4"/>
  <c r="C6" i="4" s="1"/>
  <c r="E16" i="20" l="1"/>
  <c r="E15" i="20"/>
  <c r="D16" i="20"/>
  <c r="AA13" i="5"/>
  <c r="Z13" i="5"/>
  <c r="Z21" i="5"/>
  <c r="AA21" i="5"/>
  <c r="D15" i="20"/>
  <c r="J11" i="13"/>
  <c r="E16" i="10" l="1"/>
  <c r="D14" i="20"/>
  <c r="E14" i="20"/>
  <c r="K11" i="15"/>
  <c r="J11" i="9"/>
  <c r="L11" i="16"/>
  <c r="K27" i="23" l="1"/>
  <c r="K35" i="23" s="1"/>
  <c r="J27" i="23"/>
  <c r="I27" i="23"/>
  <c r="I35" i="23" s="1"/>
  <c r="H27" i="23"/>
  <c r="H26" i="23"/>
  <c r="H34" i="23" s="1"/>
  <c r="K26" i="23"/>
  <c r="K34" i="23" s="1"/>
  <c r="I26" i="23"/>
  <c r="I34" i="23" s="1"/>
  <c r="J26" i="23"/>
  <c r="J34" i="23" l="1"/>
  <c r="H35" i="23"/>
  <c r="J35" i="23"/>
  <c r="K25" i="23" l="1"/>
  <c r="K33" i="23" s="1"/>
  <c r="H25" i="23"/>
  <c r="I25" i="23"/>
  <c r="I33" i="23" s="1"/>
  <c r="J25" i="23"/>
  <c r="J33" i="23" l="1"/>
  <c r="H33" i="23"/>
  <c r="E5" i="23"/>
  <c r="F5" i="23" s="1"/>
  <c r="B13" i="12"/>
  <c r="B7" i="12" s="1"/>
  <c r="T15" i="5"/>
  <c r="T14" i="5"/>
  <c r="T13" i="5"/>
  <c r="C13" i="12" l="1"/>
  <c r="C7" i="12" s="1"/>
  <c r="D5" i="10" l="1"/>
  <c r="D26" i="10"/>
  <c r="D27" i="10" l="1"/>
  <c r="D28" i="10" s="1"/>
  <c r="D29" i="10" l="1"/>
  <c r="D30" i="10" s="1"/>
  <c r="D31" i="10" l="1"/>
  <c r="D32" i="10" l="1"/>
  <c r="D33" i="10" s="1"/>
  <c r="D6" i="10" s="1"/>
  <c r="D8" i="10" s="1"/>
  <c r="D38" i="16" l="1"/>
  <c r="D15" i="16"/>
  <c r="F15" i="9" l="1"/>
  <c r="E15" i="9"/>
  <c r="D15" i="9"/>
  <c r="B42" i="9" l="1"/>
  <c r="B52" i="16"/>
  <c r="B54" i="15"/>
  <c r="A2" i="8" l="1"/>
  <c r="A1" i="8"/>
  <c r="C10" i="10" l="1"/>
  <c r="C42" i="13" l="1"/>
  <c r="F29" i="13"/>
  <c r="E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A1" i="13"/>
  <c r="G6" i="13" l="1"/>
  <c r="D33" i="13"/>
  <c r="D32" i="13"/>
  <c r="I29" i="13"/>
  <c r="E5" i="13"/>
  <c r="E4" i="13"/>
  <c r="G29" i="13"/>
  <c r="H15" i="13"/>
  <c r="E6" i="13" l="1"/>
  <c r="C42" i="9" l="1"/>
  <c r="D29" i="9"/>
  <c r="C29" i="9"/>
  <c r="C28" i="9"/>
  <c r="I29" i="9"/>
  <c r="E29" i="9"/>
  <c r="I28" i="9"/>
  <c r="E28" i="9"/>
  <c r="D28" i="9"/>
  <c r="K15" i="9"/>
  <c r="J15" i="9"/>
  <c r="I15" i="9"/>
  <c r="H15" i="9"/>
  <c r="G15" i="9"/>
  <c r="E14" i="9"/>
  <c r="F14" i="9" s="1"/>
  <c r="G14" i="9" s="1"/>
  <c r="H14" i="9" s="1"/>
  <c r="I14" i="9" s="1"/>
  <c r="J14" i="9" s="1"/>
  <c r="K14" i="9" s="1"/>
  <c r="L14" i="9" s="1"/>
  <c r="G5" i="9"/>
  <c r="E5" i="9"/>
  <c r="G4" i="9"/>
  <c r="E4" i="9"/>
  <c r="A1" i="9"/>
  <c r="A1" i="10"/>
  <c r="A2" i="10"/>
  <c r="E6" i="9" l="1"/>
  <c r="G6" i="9"/>
  <c r="D33" i="9"/>
  <c r="D32" i="9"/>
  <c r="L29" i="13" l="1"/>
  <c r="L29" i="9"/>
  <c r="L28" i="13"/>
  <c r="L28" i="9"/>
  <c r="K28" i="13"/>
  <c r="K28" i="9"/>
  <c r="K29" i="13"/>
  <c r="K29" i="9"/>
  <c r="J28" i="13" l="1"/>
  <c r="D4" i="13"/>
  <c r="J28" i="9"/>
  <c r="J29" i="9"/>
  <c r="J29" i="13"/>
  <c r="D5" i="13"/>
  <c r="F5" i="13" s="1"/>
  <c r="D6" i="13" l="1"/>
  <c r="F4" i="13"/>
  <c r="F6" i="13" l="1"/>
  <c r="C23" i="15" l="1"/>
  <c r="C41" i="15" s="1"/>
  <c r="C22" i="15"/>
  <c r="H46" i="24" l="1"/>
  <c r="G35" i="13"/>
  <c r="G43" i="23"/>
  <c r="G35" i="9"/>
  <c r="H45" i="16"/>
  <c r="G45" i="22"/>
  <c r="E46" i="24"/>
  <c r="D35" i="13"/>
  <c r="D35" i="9"/>
  <c r="E45" i="16"/>
  <c r="D43" i="23"/>
  <c r="D45" i="22"/>
  <c r="F46" i="24"/>
  <c r="E35" i="13"/>
  <c r="E43" i="23"/>
  <c r="E35" i="9"/>
  <c r="F45" i="16"/>
  <c r="E45" i="22"/>
  <c r="G46" i="24"/>
  <c r="F35" i="13"/>
  <c r="F43" i="23"/>
  <c r="F35" i="9"/>
  <c r="G45" i="16"/>
  <c r="F45" i="22"/>
  <c r="I46" i="24"/>
  <c r="H35" i="13"/>
  <c r="H43" i="23"/>
  <c r="H35" i="9"/>
  <c r="I45" i="16"/>
  <c r="H45" i="22"/>
  <c r="D49" i="22" l="1"/>
  <c r="D48" i="22"/>
  <c r="D46" i="23"/>
  <c r="D47" i="23"/>
  <c r="D38" i="13"/>
  <c r="D37" i="13"/>
  <c r="J46" i="24"/>
  <c r="I43" i="23"/>
  <c r="J45" i="16"/>
  <c r="I35" i="13"/>
  <c r="I45" i="22"/>
  <c r="I35" i="9"/>
  <c r="D48" i="23"/>
  <c r="D45" i="23"/>
  <c r="D47" i="22"/>
  <c r="D50" i="22"/>
  <c r="D38" i="9"/>
  <c r="D37" i="9"/>
  <c r="C52" i="16"/>
  <c r="D52" i="16" s="1"/>
  <c r="D54" i="22" l="1"/>
  <c r="D51" i="22" s="1"/>
  <c r="E42" i="22"/>
  <c r="E49" i="22"/>
  <c r="E41" i="22"/>
  <c r="E48" i="22"/>
  <c r="E47" i="23"/>
  <c r="E40" i="23"/>
  <c r="E46" i="23"/>
  <c r="E39" i="23"/>
  <c r="D40" i="9"/>
  <c r="D42" i="9"/>
  <c r="D39" i="9" s="1"/>
  <c r="E37" i="9"/>
  <c r="E32" i="9"/>
  <c r="D52" i="23"/>
  <c r="D49" i="23" s="1"/>
  <c r="D50" i="23"/>
  <c r="E45" i="23"/>
  <c r="E38" i="23"/>
  <c r="E41" i="23"/>
  <c r="E48" i="23"/>
  <c r="E47" i="22"/>
  <c r="D52" i="22"/>
  <c r="E40" i="22"/>
  <c r="E37" i="13"/>
  <c r="E32" i="13"/>
  <c r="D40" i="13"/>
  <c r="D42" i="13"/>
  <c r="D39" i="13" s="1"/>
  <c r="E38" i="9"/>
  <c r="E33" i="9"/>
  <c r="E50" i="22"/>
  <c r="E43" i="22"/>
  <c r="E33" i="13"/>
  <c r="E38" i="13"/>
  <c r="L35" i="15"/>
  <c r="K35" i="15"/>
  <c r="J35" i="15"/>
  <c r="L32" i="15"/>
  <c r="K32" i="15"/>
  <c r="J32" i="15"/>
  <c r="E54" i="22" l="1"/>
  <c r="E51" i="22" s="1"/>
  <c r="F42" i="22"/>
  <c r="F41" i="22"/>
  <c r="F48" i="22"/>
  <c r="F49" i="22"/>
  <c r="F40" i="23"/>
  <c r="F47" i="23"/>
  <c r="F39" i="23"/>
  <c r="F46" i="23"/>
  <c r="E52" i="23"/>
  <c r="E49" i="23" s="1"/>
  <c r="F47" i="22"/>
  <c r="F40" i="22"/>
  <c r="E52" i="22"/>
  <c r="F33" i="13"/>
  <c r="F38" i="13"/>
  <c r="F41" i="23"/>
  <c r="F48" i="23"/>
  <c r="E42" i="9"/>
  <c r="E39" i="9" s="1"/>
  <c r="E40" i="9"/>
  <c r="F32" i="13"/>
  <c r="F37" i="13"/>
  <c r="F45" i="23"/>
  <c r="F38" i="23"/>
  <c r="F43" i="22"/>
  <c r="F50" i="22"/>
  <c r="E40" i="13"/>
  <c r="E42" i="13"/>
  <c r="E39" i="13" s="1"/>
  <c r="E50" i="23"/>
  <c r="G49" i="22" l="1"/>
  <c r="F54" i="22"/>
  <c r="F51" i="22" s="1"/>
  <c r="G42" i="22"/>
  <c r="G41" i="22"/>
  <c r="G48" i="22"/>
  <c r="G50" i="22"/>
  <c r="G39" i="23"/>
  <c r="G46" i="23"/>
  <c r="G40" i="23"/>
  <c r="G47" i="23"/>
  <c r="G43" i="22"/>
  <c r="F50" i="23"/>
  <c r="F52" i="23"/>
  <c r="F49" i="23" s="1"/>
  <c r="G40" i="22"/>
  <c r="G47" i="22"/>
  <c r="G33" i="13"/>
  <c r="G38" i="13"/>
  <c r="F52" i="22"/>
  <c r="G45" i="23"/>
  <c r="G38" i="23"/>
  <c r="G32" i="13"/>
  <c r="G37" i="13"/>
  <c r="F42" i="13"/>
  <c r="F39" i="13" s="1"/>
  <c r="F40" i="13"/>
  <c r="G48" i="23"/>
  <c r="G41" i="23"/>
  <c r="G54" i="22" l="1"/>
  <c r="G51" i="22" s="1"/>
  <c r="H48" i="22"/>
  <c r="H41" i="22"/>
  <c r="H42" i="22"/>
  <c r="H49" i="22"/>
  <c r="H40" i="23"/>
  <c r="H47" i="23"/>
  <c r="H39" i="23"/>
  <c r="H46" i="23"/>
  <c r="H33" i="13"/>
  <c r="H38" i="13"/>
  <c r="G50" i="23"/>
  <c r="G52" i="23"/>
  <c r="G49" i="23" s="1"/>
  <c r="H40" i="22"/>
  <c r="H47" i="22"/>
  <c r="G40" i="13"/>
  <c r="G42" i="13"/>
  <c r="G39" i="13" s="1"/>
  <c r="H41" i="23"/>
  <c r="H48" i="23"/>
  <c r="H37" i="13"/>
  <c r="H32" i="13"/>
  <c r="G52" i="22"/>
  <c r="H50" i="22"/>
  <c r="H43" i="22"/>
  <c r="C43" i="16"/>
  <c r="D43" i="16" s="1"/>
  <c r="C42" i="16"/>
  <c r="D42" i="16" s="1"/>
  <c r="M38" i="16"/>
  <c r="F14" i="16"/>
  <c r="G14" i="16" s="1"/>
  <c r="H14" i="16" s="1"/>
  <c r="I14" i="16" s="1"/>
  <c r="J14" i="16" s="1"/>
  <c r="K14" i="16" s="1"/>
  <c r="L14" i="16" s="1"/>
  <c r="M14" i="16" s="1"/>
  <c r="I5" i="16"/>
  <c r="I4" i="16"/>
  <c r="A1" i="16"/>
  <c r="C54" i="15"/>
  <c r="L52" i="15"/>
  <c r="C45" i="15"/>
  <c r="C40" i="15"/>
  <c r="C44" i="15" s="1"/>
  <c r="L23" i="15"/>
  <c r="L41" i="15" s="1"/>
  <c r="L22" i="15"/>
  <c r="H5" i="15"/>
  <c r="H4" i="15"/>
  <c r="A1" i="15"/>
  <c r="H54" i="22" l="1"/>
  <c r="H51" i="22" s="1"/>
  <c r="I39" i="23"/>
  <c r="I46" i="23"/>
  <c r="I40" i="23"/>
  <c r="I47" i="23"/>
  <c r="I41" i="23"/>
  <c r="I48" i="23"/>
  <c r="H52" i="22"/>
  <c r="K46" i="24"/>
  <c r="J43" i="23"/>
  <c r="J35" i="9"/>
  <c r="K45" i="16"/>
  <c r="J35" i="13"/>
  <c r="J45" i="22"/>
  <c r="I32" i="13"/>
  <c r="I37" i="13"/>
  <c r="H40" i="13"/>
  <c r="H42" i="13"/>
  <c r="H39" i="13" s="1"/>
  <c r="I33" i="13"/>
  <c r="I38" i="13"/>
  <c r="H6" i="15"/>
  <c r="I6" i="16"/>
  <c r="L40" i="15"/>
  <c r="E4" i="16"/>
  <c r="J40" i="23" l="1"/>
  <c r="J47" i="23"/>
  <c r="J39" i="23"/>
  <c r="J46" i="23"/>
  <c r="J38" i="13"/>
  <c r="J33" i="13"/>
  <c r="J41" i="23"/>
  <c r="J48" i="23"/>
  <c r="I42" i="13"/>
  <c r="I39" i="13" s="1"/>
  <c r="I40" i="13"/>
  <c r="J32" i="13"/>
  <c r="J37" i="13"/>
  <c r="E6" i="16"/>
  <c r="K33" i="13" l="1"/>
  <c r="K39" i="23"/>
  <c r="K40" i="23"/>
  <c r="J42" i="13"/>
  <c r="J39" i="13" s="1"/>
  <c r="K32" i="13"/>
  <c r="J40" i="13"/>
  <c r="K41" i="23"/>
  <c r="L46" i="24" l="1"/>
  <c r="K43" i="23"/>
  <c r="K35" i="13"/>
  <c r="K37" i="13" s="1"/>
  <c r="K35" i="9"/>
  <c r="K45" i="22"/>
  <c r="L45" i="16"/>
  <c r="K46" i="23" l="1"/>
  <c r="K47" i="23"/>
  <c r="K38" i="13"/>
  <c r="L33" i="13" s="1"/>
  <c r="K48" i="23"/>
  <c r="H4" i="13"/>
  <c r="L32" i="13"/>
  <c r="L37" i="13"/>
  <c r="H5" i="23" l="1"/>
  <c r="I5" i="23" s="1"/>
  <c r="K40" i="13"/>
  <c r="H5" i="13"/>
  <c r="I5" i="13" s="1"/>
  <c r="I9" i="13" s="1"/>
  <c r="K42" i="13"/>
  <c r="K39" i="13" s="1"/>
  <c r="L38" i="13"/>
  <c r="L40" i="13" s="1"/>
  <c r="L40" i="23"/>
  <c r="L47" i="23"/>
  <c r="L46" i="23"/>
  <c r="L39" i="23"/>
  <c r="L48" i="23"/>
  <c r="L41" i="23"/>
  <c r="I4" i="13"/>
  <c r="J5" i="23" l="1"/>
  <c r="L42" i="13"/>
  <c r="L39" i="13" s="1"/>
  <c r="J5" i="13"/>
  <c r="I8" i="13"/>
  <c r="V21" i="5" s="1"/>
  <c r="I10" i="13"/>
  <c r="F23" i="5" s="1"/>
  <c r="H6" i="13"/>
  <c r="I8" i="23"/>
  <c r="I10" i="23"/>
  <c r="U23" i="5" s="1"/>
  <c r="I9" i="23"/>
  <c r="F22" i="5"/>
  <c r="V22" i="5"/>
  <c r="I6" i="13"/>
  <c r="F20" i="5"/>
  <c r="J4" i="13"/>
  <c r="V23" i="5" l="1"/>
  <c r="F21" i="5"/>
  <c r="I11" i="13"/>
  <c r="U22" i="5"/>
  <c r="U21" i="5"/>
  <c r="I11" i="23"/>
  <c r="A1" i="5" l="1"/>
  <c r="A1" i="12"/>
  <c r="Z12" i="5" l="1"/>
  <c r="AA20" i="5"/>
  <c r="AA12" i="5"/>
  <c r="Z20" i="5"/>
  <c r="V20" i="5"/>
  <c r="E13" i="20" l="1"/>
  <c r="D13" i="20"/>
  <c r="D9" i="10" l="1"/>
  <c r="V12" i="5"/>
  <c r="E5" i="20" s="1"/>
  <c r="E21" i="20" s="1"/>
  <c r="D15" i="10" l="1"/>
  <c r="D13" i="10"/>
  <c r="D14" i="10"/>
  <c r="F12" i="5"/>
  <c r="D10" i="10"/>
  <c r="D11" i="10" s="1"/>
  <c r="V14" i="5" l="1"/>
  <c r="E7" i="20" s="1"/>
  <c r="E23" i="20" s="1"/>
  <c r="F14" i="5"/>
  <c r="F13" i="5"/>
  <c r="D16" i="10"/>
  <c r="V13" i="5"/>
  <c r="E6" i="20" s="1"/>
  <c r="E22" i="20" s="1"/>
  <c r="F15" i="5"/>
  <c r="V15" i="5"/>
  <c r="E8" i="20" s="1"/>
  <c r="E24" i="20" s="1"/>
  <c r="F4" i="5"/>
  <c r="M4" i="5"/>
  <c r="M7" i="5" l="1"/>
  <c r="E29" i="20" s="1"/>
  <c r="F7" i="5"/>
  <c r="F5" i="5"/>
  <c r="M5" i="5"/>
  <c r="F6" i="5"/>
  <c r="M6" i="5"/>
  <c r="E28" i="20" s="1"/>
  <c r="E26" i="20"/>
  <c r="K23" i="15"/>
  <c r="K41" i="15" s="1"/>
  <c r="E27" i="20" l="1"/>
  <c r="J22" i="15"/>
  <c r="J40" i="15" l="1"/>
  <c r="K22" i="15" l="1"/>
  <c r="K40" i="15" l="1"/>
  <c r="C5" i="4" l="1"/>
  <c r="C7" i="4" l="1"/>
  <c r="C8" i="4" s="1"/>
  <c r="C12" i="4"/>
  <c r="C11" i="4"/>
  <c r="C10" i="4"/>
  <c r="S12" i="5"/>
  <c r="S14" i="5" l="1"/>
  <c r="S13" i="5"/>
  <c r="S15" i="5"/>
  <c r="C13" i="4"/>
  <c r="J23" i="15" l="1"/>
  <c r="J41" i="15" s="1"/>
  <c r="K38" i="16" l="1"/>
  <c r="L38" i="16" l="1"/>
  <c r="T12" i="5" l="1"/>
  <c r="B8" i="12" l="1"/>
  <c r="C8" i="12" l="1"/>
  <c r="E38" i="16" l="1"/>
  <c r="F38" i="16" l="1"/>
  <c r="E47" i="16"/>
  <c r="E42" i="16"/>
  <c r="F47" i="16" l="1"/>
  <c r="F42" i="16"/>
  <c r="G38" i="16"/>
  <c r="E48" i="16"/>
  <c r="E52" i="16" s="1"/>
  <c r="E43" i="16"/>
  <c r="E49" i="16" l="1"/>
  <c r="E50" i="16"/>
  <c r="H38" i="16"/>
  <c r="G42" i="16"/>
  <c r="G47" i="16"/>
  <c r="F48" i="16"/>
  <c r="F52" i="16" s="1"/>
  <c r="F43" i="16"/>
  <c r="N24" i="16"/>
  <c r="F4" i="16" s="1"/>
  <c r="F49" i="16" l="1"/>
  <c r="H47" i="16"/>
  <c r="H42" i="16"/>
  <c r="F6" i="16"/>
  <c r="I38" i="16"/>
  <c r="F50" i="16"/>
  <c r="G48" i="16"/>
  <c r="G50" i="16" s="1"/>
  <c r="G43" i="16"/>
  <c r="G52" i="16" l="1"/>
  <c r="G49" i="16" s="1"/>
  <c r="H43" i="16"/>
  <c r="H48" i="16"/>
  <c r="H50" i="16" s="1"/>
  <c r="J38" i="16"/>
  <c r="I47" i="16"/>
  <c r="I42" i="16"/>
  <c r="G4" i="16"/>
  <c r="H4" i="16" l="1"/>
  <c r="I48" i="16"/>
  <c r="I50" i="16" s="1"/>
  <c r="I43" i="16"/>
  <c r="H52" i="16"/>
  <c r="H49" i="16" s="1"/>
  <c r="H5" i="16"/>
  <c r="J42" i="16"/>
  <c r="J47" i="16"/>
  <c r="G6" i="16" l="1"/>
  <c r="J43" i="16"/>
  <c r="J48" i="16"/>
  <c r="J50" i="16" s="1"/>
  <c r="I52" i="16"/>
  <c r="I49" i="16" s="1"/>
  <c r="K47" i="16"/>
  <c r="K42" i="16"/>
  <c r="H6" i="16"/>
  <c r="J52" i="16" l="1"/>
  <c r="J49" i="16" s="1"/>
  <c r="L42" i="16"/>
  <c r="L47" i="16"/>
  <c r="J4" i="16" s="1"/>
  <c r="K43" i="16"/>
  <c r="K48" i="16"/>
  <c r="K52" i="16" l="1"/>
  <c r="L48" i="16"/>
  <c r="J5" i="16" s="1"/>
  <c r="L43" i="16"/>
  <c r="K4" i="16"/>
  <c r="K50" i="16"/>
  <c r="M47" i="16"/>
  <c r="M42" i="16"/>
  <c r="K5" i="16" l="1"/>
  <c r="L4" i="16"/>
  <c r="T20" i="5"/>
  <c r="J6" i="16"/>
  <c r="M43" i="16"/>
  <c r="M48" i="16"/>
  <c r="K49" i="16"/>
  <c r="L52" i="16"/>
  <c r="L50" i="16"/>
  <c r="C5" i="20" l="1"/>
  <c r="L5" i="16"/>
  <c r="K6" i="16"/>
  <c r="K8" i="16"/>
  <c r="T21" i="5" s="1"/>
  <c r="K9" i="16"/>
  <c r="T22" i="5" s="1"/>
  <c r="K10" i="16"/>
  <c r="T23" i="5" s="1"/>
  <c r="L49" i="16"/>
  <c r="M52" i="16"/>
  <c r="M49" i="16" s="1"/>
  <c r="M50" i="16"/>
  <c r="K11" i="16" l="1"/>
  <c r="C7" i="20" l="1"/>
  <c r="C6" i="20"/>
  <c r="C8" i="20"/>
  <c r="K24" i="23" l="1"/>
  <c r="I24" i="23"/>
  <c r="H24" i="23"/>
  <c r="J24" i="23"/>
  <c r="J15" i="23" l="1"/>
  <c r="J32" i="23"/>
  <c r="I15" i="23"/>
  <c r="I32" i="23"/>
  <c r="K15" i="23"/>
  <c r="K32" i="23"/>
  <c r="H32" i="23"/>
  <c r="E4" i="23"/>
  <c r="H15" i="23"/>
  <c r="H38" i="23" l="1"/>
  <c r="H45" i="23"/>
  <c r="H50" i="23" s="1"/>
  <c r="E6" i="23"/>
  <c r="F4" i="23"/>
  <c r="I45" i="23" l="1"/>
  <c r="I38" i="23"/>
  <c r="F6" i="23"/>
  <c r="H52" i="23"/>
  <c r="H49" i="23" s="1"/>
  <c r="J38" i="23" l="1"/>
  <c r="J45" i="23"/>
  <c r="I50" i="23"/>
  <c r="I52" i="23"/>
  <c r="I49" i="23" s="1"/>
  <c r="J50" i="23" l="1"/>
  <c r="J52" i="23"/>
  <c r="J49" i="23" s="1"/>
  <c r="K38" i="23"/>
  <c r="K45" i="23"/>
  <c r="H4" i="23" s="1"/>
  <c r="H6" i="23" l="1"/>
  <c r="I4" i="23"/>
  <c r="U20" i="5" s="1"/>
  <c r="K50" i="23"/>
  <c r="K52" i="23"/>
  <c r="K49" i="23" s="1"/>
  <c r="L38" i="23"/>
  <c r="J4" i="23" s="1"/>
  <c r="L45" i="23"/>
  <c r="I6" i="23" l="1"/>
  <c r="L52" i="23"/>
  <c r="L49" i="23" s="1"/>
  <c r="L50" i="23"/>
  <c r="H28" i="9" l="1"/>
  <c r="H29" i="9"/>
  <c r="G29" i="9" l="1"/>
  <c r="G28" i="9" l="1"/>
  <c r="E5" i="15"/>
  <c r="E4" i="15" l="1"/>
  <c r="E6" i="15" s="1"/>
  <c r="F29" i="9" l="1"/>
  <c r="D5" i="9"/>
  <c r="F5" i="9" s="1"/>
  <c r="F38" i="9" l="1"/>
  <c r="F33" i="9"/>
  <c r="G33" i="9" l="1"/>
  <c r="G38" i="9"/>
  <c r="F28" i="9"/>
  <c r="D4" i="9"/>
  <c r="F4" i="9" l="1"/>
  <c r="D6" i="9"/>
  <c r="F37" i="9"/>
  <c r="F32" i="9"/>
  <c r="H33" i="9"/>
  <c r="H38" i="9"/>
  <c r="G32" i="9" l="1"/>
  <c r="G37" i="9"/>
  <c r="I33" i="9"/>
  <c r="I38" i="9"/>
  <c r="F40" i="9"/>
  <c r="F42" i="9"/>
  <c r="F39" i="9" s="1"/>
  <c r="F6" i="9"/>
  <c r="J33" i="9" l="1"/>
  <c r="J38" i="9"/>
  <c r="G40" i="9"/>
  <c r="G42" i="9"/>
  <c r="G39" i="9" s="1"/>
  <c r="H32" i="9"/>
  <c r="H37" i="9"/>
  <c r="H42" i="9" l="1"/>
  <c r="H39" i="9" s="1"/>
  <c r="H40" i="9"/>
  <c r="I37" i="9"/>
  <c r="I32" i="9"/>
  <c r="K33" i="9"/>
  <c r="K38" i="9"/>
  <c r="L33" i="9" l="1"/>
  <c r="J32" i="9"/>
  <c r="J37" i="9"/>
  <c r="I42" i="9"/>
  <c r="I39" i="9" s="1"/>
  <c r="I40" i="9"/>
  <c r="L38" i="9"/>
  <c r="H5" i="9"/>
  <c r="I5" i="9" s="1"/>
  <c r="J40" i="9" l="1"/>
  <c r="J42" i="9"/>
  <c r="J39" i="9" s="1"/>
  <c r="I10" i="9"/>
  <c r="E23" i="5" s="1"/>
  <c r="I8" i="9"/>
  <c r="I9" i="9"/>
  <c r="E22" i="5" s="1"/>
  <c r="J5" i="9"/>
  <c r="K32" i="9"/>
  <c r="K37" i="9"/>
  <c r="I11" i="9" l="1"/>
  <c r="E21" i="5"/>
  <c r="L37" i="9"/>
  <c r="K40" i="9"/>
  <c r="K42" i="9"/>
  <c r="K39" i="9" s="1"/>
  <c r="H4" i="9"/>
  <c r="L32" i="9"/>
  <c r="L42" i="9" l="1"/>
  <c r="L39" i="9" s="1"/>
  <c r="H6" i="9"/>
  <c r="I4" i="9"/>
  <c r="L40" i="9"/>
  <c r="J4" i="9" l="1"/>
  <c r="I6" i="9"/>
  <c r="E20" i="5"/>
  <c r="D5" i="15" l="1"/>
  <c r="D4" i="15" l="1"/>
  <c r="D6" i="15" l="1"/>
  <c r="I37" i="22" l="1"/>
  <c r="I36" i="22" l="1"/>
  <c r="I43" i="22"/>
  <c r="I50" i="22"/>
  <c r="I34" i="22"/>
  <c r="I47" i="22" l="1"/>
  <c r="I40" i="22"/>
  <c r="I42" i="22"/>
  <c r="I49" i="22"/>
  <c r="I35" i="22" l="1"/>
  <c r="I48" i="22" l="1"/>
  <c r="I41" i="22"/>
  <c r="I52" i="22" l="1"/>
  <c r="I54" i="22"/>
  <c r="I51" i="22" s="1"/>
  <c r="F23" i="15" l="1"/>
  <c r="F41" i="15" s="1"/>
  <c r="D23" i="15"/>
  <c r="D41" i="15" s="1"/>
  <c r="G23" i="15"/>
  <c r="G41" i="15" s="1"/>
  <c r="D22" i="15"/>
  <c r="E23" i="15"/>
  <c r="E41" i="15" s="1"/>
  <c r="I22" i="15"/>
  <c r="I40" i="15" s="1"/>
  <c r="H22" i="15"/>
  <c r="H40" i="15" s="1"/>
  <c r="G22" i="15"/>
  <c r="G40" i="15" s="1"/>
  <c r="I23" i="15"/>
  <c r="I41" i="15" s="1"/>
  <c r="F22" i="15"/>
  <c r="F40" i="15" s="1"/>
  <c r="H23" i="15"/>
  <c r="H41" i="15" s="1"/>
  <c r="E22" i="15"/>
  <c r="E40" i="15" s="1"/>
  <c r="D45" i="15" l="1"/>
  <c r="D50" i="15"/>
  <c r="F5" i="15"/>
  <c r="G5" i="15" s="1"/>
  <c r="D40" i="15"/>
  <c r="F4" i="15"/>
  <c r="F6" i="15" l="1"/>
  <c r="G4" i="15"/>
  <c r="D49" i="15"/>
  <c r="D44" i="15"/>
  <c r="E50" i="15"/>
  <c r="E45" i="15"/>
  <c r="F45" i="15" l="1"/>
  <c r="F50" i="15"/>
  <c r="E44" i="15"/>
  <c r="E49" i="15"/>
  <c r="G6" i="15"/>
  <c r="D52" i="15"/>
  <c r="D54" i="15"/>
  <c r="D51" i="15" s="1"/>
  <c r="E52" i="15" l="1"/>
  <c r="E54" i="15"/>
  <c r="E51" i="15" s="1"/>
  <c r="F49" i="15"/>
  <c r="F44" i="15"/>
  <c r="G45" i="15"/>
  <c r="G50" i="15"/>
  <c r="H45" i="15" l="1"/>
  <c r="H50" i="15"/>
  <c r="F52" i="15"/>
  <c r="F54" i="15"/>
  <c r="F51" i="15" s="1"/>
  <c r="G44" i="15"/>
  <c r="G49" i="15"/>
  <c r="H44" i="15" l="1"/>
  <c r="H49" i="15"/>
  <c r="G52" i="15"/>
  <c r="G54" i="15"/>
  <c r="G51" i="15" s="1"/>
  <c r="I50" i="15"/>
  <c r="I45" i="15"/>
  <c r="J45" i="15" l="1"/>
  <c r="J50" i="15"/>
  <c r="H52" i="15"/>
  <c r="H54" i="15"/>
  <c r="H51" i="15" s="1"/>
  <c r="I44" i="15"/>
  <c r="I49" i="15"/>
  <c r="J44" i="15" l="1"/>
  <c r="J49" i="15"/>
  <c r="I52" i="15"/>
  <c r="I54" i="15"/>
  <c r="I51" i="15" s="1"/>
  <c r="K50" i="15"/>
  <c r="I5" i="15" s="1"/>
  <c r="J5" i="15" s="1"/>
  <c r="K45" i="15"/>
  <c r="J9" i="15" l="1"/>
  <c r="S22" i="5" s="1"/>
  <c r="J10" i="15"/>
  <c r="S23" i="5" s="1"/>
  <c r="J8" i="15"/>
  <c r="S21" i="5" s="1"/>
  <c r="L45" i="15"/>
  <c r="K5" i="15" s="1"/>
  <c r="J52" i="15"/>
  <c r="J54" i="15"/>
  <c r="J51" i="15" s="1"/>
  <c r="K49" i="15"/>
  <c r="K44" i="15"/>
  <c r="J11" i="15" l="1"/>
  <c r="K52" i="15"/>
  <c r="K54" i="15"/>
  <c r="L54" i="15" s="1"/>
  <c r="I4" i="15"/>
  <c r="L44" i="15"/>
  <c r="B7" i="20" l="1"/>
  <c r="L51" i="15"/>
  <c r="B8" i="20"/>
  <c r="I6" i="15"/>
  <c r="J4" i="15"/>
  <c r="S20" i="5" s="1"/>
  <c r="K51" i="15"/>
  <c r="B6" i="20"/>
  <c r="J6" i="15" l="1"/>
  <c r="K4" i="15"/>
  <c r="B5" i="20" l="1"/>
  <c r="K34" i="22" l="1"/>
  <c r="J34" i="22"/>
  <c r="F4" i="22"/>
  <c r="K37" i="22"/>
  <c r="K36" i="22"/>
  <c r="X15" i="5" l="1"/>
  <c r="G4" i="22"/>
  <c r="J37" i="22"/>
  <c r="F7" i="22"/>
  <c r="G7" i="22" s="1"/>
  <c r="J36" i="22"/>
  <c r="F6" i="22"/>
  <c r="G6" i="22" s="1"/>
  <c r="J40" i="22"/>
  <c r="J47" i="22"/>
  <c r="X12" i="5" l="1"/>
  <c r="C12" i="5"/>
  <c r="C15" i="5"/>
  <c r="X14" i="5"/>
  <c r="C14" i="5"/>
  <c r="J50" i="22"/>
  <c r="J43" i="22"/>
  <c r="K40" i="22"/>
  <c r="K47" i="22"/>
  <c r="J49" i="22"/>
  <c r="J42" i="22"/>
  <c r="K43" i="22" l="1"/>
  <c r="K50" i="22"/>
  <c r="I4" i="22"/>
  <c r="K35" i="22"/>
  <c r="L40" i="22"/>
  <c r="J35" i="22"/>
  <c r="F5" i="22"/>
  <c r="K49" i="22"/>
  <c r="K42" i="22"/>
  <c r="I7" i="22" l="1"/>
  <c r="J7" i="22" s="1"/>
  <c r="X23" i="5" s="1"/>
  <c r="L42" i="22"/>
  <c r="G5" i="22"/>
  <c r="F8" i="22"/>
  <c r="J4" i="22"/>
  <c r="X20" i="5" s="1"/>
  <c r="L43" i="22"/>
  <c r="I6" i="22"/>
  <c r="J6" i="22" s="1"/>
  <c r="J41" i="22"/>
  <c r="J48" i="22"/>
  <c r="X13" i="5"/>
  <c r="C13" i="5"/>
  <c r="C9" i="18"/>
  <c r="K7" i="22" l="1"/>
  <c r="C23" i="5"/>
  <c r="J7" i="5" s="1"/>
  <c r="K4" i="22"/>
  <c r="C20" i="5"/>
  <c r="G8" i="22"/>
  <c r="J52" i="22"/>
  <c r="J54" i="22"/>
  <c r="J51" i="22" s="1"/>
  <c r="K41" i="22"/>
  <c r="K48" i="22"/>
  <c r="K6" i="22"/>
  <c r="X22" i="5"/>
  <c r="C22" i="5"/>
  <c r="J6" i="5" s="1"/>
  <c r="B16" i="20"/>
  <c r="B24" i="20" s="1"/>
  <c r="C7" i="5" l="1"/>
  <c r="S28" i="5"/>
  <c r="I5" i="22"/>
  <c r="K52" i="22"/>
  <c r="K54" i="22"/>
  <c r="L54" i="22" s="1"/>
  <c r="L41" i="22"/>
  <c r="B13" i="20"/>
  <c r="B21" i="20" s="1"/>
  <c r="S27" i="5"/>
  <c r="C6" i="5"/>
  <c r="C4" i="5"/>
  <c r="J4" i="5"/>
  <c r="B15" i="20"/>
  <c r="B23" i="20" s="1"/>
  <c r="S25" i="5" l="1"/>
  <c r="B29" i="20"/>
  <c r="B26" i="20"/>
  <c r="B28" i="20"/>
  <c r="L51" i="22"/>
  <c r="K51" i="22"/>
  <c r="I8" i="22"/>
  <c r="J5" i="22"/>
  <c r="K5" i="22" l="1"/>
  <c r="X21" i="5"/>
  <c r="C21" i="5"/>
  <c r="J8" i="22"/>
  <c r="C5" i="5" l="1"/>
  <c r="J5" i="5"/>
  <c r="B14" i="20"/>
  <c r="B22" i="20" s="1"/>
  <c r="S26" i="5" l="1"/>
  <c r="B27" i="20"/>
  <c r="K37" i="24" l="1"/>
  <c r="K38" i="24"/>
  <c r="L38" i="24"/>
  <c r="L37" i="24"/>
  <c r="L35" i="24" l="1"/>
  <c r="K35" i="24"/>
  <c r="K36" i="24" l="1"/>
  <c r="K12" i="24"/>
  <c r="L36" i="24" l="1"/>
  <c r="L12" i="24"/>
  <c r="B10" i="19" l="1"/>
  <c r="Y14" i="5" l="1"/>
  <c r="Y12" i="5"/>
  <c r="D12" i="5"/>
  <c r="Y15" i="5"/>
  <c r="D15" i="5"/>
  <c r="D14" i="5" l="1"/>
  <c r="D13" i="5" l="1"/>
  <c r="Y13" i="5"/>
  <c r="C10" i="19"/>
  <c r="B13" i="8" l="1"/>
  <c r="B12" i="8"/>
  <c r="B11" i="8" l="1"/>
  <c r="B36" i="8"/>
  <c r="B14" i="8" l="1"/>
  <c r="C7" i="8" l="1"/>
  <c r="D7" i="8" l="1"/>
  <c r="D13" i="8" l="1"/>
  <c r="C12" i="8" l="1"/>
  <c r="C13" i="8"/>
  <c r="D12" i="8"/>
  <c r="C8" i="8" l="1"/>
  <c r="C31" i="8"/>
  <c r="C11" i="8"/>
  <c r="C36" i="8"/>
  <c r="D11" i="8" l="1"/>
  <c r="D14" i="8" s="1"/>
  <c r="D36" i="8"/>
  <c r="C14" i="8"/>
  <c r="C9" i="8"/>
  <c r="D8" i="8"/>
  <c r="D9" i="8" s="1"/>
  <c r="D31" i="8"/>
  <c r="E11" i="8" l="1"/>
  <c r="F33" i="8"/>
  <c r="G33" i="8" s="1"/>
  <c r="E12" i="8"/>
  <c r="F12" i="8" s="1"/>
  <c r="F34" i="8"/>
  <c r="E36" i="8"/>
  <c r="G34" i="8" l="1"/>
  <c r="G12" i="8" s="1"/>
  <c r="E13" i="8"/>
  <c r="F13" i="8" s="1"/>
  <c r="F35" i="8"/>
  <c r="F11" i="8"/>
  <c r="E14" i="5" l="1"/>
  <c r="E6" i="5" s="1"/>
  <c r="U14" i="5"/>
  <c r="G35" i="8"/>
  <c r="G13" i="8" s="1"/>
  <c r="L6" i="5"/>
  <c r="D7" i="20"/>
  <c r="E14" i="8"/>
  <c r="F14" i="8"/>
  <c r="G11" i="8"/>
  <c r="U13" i="5" s="1"/>
  <c r="F36" i="8"/>
  <c r="U15" i="5" l="1"/>
  <c r="E15" i="5"/>
  <c r="E7" i="5" s="1"/>
  <c r="G36" i="8"/>
  <c r="U27" i="5"/>
  <c r="L7" i="5"/>
  <c r="D6" i="20"/>
  <c r="D23" i="20"/>
  <c r="F7" i="20"/>
  <c r="D8" i="20"/>
  <c r="G14" i="8"/>
  <c r="E13" i="5"/>
  <c r="U28" i="5" l="1"/>
  <c r="D24" i="20"/>
  <c r="F8" i="20"/>
  <c r="D28" i="20"/>
  <c r="D22" i="20"/>
  <c r="F6" i="20"/>
  <c r="E7" i="8"/>
  <c r="E31" i="8"/>
  <c r="F29" i="8"/>
  <c r="G29" i="8" s="1"/>
  <c r="L5" i="5"/>
  <c r="E5" i="5"/>
  <c r="E8" i="8"/>
  <c r="F8" i="8" s="1"/>
  <c r="F30" i="8"/>
  <c r="G30" i="8" l="1"/>
  <c r="G8" i="8" s="1"/>
  <c r="D29" i="20"/>
  <c r="U26" i="5"/>
  <c r="D27" i="20"/>
  <c r="F31" i="8"/>
  <c r="E9" i="8"/>
  <c r="F7" i="8"/>
  <c r="F9" i="8" s="1"/>
  <c r="G7" i="8" l="1"/>
  <c r="U12" i="5" s="1"/>
  <c r="G31" i="8"/>
  <c r="D5" i="20" l="1"/>
  <c r="E12" i="5"/>
  <c r="G9" i="8"/>
  <c r="D21" i="20" l="1"/>
  <c r="F5" i="20"/>
  <c r="L4" i="5"/>
  <c r="E4" i="5"/>
  <c r="U25" i="5" l="1"/>
  <c r="D26" i="20"/>
  <c r="E23" i="24" l="1"/>
  <c r="E21" i="24"/>
  <c r="E24" i="24"/>
  <c r="D29" i="24" l="1"/>
  <c r="D27" i="24"/>
  <c r="F23" i="24"/>
  <c r="F21" i="24"/>
  <c r="F24" i="24"/>
  <c r="E30" i="24"/>
  <c r="E38" i="24" s="1"/>
  <c r="E22" i="24"/>
  <c r="E29" i="24"/>
  <c r="E37" i="24" s="1"/>
  <c r="D37" i="24" l="1"/>
  <c r="D43" i="24" s="1"/>
  <c r="D35" i="24"/>
  <c r="D41" i="24" s="1"/>
  <c r="D30" i="24"/>
  <c r="G24" i="24"/>
  <c r="E27" i="24"/>
  <c r="F27" i="24"/>
  <c r="G21" i="24"/>
  <c r="G23" i="24"/>
  <c r="F30" i="24"/>
  <c r="F38" i="24" s="1"/>
  <c r="F29" i="24"/>
  <c r="F37" i="24" s="1"/>
  <c r="F22" i="24"/>
  <c r="E35" i="24" l="1"/>
  <c r="E41" i="24" s="1"/>
  <c r="D38" i="24"/>
  <c r="D44" i="24" s="1"/>
  <c r="E43" i="24"/>
  <c r="E50" i="24"/>
  <c r="F35" i="24"/>
  <c r="D28" i="24"/>
  <c r="H23" i="24"/>
  <c r="G27" i="24"/>
  <c r="H21" i="24"/>
  <c r="H24" i="24"/>
  <c r="G29" i="24"/>
  <c r="G37" i="24" s="1"/>
  <c r="E28" i="24"/>
  <c r="E36" i="24" s="1"/>
  <c r="G22" i="24"/>
  <c r="G30" i="24"/>
  <c r="G38" i="24" s="1"/>
  <c r="E48" i="24" l="1"/>
  <c r="F48" i="24" s="1"/>
  <c r="E12" i="24"/>
  <c r="E44" i="24"/>
  <c r="E51" i="24"/>
  <c r="D36" i="24"/>
  <c r="D42" i="24" s="1"/>
  <c r="D12" i="24"/>
  <c r="D55" i="24" s="1"/>
  <c r="G35" i="24"/>
  <c r="F50" i="24"/>
  <c r="F43" i="24"/>
  <c r="H29" i="24"/>
  <c r="H37" i="24" s="1"/>
  <c r="I24" i="24"/>
  <c r="I21" i="24"/>
  <c r="I23" i="24"/>
  <c r="H30" i="24"/>
  <c r="H38" i="24" s="1"/>
  <c r="H22" i="24"/>
  <c r="F28" i="24"/>
  <c r="F44" i="24" l="1"/>
  <c r="F41" i="24"/>
  <c r="G48" i="24" s="1"/>
  <c r="F36" i="24"/>
  <c r="F12" i="24"/>
  <c r="G50" i="24"/>
  <c r="G43" i="24"/>
  <c r="F51" i="24"/>
  <c r="E42" i="24"/>
  <c r="E49" i="24"/>
  <c r="E53" i="24" s="1"/>
  <c r="J23" i="24"/>
  <c r="N23" i="24" s="1"/>
  <c r="F6" i="24" s="1"/>
  <c r="H27" i="24"/>
  <c r="J24" i="24"/>
  <c r="N24" i="24" s="1"/>
  <c r="F7" i="24" s="1"/>
  <c r="J21" i="24"/>
  <c r="N21" i="24" s="1"/>
  <c r="F4" i="24" s="1"/>
  <c r="I22" i="24"/>
  <c r="I27" i="24"/>
  <c r="I30" i="24"/>
  <c r="I38" i="24" s="1"/>
  <c r="G28" i="24"/>
  <c r="G44" i="24" l="1"/>
  <c r="G41" i="24"/>
  <c r="G51" i="24"/>
  <c r="I35" i="24"/>
  <c r="H35" i="24"/>
  <c r="F49" i="24"/>
  <c r="F53" i="24" s="1"/>
  <c r="F42" i="24"/>
  <c r="G36" i="24"/>
  <c r="G12" i="24"/>
  <c r="H43" i="24"/>
  <c r="H50" i="24"/>
  <c r="E55" i="24"/>
  <c r="E52" i="24" s="1"/>
  <c r="I29" i="24"/>
  <c r="J30" i="24"/>
  <c r="J38" i="24" s="1"/>
  <c r="J29" i="24"/>
  <c r="J37" i="24" s="1"/>
  <c r="J27" i="24"/>
  <c r="J22" i="24"/>
  <c r="N22" i="24" s="1"/>
  <c r="F5" i="24" s="1"/>
  <c r="F8" i="24" s="1"/>
  <c r="H28" i="24"/>
  <c r="H36" i="24" s="1"/>
  <c r="H48" i="24" l="1"/>
  <c r="H51" i="24"/>
  <c r="H44" i="24"/>
  <c r="H41" i="24"/>
  <c r="J35" i="24"/>
  <c r="G4" i="24"/>
  <c r="H12" i="24"/>
  <c r="G7" i="24"/>
  <c r="H7" i="24" s="1"/>
  <c r="G42" i="24"/>
  <c r="G49" i="24"/>
  <c r="G53" i="24" s="1"/>
  <c r="I37" i="24"/>
  <c r="I43" i="24" s="1"/>
  <c r="G6" i="24"/>
  <c r="H6" i="24" s="1"/>
  <c r="F55" i="24"/>
  <c r="F52" i="24" s="1"/>
  <c r="I28" i="24"/>
  <c r="I44" i="24" l="1"/>
  <c r="I51" i="24"/>
  <c r="I48" i="24"/>
  <c r="I41" i="24"/>
  <c r="H4" i="24"/>
  <c r="H42" i="24"/>
  <c r="H49" i="24"/>
  <c r="H53" i="24" s="1"/>
  <c r="G55" i="24"/>
  <c r="G52" i="24" s="1"/>
  <c r="I36" i="24"/>
  <c r="I12" i="24"/>
  <c r="I50" i="24"/>
  <c r="J43" i="24" s="1"/>
  <c r="J28" i="24"/>
  <c r="J51" i="24" l="1"/>
  <c r="J44" i="24"/>
  <c r="J48" i="24"/>
  <c r="J41" i="24"/>
  <c r="J36" i="24"/>
  <c r="J12" i="24"/>
  <c r="H55" i="24"/>
  <c r="H52" i="24" s="1"/>
  <c r="I49" i="24"/>
  <c r="I53" i="24" s="1"/>
  <c r="I42" i="24"/>
  <c r="J50" i="24"/>
  <c r="K50" i="24" s="1"/>
  <c r="G5" i="24"/>
  <c r="K44" i="24" l="1"/>
  <c r="K51" i="24"/>
  <c r="K41" i="24"/>
  <c r="K48" i="24"/>
  <c r="K43" i="24"/>
  <c r="L43" i="24" s="1"/>
  <c r="H5" i="24"/>
  <c r="G8" i="24"/>
  <c r="I55" i="24"/>
  <c r="I52" i="24" s="1"/>
  <c r="J49" i="24"/>
  <c r="J53" i="24" s="1"/>
  <c r="J42" i="24"/>
  <c r="L44" i="24" l="1"/>
  <c r="L51" i="24"/>
  <c r="J7" i="24" s="1"/>
  <c r="K7" i="24" s="1"/>
  <c r="Y23" i="5" s="1"/>
  <c r="L48" i="24"/>
  <c r="L41" i="24"/>
  <c r="L50" i="24"/>
  <c r="J6" i="24" s="1"/>
  <c r="K6" i="24" s="1"/>
  <c r="D22" i="5" s="1"/>
  <c r="H8" i="24"/>
  <c r="K49" i="24"/>
  <c r="K42" i="24"/>
  <c r="J55" i="24"/>
  <c r="J52" i="24" s="1"/>
  <c r="M41" i="24" l="1"/>
  <c r="D23" i="5"/>
  <c r="M51" i="24"/>
  <c r="M44" i="24"/>
  <c r="L7" i="24" s="1"/>
  <c r="M48" i="24"/>
  <c r="J4" i="24"/>
  <c r="K4" i="24" s="1"/>
  <c r="Y20" i="5" s="1"/>
  <c r="Y22" i="5"/>
  <c r="C15" i="20" s="1"/>
  <c r="M43" i="24"/>
  <c r="L6" i="24" s="1"/>
  <c r="C16" i="20"/>
  <c r="AB15" i="5"/>
  <c r="K55" i="24"/>
  <c r="K53" i="24"/>
  <c r="L42" i="24"/>
  <c r="L49" i="24"/>
  <c r="K6" i="5"/>
  <c r="D6" i="5"/>
  <c r="D7" i="5" l="1"/>
  <c r="K7" i="5"/>
  <c r="T28" i="5" s="1"/>
  <c r="T27" i="5"/>
  <c r="M53" i="24"/>
  <c r="AB14" i="5"/>
  <c r="L4" i="24"/>
  <c r="D20" i="5"/>
  <c r="K4" i="5" s="1"/>
  <c r="T25" i="5" s="1"/>
  <c r="H6" i="5"/>
  <c r="B8" i="27" s="1"/>
  <c r="D8" i="27" s="1"/>
  <c r="H7" i="5"/>
  <c r="B9" i="27" s="1"/>
  <c r="D9" i="27" s="1"/>
  <c r="C13" i="20"/>
  <c r="AB12" i="5"/>
  <c r="J5" i="24"/>
  <c r="L53" i="24"/>
  <c r="M42" i="24"/>
  <c r="F16" i="20"/>
  <c r="C24" i="20"/>
  <c r="C23" i="20"/>
  <c r="F15" i="20"/>
  <c r="K52" i="24"/>
  <c r="L55" i="24"/>
  <c r="E8" i="27" l="1"/>
  <c r="E9" i="27"/>
  <c r="D4" i="5"/>
  <c r="H4" i="5" s="1"/>
  <c r="N7" i="5"/>
  <c r="N6" i="5"/>
  <c r="J8" i="24"/>
  <c r="K5" i="24"/>
  <c r="L52" i="24"/>
  <c r="M55" i="24"/>
  <c r="M52" i="24" s="1"/>
  <c r="C29" i="20"/>
  <c r="F24" i="20"/>
  <c r="G24" i="20" s="1"/>
  <c r="F13" i="20"/>
  <c r="C21" i="20"/>
  <c r="C28" i="20"/>
  <c r="F23" i="20"/>
  <c r="G23" i="20" s="1"/>
  <c r="N4" i="5" l="1"/>
  <c r="B6" i="27"/>
  <c r="D6" i="27" s="1"/>
  <c r="C26" i="20"/>
  <c r="F21" i="20"/>
  <c r="G21" i="20" s="1"/>
  <c r="K8" i="24"/>
  <c r="D21" i="5"/>
  <c r="L5" i="24"/>
  <c r="Y21" i="5"/>
  <c r="E6" i="27" l="1"/>
  <c r="C14" i="20"/>
  <c r="AB13" i="5"/>
  <c r="D5" i="5"/>
  <c r="K5" i="5"/>
  <c r="T26" i="5" s="1"/>
  <c r="H5" i="5" l="1"/>
  <c r="F14" i="20"/>
  <c r="C22" i="20"/>
  <c r="C27" i="20" l="1"/>
  <c r="F22" i="20"/>
  <c r="G22" i="20" s="1"/>
  <c r="B7" i="27"/>
  <c r="D7" i="27" s="1"/>
  <c r="N5" i="5"/>
  <c r="E7" i="27" l="1"/>
</calcChain>
</file>

<file path=xl/sharedStrings.xml><?xml version="1.0" encoding="utf-8"?>
<sst xmlns="http://schemas.openxmlformats.org/spreadsheetml/2006/main" count="639" uniqueCount="217">
  <si>
    <t>Low Income</t>
  </si>
  <si>
    <t>Common/General</t>
  </si>
  <si>
    <t>Allocated Program Costs</t>
  </si>
  <si>
    <t>Over/(Under)</t>
  </si>
  <si>
    <t>PCR</t>
  </si>
  <si>
    <t>Allocations</t>
  </si>
  <si>
    <t>Total</t>
  </si>
  <si>
    <t>PPC</t>
  </si>
  <si>
    <t>Service Class</t>
  </si>
  <si>
    <t>FORECASTED</t>
  </si>
  <si>
    <t>TDR</t>
  </si>
  <si>
    <t>Interest</t>
  </si>
  <si>
    <t>CHECK</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</si>
  <si>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</si>
  <si>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</si>
  <si>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</si>
  <si>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</si>
  <si>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</si>
  <si>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</si>
  <si>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</si>
  <si>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</si>
  <si>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</si>
  <si>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</si>
  <si>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</si>
  <si>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</si>
  <si>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</si>
  <si>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</si>
  <si>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</si>
  <si>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</si>
  <si>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</si>
  <si>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</si>
  <si>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</si>
  <si>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</si>
  <si>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</si>
  <si>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</si>
  <si>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</si>
  <si>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</si>
  <si>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</si>
  <si>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</si>
  <si>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</si>
  <si>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</si>
  <si>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</si>
  <si>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</si>
  <si>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</si>
  <si>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</si>
  <si>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</si>
  <si>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</si>
  <si>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</si>
  <si>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</si>
  <si>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</si>
  <si>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</si>
  <si>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</si>
  <si>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</si>
  <si>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</si>
  <si>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</si>
  <si>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</si>
  <si>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</si>
  <si>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</si>
  <si>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</si>
  <si>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</si>
  <si>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</si>
  <si>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</si>
  <si>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Income-Eligible</t>
  </si>
  <si>
    <t>Cycle 2 Program Costs Reconciliation (PCR) Calculation</t>
  </si>
  <si>
    <t>Cycle 2 Throughput Disincentive TD Reconciliation (TDR) Calculation</t>
  </si>
  <si>
    <t>2. Actual Revenues - TD Only</t>
  </si>
  <si>
    <t>1. Actual/Forecasted TD</t>
  </si>
  <si>
    <t>Cycle 2 Projected Program Costs (PPC) Calculation</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</si>
  <si>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</si>
  <si>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</si>
  <si>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</si>
  <si>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</si>
  <si>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</si>
  <si>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</si>
  <si>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</si>
  <si>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</si>
  <si>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</si>
  <si>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</si>
  <si>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</si>
  <si>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</si>
  <si>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</si>
  <si>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</si>
  <si>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</si>
  <si>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</si>
  <si>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</si>
  <si>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</si>
  <si>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</si>
  <si>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</si>
  <si>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</si>
  <si>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</si>
  <si>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Cycle 1 Earnings Opportunity Reconciliation (EOR) Calculation</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</si>
  <si>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</si>
  <si>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</si>
  <si>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</si>
  <si>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</si>
  <si>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</si>
  <si>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</si>
  <si>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</si>
  <si>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3. Actual/Forecasted EO Amortization - Source:  None</t>
  </si>
  <si>
    <t>Res/Non-Res Allocation</t>
  </si>
  <si>
    <t>2. Carrying Costs on OA - Source: Calculated</t>
  </si>
  <si>
    <t>3. Monthly Short-Term Interest Rate</t>
  </si>
  <si>
    <t>OA-cycle 2</t>
  </si>
  <si>
    <t>OAR-cycle 2</t>
  </si>
  <si>
    <t>1.  Actual monthly EO - Source: None
    Forecasted monthly EO - Source: None</t>
  </si>
  <si>
    <t>6. Actual EO rate component of the tariff rate</t>
  </si>
  <si>
    <t>Cycle 2 Ordered Adjustments Reconciliation (OAR) Calculation</t>
  </si>
  <si>
    <t>Cycle 2 Ordered Adjustment (OA) Calculation</t>
  </si>
  <si>
    <t>1. Ordered Adjustment - None</t>
  </si>
  <si>
    <t>1. Ordered Adjustment - Source: None</t>
  </si>
  <si>
    <t>3. Monthly Short-Term Borrowing Rate - Source: None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</si>
  <si>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</si>
  <si>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</si>
  <si>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</si>
  <si>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</si>
  <si>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</si>
  <si>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</si>
  <si>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</si>
  <si>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</si>
  <si>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</si>
  <si>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</si>
  <si>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</si>
  <si>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</si>
  <si>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</si>
  <si>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</si>
  <si>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</si>
  <si>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</si>
  <si>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3. Cycle 2 kWh Participation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</si>
  <si>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</si>
  <si>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</si>
  <si>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</si>
  <si>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</si>
  <si>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</si>
  <si>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</si>
  <si>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</si>
  <si>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</si>
  <si>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</si>
  <si>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</si>
  <si>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</si>
  <si>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</si>
  <si>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</si>
  <si>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</si>
  <si>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</si>
  <si>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</si>
  <si>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</si>
  <si>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</si>
  <si>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</si>
  <si>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</si>
  <si>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</si>
  <si>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</si>
  <si>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</si>
  <si>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</si>
  <si>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</si>
  <si>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</si>
  <si>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</si>
  <si>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1.  Actual monthly EO - Source: EO Cycle 2 tab column G divided by 12
    Forecasted monthly EO - Source: EO Cycle 2 tab column G divided by 12</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</si>
  <si>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</si>
  <si>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</si>
  <si>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</si>
  <si>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</si>
  <si>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</si>
  <si>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</si>
  <si>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</si>
  <si>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</si>
  <si>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</si>
  <si>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</si>
  <si>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</si>
  <si>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</si>
  <si>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LGS</t>
  </si>
  <si>
    <t>LPS</t>
  </si>
  <si>
    <t>1. &amp; 3. Actual monthly Ordered Adjustments - Source: None</t>
  </si>
  <si>
    <t>2. Actual monthly billed revenues by Residential/Non-Residential (program cost revenues only) - None
Forecasted monthly billed revenues by Residential/Non-Residential (program cost revenues only) - Source: calculated = Forecasted billed kWh sales X tariff rate</t>
  </si>
  <si>
    <t>5. Monthly Short-Term Borrowing Rate - Source: None</t>
  </si>
  <si>
    <t>7. Cycle 2 kWh Participation - Source: None</t>
  </si>
  <si>
    <t>3. Actual/Forecasted EO Amortization - Source:  EO Cycle 2 tab column G divided by 12</t>
  </si>
  <si>
    <t>Evergy Missouri West, Inc. - DSIM Rider Update Filed 12/01/2020</t>
  </si>
  <si>
    <t>Projections for Cycle 2 November 2020 - December 2021 DSIM</t>
  </si>
  <si>
    <t>Cumulative Over/Under Carryover From 06/01/2020 Filing</t>
  </si>
  <si>
    <t>Reverse November-20 - January 2021  Forecast From 06/01/2020 Filing</t>
  </si>
  <si>
    <t>1. Actual monthly program costs by allocation bucket Residential, Non-Residential, Income-Eligible, Common/General) - Source: SI Projects MO West 052020-102020.xlsx
    Forecasted monthly program costs by allocation bucket - Source: None</t>
  </si>
  <si>
    <t>2. Actual monthly kWh billed sales by Residential/Non-Residential (reduced for opt-out) - Source: Missouri West MEEIA 2020 Revenue Analysis.xlsx
    Forecasted monthly kWh billed sales by Residential/Non-Residential (reduced for opt-out) - Source: Billed kWh Budget Missouri West 2020-2022.xlsx</t>
  </si>
  <si>
    <t>3. Actual monthly billed revenues by Residential/Non-Residential (program cost revenues only) - Missouri West MEEIA 2020 Revenue Analysis.xlsx
    Forecasted monthly billed revenues by Residential/Non-Residential (program cost revenues only) - Source: calculated = Forecasted billed kWh sales X tariff rate</t>
  </si>
  <si>
    <t>5. Monthly Short-Term Borrowing Rate - Source: Missouri West Short-Term Borrowing Rate May - October 2020.xlsx</t>
  </si>
  <si>
    <t>7. Cycle 2 kWh Participation - Source: Missouri West Cycle 2 TD Calc 102020 11042020.xlsx</t>
  </si>
  <si>
    <t>3. Cycle 2 kWh Participation - Source: Missouri West Cycle 2 TD Calc 102020 11042020.xlsx</t>
  </si>
  <si>
    <t>1. Forecasted kWh by Residential/Non-Residential (Reduced for Opt-Out) - Source: Billed kWh Budget Missouri West 2020-2022.xlsx</t>
  </si>
  <si>
    <t>2. Forecasted program costs by allocation bucket (Residential, Non-Residential, Income-Eligible, Common/General) - Source: None</t>
  </si>
  <si>
    <t>1. Actual monthly program costs by allocation bucket Residential, Non-Residential, Income-Eligible, Common/General) - Source: 05 2020 MO West Spend Allocations Worksheet.xlsx, 06 2020 MO West Spend Allocations Worksheet.xlsx, 07 2020 MO West Spend Allocations Worksheet.xlsx, 08 2020 MO West Spend Allocations Worksheet.xlsx, 09 2020 MO West Spend Allocations Worksheet.xlsx, 10 2020 MO West Spend Allocations Worksheet.xlsx
    Forecasted monthly program costs by allocation bucket - Source: MEEIA Cycle 3 Forecast MO West 11102020.xlsx</t>
  </si>
  <si>
    <t>6. Monthly Short-Term Borrowing Rate - Source: Missouri West Short-Term Borrowing Rate May - October 2020.xlsx</t>
  </si>
  <si>
    <t>2. Actual monthly billed revenues by Residential/Non-Residential (EO revenues only) - None
Forecasted monthly billed revenues by Residential/Non-Residential (EO revenues only) - Source: calculated = Forecasted billed kWh sales X tariff rate</t>
  </si>
  <si>
    <t>2. Actual monthly billed revenues by Residential/Non-Residential (EO revenues only) - Missouri West MEEIA 2020 Revenue Analysis.xlsx
Forecasted monthly billed revenues by Residential/Non-Residential (EO revenues only) - Source: calculated = Forecasted billed kWh sales X tariff rate</t>
  </si>
  <si>
    <t>2. Forecasted program costs by allocation bucket (Residential, Non-Residential, Income-Eligible, Common/General) - Source: MEEIA Cycle 3 Forecast MO West 11102020.xlsx</t>
  </si>
  <si>
    <t>1. Forecasted Residential/Non-Residential kWh savings  - Source: MEEIA Cycle 3 Forecast MO West 11102020.xlsx</t>
  </si>
  <si>
    <t>2. Forecasted Throughput Disincentive - Source: MEEIA Cycle 3 Forecast MO West 11102020.xlsx</t>
  </si>
  <si>
    <t>1. &amp; 4. Actual monthly TD - Source: Missouri West Cycle 3 TD Calc 102020 11042020.xlsx
    Forecasted monthly TD - Source: MEEIA Cycle 3 Forecast MO West 11102020.xlsx</t>
  </si>
  <si>
    <t>2. Actual monthly billed revenues by Residential/Non-Residential (TD revenues only) - Missouri West MEEIA 2020 Revenue Analysis.xlsx
Forecasted monthly billed revenues by Residential/Non-Residential (TD revenues only) - Source: calculated = Forecasted billed kWh sales X tariff rate</t>
  </si>
  <si>
    <t>3. Actual kWh Sales Impact - Source:  Missouri West Cycle 3 TD Calc 102020 11042020.xlsx
    Forecasted kWh Sales Impact - Source: MEEIA Cycle 3 Forecast MO West 11102020.xlsx</t>
  </si>
  <si>
    <t>Cycle 2 - Total</t>
  </si>
  <si>
    <t>1. Forecasted Residential/Non-Residential kWh savings  - Source: Missouri West Cycle 2 Monthly TD Calc 102020 11042020.xlsx</t>
  </si>
  <si>
    <t>2. Forecasted Throughput Disincentive - Source: Missouri West Cycle 2 Monthly TD Calc 102020 11042020.xlsx</t>
  </si>
  <si>
    <t>1. &amp; 4. Actual monthly TD - Source: Missouri West Cycle 2 TD Calc 102020 11042020.xlsx
    Forecasted monthly TD - Source: Missouri West Cycle 2 TD Calc 102020 11042020.xlsx</t>
  </si>
  <si>
    <t>3. Actual kWh Sales Impact - Source:  Missouri West Cycle 2 TD Calc 102020 11042020.xlsx
    Forecasted kWh Sales Impact - Source: Missouri West Cycle 2 TD Calc 102020 11042020.xlsx</t>
  </si>
  <si>
    <t>8. Cycle 2 kWh Participation - Source: Missouri West Cycle 2 TD Calc 102020 11042020.xlsx</t>
  </si>
  <si>
    <t>Cycle 2 - Program Years 1 to 3 (including EO TD Adjustments through March 2019)</t>
  </si>
  <si>
    <t>1. Total Earnings Opportunity - Source: Missouri West EO Calculation PY1-PY3 v2.xlsx, Missouri West EO Calculation PY4.xlsx</t>
  </si>
  <si>
    <t>2. EO TD Ex Post Gross Adjustment -  Source: TD Model Missouri West PY1-3 102020.xlsx, TD Model Missouri West PY4 102020.xlsx</t>
  </si>
  <si>
    <t>3. EO TD NTG Adjustment -  Source: TD Model Missouri West PY1-3 102020.xlsx, TD Model Missouri West PY4 102020.xlsx</t>
  </si>
  <si>
    <t>4. Carrying Costs @ AFUDC Rate -  Source: TD Model Missouri West PY1-3 102020.xlsx, TD Model Missouri West PY4 102020.xlsx</t>
  </si>
  <si>
    <t>6. Amortization Over 24 Month Recovery Period - Source:Column 5  PY 1 - 3 divided by 2 (12 month recovery periods), PY 4 Column 5 divided by 24 times 11 (11 months of 2021)</t>
  </si>
  <si>
    <t>5. Total Earnings Opportunity plus Carrying Costs - Source: Sum of Columns 1. through 4.</t>
  </si>
  <si>
    <t>Proposed</t>
  </si>
  <si>
    <t>Current</t>
  </si>
  <si>
    <t>Change</t>
  </si>
  <si>
    <t>Monthly Bill Impact / 1,000 kWhs</t>
  </si>
  <si>
    <t>Cycle 2 - Program Year 4 (including EO TD Adjustments April 2019 to December 2021)</t>
  </si>
  <si>
    <t>Retroactive Correction of TD Calculation (See Note A below)</t>
  </si>
  <si>
    <t xml:space="preserve">Note A: The NTG factors applied to the TD calculation in January through April 2020 for Business Standard (0.96) and Business Custom (0.92) programs were incorrect. The net impact of the correction is noted in this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</si>
</sst>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_(&quot;$&quot;* #,##0.00_);_(&quot;$&quot;* \(#,##0.00\);_(&quot;$&quot;* &quot;-&quot;?????_);_(@_)"/>
    <numFmt numFmtId="178" formatCode="0.0%"/>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8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style="medium">
        <color indexed="64"/>
      </left>
      <right style="thin">
        <color rgb="FF7F7F7F"/>
      </right>
      <top/>
      <bottom style="medium">
        <color indexed="64"/>
      </bottom>
      <diagonal/>
    </border>
    <border>
      <left style="thin">
        <color rgb="FF7F7F7F"/>
      </left>
      <right style="thin">
        <color rgb="FF7F7F7F"/>
      </right>
      <top style="medium">
        <color indexed="64"/>
      </top>
      <bottom style="thin">
        <color rgb="FF7F7F7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rgb="FF7F7F7F"/>
      </left>
      <right style="medium">
        <color indexed="64"/>
      </right>
      <top style="medium">
        <color indexed="64"/>
      </top>
      <bottom style="thin">
        <color rgb="FF7F7F7F"/>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7" applyNumberFormat="0" applyFill="0" applyAlignment="0" applyProtection="0"/>
    <xf numFmtId="0" fontId="16" fillId="0" borderId="0" applyNumberFormat="0" applyFill="0" applyBorder="0" applyAlignment="0" applyProtection="0"/>
    <xf numFmtId="0" fontId="17" fillId="0" borderId="29" applyNumberFormat="0" applyFill="0" applyAlignment="0" applyProtection="0"/>
    <xf numFmtId="0" fontId="18" fillId="0" borderId="30" applyNumberFormat="0" applyFill="0" applyAlignment="0" applyProtection="0"/>
    <xf numFmtId="0" fontId="19" fillId="0" borderId="31"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2"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14">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43" fontId="6" fillId="6" borderId="2" xfId="1" applyFont="1" applyFill="1" applyBorder="1"/>
    <xf numFmtId="0" fontId="8" fillId="0" borderId="0" xfId="0" applyFont="1" applyAlignment="1">
      <alignment horizontal="right"/>
    </xf>
    <xf numFmtId="10" fontId="0" fillId="0" borderId="0" xfId="0" applyNumberFormat="1"/>
    <xf numFmtId="165" fontId="14" fillId="7" borderId="1" xfId="13" applyNumberFormat="1"/>
    <xf numFmtId="0" fontId="8" fillId="0" borderId="9" xfId="0" applyFont="1" applyBorder="1" applyAlignment="1">
      <alignment horizontal="right"/>
    </xf>
    <xf numFmtId="0" fontId="8" fillId="0" borderId="11" xfId="0" applyFont="1" applyBorder="1" applyAlignment="1">
      <alignment horizontal="right"/>
    </xf>
    <xf numFmtId="10" fontId="14" fillId="7" borderId="1" xfId="13" applyNumberFormat="1" applyBorder="1" applyAlignment="1">
      <alignment horizontal="center"/>
    </xf>
    <xf numFmtId="10" fontId="14" fillId="7" borderId="14" xfId="13" applyNumberFormat="1" applyBorder="1" applyAlignment="1">
      <alignment horizontal="center"/>
    </xf>
    <xf numFmtId="165" fontId="14" fillId="7" borderId="16" xfId="13" applyNumberFormat="1" applyBorder="1" applyAlignment="1">
      <alignment horizontal="center"/>
    </xf>
    <xf numFmtId="165" fontId="14" fillId="7" borderId="21" xfId="13" applyNumberFormat="1" applyBorder="1" applyAlignment="1">
      <alignment horizontal="center"/>
    </xf>
    <xf numFmtId="0" fontId="7" fillId="0" borderId="9" xfId="8" applyBorder="1" applyAlignment="1">
      <alignment horizontal="right"/>
    </xf>
    <xf numFmtId="0" fontId="8" fillId="0" borderId="25" xfId="0" applyFont="1" applyBorder="1" applyAlignment="1">
      <alignment horizontal="right"/>
    </xf>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6" xfId="6" applyNumberFormat="1" applyBorder="1" applyAlignment="1">
      <alignment horizontal="center"/>
    </xf>
    <xf numFmtId="165" fontId="5" fillId="5" borderId="21" xfId="6" applyNumberFormat="1" applyBorder="1" applyAlignment="1">
      <alignment horizontal="center"/>
    </xf>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8" xfId="0" applyBorder="1"/>
    <xf numFmtId="0" fontId="0" fillId="0" borderId="6" xfId="0" applyBorder="1"/>
    <xf numFmtId="0" fontId="0" fillId="0" borderId="0" xfId="0"/>
    <xf numFmtId="0" fontId="0" fillId="0" borderId="0" xfId="0"/>
    <xf numFmtId="165" fontId="0" fillId="0" borderId="0" xfId="0" applyNumberFormat="1"/>
    <xf numFmtId="0" fontId="8" fillId="0" borderId="0" xfId="0" applyFont="1" applyAlignment="1">
      <alignment horizontal="center"/>
    </xf>
    <xf numFmtId="165" fontId="14" fillId="7" borderId="33" xfId="13" applyNumberFormat="1" applyBorder="1"/>
    <xf numFmtId="44" fontId="6" fillId="6" borderId="34" xfId="7" applyNumberFormat="1" applyBorder="1"/>
    <xf numFmtId="44" fontId="6" fillId="6" borderId="35"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6" xfId="0" applyNumberFormat="1" applyBorder="1"/>
    <xf numFmtId="44" fontId="0" fillId="0" borderId="37"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0" fontId="8" fillId="0" borderId="0" xfId="0" applyFont="1" applyBorder="1" applyAlignment="1">
      <alignment horizontal="center" wrapText="1"/>
    </xf>
    <xf numFmtId="0" fontId="8" fillId="0" borderId="10" xfId="0" applyFont="1" applyBorder="1" applyAlignment="1">
      <alignment horizontal="center" wrapText="1"/>
    </xf>
    <xf numFmtId="41" fontId="5" fillId="5" borderId="13" xfId="6" applyNumberFormat="1" applyBorder="1"/>
    <xf numFmtId="41" fontId="5" fillId="5" borderId="1" xfId="6" applyNumberFormat="1" applyBorder="1"/>
    <xf numFmtId="165" fontId="4" fillId="4" borderId="39" xfId="11" applyNumberFormat="1" applyFont="1" applyFill="1" applyBorder="1"/>
    <xf numFmtId="3" fontId="4" fillId="4" borderId="39" xfId="5" applyNumberFormat="1" applyBorder="1"/>
    <xf numFmtId="165" fontId="4" fillId="4" borderId="38" xfId="5" applyNumberFormat="1" applyBorder="1"/>
    <xf numFmtId="165" fontId="4" fillId="4" borderId="39" xfId="5" applyNumberFormat="1" applyBorder="1"/>
    <xf numFmtId="41" fontId="4" fillId="4" borderId="39" xfId="5" applyNumberFormat="1" applyBorder="1"/>
    <xf numFmtId="165" fontId="4" fillId="4" borderId="40" xfId="5" applyNumberFormat="1" applyBorder="1"/>
    <xf numFmtId="165" fontId="4" fillId="4" borderId="40"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8" fillId="0" borderId="7" xfId="0" applyFont="1" applyBorder="1" applyAlignment="1">
      <alignment horizontal="right"/>
    </xf>
    <xf numFmtId="165" fontId="14" fillId="7" borderId="26" xfId="13" applyNumberFormat="1" applyBorder="1" applyAlignment="1">
      <alignment horizontal="center"/>
    </xf>
    <xf numFmtId="165" fontId="14" fillId="7" borderId="41" xfId="13" applyNumberFormat="1" applyBorder="1" applyAlignment="1">
      <alignment horizontal="center"/>
    </xf>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42" xfId="0" applyNumberFormat="1" applyBorder="1"/>
    <xf numFmtId="44" fontId="6" fillId="6" borderId="43"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5"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4" xfId="11" applyNumberFormat="1" applyFont="1" applyFill="1" applyBorder="1"/>
    <xf numFmtId="165" fontId="14" fillId="7" borderId="45" xfId="13" applyNumberFormat="1" applyBorder="1"/>
    <xf numFmtId="167" fontId="6" fillId="0" borderId="35" xfId="1" applyNumberFormat="1" applyFont="1" applyFill="1" applyBorder="1"/>
    <xf numFmtId="165" fontId="14" fillId="7" borderId="46" xfId="13" applyNumberFormat="1" applyBorder="1"/>
    <xf numFmtId="165" fontId="14" fillId="7" borderId="47" xfId="13" applyNumberFormat="1" applyBorder="1"/>
    <xf numFmtId="0" fontId="0" fillId="0" borderId="3" xfId="0" applyBorder="1" applyAlignment="1">
      <alignment horizontal="center" wrapText="1"/>
    </xf>
    <xf numFmtId="165" fontId="14" fillId="7" borderId="19" xfId="13" applyNumberFormat="1" applyBorder="1"/>
    <xf numFmtId="0" fontId="0" fillId="0" borderId="48" xfId="0" applyBorder="1"/>
    <xf numFmtId="165" fontId="5" fillId="5" borderId="23" xfId="6" applyNumberFormat="1" applyBorder="1"/>
    <xf numFmtId="165" fontId="5" fillId="5" borderId="49" xfId="11" applyNumberFormat="1" applyFont="1" applyFill="1" applyBorder="1"/>
    <xf numFmtId="165" fontId="14" fillId="7" borderId="23" xfId="13" applyNumberFormat="1" applyBorder="1"/>
    <xf numFmtId="44" fontId="6" fillId="6" borderId="50"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4" xfId="6" applyNumberFormat="1" applyFill="1" applyBorder="1"/>
    <xf numFmtId="41" fontId="14" fillId="7" borderId="1" xfId="13" applyNumberFormat="1"/>
    <xf numFmtId="41" fontId="6" fillId="6" borderId="2" xfId="7" applyNumberFormat="1"/>
    <xf numFmtId="165" fontId="4" fillId="4" borderId="51" xfId="11" applyNumberFormat="1" applyFont="1" applyFill="1" applyBorder="1"/>
    <xf numFmtId="3" fontId="4" fillId="4" borderId="51" xfId="5" applyNumberFormat="1" applyBorder="1"/>
    <xf numFmtId="165" fontId="4" fillId="4" borderId="53" xfId="5" applyNumberFormat="1" applyBorder="1"/>
    <xf numFmtId="165" fontId="4" fillId="4" borderId="51" xfId="5" applyNumberFormat="1" applyBorder="1"/>
    <xf numFmtId="41" fontId="4" fillId="4" borderId="51" xfId="5" applyNumberFormat="1" applyBorder="1"/>
    <xf numFmtId="165" fontId="4" fillId="4" borderId="53" xfId="11" applyNumberFormat="1" applyFont="1" applyFill="1" applyBorder="1"/>
    <xf numFmtId="0" fontId="8" fillId="0" borderId="0" xfId="0" applyFont="1" applyAlignment="1">
      <alignment horizontal="left" vertical="center" wrapText="1"/>
    </xf>
    <xf numFmtId="44" fontId="6" fillId="6" borderId="54"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5" xfId="5" applyNumberFormat="1" applyBorder="1"/>
    <xf numFmtId="41" fontId="4" fillId="4" borderId="56" xfId="5" applyNumberFormat="1" applyBorder="1"/>
    <xf numFmtId="165" fontId="4" fillId="4" borderId="56" xfId="5" applyNumberFormat="1" applyBorder="1"/>
    <xf numFmtId="165" fontId="4" fillId="4" borderId="57" xfId="11" applyNumberFormat="1" applyFont="1" applyFill="1" applyBorder="1"/>
    <xf numFmtId="165" fontId="14" fillId="7" borderId="52" xfId="13" applyNumberFormat="1" applyBorder="1"/>
    <xf numFmtId="44" fontId="6" fillId="6" borderId="58" xfId="7" applyNumberFormat="1" applyBorder="1"/>
    <xf numFmtId="44" fontId="6" fillId="6" borderId="59" xfId="7" applyNumberFormat="1" applyBorder="1"/>
    <xf numFmtId="165" fontId="5" fillId="5" borderId="14" xfId="6" applyNumberFormat="1" applyBorder="1"/>
    <xf numFmtId="0" fontId="7" fillId="0" borderId="10" xfId="8" applyBorder="1"/>
    <xf numFmtId="165" fontId="5" fillId="5" borderId="33"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60"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6" xfId="11" applyNumberFormat="1" applyFont="1" applyFill="1" applyBorder="1"/>
    <xf numFmtId="3" fontId="4" fillId="4" borderId="56" xfId="5" applyNumberFormat="1" applyBorder="1"/>
    <xf numFmtId="165" fontId="4" fillId="4" borderId="57"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3"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61" xfId="6" applyNumberFormat="1" applyBorder="1"/>
    <xf numFmtId="42" fontId="5" fillId="5" borderId="13" xfId="6" applyNumberFormat="1" applyBorder="1"/>
    <xf numFmtId="42" fontId="5" fillId="37" borderId="22" xfId="6" applyNumberFormat="1" applyFill="1" applyBorder="1"/>
    <xf numFmtId="41" fontId="5" fillId="5" borderId="62"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70" fontId="10" fillId="0" borderId="5" xfId="0" applyNumberFormat="1" applyFont="1" applyFill="1" applyBorder="1" applyAlignment="1">
      <alignment vertical="center"/>
    </xf>
    <xf numFmtId="165" fontId="5" fillId="0" borderId="61" xfId="6" applyNumberFormat="1" applyFill="1" applyBorder="1"/>
    <xf numFmtId="41" fontId="5" fillId="0" borderId="61" xfId="6" applyNumberFormat="1" applyFill="1" applyBorder="1"/>
    <xf numFmtId="165" fontId="5" fillId="0" borderId="63" xfId="11" applyNumberFormat="1" applyFont="1" applyFill="1" applyBorder="1"/>
    <xf numFmtId="165" fontId="5" fillId="0" borderId="64" xfId="6" applyNumberFormat="1" applyFill="1" applyBorder="1"/>
    <xf numFmtId="0" fontId="0" fillId="0" borderId="65" xfId="0" applyFill="1" applyBorder="1"/>
    <xf numFmtId="44" fontId="0" fillId="0" borderId="65" xfId="0" applyNumberFormat="1" applyFill="1" applyBorder="1"/>
    <xf numFmtId="41" fontId="5" fillId="0" borderId="64" xfId="6" applyNumberFormat="1" applyFill="1" applyBorder="1"/>
    <xf numFmtId="165" fontId="5" fillId="0" borderId="65" xfId="6" applyNumberFormat="1" applyFill="1" applyBorder="1"/>
    <xf numFmtId="165" fontId="5" fillId="0" borderId="66" xfId="11" applyNumberFormat="1" applyFont="1" applyFill="1" applyBorder="1"/>
    <xf numFmtId="165" fontId="14" fillId="0" borderId="61" xfId="13" applyNumberFormat="1" applyFill="1" applyBorder="1"/>
    <xf numFmtId="44" fontId="6" fillId="0" borderId="68" xfId="7" applyNumberFormat="1" applyFill="1" applyBorder="1"/>
    <xf numFmtId="165" fontId="5" fillId="0" borderId="69" xfId="11" applyNumberFormat="1" applyFont="1" applyFill="1" applyBorder="1"/>
    <xf numFmtId="10" fontId="5" fillId="0" borderId="65" xfId="2" applyNumberFormat="1" applyFont="1" applyFill="1" applyBorder="1"/>
    <xf numFmtId="165" fontId="14" fillId="0" borderId="64" xfId="13" applyNumberFormat="1" applyFill="1" applyBorder="1"/>
    <xf numFmtId="171" fontId="0" fillId="0" borderId="65" xfId="0" applyNumberFormat="1" applyFill="1" applyBorder="1"/>
    <xf numFmtId="171" fontId="0" fillId="0" borderId="65" xfId="2" applyNumberFormat="1" applyFont="1" applyFill="1" applyBorder="1"/>
    <xf numFmtId="44" fontId="6" fillId="0" borderId="70" xfId="7" applyNumberFormat="1" applyFill="1" applyBorder="1"/>
    <xf numFmtId="0" fontId="0" fillId="0" borderId="65" xfId="0" applyBorder="1"/>
    <xf numFmtId="165" fontId="5" fillId="0" borderId="71" xfId="6" applyNumberFormat="1" applyFill="1" applyBorder="1"/>
    <xf numFmtId="0" fontId="0" fillId="39" borderId="67" xfId="0" applyFill="1" applyBorder="1" applyAlignment="1">
      <alignment horizontal="center" wrapText="1"/>
    </xf>
    <xf numFmtId="164" fontId="0" fillId="0" borderId="72"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4" xfId="12" applyNumberFormat="1" applyBorder="1"/>
    <xf numFmtId="42" fontId="14" fillId="7" borderId="73" xfId="13" applyNumberFormat="1" applyBorder="1"/>
    <xf numFmtId="172" fontId="11" fillId="0" borderId="6" xfId="0" quotePrefix="1" applyNumberFormat="1" applyFont="1" applyFill="1" applyBorder="1" applyAlignment="1">
      <alignment horizontal="right"/>
    </xf>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3" xfId="12" applyNumberFormat="1" applyBorder="1"/>
    <xf numFmtId="165" fontId="14" fillId="7" borderId="73" xfId="13" applyNumberFormat="1" applyBorder="1"/>
    <xf numFmtId="0" fontId="8" fillId="0" borderId="73"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5" xfId="13" applyNumberFormat="1" applyBorder="1"/>
    <xf numFmtId="165" fontId="14" fillId="7" borderId="76" xfId="13" applyNumberFormat="1" applyBorder="1"/>
    <xf numFmtId="165" fontId="13" fillId="7" borderId="77" xfId="12" applyNumberFormat="1" applyBorder="1"/>
    <xf numFmtId="165" fontId="13" fillId="7" borderId="78" xfId="12" applyNumberFormat="1" applyBorder="1"/>
    <xf numFmtId="165" fontId="13" fillId="7" borderId="79" xfId="12" applyNumberFormat="1" applyBorder="1"/>
    <xf numFmtId="42" fontId="14" fillId="7" borderId="80" xfId="13" applyNumberFormat="1" applyBorder="1"/>
    <xf numFmtId="42" fontId="14" fillId="7" borderId="81" xfId="13" applyNumberFormat="1" applyBorder="1"/>
    <xf numFmtId="42" fontId="14" fillId="7" borderId="0" xfId="13" applyNumberFormat="1" applyBorder="1"/>
    <xf numFmtId="42" fontId="5" fillId="5" borderId="14" xfId="6" applyNumberFormat="1" applyBorder="1"/>
    <xf numFmtId="0" fontId="8" fillId="0" borderId="0" xfId="0" applyFont="1" applyFill="1" applyAlignment="1">
      <alignment horizontal="left" vertical="center" wrapText="1"/>
    </xf>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3" xfId="13" applyNumberFormat="1" applyFont="1" applyBorder="1"/>
    <xf numFmtId="176" fontId="0" fillId="0" borderId="0" xfId="1" applyNumberFormat="1" applyFont="1"/>
    <xf numFmtId="172" fontId="40" fillId="0" borderId="6" xfId="0" applyNumberFormat="1" applyFont="1" applyBorder="1" applyAlignment="1">
      <alignment horizontal="righ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10" fillId="0" borderId="6" xfId="0" applyNumberFormat="1" applyFont="1" applyFill="1" applyBorder="1" applyAlignment="1">
      <alignment vertical="center"/>
    </xf>
    <xf numFmtId="170" fontId="40" fillId="0" borderId="4" xfId="0" applyNumberFormat="1" applyFont="1" applyFill="1" applyBorder="1" applyAlignment="1">
      <alignment vertical="center"/>
    </xf>
    <xf numFmtId="172" fontId="40" fillId="0" borderId="6" xfId="0" applyNumberFormat="1" applyFont="1" applyFill="1" applyBorder="1" applyAlignment="1">
      <alignment horizontal="right"/>
    </xf>
    <xf numFmtId="178" fontId="0" fillId="0" borderId="0" xfId="2" applyNumberFormat="1" applyFont="1"/>
    <xf numFmtId="0" fontId="9" fillId="0" borderId="0" xfId="0" applyFont="1" applyAlignment="1">
      <alignment horizontal="center" wrapText="1"/>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horizontal="left"/>
    </xf>
    <xf numFmtId="0" fontId="8" fillId="0" borderId="0" xfId="0" applyFont="1" applyFill="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wrapText="1"/>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customXml" Target="../customXml/item2.xml"/><Relationship Id="rId21" Type="http://schemas.openxmlformats.org/officeDocument/2006/relationships/externalLink" Target="externalLinks/externalLink5.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lled%20kWh%20Budget%20Missouri%20West%2020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8%202020%20MO%20West%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9%202020%20MO%20West%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202020%20MO%20West%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issouri%20West%20Cycle%203%20Monthly%20TD%20Calc%20102020%201104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issouri%20West%20EO%20Calculation%20PY1-PY3%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TD%20Model%20Missouri%20West%20PY1-3%201020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issouri%20West%20EO%20Calculation%20PY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D%20Model%20Missouri%20West%20PY4%201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souri%20West%20Cycle%202%20Monthly%20TD%20102020%201104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EIA%20Cycle%203%20Forecast%20MO%20West%20111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20Projects%20MO%20West%20052020-10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souri%20West%20MEEIA%202020%20Revenue%20Analys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souri%20West%20Short-Term%20Borrowing%20Rate%20May%20-%20October%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5%202020%20MO%20West%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6%202020%20MO%20West%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7%202020%20MO%20West%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G24">
            <v>203890143</v>
          </cell>
          <cell r="H24">
            <v>263527924</v>
          </cell>
          <cell r="I24">
            <v>365958775</v>
          </cell>
        </row>
        <row r="25">
          <cell r="G25">
            <v>74829664</v>
          </cell>
          <cell r="H25">
            <v>80840360</v>
          </cell>
          <cell r="I25">
            <v>89606004</v>
          </cell>
        </row>
        <row r="26">
          <cell r="G26">
            <v>113436640</v>
          </cell>
          <cell r="H26">
            <v>122548443</v>
          </cell>
          <cell r="I26">
            <v>135836559</v>
          </cell>
        </row>
        <row r="27">
          <cell r="G27">
            <v>66084167</v>
          </cell>
          <cell r="H27">
            <v>71392381</v>
          </cell>
          <cell r="I27">
            <v>79133567</v>
          </cell>
        </row>
        <row r="33">
          <cell r="G33">
            <v>1699946060</v>
          </cell>
          <cell r="H33">
            <v>1844388166</v>
          </cell>
        </row>
        <row r="34">
          <cell r="G34">
            <v>445420402</v>
          </cell>
          <cell r="H34">
            <v>461154877</v>
          </cell>
        </row>
        <row r="35">
          <cell r="G35">
            <v>675226792</v>
          </cell>
          <cell r="H35">
            <v>699079177</v>
          </cell>
        </row>
        <row r="36">
          <cell r="G36">
            <v>393363205</v>
          </cell>
          <cell r="H36">
            <v>407258760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82020 09082020"/>
      <sheetName val="Input"/>
      <sheetName val="Program Descriptions"/>
    </sheetNames>
    <sheetDataSet>
      <sheetData sheetId="0">
        <row r="26">
          <cell r="N26">
            <v>171627.72999999998</v>
          </cell>
          <cell r="P26">
            <v>273371.11</v>
          </cell>
          <cell r="Q26">
            <v>123861.20000000001</v>
          </cell>
          <cell r="R26">
            <v>644423.66</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92020 10062020"/>
      <sheetName val="Input"/>
      <sheetName val="Program Descriptions"/>
    </sheetNames>
    <sheetDataSet>
      <sheetData sheetId="0">
        <row r="26">
          <cell r="N26">
            <v>827017.21000000008</v>
          </cell>
          <cell r="O26">
            <v>169637.75</v>
          </cell>
          <cell r="Q26">
            <v>262523.44</v>
          </cell>
          <cell r="R26">
            <v>133219.89000000001</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02020 11062020"/>
      <sheetName val="Input"/>
      <sheetName val="Program Descriptions"/>
    </sheetNames>
    <sheetDataSet>
      <sheetData sheetId="0">
        <row r="26">
          <cell r="N26">
            <v>1013317.8700000001</v>
          </cell>
          <cell r="O26">
            <v>145102.42000000001</v>
          </cell>
          <cell r="Q26">
            <v>117947.85</v>
          </cell>
          <cell r="R26">
            <v>432655.39000000013</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refreshError="1"/>
      <sheetData sheetId="1" refreshError="1"/>
      <sheetData sheetId="2">
        <row r="460">
          <cell r="I460">
            <v>1886834.6888693962</v>
          </cell>
          <cell r="J460">
            <v>2012953.9421158377</v>
          </cell>
          <cell r="K460">
            <v>2439725.3283017445</v>
          </cell>
          <cell r="L460">
            <v>3215170.8834627294</v>
          </cell>
          <cell r="M460">
            <v>3253366.4676832096</v>
          </cell>
          <cell r="N460">
            <v>3101854.9328909847</v>
          </cell>
        </row>
        <row r="461">
          <cell r="I461">
            <v>133842.34726475706</v>
          </cell>
          <cell r="J461">
            <v>144950.45101934159</v>
          </cell>
          <cell r="K461">
            <v>182165.68824609235</v>
          </cell>
          <cell r="L461">
            <v>232184.14496905444</v>
          </cell>
          <cell r="M461">
            <v>264235.44003805198</v>
          </cell>
          <cell r="N461">
            <v>342039.10151945968</v>
          </cell>
        </row>
        <row r="463">
          <cell r="I463">
            <v>143548.9201424208</v>
          </cell>
          <cell r="J463">
            <v>157503.31771662878</v>
          </cell>
          <cell r="K463">
            <v>184781.42441703539</v>
          </cell>
          <cell r="L463">
            <v>250802.85238364036</v>
          </cell>
          <cell r="M463">
            <v>291638.85946172109</v>
          </cell>
          <cell r="N463">
            <v>359361.59357603267</v>
          </cell>
        </row>
        <row r="464">
          <cell r="I464">
            <v>65584.934002638562</v>
          </cell>
          <cell r="J464">
            <v>94894.975941971948</v>
          </cell>
          <cell r="K464">
            <v>107575.99887821586</v>
          </cell>
          <cell r="L464">
            <v>122242.34596581406</v>
          </cell>
          <cell r="M464">
            <v>128009.06383553296</v>
          </cell>
          <cell r="N464">
            <v>310882.15835522144</v>
          </cell>
        </row>
        <row r="562">
          <cell r="I562">
            <v>101612.64</v>
          </cell>
          <cell r="J562">
            <v>176817.83000000002</v>
          </cell>
          <cell r="K562">
            <v>214140.03</v>
          </cell>
          <cell r="L562">
            <v>283578.25</v>
          </cell>
          <cell r="M562">
            <v>282767.49999999994</v>
          </cell>
          <cell r="N562">
            <v>153111.03</v>
          </cell>
        </row>
        <row r="563">
          <cell r="I563">
            <v>5972.02</v>
          </cell>
          <cell r="J563">
            <v>10216.17</v>
          </cell>
          <cell r="K563">
            <v>12646.4</v>
          </cell>
          <cell r="L563">
            <v>16241.529999999999</v>
          </cell>
          <cell r="M563">
            <v>18639.140000000003</v>
          </cell>
          <cell r="N563">
            <v>15298.13</v>
          </cell>
        </row>
        <row r="565">
          <cell r="I565">
            <v>4336.21</v>
          </cell>
          <cell r="J565">
            <v>5599.67</v>
          </cell>
          <cell r="K565">
            <v>6331.83</v>
          </cell>
          <cell r="L565">
            <v>8838.9</v>
          </cell>
          <cell r="M565">
            <v>10566.09</v>
          </cell>
          <cell r="N565">
            <v>10604.88</v>
          </cell>
        </row>
        <row r="566">
          <cell r="I566">
            <v>769.0100000000001</v>
          </cell>
          <cell r="J566">
            <v>1360.62</v>
          </cell>
          <cell r="K566">
            <v>1526.33</v>
          </cell>
          <cell r="L566">
            <v>1873.99</v>
          </cell>
          <cell r="M566">
            <v>2179.61</v>
          </cell>
          <cell r="N566">
            <v>3661.9399999999996</v>
          </cell>
        </row>
        <row r="674">
          <cell r="H674">
            <v>0</v>
          </cell>
        </row>
        <row r="675">
          <cell r="H675">
            <v>56.689999999999657</v>
          </cell>
        </row>
        <row r="677">
          <cell r="H677">
            <v>72.129999999999768</v>
          </cell>
        </row>
        <row r="678">
          <cell r="H678">
            <v>-7.039999999999992</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5181939.6500000004</v>
          </cell>
          <cell r="T18">
            <v>5060008.6900000004</v>
          </cell>
          <cell r="W18">
            <v>1943830.0499999998</v>
          </cell>
          <cell r="Y18">
            <v>2196160.9099999997</v>
          </cell>
          <cell r="Z18">
            <v>920017.71000000008</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Jnl"/>
      <sheetName val="EM&amp;V Inputs"/>
      <sheetName val="kW Actuals (Gross)"/>
    </sheetNames>
    <sheetDataSet>
      <sheetData sheetId="0">
        <row r="1">
          <cell r="U1">
            <v>2016</v>
          </cell>
        </row>
      </sheetData>
      <sheetData sheetId="1">
        <row r="4">
          <cell r="C4">
            <v>42461</v>
          </cell>
        </row>
      </sheetData>
      <sheetData sheetId="2">
        <row r="370">
          <cell r="AL370">
            <v>-722286.32999999984</v>
          </cell>
          <cell r="BE370">
            <v>-925665.90999999992</v>
          </cell>
          <cell r="BS370">
            <v>-501622.58999999991</v>
          </cell>
        </row>
        <row r="371">
          <cell r="AL371">
            <v>62654.269999999968</v>
          </cell>
          <cell r="BE371">
            <v>97800.22000000003</v>
          </cell>
          <cell r="BS371">
            <v>68174.790000000008</v>
          </cell>
        </row>
        <row r="372">
          <cell r="BE372">
            <v>0</v>
          </cell>
          <cell r="BS372">
            <v>0</v>
          </cell>
        </row>
        <row r="373">
          <cell r="AL373">
            <v>122990.04999999997</v>
          </cell>
          <cell r="BE373">
            <v>137525.56000000003</v>
          </cell>
          <cell r="BS373">
            <v>97159.740000000034</v>
          </cell>
        </row>
        <row r="374">
          <cell r="AL374">
            <v>8441.0300000000061</v>
          </cell>
          <cell r="BE374">
            <v>13480.959999999997</v>
          </cell>
          <cell r="BS374">
            <v>9530.5999999999967</v>
          </cell>
        </row>
        <row r="375">
          <cell r="AL375">
            <v>194085.34999999995</v>
          </cell>
        </row>
      </sheetData>
      <sheetData sheetId="3">
        <row r="384">
          <cell r="AL384">
            <v>574414.55000000005</v>
          </cell>
          <cell r="BE384">
            <v>-742448.70000000007</v>
          </cell>
          <cell r="BS384">
            <v>-502875.4</v>
          </cell>
        </row>
        <row r="385">
          <cell r="AL385">
            <v>289519.26000000007</v>
          </cell>
          <cell r="BE385">
            <v>-190303.54000000007</v>
          </cell>
          <cell r="BS385">
            <v>-129086.91000000005</v>
          </cell>
        </row>
        <row r="386">
          <cell r="BE386">
            <v>0</v>
          </cell>
          <cell r="BS386">
            <v>0</v>
          </cell>
        </row>
        <row r="387">
          <cell r="AL387">
            <v>233118.96000000005</v>
          </cell>
          <cell r="BE387">
            <v>-142627.82999999999</v>
          </cell>
          <cell r="BS387">
            <v>-101888.86000000002</v>
          </cell>
        </row>
        <row r="388">
          <cell r="AL388">
            <v>39682.919999999976</v>
          </cell>
          <cell r="BE388">
            <v>-22699.809999999994</v>
          </cell>
          <cell r="BS388">
            <v>-16566.279999999995</v>
          </cell>
        </row>
        <row r="389">
          <cell r="AL389">
            <v>562321.14</v>
          </cell>
        </row>
      </sheetData>
      <sheetData sheetId="4"/>
      <sheetData sheetId="5">
        <row r="63">
          <cell r="AL63">
            <v>2229.4899999999998</v>
          </cell>
          <cell r="BE63">
            <v>-48233.87</v>
          </cell>
        </row>
        <row r="64">
          <cell r="AL64">
            <v>9487.8299999999981</v>
          </cell>
          <cell r="BE64">
            <v>16083.199999999999</v>
          </cell>
        </row>
        <row r="66">
          <cell r="AL66">
            <v>9593.3099999999977</v>
          </cell>
          <cell r="BE66">
            <v>18434.950000000004</v>
          </cell>
        </row>
        <row r="67">
          <cell r="AL67">
            <v>1337.2200000000003</v>
          </cell>
          <cell r="BE67">
            <v>2282.4499999999998</v>
          </cell>
        </row>
        <row r="68">
          <cell r="AL68">
            <v>20418.359999999997</v>
          </cell>
          <cell r="BE68">
            <v>36800.6</v>
          </cell>
        </row>
      </sheetData>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4 Update"/>
      <sheetName val="EO Matrix @Meter"/>
      <sheetName val="PY4 Final EM&amp;V"/>
    </sheetNames>
    <sheetDataSet>
      <sheetData sheetId="0"/>
      <sheetData sheetId="1">
        <row r="18">
          <cell r="S18">
            <v>1398635.9100000001</v>
          </cell>
          <cell r="T18">
            <v>1081480.3199999998</v>
          </cell>
          <cell r="W18">
            <v>456620.65</v>
          </cell>
          <cell r="Y18">
            <v>487216.32</v>
          </cell>
          <cell r="Z18">
            <v>137643.35</v>
          </cell>
        </row>
      </sheetData>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Jnl"/>
      <sheetName val="EM&amp;V Inputs"/>
      <sheetName val="kW Actuals (Gross)"/>
    </sheetNames>
    <sheetDataSet>
      <sheetData sheetId="0"/>
      <sheetData sheetId="1"/>
      <sheetData sheetId="2">
        <row r="370">
          <cell r="BE370">
            <v>269103.8600000001</v>
          </cell>
          <cell r="BS370">
            <v>357077.41000000003</v>
          </cell>
        </row>
        <row r="371">
          <cell r="BE371">
            <v>34433.140000000014</v>
          </cell>
          <cell r="BS371">
            <v>38305.360000000022</v>
          </cell>
        </row>
        <row r="372">
          <cell r="BE372">
            <v>0</v>
          </cell>
          <cell r="BS372">
            <v>0</v>
          </cell>
        </row>
        <row r="373">
          <cell r="BE373">
            <v>12418.56</v>
          </cell>
          <cell r="BS373">
            <v>13981.689999999995</v>
          </cell>
        </row>
        <row r="374">
          <cell r="BE374">
            <v>879.93000000000166</v>
          </cell>
          <cell r="BS374">
            <v>660.39000000000124</v>
          </cell>
        </row>
      </sheetData>
      <sheetData sheetId="3">
        <row r="384">
          <cell r="BE384">
            <v>6347.9600000000064</v>
          </cell>
          <cell r="BS384">
            <v>-135883.22999999998</v>
          </cell>
        </row>
        <row r="385">
          <cell r="BE385">
            <v>32265.51</v>
          </cell>
          <cell r="BS385">
            <v>36285.759999999995</v>
          </cell>
        </row>
        <row r="386">
          <cell r="BE386">
            <v>0</v>
          </cell>
          <cell r="BS386">
            <v>0</v>
          </cell>
        </row>
        <row r="387">
          <cell r="BE387">
            <v>-350.19999999999027</v>
          </cell>
          <cell r="BS387">
            <v>-3922.2199999999793</v>
          </cell>
        </row>
        <row r="388">
          <cell r="BE388">
            <v>1230.5099999999979</v>
          </cell>
          <cell r="BS388">
            <v>1213.9799999999987</v>
          </cell>
        </row>
      </sheetData>
      <sheetData sheetId="4"/>
      <sheetData sheetId="5">
        <row r="63">
          <cell r="BE63">
            <v>5812.1900000000005</v>
          </cell>
        </row>
        <row r="64">
          <cell r="BE64">
            <v>904.36</v>
          </cell>
        </row>
        <row r="66">
          <cell r="BE66">
            <v>241.7</v>
          </cell>
        </row>
        <row r="67">
          <cell r="BE67">
            <v>44.26</v>
          </cell>
        </row>
        <row r="68">
          <cell r="BE68">
            <v>1190.32</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sheetData sheetId="1">
        <row r="44">
          <cell r="CY44">
            <v>0.39209287804949344</v>
          </cell>
          <cell r="DA44">
            <v>0.45435908608374953</v>
          </cell>
          <cell r="DB44">
            <v>0.15354803586675725</v>
          </cell>
        </row>
        <row r="285">
          <cell r="AZ285">
            <v>3622617.1364313252</v>
          </cell>
          <cell r="BA285">
            <v>3848808.3791743834</v>
          </cell>
          <cell r="BB285">
            <v>4524482.8033801541</v>
          </cell>
          <cell r="BC285">
            <v>4254139.1572805867</v>
          </cell>
          <cell r="BD285">
            <v>3438765.3625207683</v>
          </cell>
          <cell r="BE285">
            <v>3350801.0955900047</v>
          </cell>
          <cell r="BF285">
            <v>3200897.113468044</v>
          </cell>
          <cell r="BG285">
            <v>3799541.9440570329</v>
          </cell>
          <cell r="BH285">
            <v>3808947.2597798044</v>
          </cell>
          <cell r="BI285">
            <v>3429744.2796914764</v>
          </cell>
          <cell r="BJ285">
            <v>3430127.620978653</v>
          </cell>
          <cell r="BK285">
            <v>3293328.3913969351</v>
          </cell>
          <cell r="BL285">
            <v>3622617.1364313252</v>
          </cell>
          <cell r="BM285">
            <v>3848808.3791743834</v>
          </cell>
          <cell r="BN285">
            <v>4524482.8033801541</v>
          </cell>
          <cell r="BO285">
            <v>4254139.1572805867</v>
          </cell>
          <cell r="BP285">
            <v>3438765.3625207683</v>
          </cell>
          <cell r="BQ285">
            <v>3350801.0955900047</v>
          </cell>
          <cell r="BR285">
            <v>3200897.113468044</v>
          </cell>
          <cell r="BS285">
            <v>3799541.9440570329</v>
          </cell>
        </row>
        <row r="286">
          <cell r="AZ286">
            <v>1929862.7740866141</v>
          </cell>
          <cell r="BA286">
            <v>1927873.9189463556</v>
          </cell>
          <cell r="BB286">
            <v>1997647.6114853616</v>
          </cell>
          <cell r="BC286">
            <v>2027066.2414548299</v>
          </cell>
          <cell r="BD286">
            <v>1834054.3366449273</v>
          </cell>
          <cell r="BE286">
            <v>1888743.4323475384</v>
          </cell>
          <cell r="BF286">
            <v>1783272.6144496959</v>
          </cell>
          <cell r="BG286">
            <v>1777961.0361499267</v>
          </cell>
          <cell r="BH286">
            <v>1873468.082475797</v>
          </cell>
          <cell r="BI286">
            <v>1698368.6225122809</v>
          </cell>
          <cell r="BJ286">
            <v>1918946.0571799164</v>
          </cell>
          <cell r="BK286">
            <v>1815753.348866856</v>
          </cell>
          <cell r="BL286">
            <v>1929862.7740866141</v>
          </cell>
          <cell r="BM286">
            <v>1927873.9189463556</v>
          </cell>
          <cell r="BN286">
            <v>1997647.6114853616</v>
          </cell>
          <cell r="BO286">
            <v>2027066.2414548299</v>
          </cell>
          <cell r="BP286">
            <v>1834054.3366449273</v>
          </cell>
          <cell r="BQ286">
            <v>1888743.4323475384</v>
          </cell>
          <cell r="BR286">
            <v>1783272.6144496959</v>
          </cell>
          <cell r="BS286">
            <v>1777961.0361499267</v>
          </cell>
        </row>
        <row r="288">
          <cell r="AZ288">
            <v>2890409.8209900213</v>
          </cell>
          <cell r="BA288">
            <v>2832087.0570221478</v>
          </cell>
          <cell r="BB288">
            <v>2914197.0369588025</v>
          </cell>
          <cell r="BC288">
            <v>2970935.0270213811</v>
          </cell>
          <cell r="BD288">
            <v>2715680.539241707</v>
          </cell>
          <cell r="BE288">
            <v>2862809.8842250369</v>
          </cell>
          <cell r="BF288">
            <v>2703012.0649789949</v>
          </cell>
          <cell r="BG288">
            <v>2698632.3480119267</v>
          </cell>
          <cell r="BH288">
            <v>2841181.1069288682</v>
          </cell>
          <cell r="BI288">
            <v>2578220.7914223112</v>
          </cell>
          <cell r="BJ288">
            <v>2887637.1506296871</v>
          </cell>
          <cell r="BK288">
            <v>2733410.6486690468</v>
          </cell>
          <cell r="BL288">
            <v>2890409.8209900213</v>
          </cell>
          <cell r="BM288">
            <v>2832087.0570221478</v>
          </cell>
          <cell r="BN288">
            <v>2914197.0369588025</v>
          </cell>
          <cell r="BO288">
            <v>2970935.0270213811</v>
          </cell>
          <cell r="BP288">
            <v>2715680.539241707</v>
          </cell>
          <cell r="BQ288">
            <v>2862809.8842250369</v>
          </cell>
          <cell r="BR288">
            <v>2703012.0649789949</v>
          </cell>
          <cell r="BS288">
            <v>2698632.3480119267</v>
          </cell>
        </row>
        <row r="289">
          <cell r="AZ289">
            <v>1031776.4605094917</v>
          </cell>
          <cell r="BA289">
            <v>1010590.2203276039</v>
          </cell>
          <cell r="BB289">
            <v>1039178.5305886413</v>
          </cell>
          <cell r="BC289">
            <v>1060465.2308712879</v>
          </cell>
          <cell r="BD289">
            <v>967808.71359927149</v>
          </cell>
          <cell r="BE289">
            <v>1022288.2013225708</v>
          </cell>
          <cell r="BF289">
            <v>964706.0990347442</v>
          </cell>
          <cell r="BG289">
            <v>962745.40439030575</v>
          </cell>
          <cell r="BH289">
            <v>1014350.0561711908</v>
          </cell>
          <cell r="BI289">
            <v>921159.5160290671</v>
          </cell>
          <cell r="BJ289">
            <v>1031447.2065557569</v>
          </cell>
          <cell r="BK289">
            <v>975001.98970008059</v>
          </cell>
          <cell r="BL289">
            <v>1031776.4605094917</v>
          </cell>
          <cell r="BM289">
            <v>1010590.2203276039</v>
          </cell>
          <cell r="BN289">
            <v>1039178.5305886413</v>
          </cell>
          <cell r="BO289">
            <v>1060465.2308712879</v>
          </cell>
          <cell r="BP289">
            <v>967808.71359927149</v>
          </cell>
          <cell r="BQ289">
            <v>1022288.2013225708</v>
          </cell>
          <cell r="BR289">
            <v>964706.0990347442</v>
          </cell>
          <cell r="BS289">
            <v>962745.40439030575</v>
          </cell>
        </row>
        <row r="326">
          <cell r="AZ326">
            <v>172528.95</v>
          </cell>
          <cell r="BA326">
            <v>302612.56</v>
          </cell>
          <cell r="BB326">
            <v>360467.8</v>
          </cell>
          <cell r="BC326">
            <v>338929.39</v>
          </cell>
          <cell r="BD326">
            <v>271074.44</v>
          </cell>
          <cell r="BE326">
            <v>153317.57999999999</v>
          </cell>
          <cell r="BF326">
            <v>149696.35999999999</v>
          </cell>
          <cell r="BG326">
            <v>164387.18</v>
          </cell>
          <cell r="BH326">
            <v>148508.95000000001</v>
          </cell>
          <cell r="BI326">
            <v>142294.95000000001</v>
          </cell>
          <cell r="BJ326">
            <v>149745.65</v>
          </cell>
          <cell r="BK326">
            <v>144221.44</v>
          </cell>
          <cell r="BL326">
            <v>172528.95</v>
          </cell>
          <cell r="BM326">
            <v>302612.56</v>
          </cell>
          <cell r="BN326">
            <v>360467.8</v>
          </cell>
          <cell r="BO326">
            <v>338929.39</v>
          </cell>
          <cell r="BP326">
            <v>271074.44</v>
          </cell>
          <cell r="BQ326">
            <v>153317.57999999999</v>
          </cell>
          <cell r="BR326">
            <v>149696.35999999999</v>
          </cell>
          <cell r="BS326">
            <v>164387.18</v>
          </cell>
        </row>
        <row r="327">
          <cell r="AZ327">
            <v>80341.75</v>
          </cell>
          <cell r="BA327">
            <v>126296.86</v>
          </cell>
          <cell r="BB327">
            <v>128643.41</v>
          </cell>
          <cell r="BC327">
            <v>130888.34</v>
          </cell>
          <cell r="BD327">
            <v>119321.89</v>
          </cell>
          <cell r="BE327">
            <v>77840.95</v>
          </cell>
          <cell r="BF327">
            <v>74091.149999999994</v>
          </cell>
          <cell r="BG327">
            <v>67343.210000000006</v>
          </cell>
          <cell r="BH327">
            <v>69815.75</v>
          </cell>
          <cell r="BI327">
            <v>63745.35</v>
          </cell>
          <cell r="BJ327">
            <v>72373.05</v>
          </cell>
          <cell r="BK327">
            <v>74630.98</v>
          </cell>
          <cell r="BL327">
            <v>80341.75</v>
          </cell>
          <cell r="BM327">
            <v>126296.86</v>
          </cell>
          <cell r="BN327">
            <v>128643.41</v>
          </cell>
          <cell r="BO327">
            <v>130888.34</v>
          </cell>
          <cell r="BP327">
            <v>119321.89</v>
          </cell>
          <cell r="BQ327">
            <v>77840.95</v>
          </cell>
          <cell r="BR327">
            <v>74091.149999999994</v>
          </cell>
          <cell r="BS327">
            <v>67343.210000000006</v>
          </cell>
        </row>
        <row r="329">
          <cell r="AZ329">
            <v>81992.95</v>
          </cell>
          <cell r="BA329">
            <v>95655.97</v>
          </cell>
          <cell r="BB329">
            <v>95158.56</v>
          </cell>
          <cell r="BC329">
            <v>97995.36</v>
          </cell>
          <cell r="BD329">
            <v>91010.55</v>
          </cell>
          <cell r="BE329">
            <v>77920.800000000003</v>
          </cell>
          <cell r="BF329">
            <v>75716.31</v>
          </cell>
          <cell r="BG329">
            <v>72630.33</v>
          </cell>
          <cell r="BH329">
            <v>72562.78</v>
          </cell>
          <cell r="BI329">
            <v>69601.08</v>
          </cell>
          <cell r="BJ329">
            <v>78390.83</v>
          </cell>
          <cell r="BK329">
            <v>73632.95</v>
          </cell>
          <cell r="BL329">
            <v>81992.95</v>
          </cell>
          <cell r="BM329">
            <v>95655.97</v>
          </cell>
          <cell r="BN329">
            <v>95158.56</v>
          </cell>
          <cell r="BO329">
            <v>97995.36</v>
          </cell>
          <cell r="BP329">
            <v>91010.55</v>
          </cell>
          <cell r="BQ329">
            <v>77920.800000000003</v>
          </cell>
          <cell r="BR329">
            <v>75716.31</v>
          </cell>
          <cell r="BS329">
            <v>72630.33</v>
          </cell>
        </row>
        <row r="330">
          <cell r="AZ330">
            <v>14070.41</v>
          </cell>
          <cell r="BA330">
            <v>17501.97</v>
          </cell>
          <cell r="BB330">
            <v>17971.36</v>
          </cell>
          <cell r="BC330">
            <v>18227.55</v>
          </cell>
          <cell r="BD330">
            <v>17181.66</v>
          </cell>
          <cell r="BE330">
            <v>13264.22</v>
          </cell>
          <cell r="BF330">
            <v>12740.14</v>
          </cell>
          <cell r="BG330">
            <v>13601.93</v>
          </cell>
          <cell r="BH330">
            <v>13800.08</v>
          </cell>
          <cell r="BI330">
            <v>12513.73</v>
          </cell>
          <cell r="BJ330">
            <v>13965.76</v>
          </cell>
          <cell r="BK330">
            <v>12679.46</v>
          </cell>
          <cell r="BL330">
            <v>14070.41</v>
          </cell>
          <cell r="BM330">
            <v>17501.97</v>
          </cell>
          <cell r="BN330">
            <v>17971.36</v>
          </cell>
          <cell r="BO330">
            <v>18227.55</v>
          </cell>
          <cell r="BP330">
            <v>17181.66</v>
          </cell>
          <cell r="BQ330">
            <v>13264.22</v>
          </cell>
          <cell r="BR330">
            <v>12740.14</v>
          </cell>
          <cell r="BS330">
            <v>13601.93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Program Costs"/>
      <sheetName val="Monthly TD Calc"/>
      <sheetName val="Monthly kWh-kW"/>
      <sheetName val="Implementer Contract Rates"/>
    </sheetNames>
    <sheetDataSet>
      <sheetData sheetId="0"/>
      <sheetData sheetId="1"/>
      <sheetData sheetId="2">
        <row r="277">
          <cell r="R277">
            <v>462243.51999999996</v>
          </cell>
          <cell r="S277">
            <v>636062.19999999995</v>
          </cell>
          <cell r="T277">
            <v>494426.89000000007</v>
          </cell>
          <cell r="U277">
            <v>509616</v>
          </cell>
          <cell r="V277">
            <v>559560.81999999995</v>
          </cell>
          <cell r="W277">
            <v>789653.66</v>
          </cell>
          <cell r="X277">
            <v>542614.51</v>
          </cell>
          <cell r="Y277">
            <v>941679.29999999993</v>
          </cell>
          <cell r="Z277">
            <v>1030715.4500000001</v>
          </cell>
          <cell r="AA277">
            <v>781023.98</v>
          </cell>
          <cell r="AB277">
            <v>781107</v>
          </cell>
          <cell r="AC277">
            <v>1602089.8299999998</v>
          </cell>
          <cell r="AD277">
            <v>573912.61</v>
          </cell>
          <cell r="AE277">
            <v>624434.46000000008</v>
          </cell>
        </row>
        <row r="278">
          <cell r="R278">
            <v>163167.96000000002</v>
          </cell>
          <cell r="S278">
            <v>176748.21000000002</v>
          </cell>
          <cell r="T278">
            <v>90829.759999999995</v>
          </cell>
          <cell r="U278">
            <v>116350.54000000001</v>
          </cell>
          <cell r="V278">
            <v>144480.44999999998</v>
          </cell>
          <cell r="W278">
            <v>155652.52999999997</v>
          </cell>
          <cell r="X278">
            <v>132038.88</v>
          </cell>
          <cell r="Y278">
            <v>234903.15</v>
          </cell>
          <cell r="Z278">
            <v>215917.39</v>
          </cell>
          <cell r="AA278">
            <v>200134.67</v>
          </cell>
          <cell r="AB278">
            <v>244303.56</v>
          </cell>
          <cell r="AC278">
            <v>201759.4</v>
          </cell>
          <cell r="AD278">
            <v>138860.98000000001</v>
          </cell>
          <cell r="AE278">
            <v>138400.97000000003</v>
          </cell>
        </row>
        <row r="280">
          <cell r="R280">
            <v>259304.39</v>
          </cell>
          <cell r="S280">
            <v>269776.04000000004</v>
          </cell>
          <cell r="T280">
            <v>138116.63</v>
          </cell>
          <cell r="U280">
            <v>174354.86000000002</v>
          </cell>
          <cell r="V280">
            <v>217673.83</v>
          </cell>
          <cell r="W280">
            <v>234690.06</v>
          </cell>
          <cell r="X280">
            <v>198996.06</v>
          </cell>
          <cell r="Y280">
            <v>354741.45999999996</v>
          </cell>
          <cell r="Z280">
            <v>326887.59999999998</v>
          </cell>
          <cell r="AA280">
            <v>302443.45999999996</v>
          </cell>
          <cell r="AB280">
            <v>370238.25999999995</v>
          </cell>
          <cell r="AC280">
            <v>282001.57000000007</v>
          </cell>
          <cell r="AD280">
            <v>209565.69</v>
          </cell>
          <cell r="AE280">
            <v>209200.16999999998</v>
          </cell>
        </row>
        <row r="281">
          <cell r="R281">
            <v>193660.77000000002</v>
          </cell>
          <cell r="S281">
            <v>201614.7</v>
          </cell>
          <cell r="T281">
            <v>101615.48</v>
          </cell>
          <cell r="U281">
            <v>130447.43999999997</v>
          </cell>
          <cell r="V281">
            <v>163913.82999999999</v>
          </cell>
          <cell r="W281">
            <v>176960.12</v>
          </cell>
          <cell r="X281">
            <v>149501.67000000001</v>
          </cell>
          <cell r="Y281">
            <v>269224.76</v>
          </cell>
          <cell r="Z281">
            <v>247194.41000000003</v>
          </cell>
          <cell r="AA281">
            <v>228905.57</v>
          </cell>
          <cell r="AB281">
            <v>280707.45</v>
          </cell>
          <cell r="AC281">
            <v>212917.03000000003</v>
          </cell>
          <cell r="AD281">
            <v>157544.88</v>
          </cell>
          <cell r="AE281">
            <v>156836.01999999999</v>
          </cell>
        </row>
      </sheetData>
      <sheetData sheetId="3">
        <row r="428">
          <cell r="Q428">
            <v>193292.95</v>
          </cell>
          <cell r="R428">
            <v>197292.1</v>
          </cell>
          <cell r="S428">
            <v>210804.6</v>
          </cell>
          <cell r="T428">
            <v>213303.75</v>
          </cell>
          <cell r="U428">
            <v>248438.31000000003</v>
          </cell>
          <cell r="V428">
            <v>407314.98</v>
          </cell>
          <cell r="W428">
            <v>573431.66</v>
          </cell>
          <cell r="X428">
            <v>548558.76</v>
          </cell>
          <cell r="Y428">
            <v>453415.00999999995</v>
          </cell>
          <cell r="Z428">
            <v>284699.22000000003</v>
          </cell>
          <cell r="AA428">
            <v>295613.86999999994</v>
          </cell>
          <cell r="AB428">
            <v>321608.89000000007</v>
          </cell>
        </row>
        <row r="429">
          <cell r="Q429">
            <v>23433.47</v>
          </cell>
          <cell r="R429">
            <v>22557.520000000004</v>
          </cell>
          <cell r="S429">
            <v>27357.63</v>
          </cell>
          <cell r="T429">
            <v>31022.73</v>
          </cell>
          <cell r="U429">
            <v>35855.240000000005</v>
          </cell>
          <cell r="V429">
            <v>59004.889999999992</v>
          </cell>
          <cell r="W429">
            <v>66860.960000000006</v>
          </cell>
          <cell r="X429">
            <v>74056.89</v>
          </cell>
          <cell r="Y429">
            <v>74132.709999999992</v>
          </cell>
          <cell r="Z429">
            <v>54937.01</v>
          </cell>
          <cell r="AA429">
            <v>56080.229999999996</v>
          </cell>
          <cell r="AB429">
            <v>53527.170000000006</v>
          </cell>
        </row>
        <row r="431">
          <cell r="Q431">
            <v>19245.95</v>
          </cell>
          <cell r="R431">
            <v>19730.440000000002</v>
          </cell>
          <cell r="S431">
            <v>24448.660000000003</v>
          </cell>
          <cell r="T431">
            <v>25677.16</v>
          </cell>
          <cell r="U431">
            <v>31397</v>
          </cell>
          <cell r="V431">
            <v>39695.97</v>
          </cell>
          <cell r="W431">
            <v>43698.66</v>
          </cell>
          <cell r="X431">
            <v>49676.28</v>
          </cell>
          <cell r="Y431">
            <v>51976.34</v>
          </cell>
          <cell r="Z431">
            <v>49859.46</v>
          </cell>
          <cell r="AA431">
            <v>52340.35</v>
          </cell>
          <cell r="AB431">
            <v>52767.000000000007</v>
          </cell>
        </row>
        <row r="432">
          <cell r="Q432">
            <v>9097.93</v>
          </cell>
          <cell r="R432">
            <v>8556.94</v>
          </cell>
          <cell r="S432">
            <v>10360.510000000002</v>
          </cell>
          <cell r="T432">
            <v>10154.980000000001</v>
          </cell>
          <cell r="U432">
            <v>12115.060000000001</v>
          </cell>
          <cell r="V432">
            <v>15635.980000000001</v>
          </cell>
          <cell r="W432">
            <v>17518.18</v>
          </cell>
          <cell r="X432">
            <v>19485.620000000003</v>
          </cell>
          <cell r="Y432">
            <v>20293.97</v>
          </cell>
          <cell r="Z432">
            <v>17856.07</v>
          </cell>
          <cell r="AA432">
            <v>18231.330000000002</v>
          </cell>
          <cell r="AB432">
            <v>20189.14</v>
          </cell>
        </row>
        <row r="461">
          <cell r="O461">
            <v>3446392.5217540837</v>
          </cell>
          <cell r="P461">
            <v>4047893.168483912</v>
          </cell>
          <cell r="Q461">
            <v>4213929.5769762238</v>
          </cell>
          <cell r="R461">
            <v>4042042.6339617036</v>
          </cell>
          <cell r="S461">
            <v>4104450.8207642119</v>
          </cell>
          <cell r="T461">
            <v>4140212.3371903044</v>
          </cell>
          <cell r="U461">
            <v>4434022.9983321354</v>
          </cell>
          <cell r="V461">
            <v>4403405.0863374332</v>
          </cell>
          <cell r="W461">
            <v>6117909.4902975271</v>
          </cell>
          <cell r="X461">
            <v>5852541.9504019702</v>
          </cell>
          <cell r="Y461">
            <v>4889098.7152023725</v>
          </cell>
          <cell r="Z461">
            <v>5288857.9461572934</v>
          </cell>
          <cell r="AA461">
            <v>5372843.9377919035</v>
          </cell>
          <cell r="AB461">
            <v>6318445.7562932307</v>
          </cell>
        </row>
        <row r="462">
          <cell r="O462">
            <v>391002.15848317393</v>
          </cell>
          <cell r="P462">
            <v>474549.70395407936</v>
          </cell>
          <cell r="Q462">
            <v>553735.50634364097</v>
          </cell>
          <cell r="R462">
            <v>529707.46843062248</v>
          </cell>
          <cell r="S462">
            <v>637499.17780253873</v>
          </cell>
          <cell r="T462">
            <v>662861.43484169745</v>
          </cell>
          <cell r="U462">
            <v>756358.47254723287</v>
          </cell>
          <cell r="V462">
            <v>788279.18114476872</v>
          </cell>
          <cell r="W462">
            <v>908449.36033127015</v>
          </cell>
          <cell r="X462">
            <v>1002517.9508072215</v>
          </cell>
          <cell r="Y462">
            <v>998120.89033010288</v>
          </cell>
          <cell r="Z462">
            <v>1169045.6660726788</v>
          </cell>
          <cell r="AA462">
            <v>1185089.4638241895</v>
          </cell>
          <cell r="AB462">
            <v>1248307.3174379407</v>
          </cell>
        </row>
        <row r="464">
          <cell r="O464">
            <v>425278.67606767121</v>
          </cell>
          <cell r="P464">
            <v>555148.88305814681</v>
          </cell>
          <cell r="Q464">
            <v>668832.70484671544</v>
          </cell>
          <cell r="R464">
            <v>648589.78223067138</v>
          </cell>
          <cell r="S464">
            <v>795905.45546451013</v>
          </cell>
          <cell r="T464">
            <v>843561.09379520023</v>
          </cell>
          <cell r="U464">
            <v>978425.1076962084</v>
          </cell>
          <cell r="V464">
            <v>1035372.1473916057</v>
          </cell>
          <cell r="W464">
            <v>1175772.4722214623</v>
          </cell>
          <cell r="X464">
            <v>1317909.4547285326</v>
          </cell>
          <cell r="Y464">
            <v>1362157.4383342841</v>
          </cell>
          <cell r="Z464">
            <v>1612721.9898199199</v>
          </cell>
          <cell r="AA464">
            <v>1647407.4453536582</v>
          </cell>
          <cell r="AB464">
            <v>1743914.4130942768</v>
          </cell>
        </row>
        <row r="465">
          <cell r="O465">
            <v>503813.32370472298</v>
          </cell>
          <cell r="P465">
            <v>602858.58553893806</v>
          </cell>
          <cell r="Q465">
            <v>697337.56556853245</v>
          </cell>
          <cell r="R465">
            <v>664162.92041007522</v>
          </cell>
          <cell r="S465">
            <v>794869.48559244978</v>
          </cell>
          <cell r="T465">
            <v>823390.27777925355</v>
          </cell>
          <cell r="U465">
            <v>934497.68817924173</v>
          </cell>
          <cell r="V465">
            <v>970534.97872825945</v>
          </cell>
          <cell r="W465">
            <v>1082767.9971650394</v>
          </cell>
          <cell r="X465">
            <v>1194687.0805360293</v>
          </cell>
          <cell r="Y465">
            <v>1216337.966503921</v>
          </cell>
          <cell r="Z465">
            <v>1419897.6981096223</v>
          </cell>
          <cell r="AA465">
            <v>1436537.4660789862</v>
          </cell>
          <cell r="AB465">
            <v>1510814.4129862185</v>
          </cell>
        </row>
        <row r="563">
          <cell r="O563">
            <v>173998.39</v>
          </cell>
          <cell r="P563">
            <v>186695.79</v>
          </cell>
        </row>
        <row r="564">
          <cell r="O564">
            <v>17607.75</v>
          </cell>
          <cell r="P564">
            <v>19349.18</v>
          </cell>
        </row>
        <row r="566">
          <cell r="O566">
            <v>12864.51</v>
          </cell>
          <cell r="P566">
            <v>15973.439999999999</v>
          </cell>
        </row>
        <row r="567">
          <cell r="O567">
            <v>5858.78</v>
          </cell>
          <cell r="P567">
            <v>7467.78</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West Cycle 2"/>
      <sheetName val="MO West Cycle 3"/>
      <sheetName val="SI Projects 052020-102020"/>
    </sheetNames>
    <sheetDataSet>
      <sheetData sheetId="0">
        <row r="22">
          <cell r="C22">
            <v>0</v>
          </cell>
          <cell r="D22">
            <v>0</v>
          </cell>
          <cell r="E22">
            <v>0</v>
          </cell>
          <cell r="F22">
            <v>40273.949999999997</v>
          </cell>
          <cell r="G22">
            <v>43483.71</v>
          </cell>
          <cell r="H22">
            <v>-4828.33</v>
          </cell>
        </row>
        <row r="23">
          <cell r="C23">
            <v>0</v>
          </cell>
          <cell r="D23">
            <v>0</v>
          </cell>
          <cell r="E23">
            <v>0</v>
          </cell>
          <cell r="F23">
            <v>45140</v>
          </cell>
          <cell r="G23">
            <v>48737.560000000005</v>
          </cell>
          <cell r="H23">
            <v>-5411.6900000000032</v>
          </cell>
        </row>
        <row r="24">
          <cell r="C24">
            <v>0</v>
          </cell>
          <cell r="D24">
            <v>0</v>
          </cell>
          <cell r="E24">
            <v>0</v>
          </cell>
          <cell r="F24">
            <v>8589.32</v>
          </cell>
          <cell r="G24">
            <v>9273.8700000000026</v>
          </cell>
          <cell r="H24">
            <v>-1029.75</v>
          </cell>
        </row>
        <row r="25">
          <cell r="C25">
            <v>0</v>
          </cell>
          <cell r="D25">
            <v>0</v>
          </cell>
          <cell r="E25">
            <v>0</v>
          </cell>
          <cell r="F25">
            <v>0</v>
          </cell>
          <cell r="G25">
            <v>0</v>
          </cell>
          <cell r="H25">
            <v>0</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refreshError="1"/>
      <sheetData sheetId="1" refreshError="1"/>
      <sheetData sheetId="2" refreshError="1"/>
      <sheetData sheetId="3" refreshError="1"/>
      <sheetData sheetId="4">
        <row r="36">
          <cell r="F36">
            <v>12039.83</v>
          </cell>
        </row>
        <row r="37">
          <cell r="F37">
            <v>5149.1801931029077</v>
          </cell>
        </row>
        <row r="38">
          <cell r="F38">
            <v>4206.3213724993175</v>
          </cell>
        </row>
        <row r="39">
          <cell r="F39">
            <v>1454.0301941146586</v>
          </cell>
        </row>
        <row r="44">
          <cell r="F44">
            <v>45878.71</v>
          </cell>
        </row>
        <row r="45">
          <cell r="F45">
            <v>28621.885964832032</v>
          </cell>
        </row>
        <row r="46">
          <cell r="F46">
            <v>23817.251743948898</v>
          </cell>
        </row>
        <row r="47">
          <cell r="F47">
            <v>8461.7721769958262</v>
          </cell>
        </row>
        <row r="52">
          <cell r="F52">
            <v>169507.92</v>
          </cell>
        </row>
        <row r="53">
          <cell r="F53">
            <v>66390.097801005613</v>
          </cell>
        </row>
        <row r="54">
          <cell r="F54">
            <v>42878.600853487318</v>
          </cell>
        </row>
        <row r="55">
          <cell r="F55">
            <v>10730.791324269474</v>
          </cell>
        </row>
        <row r="60">
          <cell r="F60">
            <v>141577.07999999999</v>
          </cell>
        </row>
        <row r="61">
          <cell r="F61">
            <v>76682.92524624108</v>
          </cell>
        </row>
        <row r="62">
          <cell r="F62">
            <v>62038.01474565114</v>
          </cell>
        </row>
        <row r="63">
          <cell r="F63">
            <v>24969.400007855489</v>
          </cell>
        </row>
        <row r="68">
          <cell r="F68">
            <v>514460.38</v>
          </cell>
        </row>
        <row r="69">
          <cell r="F69">
            <v>101607.43</v>
          </cell>
        </row>
        <row r="70">
          <cell r="F70">
            <v>117029.21</v>
          </cell>
        </row>
        <row r="71">
          <cell r="F71">
            <v>88530.09</v>
          </cell>
        </row>
        <row r="75">
          <cell r="F75">
            <v>0</v>
          </cell>
        </row>
        <row r="76">
          <cell r="F76">
            <v>0</v>
          </cell>
        </row>
        <row r="77">
          <cell r="F77">
            <v>0</v>
          </cell>
        </row>
        <row r="78">
          <cell r="F78">
            <v>0</v>
          </cell>
        </row>
        <row r="82">
          <cell r="F82">
            <v>121635.98</v>
          </cell>
        </row>
        <row r="83">
          <cell r="F83">
            <v>7668.49</v>
          </cell>
        </row>
        <row r="84">
          <cell r="F84">
            <v>4934.97</v>
          </cell>
        </row>
        <row r="85">
          <cell r="F85">
            <v>1702.5</v>
          </cell>
        </row>
        <row r="108">
          <cell r="F108">
            <v>199403248.4835</v>
          </cell>
        </row>
        <row r="109">
          <cell r="F109">
            <v>63904046.996799998</v>
          </cell>
        </row>
        <row r="110">
          <cell r="F110">
            <v>70499521.607899994</v>
          </cell>
        </row>
        <row r="111">
          <cell r="F111">
            <v>56750058.543399997</v>
          </cell>
        </row>
      </sheetData>
      <sheetData sheetId="5">
        <row r="36">
          <cell r="F36">
            <v>17282.41</v>
          </cell>
        </row>
        <row r="37">
          <cell r="F37">
            <v>8753.0223867187397</v>
          </cell>
        </row>
        <row r="38">
          <cell r="F38">
            <v>6958.2562578450179</v>
          </cell>
        </row>
        <row r="39">
          <cell r="F39">
            <v>2111.3113554362421</v>
          </cell>
        </row>
        <row r="44">
          <cell r="F44">
            <v>65824.26999999999</v>
          </cell>
        </row>
        <row r="45">
          <cell r="F45">
            <v>38812.264356746709</v>
          </cell>
        </row>
        <row r="46">
          <cell r="F46">
            <v>30555.868073895956</v>
          </cell>
        </row>
        <row r="47">
          <cell r="F47">
            <v>9549.9575693573315</v>
          </cell>
        </row>
        <row r="52">
          <cell r="F52">
            <v>243281.86000000002</v>
          </cell>
        </row>
        <row r="53">
          <cell r="F53">
            <v>89328.152711399045</v>
          </cell>
        </row>
        <row r="54">
          <cell r="F54">
            <v>54670.810846446235</v>
          </cell>
        </row>
        <row r="55">
          <cell r="F55">
            <v>12084.466442154717</v>
          </cell>
        </row>
        <row r="60">
          <cell r="F60">
            <v>203188.29</v>
          </cell>
        </row>
        <row r="61">
          <cell r="F61">
            <v>102910.47284801365</v>
          </cell>
        </row>
        <row r="62">
          <cell r="F62">
            <v>78697.971045776008</v>
          </cell>
        </row>
        <row r="63">
          <cell r="F63">
            <v>27884.636106467162</v>
          </cell>
        </row>
        <row r="68">
          <cell r="F68">
            <v>738332.02</v>
          </cell>
        </row>
        <row r="69">
          <cell r="F69">
            <v>136352.87</v>
          </cell>
        </row>
        <row r="70">
          <cell r="F70">
            <v>148449.17000000001</v>
          </cell>
        </row>
        <row r="71">
          <cell r="F71">
            <v>98861.16</v>
          </cell>
        </row>
        <row r="75">
          <cell r="F75">
            <v>0</v>
          </cell>
        </row>
        <row r="76">
          <cell r="F76">
            <v>0</v>
          </cell>
        </row>
        <row r="77">
          <cell r="F77">
            <v>0</v>
          </cell>
        </row>
        <row r="78">
          <cell r="F78">
            <v>0</v>
          </cell>
        </row>
        <row r="82">
          <cell r="F82">
            <v>174566.87</v>
          </cell>
        </row>
        <row r="83">
          <cell r="F83">
            <v>10290.780000000001</v>
          </cell>
        </row>
        <row r="84">
          <cell r="F84">
            <v>6259.9</v>
          </cell>
        </row>
        <row r="85">
          <cell r="F85">
            <v>1901.18</v>
          </cell>
        </row>
        <row r="108">
          <cell r="F108">
            <v>286175202.26459992</v>
          </cell>
        </row>
        <row r="109">
          <cell r="F109">
            <v>85756522.119599998</v>
          </cell>
        </row>
        <row r="110">
          <cell r="F110">
            <v>89427213.129099995</v>
          </cell>
        </row>
        <row r="111">
          <cell r="F111">
            <v>63372537.728</v>
          </cell>
        </row>
      </sheetData>
      <sheetData sheetId="6">
        <row r="36">
          <cell r="F36">
            <v>23981.54</v>
          </cell>
        </row>
        <row r="37">
          <cell r="F37">
            <v>11971.568502580065</v>
          </cell>
        </row>
        <row r="38">
          <cell r="F38">
            <v>12549.443777386779</v>
          </cell>
        </row>
        <row r="39">
          <cell r="F39">
            <v>-3624.4922799668429</v>
          </cell>
        </row>
        <row r="44">
          <cell r="F44">
            <v>91644.33</v>
          </cell>
        </row>
        <row r="45">
          <cell r="F45">
            <v>49423.860321777232</v>
          </cell>
        </row>
        <row r="46">
          <cell r="F46">
            <v>37039.761392912165</v>
          </cell>
        </row>
        <row r="47">
          <cell r="F47">
            <v>8935.2782853106073</v>
          </cell>
        </row>
        <row r="52">
          <cell r="F52">
            <v>338698.23</v>
          </cell>
        </row>
        <row r="53">
          <cell r="F53">
            <v>113542.94323912183</v>
          </cell>
        </row>
        <row r="54">
          <cell r="F54">
            <v>65522.283495441021</v>
          </cell>
        </row>
        <row r="55">
          <cell r="F55">
            <v>11966.73326543714</v>
          </cell>
        </row>
        <row r="60">
          <cell r="F60">
            <v>282897.67</v>
          </cell>
        </row>
        <row r="61">
          <cell r="F61">
            <v>130681.51358404833</v>
          </cell>
        </row>
        <row r="62">
          <cell r="F62">
            <v>93343.633881404443</v>
          </cell>
        </row>
        <row r="63">
          <cell r="F63">
            <v>29792.992534547229</v>
          </cell>
        </row>
        <row r="68">
          <cell r="F68">
            <v>1027985.87</v>
          </cell>
        </row>
        <row r="69">
          <cell r="F69">
            <v>173092.02</v>
          </cell>
        </row>
        <row r="70">
          <cell r="F70">
            <v>176018.02</v>
          </cell>
        </row>
        <row r="71">
          <cell r="F71">
            <v>105592.49</v>
          </cell>
        </row>
        <row r="75">
          <cell r="F75">
            <v>2.74</v>
          </cell>
        </row>
        <row r="76">
          <cell r="F76">
            <v>0</v>
          </cell>
        </row>
        <row r="77">
          <cell r="F77">
            <v>0</v>
          </cell>
        </row>
        <row r="78">
          <cell r="F78">
            <v>0</v>
          </cell>
        </row>
        <row r="82">
          <cell r="F82">
            <v>243052.49</v>
          </cell>
        </row>
        <row r="83">
          <cell r="F83">
            <v>13063.55</v>
          </cell>
        </row>
        <row r="84">
          <cell r="F84">
            <v>7422.45</v>
          </cell>
        </row>
        <row r="85">
          <cell r="F85">
            <v>2030.62</v>
          </cell>
        </row>
        <row r="108">
          <cell r="F108">
            <v>398445202.37469995</v>
          </cell>
        </row>
        <row r="109">
          <cell r="F109">
            <v>108862905.37110001</v>
          </cell>
        </row>
        <row r="110">
          <cell r="F110">
            <v>106034959.5429</v>
          </cell>
        </row>
        <row r="111">
          <cell r="F111">
            <v>67687491.856800005</v>
          </cell>
        </row>
      </sheetData>
      <sheetData sheetId="7">
        <row r="36">
          <cell r="F36">
            <v>7484.9</v>
          </cell>
        </row>
        <row r="37">
          <cell r="F37">
            <v>4804.8559953940394</v>
          </cell>
        </row>
        <row r="38">
          <cell r="F38">
            <v>3219.5271565357825</v>
          </cell>
        </row>
        <row r="39">
          <cell r="F39">
            <v>1084.0668480701788</v>
          </cell>
        </row>
        <row r="44">
          <cell r="F44">
            <v>-3593.7799999999997</v>
          </cell>
        </row>
        <row r="45">
          <cell r="F45">
            <v>-45102.845607336472</v>
          </cell>
        </row>
        <row r="46">
          <cell r="F46">
            <v>-34770.963833817688</v>
          </cell>
        </row>
        <row r="47">
          <cell r="F47">
            <v>-12491.72055884584</v>
          </cell>
        </row>
        <row r="52">
          <cell r="F52">
            <v>309565.57999999996</v>
          </cell>
        </row>
        <row r="53">
          <cell r="F53">
            <v>116353.17216049159</v>
          </cell>
        </row>
        <row r="54">
          <cell r="F54">
            <v>71467.072479524359</v>
          </cell>
        </row>
        <row r="55">
          <cell r="F55">
            <v>14425.285359984044</v>
          </cell>
        </row>
        <row r="60">
          <cell r="F60">
            <v>247620.33</v>
          </cell>
        </row>
        <row r="61">
          <cell r="F61">
            <v>120268.9377084352</v>
          </cell>
        </row>
        <row r="62">
          <cell r="F62">
            <v>90674.398416266908</v>
          </cell>
        </row>
        <row r="63">
          <cell r="F63">
            <v>39180.203875297891</v>
          </cell>
        </row>
        <row r="68">
          <cell r="F68">
            <v>884871.5</v>
          </cell>
        </row>
        <row r="69">
          <cell r="F69">
            <v>201069.69999999998</v>
          </cell>
        </row>
        <row r="70">
          <cell r="F70">
            <v>199997.21</v>
          </cell>
        </row>
        <row r="71">
          <cell r="F71">
            <v>171145.63</v>
          </cell>
        </row>
        <row r="75">
          <cell r="F75">
            <v>54617.99</v>
          </cell>
        </row>
        <row r="76">
          <cell r="F76">
            <v>10354.280000000001</v>
          </cell>
        </row>
        <row r="77">
          <cell r="F77">
            <v>5236.57</v>
          </cell>
        </row>
        <row r="78">
          <cell r="F78">
            <v>9605.34</v>
          </cell>
        </row>
        <row r="82">
          <cell r="F82">
            <v>240333.36</v>
          </cell>
        </row>
        <row r="83">
          <cell r="F83">
            <v>31077.68</v>
          </cell>
        </row>
        <row r="84">
          <cell r="F84">
            <v>17935.150000000001</v>
          </cell>
        </row>
        <row r="85">
          <cell r="F85">
            <v>6273.14</v>
          </cell>
        </row>
        <row r="108">
          <cell r="F108">
            <v>364143211.15249997</v>
          </cell>
        </row>
        <row r="109">
          <cell r="F109">
            <v>103666496.91549996</v>
          </cell>
        </row>
        <row r="110">
          <cell r="F110">
            <v>106600183.03749998</v>
          </cell>
        </row>
        <row r="111">
          <cell r="F111">
            <v>71885495.752599999</v>
          </cell>
        </row>
      </sheetData>
      <sheetData sheetId="8">
        <row r="36">
          <cell r="F36">
            <v>6509.34</v>
          </cell>
        </row>
        <row r="37">
          <cell r="F37">
            <v>4072.8926997465969</v>
          </cell>
        </row>
        <row r="38">
          <cell r="F38">
            <v>-448.43998362873054</v>
          </cell>
        </row>
        <row r="39">
          <cell r="F39">
            <v>905.39728388213405</v>
          </cell>
        </row>
        <row r="44">
          <cell r="F44">
            <v>-3194.37</v>
          </cell>
        </row>
        <row r="45">
          <cell r="F45">
            <v>-42955.334592976258</v>
          </cell>
        </row>
        <row r="46">
          <cell r="F46">
            <v>-35235.001193890646</v>
          </cell>
        </row>
        <row r="47">
          <cell r="F47">
            <v>-13106.764213133092</v>
          </cell>
        </row>
        <row r="52">
          <cell r="F52">
            <v>278772.06</v>
          </cell>
        </row>
        <row r="53">
          <cell r="F53">
            <v>110720.23685696104</v>
          </cell>
        </row>
        <row r="54">
          <cell r="F54">
            <v>66715.986355175308</v>
          </cell>
        </row>
        <row r="55">
          <cell r="F55">
            <v>13916.966787863657</v>
          </cell>
        </row>
        <row r="60">
          <cell r="F60">
            <v>223034.38999999998</v>
          </cell>
        </row>
        <row r="61">
          <cell r="F61">
            <v>114405.01763998395</v>
          </cell>
        </row>
        <row r="62">
          <cell r="F62">
            <v>85129.001148671843</v>
          </cell>
        </row>
        <row r="63">
          <cell r="F63">
            <v>38106.641211344206</v>
          </cell>
        </row>
        <row r="68">
          <cell r="F68">
            <v>797080.23</v>
          </cell>
        </row>
        <row r="69">
          <cell r="F69">
            <v>191362.41</v>
          </cell>
        </row>
        <row r="70">
          <cell r="F70">
            <v>188634.85</v>
          </cell>
        </row>
        <row r="71">
          <cell r="F71">
            <v>167740.13</v>
          </cell>
        </row>
        <row r="75">
          <cell r="F75">
            <v>49173.599999999999</v>
          </cell>
        </row>
        <row r="76">
          <cell r="F76">
            <v>9854</v>
          </cell>
        </row>
        <row r="77">
          <cell r="F77">
            <v>5058.49</v>
          </cell>
        </row>
        <row r="78">
          <cell r="F78">
            <v>9703.9699999999993</v>
          </cell>
        </row>
        <row r="82">
          <cell r="F82">
            <v>216474.46</v>
          </cell>
        </row>
        <row r="83">
          <cell r="F83">
            <v>29576.71</v>
          </cell>
        </row>
        <row r="84">
          <cell r="F84">
            <v>17132.91</v>
          </cell>
        </row>
        <row r="85">
          <cell r="F85">
            <v>6238.27</v>
          </cell>
        </row>
        <row r="108">
          <cell r="F108">
            <v>328005354.16079998</v>
          </cell>
        </row>
        <row r="109">
          <cell r="F109">
            <v>98662510.360800043</v>
          </cell>
        </row>
        <row r="110">
          <cell r="F110">
            <v>100227395.4313</v>
          </cell>
        </row>
        <row r="111">
          <cell r="F111">
            <v>69314101.535400003</v>
          </cell>
        </row>
      </sheetData>
      <sheetData sheetId="9">
        <row r="36">
          <cell r="F36">
            <v>4748.21</v>
          </cell>
        </row>
        <row r="37">
          <cell r="F37">
            <v>4006.0884650283951</v>
          </cell>
        </row>
        <row r="38">
          <cell r="F38">
            <v>2656.4942554781746</v>
          </cell>
        </row>
        <row r="39">
          <cell r="F39">
            <v>942.62727949343048</v>
          </cell>
        </row>
        <row r="44">
          <cell r="F44">
            <v>-2234.2499999999995</v>
          </cell>
        </row>
        <row r="45">
          <cell r="F45">
            <v>-37533.006803966469</v>
          </cell>
        </row>
        <row r="46">
          <cell r="F46">
            <v>-31138.032744958022</v>
          </cell>
        </row>
        <row r="47">
          <cell r="F47">
            <v>-12593.950451075511</v>
          </cell>
        </row>
        <row r="52">
          <cell r="F52">
            <v>193842.83</v>
          </cell>
        </row>
        <row r="53">
          <cell r="F53">
            <v>96458.334785134241</v>
          </cell>
        </row>
        <row r="54">
          <cell r="F54">
            <v>61784.177207527515</v>
          </cell>
        </row>
        <row r="55">
          <cell r="F55">
            <v>13362.978007338252</v>
          </cell>
        </row>
        <row r="60">
          <cell r="F60">
            <v>155047.83000000002</v>
          </cell>
        </row>
        <row r="61">
          <cell r="F61">
            <v>99672.829424731259</v>
          </cell>
        </row>
        <row r="62">
          <cell r="F62">
            <v>78222.385429025191</v>
          </cell>
        </row>
        <row r="63">
          <cell r="F63">
            <v>36610.385146243549</v>
          </cell>
        </row>
        <row r="68">
          <cell r="F68">
            <v>554061.68000000005</v>
          </cell>
        </row>
        <row r="69">
          <cell r="F69">
            <v>166709.60999999999</v>
          </cell>
        </row>
        <row r="70">
          <cell r="F70">
            <v>173010.63</v>
          </cell>
        </row>
        <row r="71">
          <cell r="F71">
            <v>161079.75</v>
          </cell>
        </row>
        <row r="75">
          <cell r="F75">
            <v>34195.589999999997</v>
          </cell>
        </row>
        <row r="76">
          <cell r="F76">
            <v>8597.52</v>
          </cell>
        </row>
        <row r="77">
          <cell r="F77">
            <v>4602.51</v>
          </cell>
        </row>
        <row r="78">
          <cell r="F78">
            <v>9318.66</v>
          </cell>
        </row>
        <row r="82">
          <cell r="F82">
            <v>150482.60999999999</v>
          </cell>
        </row>
        <row r="83">
          <cell r="F83">
            <v>25786.35</v>
          </cell>
        </row>
        <row r="84">
          <cell r="F84">
            <v>15646.68</v>
          </cell>
        </row>
        <row r="85">
          <cell r="F85">
            <v>5990.57</v>
          </cell>
        </row>
        <row r="108">
          <cell r="F108">
            <v>228006694.89229998</v>
          </cell>
        </row>
        <row r="109">
          <cell r="F109">
            <v>85923453.744699985</v>
          </cell>
        </row>
        <row r="110">
          <cell r="F110">
            <v>92023858.185599998</v>
          </cell>
        </row>
        <row r="111">
          <cell r="F111">
            <v>66561880.152799994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2020"/>
      <sheetName val="Jun 2020"/>
      <sheetName val="Jul 2020"/>
      <sheetName val="Aug 2020"/>
      <sheetName val="Sep 2020"/>
      <sheetName val="Oct 2020"/>
    </sheetNames>
    <sheetDataSet>
      <sheetData sheetId="0">
        <row r="51">
          <cell r="F51">
            <v>1.20652E-3</v>
          </cell>
        </row>
      </sheetData>
      <sheetData sheetId="1">
        <row r="51">
          <cell r="F51">
            <v>1.1948200000000001E-3</v>
          </cell>
        </row>
      </sheetData>
      <sheetData sheetId="2">
        <row r="51">
          <cell r="F51">
            <v>1.1852799999999999E-3</v>
          </cell>
        </row>
      </sheetData>
      <sheetData sheetId="3">
        <row r="51">
          <cell r="F51">
            <v>1.17614E-3</v>
          </cell>
        </row>
      </sheetData>
      <sheetData sheetId="4">
        <row r="51">
          <cell r="F51">
            <v>1.1682400000000001E-3</v>
          </cell>
        </row>
      </sheetData>
      <sheetData sheetId="5">
        <row r="51">
          <cell r="F51">
            <v>1.1636999999999999E-3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 Projects 052020 06092020"/>
      <sheetName val="Input"/>
      <sheetName val="Program Descriptions"/>
    </sheetNames>
    <sheetDataSet>
      <sheetData sheetId="0">
        <row r="26">
          <cell r="N26">
            <v>62312.6</v>
          </cell>
          <cell r="P26">
            <v>116922.99</v>
          </cell>
          <cell r="Q26">
            <v>103592.33000000005</v>
          </cell>
          <cell r="R26">
            <v>1160363.2499999998</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62020 07092020"/>
      <sheetName val="Input"/>
      <sheetName val="Program Descriptions"/>
    </sheetNames>
    <sheetDataSet>
      <sheetData sheetId="0">
        <row r="26">
          <cell r="N26">
            <v>128919.4</v>
          </cell>
          <cell r="P26">
            <v>106953.89</v>
          </cell>
          <cell r="Q26">
            <v>197790.34999999992</v>
          </cell>
          <cell r="R26">
            <v>621171.52</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72020 08072020"/>
      <sheetName val="Input"/>
      <sheetName val="Program Descriptions"/>
    </sheetNames>
    <sheetDataSet>
      <sheetData sheetId="0">
        <row r="26">
          <cell r="N26">
            <v>193650.01</v>
          </cell>
          <cell r="P26">
            <v>198598.26</v>
          </cell>
          <cell r="Q26">
            <v>68197.959999999875</v>
          </cell>
          <cell r="R26">
            <v>807646.91999999993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tabSelected="1" zoomScale="96" zoomScaleNormal="96" workbookViewId="0">
      <pane xSplit="2" ySplit="3" topLeftCell="C4" activePane="bottomRight" state="frozen"/>
      <selection activeCell="J8" sqref="J8"/>
      <selection pane="topRight" activeCell="J8" sqref="J8"/>
      <selection pane="bottomLeft" activeCell="J8" sqref="J8"/>
      <selection pane="bottomRight" activeCell="K14" sqref="K14"/>
    </sheetView>
  </sheetViews>
  <sheetFormatPr defaultRowHeight="14.5" outlineLevelCol="1" x14ac:dyDescent="0.35"/>
  <cols>
    <col min="2" max="2" width="25.1796875" customWidth="1"/>
    <col min="3" max="3" width="16" bestFit="1" customWidth="1"/>
    <col min="4" max="4" width="15.54296875" customWidth="1"/>
    <col min="5" max="5" width="15.453125" bestFit="1" customWidth="1"/>
    <col min="6" max="6" width="11.26953125" bestFit="1" customWidth="1"/>
    <col min="7" max="7" width="19.1796875" bestFit="1" customWidth="1"/>
    <col min="8" max="8" width="14.453125" customWidth="1"/>
    <col min="9" max="9" width="3.54296875" customWidth="1"/>
    <col min="10" max="10" width="13.7265625" bestFit="1" customWidth="1"/>
    <col min="11" max="11" width="13" bestFit="1" customWidth="1"/>
    <col min="12" max="13" width="13.7265625" bestFit="1" customWidth="1"/>
    <col min="14" max="14" width="11.7265625" bestFit="1" customWidth="1"/>
    <col min="15" max="16" width="16.7265625" bestFit="1" customWidth="1" outlineLevel="1"/>
    <col min="17" max="17" width="16.7265625" style="59" bestFit="1" customWidth="1" outlineLevel="1"/>
    <col min="18" max="18" width="7.7265625" bestFit="1" customWidth="1" outlineLevel="1"/>
    <col min="19" max="20" width="16.7265625" bestFit="1" customWidth="1" outlineLevel="1"/>
    <col min="21" max="21" width="16.7265625" style="59" bestFit="1" customWidth="1" outlineLevel="1"/>
    <col min="22" max="22" width="16.7265625" bestFit="1" customWidth="1" outlineLevel="1"/>
    <col min="23" max="23" width="9.1796875" customWidth="1" outlineLevel="1"/>
    <col min="24" max="27" width="16.7265625" bestFit="1" customWidth="1" outlineLevel="1"/>
    <col min="28" max="28" width="12.1796875" bestFit="1" customWidth="1"/>
  </cols>
  <sheetData>
    <row r="1" spans="1:28" x14ac:dyDescent="0.35">
      <c r="A1" s="3" t="str">
        <f>+'PPC Cycle 2'!A1</f>
        <v>Evergy Missouri West, Inc. - DSIM Rider Update Filed 12/01/2020</v>
      </c>
    </row>
    <row r="2" spans="1:28" ht="15" thickBot="1" x14ac:dyDescent="0.4">
      <c r="H2" s="59"/>
      <c r="I2" s="59"/>
      <c r="J2" s="61"/>
      <c r="K2" s="61"/>
    </row>
    <row r="3" spans="1:28" ht="27.5" thickBot="1" x14ac:dyDescent="0.4">
      <c r="B3" s="105" t="s">
        <v>8</v>
      </c>
      <c r="C3" s="148" t="s">
        <v>21</v>
      </c>
      <c r="D3" s="148" t="s">
        <v>22</v>
      </c>
      <c r="E3" s="148" t="s">
        <v>59</v>
      </c>
      <c r="F3" s="148" t="s">
        <v>23</v>
      </c>
      <c r="G3" s="148" t="s">
        <v>40</v>
      </c>
      <c r="H3" s="107" t="s">
        <v>30</v>
      </c>
      <c r="I3" s="51"/>
      <c r="J3" s="106" t="s">
        <v>15</v>
      </c>
      <c r="K3" s="107" t="s">
        <v>58</v>
      </c>
      <c r="L3" s="107" t="s">
        <v>76</v>
      </c>
      <c r="M3" s="107" t="s">
        <v>77</v>
      </c>
    </row>
    <row r="4" spans="1:28" ht="15" thickBot="1" x14ac:dyDescent="0.4">
      <c r="B4" s="108" t="s">
        <v>26</v>
      </c>
      <c r="C4" s="146">
        <f t="shared" ref="C4:F7" si="0">C12+C20</f>
        <v>9105748.5023200009</v>
      </c>
      <c r="D4" s="147">
        <f t="shared" si="0"/>
        <v>6806094.80858</v>
      </c>
      <c r="E4" s="147">
        <f t="shared" si="0"/>
        <v>2039202.6852600002</v>
      </c>
      <c r="F4" s="147">
        <f t="shared" si="0"/>
        <v>0</v>
      </c>
      <c r="G4" s="150">
        <f>+'PPC Cycle 3'!B5</f>
        <v>3544334226</v>
      </c>
      <c r="H4" s="151">
        <f>ROUND(SUM(C4:F4)/G4,5)</f>
        <v>5.0600000000000003E-3</v>
      </c>
      <c r="I4" s="152"/>
      <c r="J4" s="216">
        <f>ROUND((C12+C20)/G4,5)</f>
        <v>2.5699999999999998E-3</v>
      </c>
      <c r="K4" s="294">
        <f>ROUND((D12+D20)/G4,5)-0.00001</f>
        <v>1.91E-3</v>
      </c>
      <c r="L4" s="153">
        <f>ROUND((E12+E20)/G4,5)</f>
        <v>5.8E-4</v>
      </c>
      <c r="M4" s="153">
        <f>ROUND((F12+F20)/G4,5)</f>
        <v>0</v>
      </c>
      <c r="N4" s="284">
        <f>+H4-SUM(J4:M4)</f>
        <v>0</v>
      </c>
      <c r="O4" s="296"/>
      <c r="P4" s="296"/>
      <c r="Q4" s="296"/>
      <c r="R4" s="296"/>
      <c r="S4" s="296"/>
    </row>
    <row r="5" spans="1:28" ht="15" thickBot="1" x14ac:dyDescent="0.4">
      <c r="B5" s="108" t="s">
        <v>120</v>
      </c>
      <c r="C5" s="146">
        <f t="shared" si="0"/>
        <v>1707501.65</v>
      </c>
      <c r="D5" s="147">
        <f t="shared" si="0"/>
        <v>1599673.7815999999</v>
      </c>
      <c r="E5" s="147">
        <f t="shared" si="0"/>
        <v>1383298.46</v>
      </c>
      <c r="F5" s="147">
        <f t="shared" si="0"/>
        <v>0</v>
      </c>
      <c r="G5" s="150">
        <f>+'PPC Cycle 3'!B6</f>
        <v>906575279</v>
      </c>
      <c r="H5" s="151">
        <f>ROUND(SUM(C5:F5)/G5,5)</f>
        <v>5.1700000000000001E-3</v>
      </c>
      <c r="I5" s="152"/>
      <c r="J5" s="217">
        <f>ROUND((C13+C21)/G5,5)</f>
        <v>1.8799999999999999E-3</v>
      </c>
      <c r="K5" s="153">
        <f>ROUND((D13+D21)/G5,5)</f>
        <v>1.7600000000000001E-3</v>
      </c>
      <c r="L5" s="153">
        <f>ROUND((E13+E21)/G5,5)</f>
        <v>1.5299999999999999E-3</v>
      </c>
      <c r="M5" s="153">
        <f>ROUND((F13+F21)/G5,5)</f>
        <v>0</v>
      </c>
      <c r="N5" s="284">
        <f t="shared" ref="N5:N7" si="1">+H5-SUM(J5:M5)</f>
        <v>0</v>
      </c>
      <c r="O5" s="296"/>
      <c r="P5" s="296"/>
      <c r="Q5" s="296"/>
      <c r="R5" s="296"/>
      <c r="S5" s="296"/>
    </row>
    <row r="6" spans="1:28" s="59" customFormat="1" ht="15" thickBot="1" x14ac:dyDescent="0.4">
      <c r="B6" s="108" t="s">
        <v>121</v>
      </c>
      <c r="C6" s="146">
        <f t="shared" si="0"/>
        <v>2899627.09</v>
      </c>
      <c r="D6" s="147">
        <f t="shared" si="0"/>
        <v>1406598.8708600001</v>
      </c>
      <c r="E6" s="147">
        <f t="shared" si="0"/>
        <v>1539807.8800000001</v>
      </c>
      <c r="F6" s="147">
        <f t="shared" si="0"/>
        <v>0</v>
      </c>
      <c r="G6" s="150">
        <f>+'PPC Cycle 3'!B7</f>
        <v>1374305969</v>
      </c>
      <c r="H6" s="151">
        <f>ROUND(SUM(C6:F6)/G6,5)</f>
        <v>4.2500000000000003E-3</v>
      </c>
      <c r="I6" s="152"/>
      <c r="J6" s="280">
        <f>ROUND((C14+C22)/G6,5)</f>
        <v>2.1099999999999999E-3</v>
      </c>
      <c r="K6" s="153">
        <f>ROUND((D14+D22)/G6,5)</f>
        <v>1.0200000000000001E-3</v>
      </c>
      <c r="L6" s="153">
        <f>ROUND((E14+E22)/G6,5)</f>
        <v>1.1199999999999999E-3</v>
      </c>
      <c r="M6" s="153">
        <f>ROUND((F14+F22)/G6,5)</f>
        <v>0</v>
      </c>
      <c r="N6" s="284">
        <f t="shared" si="1"/>
        <v>0</v>
      </c>
      <c r="O6" s="296"/>
      <c r="P6" s="296"/>
      <c r="Q6" s="296"/>
      <c r="R6" s="296"/>
      <c r="S6" s="296"/>
    </row>
    <row r="7" spans="1:28" s="59" customFormat="1" ht="15" thickBot="1" x14ac:dyDescent="0.4">
      <c r="B7" s="108" t="s">
        <v>122</v>
      </c>
      <c r="C7" s="146">
        <f t="shared" si="0"/>
        <v>2383855.79</v>
      </c>
      <c r="D7" s="147">
        <f t="shared" si="0"/>
        <v>344809.39964999998</v>
      </c>
      <c r="E7" s="147">
        <f t="shared" si="0"/>
        <v>548515.79</v>
      </c>
      <c r="F7" s="147">
        <f t="shared" si="0"/>
        <v>0</v>
      </c>
      <c r="G7" s="150">
        <f>+'PPC Cycle 3'!B8</f>
        <v>800621965</v>
      </c>
      <c r="H7" s="151">
        <f>ROUND(SUM(C7:F7)/G7,5)</f>
        <v>4.0899999999999999E-3</v>
      </c>
      <c r="I7" s="152"/>
      <c r="J7" s="280">
        <f>ROUND((C15+C23)/G7,5)</f>
        <v>2.98E-3</v>
      </c>
      <c r="K7" s="294">
        <f>ROUND((D15+D23)/G7,5)-0.00001</f>
        <v>4.1999999999999996E-4</v>
      </c>
      <c r="L7" s="153">
        <f>ROUND((E15+E23)/G7,5)</f>
        <v>6.8999999999999997E-4</v>
      </c>
      <c r="M7" s="153">
        <f>ROUND((F15+F23)/G7,5)</f>
        <v>0</v>
      </c>
      <c r="N7" s="284">
        <f t="shared" si="1"/>
        <v>0</v>
      </c>
      <c r="O7" s="296"/>
      <c r="P7" s="296"/>
      <c r="Q7" s="296"/>
      <c r="R7" s="296"/>
      <c r="S7" s="296"/>
    </row>
    <row r="8" spans="1:28" x14ac:dyDescent="0.35">
      <c r="C8" s="145"/>
      <c r="D8" s="145"/>
      <c r="E8" s="145"/>
      <c r="F8" s="145"/>
      <c r="G8" s="144"/>
    </row>
    <row r="9" spans="1:28" x14ac:dyDescent="0.35">
      <c r="C9" s="145"/>
      <c r="D9" s="145"/>
      <c r="E9" s="145"/>
      <c r="F9" s="145"/>
      <c r="G9" s="144"/>
    </row>
    <row r="10" spans="1:28" ht="15" thickBot="1" x14ac:dyDescent="0.4">
      <c r="C10" s="145"/>
      <c r="D10" s="145"/>
      <c r="E10" s="145"/>
      <c r="F10" s="145"/>
      <c r="G10" s="144"/>
    </row>
    <row r="11" spans="1:28" ht="15" thickBot="1" x14ac:dyDescent="0.4">
      <c r="B11" s="105" t="s">
        <v>8</v>
      </c>
      <c r="C11" s="149" t="s">
        <v>7</v>
      </c>
      <c r="D11" s="149" t="s">
        <v>18</v>
      </c>
      <c r="E11" s="149" t="s">
        <v>60</v>
      </c>
      <c r="F11" s="149" t="s">
        <v>19</v>
      </c>
      <c r="G11" s="144"/>
      <c r="J11" s="17"/>
      <c r="K11" s="17"/>
      <c r="O11" s="149" t="s">
        <v>78</v>
      </c>
      <c r="P11" s="149" t="s">
        <v>79</v>
      </c>
      <c r="Q11" s="149" t="s">
        <v>86</v>
      </c>
      <c r="R11" s="59"/>
      <c r="S11" s="149" t="s">
        <v>80</v>
      </c>
      <c r="T11" s="149" t="s">
        <v>81</v>
      </c>
      <c r="U11" s="149" t="s">
        <v>116</v>
      </c>
      <c r="V11" s="149" t="s">
        <v>102</v>
      </c>
      <c r="X11" s="149" t="s">
        <v>128</v>
      </c>
      <c r="Y11" s="149" t="s">
        <v>129</v>
      </c>
      <c r="Z11" s="149" t="s">
        <v>130</v>
      </c>
      <c r="AA11" s="149" t="s">
        <v>131</v>
      </c>
    </row>
    <row r="12" spans="1:28" ht="15" thickBot="1" x14ac:dyDescent="0.4">
      <c r="B12" s="108" t="s">
        <v>26</v>
      </c>
      <c r="C12" s="147">
        <f>'PPC Cycle 2'!C5+'PPC Cycle 3'!C5</f>
        <v>9230834.5099999998</v>
      </c>
      <c r="D12" s="147">
        <f>'PTD Cycle 2'!C6+'PTD Cycle 3'!C6</f>
        <v>6445559.3499999996</v>
      </c>
      <c r="E12" s="147">
        <f>+'EO Cycle 2'!G7</f>
        <v>2108272.4900000002</v>
      </c>
      <c r="F12" s="146">
        <f>+'OA Cycle 2'!D8</f>
        <v>0</v>
      </c>
      <c r="G12" s="144"/>
      <c r="J12" s="174"/>
      <c r="K12" s="17"/>
      <c r="O12" s="203">
        <v>0</v>
      </c>
      <c r="P12" s="203">
        <v>0</v>
      </c>
      <c r="Q12" s="249">
        <v>0</v>
      </c>
      <c r="R12" s="177"/>
      <c r="S12" s="176">
        <f>ROUND(+'PPC Cycle 2'!C5/'tariff tables'!$G4,5)</f>
        <v>0</v>
      </c>
      <c r="T12" s="176">
        <f>ROUND(+'PTD Cycle 2'!C6/'tariff tables'!G4,5)</f>
        <v>6.9999999999999999E-4</v>
      </c>
      <c r="U12" s="176">
        <f>ROUND('EO Cycle 2'!G7/'tariff tables'!G4,5)</f>
        <v>5.9000000000000003E-4</v>
      </c>
      <c r="V12" s="176">
        <f>ROUND('OA Cycle 2'!D8/'tariff tables'!G4,5)</f>
        <v>0</v>
      </c>
      <c r="X12" s="176">
        <f>ROUND('PPC Cycle 3'!C5/'tariff tables'!$G4,5)</f>
        <v>2.5999999999999999E-3</v>
      </c>
      <c r="Y12" s="176">
        <f>ROUND('PTD Cycle 3'!C6/'tariff tables'!G4,5)</f>
        <v>1.1100000000000001E-3</v>
      </c>
      <c r="Z12" s="176">
        <f>ROUND(0/'tariff tables'!G4,5)</f>
        <v>0</v>
      </c>
      <c r="AA12" s="176">
        <f>ROUND(0/'tariff tables'!G4,5)</f>
        <v>0</v>
      </c>
      <c r="AB12" s="177">
        <f>SUM(O12:AA12,O20:AA20)</f>
        <v>5.0600000000000011E-3</v>
      </c>
    </row>
    <row r="13" spans="1:28" ht="15" thickBot="1" x14ac:dyDescent="0.4">
      <c r="B13" s="108" t="s">
        <v>120</v>
      </c>
      <c r="C13" s="147">
        <f>'PPC Cycle 2'!C10+'PPC Cycle 3'!C6</f>
        <v>2013632.28</v>
      </c>
      <c r="D13" s="147">
        <f>'PTD Cycle 2'!C10+'PTD Cycle 3'!C7</f>
        <v>1664159.14</v>
      </c>
      <c r="E13" s="147">
        <f>+'EO Cycle 2'!G11</f>
        <v>1383486.98</v>
      </c>
      <c r="F13" s="146">
        <f>+'OA Cycle 2'!D13</f>
        <v>0</v>
      </c>
      <c r="G13" s="144"/>
      <c r="H13" s="59"/>
      <c r="J13" s="174"/>
      <c r="K13" s="17"/>
      <c r="O13" s="203">
        <v>0</v>
      </c>
      <c r="P13" s="203">
        <v>0</v>
      </c>
      <c r="Q13" s="249">
        <v>0</v>
      </c>
      <c r="R13" s="177"/>
      <c r="S13" s="176">
        <f>ROUND(+'PPC Cycle 2'!C10/'tariff tables'!$G5,5)</f>
        <v>0</v>
      </c>
      <c r="T13" s="203">
        <f>ROUND(+'PTD Cycle 2'!C10/'tariff tables'!G5,5)</f>
        <v>1.1999999999999999E-3</v>
      </c>
      <c r="U13" s="249">
        <f>ROUND('EO Cycle 2'!G11/'tariff tables'!G5,5)</f>
        <v>1.5299999999999999E-3</v>
      </c>
      <c r="V13" s="203">
        <f>ROUND('OA Cycle 2'!D13/'tariff tables'!G5,5)</f>
        <v>0</v>
      </c>
      <c r="X13" s="176">
        <f>ROUND('PPC Cycle 3'!C6/'tariff tables'!$G5,5)</f>
        <v>2.2200000000000002E-3</v>
      </c>
      <c r="Y13" s="176">
        <f>ROUND('PTD Cycle 3'!C7/'tariff tables'!G5,5)</f>
        <v>6.4000000000000005E-4</v>
      </c>
      <c r="Z13" s="176">
        <f>ROUND(0/'tariff tables'!G5,5)</f>
        <v>0</v>
      </c>
      <c r="AA13" s="176">
        <f>ROUND(0/'tariff tables'!G5,5)</f>
        <v>0</v>
      </c>
      <c r="AB13" s="177">
        <f>SUM(O13:AA13,O21:AA21)</f>
        <v>5.1699999999999992E-3</v>
      </c>
    </row>
    <row r="14" spans="1:28" s="59" customFormat="1" ht="15" thickBot="1" x14ac:dyDescent="0.4">
      <c r="B14" s="108" t="s">
        <v>121</v>
      </c>
      <c r="C14" s="147">
        <f>'PPC Cycle 2'!C11+'PPC Cycle 3'!C7</f>
        <v>3018909.65</v>
      </c>
      <c r="D14" s="147">
        <f>'PTD Cycle 2'!C11+'PTD Cycle 3'!C8</f>
        <v>1442781.7400000002</v>
      </c>
      <c r="E14" s="147">
        <f>+'EO Cycle 2'!G12</f>
        <v>1540026.33</v>
      </c>
      <c r="F14" s="146">
        <f>+'OA Cycle 2'!D14</f>
        <v>0</v>
      </c>
      <c r="G14" s="144"/>
      <c r="J14" s="174"/>
      <c r="K14" s="17"/>
      <c r="O14" s="203">
        <v>0</v>
      </c>
      <c r="P14" s="203">
        <v>0</v>
      </c>
      <c r="Q14" s="264">
        <v>0</v>
      </c>
      <c r="R14" s="265"/>
      <c r="S14" s="210">
        <f>ROUND(+'PPC Cycle 2'!C11/'tariff tables'!$G6,5)</f>
        <v>0</v>
      </c>
      <c r="T14" s="266">
        <f>ROUND(+'PTD Cycle 2'!C11/'tariff tables'!G6,5)</f>
        <v>7.1000000000000002E-4</v>
      </c>
      <c r="U14" s="264">
        <f>ROUND('EO Cycle 2'!G12/'tariff tables'!G6,5)</f>
        <v>1.1199999999999999E-3</v>
      </c>
      <c r="V14" s="203">
        <f>ROUND('OA Cycle 2'!D14/'tariff tables'!G6,5)</f>
        <v>0</v>
      </c>
      <c r="X14" s="176">
        <f>ROUND('PPC Cycle 3'!C7/'tariff tables'!$G6,5)</f>
        <v>2.2000000000000001E-3</v>
      </c>
      <c r="Y14" s="176">
        <f>ROUND('PTD Cycle 3'!C8/'tariff tables'!G6,5)</f>
        <v>3.4000000000000002E-4</v>
      </c>
      <c r="Z14" s="176">
        <f>ROUND(0/'tariff tables'!G6,5)</f>
        <v>0</v>
      </c>
      <c r="AA14" s="176">
        <f>ROUND(0/'tariff tables'!G6,5)</f>
        <v>0</v>
      </c>
      <c r="AB14" s="177">
        <f>SUM(O14:AA14,O22:AA22)</f>
        <v>4.2500000000000003E-3</v>
      </c>
    </row>
    <row r="15" spans="1:28" s="59" customFormat="1" ht="15" thickBot="1" x14ac:dyDescent="0.4">
      <c r="B15" s="108" t="s">
        <v>122</v>
      </c>
      <c r="C15" s="147">
        <f>'PPC Cycle 2'!C12+'PPC Cycle 3'!C8</f>
        <v>2275768.66</v>
      </c>
      <c r="D15" s="147">
        <f>'PTD Cycle 2'!C12+'PTD Cycle 3'!C9</f>
        <v>357013.98</v>
      </c>
      <c r="E15" s="147">
        <f>+'EO Cycle 2'!G13</f>
        <v>548589.61</v>
      </c>
      <c r="F15" s="146">
        <f>+'OA Cycle 2'!D15</f>
        <v>0</v>
      </c>
      <c r="G15" s="144"/>
      <c r="J15" s="174"/>
      <c r="K15" s="17"/>
      <c r="O15" s="203">
        <v>0</v>
      </c>
      <c r="P15" s="203">
        <v>0</v>
      </c>
      <c r="Q15" s="264">
        <v>0</v>
      </c>
      <c r="R15" s="265"/>
      <c r="S15" s="210">
        <f>ROUND(+'PPC Cycle 2'!C12/'tariff tables'!$G7,5)</f>
        <v>0</v>
      </c>
      <c r="T15" s="266">
        <f>ROUND(+'PTD Cycle 2'!C12/'tariff tables'!G7,5)</f>
        <v>2.2000000000000001E-4</v>
      </c>
      <c r="U15" s="264">
        <f>ROUND('EO Cycle 2'!G13/'tariff tables'!G7,5)</f>
        <v>6.8999999999999997E-4</v>
      </c>
      <c r="V15" s="203">
        <f>ROUND('OA Cycle 2'!D15/'tariff tables'!G7,5)</f>
        <v>0</v>
      </c>
      <c r="X15" s="176">
        <f>ROUND('PPC Cycle 3'!C8/'tariff tables'!$G7,5)</f>
        <v>2.8400000000000001E-3</v>
      </c>
      <c r="Y15" s="176">
        <f>ROUND('PTD Cycle 3'!C9/'tariff tables'!G7,5)</f>
        <v>2.2000000000000001E-4</v>
      </c>
      <c r="Z15" s="176">
        <f>ROUND(0/'tariff tables'!G7,5)</f>
        <v>0</v>
      </c>
      <c r="AA15" s="176">
        <f>ROUND(0/'tariff tables'!G7,5)</f>
        <v>0</v>
      </c>
      <c r="AB15" s="177">
        <f>SUM(O15:AA15,O23:AA23)</f>
        <v>4.0899999999999999E-3</v>
      </c>
    </row>
    <row r="16" spans="1:28" x14ac:dyDescent="0.35">
      <c r="C16" s="145"/>
      <c r="D16" s="145"/>
      <c r="E16" s="145"/>
      <c r="F16" s="145"/>
      <c r="G16" s="144"/>
      <c r="J16" s="17"/>
      <c r="K16" s="17"/>
      <c r="O16" s="204"/>
      <c r="P16" s="204"/>
      <c r="Q16" s="267"/>
      <c r="R16" s="265"/>
      <c r="S16" s="265"/>
      <c r="T16" s="265"/>
      <c r="U16" s="265"/>
      <c r="V16" s="177"/>
      <c r="X16" s="177"/>
      <c r="Y16" s="177"/>
      <c r="Z16" s="177"/>
      <c r="AA16" s="177"/>
    </row>
    <row r="17" spans="2:27" x14ac:dyDescent="0.35">
      <c r="C17" s="145"/>
      <c r="D17" s="145"/>
      <c r="E17" s="145"/>
      <c r="F17" s="145"/>
      <c r="G17" s="144"/>
      <c r="J17" s="17"/>
      <c r="K17" s="17"/>
      <c r="O17" s="204"/>
      <c r="P17" s="204"/>
      <c r="Q17" s="267"/>
      <c r="R17" s="265"/>
      <c r="S17" s="265"/>
      <c r="T17" s="265"/>
      <c r="U17" s="265"/>
      <c r="V17" s="177"/>
      <c r="X17" s="177"/>
      <c r="Y17" s="177"/>
      <c r="Z17" s="177"/>
      <c r="AA17" s="177"/>
    </row>
    <row r="18" spans="2:27" ht="15" thickBot="1" x14ac:dyDescent="0.4">
      <c r="C18" s="145"/>
      <c r="D18" s="145"/>
      <c r="E18" s="145"/>
      <c r="F18" s="145"/>
      <c r="G18" s="144"/>
      <c r="J18" s="17"/>
      <c r="K18" s="17"/>
      <c r="O18" s="204"/>
      <c r="P18" s="204"/>
      <c r="Q18" s="267"/>
      <c r="R18" s="265"/>
      <c r="S18" s="265"/>
      <c r="T18" s="265"/>
      <c r="U18" s="265"/>
      <c r="V18" s="177"/>
      <c r="X18" s="177"/>
      <c r="Y18" s="177"/>
      <c r="Z18" s="177"/>
      <c r="AA18" s="177"/>
    </row>
    <row r="19" spans="2:27" ht="15" thickBot="1" x14ac:dyDescent="0.4">
      <c r="B19" s="105" t="s">
        <v>8</v>
      </c>
      <c r="C19" s="149" t="s">
        <v>4</v>
      </c>
      <c r="D19" s="149" t="s">
        <v>10</v>
      </c>
      <c r="E19" s="149" t="s">
        <v>61</v>
      </c>
      <c r="F19" s="149" t="s">
        <v>20</v>
      </c>
      <c r="G19" s="144"/>
      <c r="O19" s="205" t="s">
        <v>82</v>
      </c>
      <c r="P19" s="205" t="s">
        <v>83</v>
      </c>
      <c r="Q19" s="268" t="s">
        <v>87</v>
      </c>
      <c r="R19" s="265"/>
      <c r="S19" s="269" t="s">
        <v>84</v>
      </c>
      <c r="T19" s="269" t="s">
        <v>85</v>
      </c>
      <c r="U19" s="268" t="s">
        <v>119</v>
      </c>
      <c r="V19" s="178" t="s">
        <v>103</v>
      </c>
      <c r="X19" s="178" t="s">
        <v>132</v>
      </c>
      <c r="Y19" s="178" t="s">
        <v>133</v>
      </c>
      <c r="Z19" s="205" t="s">
        <v>134</v>
      </c>
      <c r="AA19" s="178" t="s">
        <v>135</v>
      </c>
    </row>
    <row r="20" spans="2:27" ht="15" thickBot="1" x14ac:dyDescent="0.4">
      <c r="B20" s="108" t="s">
        <v>26</v>
      </c>
      <c r="C20" s="147">
        <f>+'PCR Cycle 3'!J4+'PCR Cycle 2'!J4</f>
        <v>-125086.00767999912</v>
      </c>
      <c r="D20" s="147">
        <f>'TDR Cycle 3'!K4+'TDR Cycle 2'!K4</f>
        <v>360535.45858000009</v>
      </c>
      <c r="E20" s="147">
        <f>+'EOR Cycle 1'!I4+'EOR Cycle 2'!I4</f>
        <v>-69069.804739999963</v>
      </c>
      <c r="F20" s="146">
        <f>+'OAR Cycle 2'!I4</f>
        <v>0</v>
      </c>
      <c r="G20" s="144"/>
      <c r="O20" s="203">
        <v>0</v>
      </c>
      <c r="P20" s="203">
        <v>0</v>
      </c>
      <c r="Q20" s="266">
        <v>0</v>
      </c>
      <c r="R20" s="265"/>
      <c r="S20" s="210">
        <f>ROUND(+'PCR Cycle 2'!J4/'tariff tables'!G4,5)</f>
        <v>0</v>
      </c>
      <c r="T20" s="210">
        <f>ROUND(+'TDR Cycle 2'!K4/'tariff tables'!G4,5)</f>
        <v>1.2E-4</v>
      </c>
      <c r="U20" s="285">
        <f>ROUND('EOR Cycle 2'!I4/'tariff tables'!G4,5)+0.00001</f>
        <v>-1.0000000000000001E-5</v>
      </c>
      <c r="V20" s="210">
        <f>ROUND('OAR Cycle 2'!I4/'tariff tables'!G4,5)</f>
        <v>0</v>
      </c>
      <c r="X20" s="285">
        <f>ROUND('PCR Cycle 3'!J4/'tariff tables'!G4,5)+0.00001</f>
        <v>-3.0000000000000004E-5</v>
      </c>
      <c r="Y20" s="210">
        <f>ROUND('TDR Cycle 3'!K4/'tariff tables'!G4,5)+0.00001*0</f>
        <v>-2.0000000000000002E-5</v>
      </c>
      <c r="Z20" s="210">
        <f>ROUND(0/'tariff tables'!G4,5)</f>
        <v>0</v>
      </c>
      <c r="AA20" s="210">
        <f>ROUND(0/'tariff tables'!G4,5)</f>
        <v>0</v>
      </c>
    </row>
    <row r="21" spans="2:27" ht="15" thickBot="1" x14ac:dyDescent="0.4">
      <c r="B21" s="108" t="s">
        <v>120</v>
      </c>
      <c r="C21" s="147">
        <f>'PCR Cycle 3'!J5+'PCR Cycle 2'!J8</f>
        <v>-306130.63</v>
      </c>
      <c r="D21" s="147">
        <f>'TDR Cycle 3'!K5+'TDR Cycle 2'!K8</f>
        <v>-64485.358399999976</v>
      </c>
      <c r="E21" s="147">
        <f>+'EOR Cycle 1'!I8+'EOR Cycle 2'!I8</f>
        <v>-188.52</v>
      </c>
      <c r="F21" s="146">
        <f>+'OAR Cycle 2'!I8</f>
        <v>0</v>
      </c>
      <c r="G21" s="144"/>
      <c r="O21" s="203">
        <v>0</v>
      </c>
      <c r="P21" s="203">
        <v>0</v>
      </c>
      <c r="Q21" s="266">
        <v>0</v>
      </c>
      <c r="R21" s="265"/>
      <c r="S21" s="266">
        <f>ROUND(+'PCR Cycle 2'!J8/'tariff tables'!G5,5)</f>
        <v>-2.1000000000000001E-4</v>
      </c>
      <c r="T21" s="295">
        <f>ROUND(+'TDR Cycle 2'!K8/'tariff tables'!G5,5)-0.00001</f>
        <v>1.9999999999999998E-5</v>
      </c>
      <c r="U21" s="266">
        <f>ROUND('EOR Cycle 2'!I8/'tariff tables'!G5,5)</f>
        <v>0</v>
      </c>
      <c r="V21" s="210">
        <f>ROUND('OAR Cycle 2'!I8/'tariff tables'!G5,5)</f>
        <v>0</v>
      </c>
      <c r="X21" s="266">
        <f>ROUND('PCR Cycle 3'!J5/'tariff tables'!G5,5)</f>
        <v>-1.2999999999999999E-4</v>
      </c>
      <c r="Y21" s="210">
        <f>ROUND('TDR Cycle 3'!K5/'tariff tables'!G5,5)</f>
        <v>-1E-4</v>
      </c>
      <c r="Z21" s="210">
        <f>ROUND(0/'tariff tables'!G5,5)</f>
        <v>0</v>
      </c>
      <c r="AA21" s="210">
        <f>ROUND(0/'tariff tables'!G5,5)</f>
        <v>0</v>
      </c>
    </row>
    <row r="22" spans="2:27" s="59" customFormat="1" ht="15" thickBot="1" x14ac:dyDescent="0.4">
      <c r="B22" s="108" t="s">
        <v>121</v>
      </c>
      <c r="C22" s="147">
        <f>'PCR Cycle 3'!J6+'PCR Cycle 2'!J9</f>
        <v>-119282.56</v>
      </c>
      <c r="D22" s="147">
        <f>'TDR Cycle 3'!K6+'TDR Cycle 2'!K9</f>
        <v>-36182.869140000003</v>
      </c>
      <c r="E22" s="147">
        <f>+'EOR Cycle 1'!I9+'EOR Cycle 2'!I9</f>
        <v>-218.45</v>
      </c>
      <c r="F22" s="146">
        <f>+'OAR Cycle 2'!I9</f>
        <v>0</v>
      </c>
      <c r="G22" s="144"/>
      <c r="O22" s="203">
        <v>0</v>
      </c>
      <c r="P22" s="203">
        <v>0</v>
      </c>
      <c r="Q22" s="266">
        <v>0</v>
      </c>
      <c r="R22" s="265"/>
      <c r="S22" s="266">
        <f>ROUND(+'PCR Cycle 2'!J9/'tariff tables'!G6,5)</f>
        <v>-1.6000000000000001E-4</v>
      </c>
      <c r="T22" s="266">
        <f>ROUND(+'TDR Cycle 2'!K9/'tariff tables'!G6,5)</f>
        <v>2.0000000000000002E-5</v>
      </c>
      <c r="U22" s="266">
        <f>ROUND('EOR Cycle 2'!I9/'tariff tables'!G6,5)</f>
        <v>0</v>
      </c>
      <c r="V22" s="210">
        <f>ROUND('OAR Cycle 2'!I9/'tariff tables'!G6,5)</f>
        <v>0</v>
      </c>
      <c r="X22" s="266">
        <f>ROUND('PCR Cycle 3'!J6/'tariff tables'!G6,5)</f>
        <v>6.9999999999999994E-5</v>
      </c>
      <c r="Y22" s="210">
        <f>ROUND('TDR Cycle 3'!K6/'tariff tables'!G6,5)</f>
        <v>-5.0000000000000002E-5</v>
      </c>
      <c r="Z22" s="210">
        <f>ROUND(0/'tariff tables'!G6,5)</f>
        <v>0</v>
      </c>
      <c r="AA22" s="210">
        <f>ROUND(0/'tariff tables'!G6,5)</f>
        <v>0</v>
      </c>
    </row>
    <row r="23" spans="2:27" s="59" customFormat="1" ht="15" thickBot="1" x14ac:dyDescent="0.4">
      <c r="B23" s="108" t="s">
        <v>122</v>
      </c>
      <c r="C23" s="147">
        <f>'PCR Cycle 3'!J7+'PCR Cycle 2'!J10</f>
        <v>108087.12999999986</v>
      </c>
      <c r="D23" s="147">
        <f>'TDR Cycle 3'!K7+'TDR Cycle 2'!K10</f>
        <v>-12204.580350000004</v>
      </c>
      <c r="E23" s="147">
        <f>+'EOR Cycle 1'!I10+'EOR Cycle 2'!I10</f>
        <v>-73.819999999999993</v>
      </c>
      <c r="F23" s="146">
        <f>+'OAR Cycle 2'!I10</f>
        <v>0</v>
      </c>
      <c r="G23" s="144"/>
      <c r="O23" s="203">
        <v>0</v>
      </c>
      <c r="P23" s="203">
        <v>0</v>
      </c>
      <c r="Q23" s="266">
        <v>0</v>
      </c>
      <c r="R23" s="265"/>
      <c r="S23" s="266">
        <f>ROUND(+'PCR Cycle 2'!J10/'tariff tables'!G7,5)</f>
        <v>-9.0000000000000006E-5</v>
      </c>
      <c r="T23" s="266">
        <f>ROUND(+'TDR Cycle 2'!K10/'tariff tables'!G7,5)+0.00001*0</f>
        <v>1.0000000000000001E-5</v>
      </c>
      <c r="U23" s="266">
        <f>ROUND('EOR Cycle 2'!I10/'tariff tables'!G7,5)</f>
        <v>0</v>
      </c>
      <c r="V23" s="210">
        <f>ROUND('OAR Cycle 2'!I10/'tariff tables'!G7,5)</f>
        <v>0</v>
      </c>
      <c r="X23" s="266">
        <f>ROUND('PCR Cycle 3'!J7/'tariff tables'!G7,5)</f>
        <v>2.3000000000000001E-4</v>
      </c>
      <c r="Y23" s="210">
        <f>ROUND('TDR Cycle 3'!K7/'tariff tables'!G7,5)</f>
        <v>-3.0000000000000001E-5</v>
      </c>
      <c r="Z23" s="210">
        <f>ROUND(0/'tariff tables'!G7,5)</f>
        <v>0</v>
      </c>
      <c r="AA23" s="210">
        <f>ROUND(0/'tariff tables'!G7,5)</f>
        <v>0</v>
      </c>
    </row>
    <row r="24" spans="2:27" x14ac:dyDescent="0.35">
      <c r="O24" s="59"/>
      <c r="P24" s="59"/>
      <c r="R24" s="59"/>
      <c r="S24" s="59"/>
      <c r="T24" s="59"/>
    </row>
    <row r="25" spans="2:27" x14ac:dyDescent="0.35">
      <c r="B25" s="111" t="s">
        <v>41</v>
      </c>
      <c r="R25" t="s">
        <v>166</v>
      </c>
      <c r="S25" s="175">
        <f t="shared" ref="S25:U28" si="2">+J4-O12-O20-S12-S20-X12-X20</f>
        <v>-7.453889935837843E-20</v>
      </c>
      <c r="T25" s="175">
        <f t="shared" si="2"/>
        <v>-5.082197683525802E-20</v>
      </c>
      <c r="U25" s="175">
        <f t="shared" si="2"/>
        <v>-2.541098841762901E-20</v>
      </c>
    </row>
    <row r="26" spans="2:27" x14ac:dyDescent="0.35">
      <c r="B26" s="112" t="s">
        <v>42</v>
      </c>
      <c r="R26" t="s">
        <v>167</v>
      </c>
      <c r="S26" s="175">
        <f t="shared" si="2"/>
        <v>-3.5236570605778894E-19</v>
      </c>
      <c r="T26" s="175">
        <f t="shared" si="2"/>
        <v>0</v>
      </c>
      <c r="U26" s="175">
        <f t="shared" si="2"/>
        <v>0</v>
      </c>
    </row>
    <row r="27" spans="2:27" x14ac:dyDescent="0.35">
      <c r="B27" s="112" t="s">
        <v>45</v>
      </c>
      <c r="R27" t="s">
        <v>168</v>
      </c>
      <c r="S27" s="175">
        <f t="shared" si="2"/>
        <v>-2.439454888092385E-19</v>
      </c>
      <c r="T27" s="175">
        <f t="shared" si="2"/>
        <v>0</v>
      </c>
      <c r="U27" s="175">
        <f t="shared" si="2"/>
        <v>0</v>
      </c>
    </row>
    <row r="28" spans="2:27" x14ac:dyDescent="0.35">
      <c r="B28" s="112" t="s">
        <v>157</v>
      </c>
      <c r="R28" t="s">
        <v>169</v>
      </c>
      <c r="S28" s="175">
        <f t="shared" si="2"/>
        <v>-2.7105054312137611E-19</v>
      </c>
      <c r="T28" s="175">
        <f t="shared" si="2"/>
        <v>-5.082197683525802E-20</v>
      </c>
      <c r="U28" s="175">
        <f t="shared" si="2"/>
        <v>0</v>
      </c>
    </row>
    <row r="29" spans="2:27" x14ac:dyDescent="0.35">
      <c r="B29" s="112" t="s">
        <v>43</v>
      </c>
      <c r="R29" s="59"/>
      <c r="S29" s="59"/>
      <c r="T29" s="59"/>
    </row>
    <row r="30" spans="2:27" x14ac:dyDescent="0.35">
      <c r="B30" s="112" t="s">
        <v>162</v>
      </c>
      <c r="O30" s="286"/>
      <c r="P30" s="286"/>
      <c r="Q30" s="286"/>
      <c r="R30" s="169"/>
      <c r="S30" s="169"/>
      <c r="T30" s="59"/>
    </row>
    <row r="31" spans="2:27" x14ac:dyDescent="0.35">
      <c r="B31" s="112" t="s">
        <v>156</v>
      </c>
      <c r="O31" s="169"/>
      <c r="P31" s="169"/>
      <c r="Q31" s="287"/>
      <c r="R31" s="169"/>
      <c r="S31" s="169"/>
      <c r="T31" s="59"/>
    </row>
    <row r="32" spans="2:27" x14ac:dyDescent="0.35">
      <c r="B32" s="112" t="s">
        <v>50</v>
      </c>
      <c r="O32" s="288"/>
      <c r="P32" s="169"/>
      <c r="Q32" s="287"/>
      <c r="R32" s="169"/>
      <c r="S32" s="169"/>
      <c r="T32" s="59"/>
    </row>
    <row r="33" spans="2:20" x14ac:dyDescent="0.35">
      <c r="B33" s="112" t="s">
        <v>161</v>
      </c>
      <c r="O33" s="289"/>
      <c r="P33" s="290"/>
      <c r="Q33" s="287"/>
      <c r="R33" s="287"/>
      <c r="S33" s="169"/>
      <c r="T33" s="59"/>
    </row>
    <row r="34" spans="2:20" x14ac:dyDescent="0.35">
      <c r="B34" s="112" t="s">
        <v>158</v>
      </c>
      <c r="O34" s="289"/>
      <c r="P34" s="290"/>
      <c r="Q34" s="287"/>
      <c r="R34" s="287"/>
      <c r="S34" s="169"/>
      <c r="T34" s="59"/>
    </row>
    <row r="35" spans="2:20" x14ac:dyDescent="0.35">
      <c r="B35" s="112" t="s">
        <v>159</v>
      </c>
      <c r="O35" s="289"/>
      <c r="P35" s="290"/>
      <c r="Q35" s="287"/>
      <c r="R35" s="287"/>
      <c r="S35" s="169"/>
      <c r="T35" s="59"/>
    </row>
    <row r="36" spans="2:20" x14ac:dyDescent="0.35">
      <c r="B36" s="112" t="s">
        <v>163</v>
      </c>
      <c r="O36" s="289"/>
      <c r="P36" s="290"/>
      <c r="Q36" s="287"/>
      <c r="R36" s="287"/>
      <c r="S36" s="169"/>
      <c r="T36" s="59"/>
    </row>
    <row r="37" spans="2:20" x14ac:dyDescent="0.35">
      <c r="B37" s="112" t="s">
        <v>44</v>
      </c>
      <c r="O37" s="289"/>
      <c r="P37" s="290"/>
      <c r="Q37" s="287"/>
      <c r="R37" s="287"/>
      <c r="S37" s="169"/>
      <c r="T37" s="59"/>
    </row>
    <row r="38" spans="2:20" x14ac:dyDescent="0.35">
      <c r="B38" s="112" t="s">
        <v>160</v>
      </c>
      <c r="O38" s="289"/>
      <c r="P38" s="290"/>
      <c r="Q38" s="287"/>
      <c r="R38" s="287"/>
      <c r="S38" s="169"/>
      <c r="T38" s="59"/>
    </row>
    <row r="39" spans="2:20" x14ac:dyDescent="0.35">
      <c r="B39" s="112" t="s">
        <v>164</v>
      </c>
      <c r="O39" s="291"/>
      <c r="P39" s="290"/>
      <c r="Q39" s="287"/>
      <c r="R39" s="287"/>
      <c r="S39" s="169"/>
      <c r="T39" s="59"/>
    </row>
    <row r="40" spans="2:20" x14ac:dyDescent="0.35">
      <c r="B40" s="112" t="s">
        <v>165</v>
      </c>
      <c r="O40" s="169"/>
      <c r="P40" s="292"/>
      <c r="Q40" s="287"/>
      <c r="R40" s="287"/>
      <c r="S40" s="169"/>
      <c r="T40" s="59"/>
    </row>
    <row r="41" spans="2:20" x14ac:dyDescent="0.35">
      <c r="O41" s="288"/>
      <c r="P41" s="169"/>
      <c r="Q41" s="287"/>
      <c r="R41" s="287"/>
      <c r="S41" s="169"/>
      <c r="T41" s="59"/>
    </row>
    <row r="42" spans="2:20" x14ac:dyDescent="0.35">
      <c r="O42" s="289"/>
      <c r="P42" s="290"/>
      <c r="Q42" s="287"/>
      <c r="R42" s="287"/>
      <c r="S42" s="169"/>
      <c r="T42" s="59"/>
    </row>
    <row r="43" spans="2:20" x14ac:dyDescent="0.35">
      <c r="O43" s="289"/>
      <c r="P43" s="290"/>
      <c r="Q43" s="287"/>
      <c r="R43" s="287"/>
      <c r="S43" s="169"/>
      <c r="T43" s="59"/>
    </row>
    <row r="44" spans="2:20" x14ac:dyDescent="0.35">
      <c r="O44" s="289"/>
      <c r="P44" s="290"/>
      <c r="Q44" s="287"/>
      <c r="R44" s="287"/>
      <c r="S44" s="169"/>
      <c r="T44" s="59"/>
    </row>
    <row r="45" spans="2:20" x14ac:dyDescent="0.35">
      <c r="O45" s="289"/>
      <c r="P45" s="290"/>
      <c r="Q45" s="287"/>
      <c r="R45" s="287"/>
      <c r="S45" s="169"/>
      <c r="T45" s="59"/>
    </row>
    <row r="46" spans="2:20" x14ac:dyDescent="0.35">
      <c r="O46" s="289"/>
      <c r="P46" s="290"/>
      <c r="Q46" s="287"/>
      <c r="R46" s="287"/>
      <c r="S46" s="169"/>
      <c r="T46" s="59"/>
    </row>
    <row r="47" spans="2:20" x14ac:dyDescent="0.35">
      <c r="O47" s="289"/>
      <c r="P47" s="290"/>
      <c r="Q47" s="287"/>
      <c r="R47" s="287"/>
      <c r="S47" s="169"/>
      <c r="T47" s="59"/>
    </row>
    <row r="48" spans="2:20" x14ac:dyDescent="0.35">
      <c r="O48" s="291"/>
      <c r="P48" s="290"/>
      <c r="Q48" s="287"/>
      <c r="R48" s="287"/>
      <c r="S48" s="169"/>
    </row>
    <row r="49" spans="15:19" x14ac:dyDescent="0.35">
      <c r="O49" s="169"/>
      <c r="P49" s="292"/>
      <c r="Q49" s="287"/>
      <c r="R49" s="287"/>
      <c r="S49" s="169"/>
    </row>
    <row r="50" spans="15:19" x14ac:dyDescent="0.35">
      <c r="O50" s="169"/>
      <c r="P50" s="169"/>
      <c r="Q50" s="287"/>
      <c r="R50" s="287"/>
      <c r="S50" s="169"/>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3"/>
  <sheetViews>
    <sheetView zoomScaleNormal="100" workbookViewId="0">
      <pane xSplit="1" ySplit="2" topLeftCell="B24" activePane="bottomRight" state="frozen"/>
      <selection activeCell="J8" sqref="J8"/>
      <selection pane="topRight" activeCell="J8" sqref="J8"/>
      <selection pane="bottomLeft" activeCell="J8" sqref="J8"/>
      <selection pane="bottomRight" activeCell="L38" sqref="L38"/>
    </sheetView>
  </sheetViews>
  <sheetFormatPr defaultColWidth="9.1796875" defaultRowHeight="14.5" outlineLevelCol="1" x14ac:dyDescent="0.35"/>
  <cols>
    <col min="1" max="1" width="61.7265625" style="59" customWidth="1"/>
    <col min="2" max="2" width="12.1796875" style="59" customWidth="1"/>
    <col min="3" max="3" width="12.453125" style="59" customWidth="1"/>
    <col min="4" max="4" width="12.453125" style="59" hidden="1" customWidth="1" outlineLevel="1"/>
    <col min="5" max="5" width="15.453125" style="59" customWidth="1" collapsed="1"/>
    <col min="6" max="6" width="15.81640625" style="59" customWidth="1"/>
    <col min="7" max="7" width="12.26953125" style="59" customWidth="1"/>
    <col min="8" max="9" width="13.26953125" style="59" customWidth="1"/>
    <col min="10" max="10" width="12.26953125" style="59" bestFit="1" customWidth="1"/>
    <col min="11" max="11" width="11.54296875" style="59" bestFit="1" customWidth="1"/>
    <col min="12" max="12" width="12.81640625" style="59" customWidth="1"/>
    <col min="13" max="13" width="16" style="59" customWidth="1"/>
    <col min="14" max="14" width="15" style="59" bestFit="1" customWidth="1"/>
    <col min="15" max="15" width="16" style="59" bestFit="1"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35" x14ac:dyDescent="0.35">
      <c r="A1" s="3" t="str">
        <f>+'PPC Cycle 2'!A1</f>
        <v>Evergy Missouri West, Inc. - DSIM Rider Update Filed 12/01/2020</v>
      </c>
      <c r="B1" s="3"/>
      <c r="C1" s="3"/>
      <c r="D1" s="3"/>
    </row>
    <row r="2" spans="1:35" x14ac:dyDescent="0.35">
      <c r="E2" s="3" t="s">
        <v>64</v>
      </c>
    </row>
    <row r="3" spans="1:35" ht="29" x14ac:dyDescent="0.35">
      <c r="E3" s="61" t="s">
        <v>48</v>
      </c>
      <c r="F3" s="83" t="s">
        <v>75</v>
      </c>
      <c r="G3" s="83" t="s">
        <v>56</v>
      </c>
      <c r="H3" s="61" t="s">
        <v>3</v>
      </c>
      <c r="I3" s="83" t="s">
        <v>57</v>
      </c>
      <c r="J3" s="61" t="s">
        <v>11</v>
      </c>
      <c r="K3" s="61" t="s">
        <v>10</v>
      </c>
      <c r="S3" s="61"/>
    </row>
    <row r="4" spans="1:35" x14ac:dyDescent="0.35">
      <c r="A4" s="21" t="s">
        <v>26</v>
      </c>
      <c r="B4" s="21"/>
      <c r="C4" s="21"/>
      <c r="D4" s="21"/>
      <c r="E4" s="23">
        <f>SUM(C18:M18)</f>
        <v>1533668.4799999997</v>
      </c>
      <c r="F4" s="156">
        <f>N24</f>
        <v>22155591.767150283</v>
      </c>
      <c r="G4" s="23">
        <f>SUM(C30:L30)</f>
        <v>1437872.7499999998</v>
      </c>
      <c r="H4" s="23">
        <f>G4-E4</f>
        <v>-95795.729999999981</v>
      </c>
      <c r="I4" s="23">
        <f>+B42</f>
        <v>530014.38429999992</v>
      </c>
      <c r="J4" s="23">
        <f>SUM(C47:L47)</f>
        <v>5204.62</v>
      </c>
      <c r="K4" s="35">
        <f>SUM(H4:J4)</f>
        <v>439423.27429999993</v>
      </c>
      <c r="L4" s="60">
        <f>+K4-M42</f>
        <v>-4.6566128730773926E-10</v>
      </c>
    </row>
    <row r="5" spans="1:35" ht="15" thickBot="1" x14ac:dyDescent="0.4">
      <c r="A5" s="21" t="s">
        <v>27</v>
      </c>
      <c r="B5" s="21"/>
      <c r="C5" s="21"/>
      <c r="D5" s="21"/>
      <c r="E5" s="23">
        <f>SUM(C19:M21)</f>
        <v>1076416.5719099999</v>
      </c>
      <c r="F5" s="156">
        <f>SUM(N25:N27)</f>
        <v>34191204.352776945</v>
      </c>
      <c r="G5" s="23">
        <f>SUM(C31:L33)</f>
        <v>1201547.72</v>
      </c>
      <c r="H5" s="23">
        <f>G5-E5</f>
        <v>125131.14809000003</v>
      </c>
      <c r="I5" s="23">
        <f>+B43</f>
        <v>-59414.258320000008</v>
      </c>
      <c r="J5" s="23">
        <f>SUM(C48:L48)</f>
        <v>2000.8700000000001</v>
      </c>
      <c r="K5" s="35">
        <f>SUM(H5:J5)</f>
        <v>67717.759770000019</v>
      </c>
      <c r="L5" s="60">
        <f>+K5-M43</f>
        <v>0</v>
      </c>
    </row>
    <row r="6" spans="1:35" ht="15.5" thickTop="1" thickBot="1" x14ac:dyDescent="0.4">
      <c r="E6" s="39">
        <f t="shared" ref="E6" si="0">SUM(E4:E5)</f>
        <v>2610085.0519099999</v>
      </c>
      <c r="F6" s="157">
        <f t="shared" ref="F6:I6" si="1">SUM(F4:F5)</f>
        <v>56346796.119927227</v>
      </c>
      <c r="G6" s="39">
        <f t="shared" si="1"/>
        <v>2639420.4699999997</v>
      </c>
      <c r="H6" s="39">
        <f t="shared" si="1"/>
        <v>29335.41809000005</v>
      </c>
      <c r="I6" s="39">
        <f t="shared" si="1"/>
        <v>470600.1259799999</v>
      </c>
      <c r="J6" s="39">
        <f>SUM(J4:J5)</f>
        <v>7205.49</v>
      </c>
      <c r="K6" s="39">
        <f>SUM(K4:K5)</f>
        <v>507141.03406999994</v>
      </c>
      <c r="T6" s="5"/>
    </row>
    <row r="7" spans="1:35" ht="44" thickTop="1" x14ac:dyDescent="0.35">
      <c r="K7" s="253"/>
      <c r="L7" s="252" t="s">
        <v>138</v>
      </c>
    </row>
    <row r="8" spans="1:35" x14ac:dyDescent="0.35">
      <c r="A8" s="21" t="s">
        <v>120</v>
      </c>
      <c r="K8" s="35">
        <f>ROUND($K$5*L8,2)</f>
        <v>26551.65</v>
      </c>
      <c r="L8" s="250">
        <f>+'PPC Cycle 2'!D10</f>
        <v>0.39209287804949344</v>
      </c>
    </row>
    <row r="9" spans="1:35" x14ac:dyDescent="0.35">
      <c r="A9" s="21" t="s">
        <v>121</v>
      </c>
      <c r="K9" s="35">
        <f t="shared" ref="K9:K10" si="2">ROUND($K$5*L9,2)</f>
        <v>30768.18</v>
      </c>
      <c r="L9" s="250">
        <f>+'PPC Cycle 2'!D11</f>
        <v>0.45435908608374953</v>
      </c>
    </row>
    <row r="10" spans="1:35" ht="15" thickBot="1" x14ac:dyDescent="0.4">
      <c r="A10" s="21" t="s">
        <v>122</v>
      </c>
      <c r="J10" s="4"/>
      <c r="K10" s="35">
        <f t="shared" si="2"/>
        <v>10397.93</v>
      </c>
      <c r="L10" s="250">
        <f>+'PPC Cycle 2'!D12</f>
        <v>0.15354803586675725</v>
      </c>
      <c r="V10" s="4"/>
    </row>
    <row r="11" spans="1:35" ht="15.5" thickTop="1" thickBot="1" x14ac:dyDescent="0.4">
      <c r="A11" s="21" t="s">
        <v>124</v>
      </c>
      <c r="K11" s="39">
        <f>SUM(K8:K10)</f>
        <v>67717.760000000009</v>
      </c>
      <c r="L11" s="251">
        <f>SUM(L8:L10)</f>
        <v>1.0000000000000002</v>
      </c>
      <c r="V11" s="4"/>
      <c r="W11" s="5"/>
    </row>
    <row r="12" spans="1:35" ht="15.5" thickTop="1" thickBot="1" x14ac:dyDescent="0.4">
      <c r="V12" s="4"/>
      <c r="W12" s="5"/>
    </row>
    <row r="13" spans="1:35" ht="116.5" thickBot="1" x14ac:dyDescent="0.4">
      <c r="B13" s="136" t="str">
        <f>+'PCR Cycle 2'!B13</f>
        <v>Cumulative Over/Under Carryover From 06/01/2020 Filing</v>
      </c>
      <c r="C13" s="171" t="str">
        <f>+'PCR Cycle 2'!C13:F13</f>
        <v>Reverse November-20 - January 2021  Forecast From 06/01/2020 Filing</v>
      </c>
      <c r="D13" s="237"/>
      <c r="E13" s="307" t="s">
        <v>35</v>
      </c>
      <c r="F13" s="307"/>
      <c r="G13" s="308"/>
      <c r="H13" s="309" t="s">
        <v>35</v>
      </c>
      <c r="I13" s="310"/>
      <c r="J13" s="311"/>
      <c r="K13" s="303" t="s">
        <v>9</v>
      </c>
      <c r="L13" s="304"/>
      <c r="M13" s="305"/>
    </row>
    <row r="14" spans="1:35" x14ac:dyDescent="0.35">
      <c r="A14" s="59" t="s">
        <v>66</v>
      </c>
      <c r="C14" s="123"/>
      <c r="D14" s="238"/>
      <c r="E14" s="19">
        <f>+'PCR Cycle 2'!D14</f>
        <v>43982</v>
      </c>
      <c r="F14" s="19">
        <f t="shared" ref="F14:M14" si="3">EOMONTH(E14,1)</f>
        <v>44012</v>
      </c>
      <c r="G14" s="19">
        <f t="shared" si="3"/>
        <v>44043</v>
      </c>
      <c r="H14" s="14">
        <f t="shared" si="3"/>
        <v>44074</v>
      </c>
      <c r="I14" s="19">
        <f t="shared" si="3"/>
        <v>44104</v>
      </c>
      <c r="J14" s="15">
        <f t="shared" si="3"/>
        <v>44135</v>
      </c>
      <c r="K14" s="19">
        <f t="shared" si="3"/>
        <v>44165</v>
      </c>
      <c r="L14" s="19">
        <f t="shared" si="3"/>
        <v>44196</v>
      </c>
      <c r="M14" s="15">
        <f t="shared" si="3"/>
        <v>44227</v>
      </c>
      <c r="Z14" s="1"/>
      <c r="AA14" s="1"/>
      <c r="AB14" s="1"/>
      <c r="AC14" s="1"/>
      <c r="AD14" s="1"/>
      <c r="AE14" s="1"/>
      <c r="AF14" s="1"/>
      <c r="AG14" s="1"/>
      <c r="AH14" s="1"/>
      <c r="AI14" s="1"/>
    </row>
    <row r="15" spans="1:35" x14ac:dyDescent="0.35">
      <c r="A15" s="59" t="s">
        <v>6</v>
      </c>
      <c r="C15" s="218">
        <v>-891001.41999999993</v>
      </c>
      <c r="D15" s="221">
        <f>+D30+D33</f>
        <v>0</v>
      </c>
      <c r="E15" s="127">
        <f t="shared" ref="E15:L15" si="4">SUM(E30:E33)</f>
        <v>348934.06</v>
      </c>
      <c r="F15" s="127">
        <f t="shared" si="4"/>
        <v>542067.36</v>
      </c>
      <c r="G15" s="128">
        <f t="shared" si="4"/>
        <v>602241.13</v>
      </c>
      <c r="H15" s="16">
        <f t="shared" si="4"/>
        <v>586040.64</v>
      </c>
      <c r="I15" s="68">
        <f t="shared" si="4"/>
        <v>498588.54</v>
      </c>
      <c r="J15" s="186">
        <f t="shared" si="4"/>
        <v>322343.54999999993</v>
      </c>
      <c r="K15" s="179">
        <f t="shared" si="4"/>
        <v>312243.95999999996</v>
      </c>
      <c r="L15" s="93">
        <f t="shared" si="4"/>
        <v>317962.65000000002</v>
      </c>
      <c r="M15" s="94"/>
    </row>
    <row r="16" spans="1:35" x14ac:dyDescent="0.35">
      <c r="C16" s="117"/>
      <c r="D16" s="222"/>
      <c r="E16" s="17"/>
      <c r="F16" s="17"/>
      <c r="G16" s="17"/>
      <c r="H16" s="10"/>
      <c r="I16" s="17"/>
      <c r="J16" s="11"/>
      <c r="K16" s="43"/>
      <c r="L16" s="43"/>
      <c r="M16" s="41"/>
    </row>
    <row r="17" spans="1:15" x14ac:dyDescent="0.35">
      <c r="A17" s="59" t="s">
        <v>65</v>
      </c>
      <c r="C17" s="117"/>
      <c r="D17" s="222"/>
      <c r="E17" s="18"/>
      <c r="F17" s="18"/>
      <c r="G17" s="18"/>
      <c r="H17" s="109"/>
      <c r="I17" s="18"/>
      <c r="J17" s="187"/>
      <c r="K17" s="43"/>
      <c r="L17" s="43"/>
      <c r="M17" s="41"/>
      <c r="N17" s="3" t="s">
        <v>72</v>
      </c>
      <c r="O17" s="51"/>
    </row>
    <row r="18" spans="1:15" x14ac:dyDescent="0.35">
      <c r="A18" s="59" t="s">
        <v>26</v>
      </c>
      <c r="C18" s="218">
        <v>-708370.31570000015</v>
      </c>
      <c r="D18" s="221">
        <v>0</v>
      </c>
      <c r="E18" s="154">
        <f>ROUND('[5]May 2020'!$F52,2)</f>
        <v>169507.92</v>
      </c>
      <c r="F18" s="154">
        <f>ROUND('[5]June 2020'!$F52,2)</f>
        <v>243281.86</v>
      </c>
      <c r="G18" s="154">
        <f>ROUND('[5]July 2020'!$F52,2)</f>
        <v>338698.23</v>
      </c>
      <c r="H18" s="16">
        <f>ROUND('[5]Aug 2020'!$F52,2)</f>
        <v>309565.58</v>
      </c>
      <c r="I18" s="139">
        <f>ROUND('[5]Sept 2020'!$F52,2)</f>
        <v>278772.06</v>
      </c>
      <c r="J18" s="191">
        <f>ROUND('[5]Oct 2020'!$F52,2)</f>
        <v>193842.83</v>
      </c>
      <c r="K18" s="141">
        <f>'PCR Cycle 2'!J26*'TDR Cycle 2'!$N18</f>
        <v>173306.62154999998</v>
      </c>
      <c r="L18" s="53">
        <f>'PCR Cycle 2'!K26*'TDR Cycle 2'!$N18</f>
        <v>223998.73539999998</v>
      </c>
      <c r="M18" s="74">
        <f>'PCR Cycle 2'!L26*'TDR Cycle 2'!$N18</f>
        <v>311064.95874999999</v>
      </c>
      <c r="N18" s="85">
        <v>8.4999999999999995E-4</v>
      </c>
      <c r="O18" s="4"/>
    </row>
    <row r="19" spans="1:15" x14ac:dyDescent="0.35">
      <c r="A19" s="59" t="s">
        <v>120</v>
      </c>
      <c r="C19" s="218">
        <v>-255087.06912</v>
      </c>
      <c r="D19" s="221"/>
      <c r="E19" s="154">
        <f>ROUND('[5]May 2020'!$F53,2)</f>
        <v>66390.100000000006</v>
      </c>
      <c r="F19" s="154">
        <f>ROUND('[5]June 2020'!$F53,2)</f>
        <v>89328.15</v>
      </c>
      <c r="G19" s="154">
        <f>ROUND('[5]July 2020'!$F53,2)</f>
        <v>113542.94</v>
      </c>
      <c r="H19" s="16">
        <f>ROUND('[5]Aug 2020'!$F53,2)</f>
        <v>116353.17</v>
      </c>
      <c r="I19" s="139">
        <f>ROUND('[5]Sept 2020'!$F53,2)</f>
        <v>110720.24</v>
      </c>
      <c r="J19" s="191">
        <f>ROUND('[5]Oct 2020'!$F53,2)</f>
        <v>96458.33</v>
      </c>
      <c r="K19" s="141">
        <f>'PCR Cycle 2'!J27*'TDR Cycle 2'!$N19</f>
        <v>83809.223679999996</v>
      </c>
      <c r="L19" s="53">
        <f>'PCR Cycle 2'!K27*'TDR Cycle 2'!$N19</f>
        <v>90541.203199999989</v>
      </c>
      <c r="M19" s="74">
        <f>'PCR Cycle 2'!L27*'TDR Cycle 2'!$N19</f>
        <v>100358.72447999999</v>
      </c>
      <c r="N19" s="85">
        <v>1.1199999999999999E-3</v>
      </c>
      <c r="O19" s="4"/>
    </row>
    <row r="20" spans="1:15" x14ac:dyDescent="0.35">
      <c r="A20" s="59" t="s">
        <v>121</v>
      </c>
      <c r="C20" s="218">
        <v>-226811.20162000001</v>
      </c>
      <c r="D20" s="221"/>
      <c r="E20" s="154">
        <f>ROUND('[5]May 2020'!$F54,2)</f>
        <v>42878.6</v>
      </c>
      <c r="F20" s="154">
        <f>ROUND('[5]June 2020'!$F54,2)</f>
        <v>54670.81</v>
      </c>
      <c r="G20" s="154">
        <f>ROUND('[5]July 2020'!$F54,2)</f>
        <v>65522.28</v>
      </c>
      <c r="H20" s="16">
        <f>ROUND('[5]Aug 2020'!$F54,2)</f>
        <v>71467.070000000007</v>
      </c>
      <c r="I20" s="139">
        <f>ROUND('[5]Sept 2020'!$F54,2)</f>
        <v>66715.990000000005</v>
      </c>
      <c r="J20" s="191">
        <f>ROUND('[5]Oct 2020'!$F54,2)</f>
        <v>61784.18</v>
      </c>
      <c r="K20" s="141">
        <f>'PCR Cycle 2'!J28*'TDR Cycle 2'!$N20</f>
        <v>76002.548800000004</v>
      </c>
      <c r="L20" s="53">
        <f>'PCR Cycle 2'!K28*'TDR Cycle 2'!$N20</f>
        <v>82107.456810000003</v>
      </c>
      <c r="M20" s="74">
        <f>'PCR Cycle 2'!L28*'TDR Cycle 2'!$N20</f>
        <v>91010.494529999996</v>
      </c>
      <c r="N20" s="85">
        <v>6.7000000000000002E-4</v>
      </c>
      <c r="O20" s="4"/>
    </row>
    <row r="21" spans="1:15" x14ac:dyDescent="0.35">
      <c r="A21" s="59" t="s">
        <v>122</v>
      </c>
      <c r="C21" s="218">
        <v>-41155.921849999999</v>
      </c>
      <c r="D21" s="221">
        <v>0</v>
      </c>
      <c r="E21" s="154">
        <f>ROUND('[5]May 2020'!$F55,2)</f>
        <v>10730.79</v>
      </c>
      <c r="F21" s="154">
        <f>ROUND('[5]June 2020'!$F55,2)</f>
        <v>12084.47</v>
      </c>
      <c r="G21" s="154">
        <f>ROUND('[5]July 2020'!$F55,2)</f>
        <v>11966.73</v>
      </c>
      <c r="H21" s="16">
        <f>ROUND('[5]Aug 2020'!$F55,2)</f>
        <v>14425.29</v>
      </c>
      <c r="I21" s="139">
        <f>ROUND('[5]Sept 2020'!$F55,2)</f>
        <v>13916.97</v>
      </c>
      <c r="J21" s="191">
        <f>ROUND('[5]Oct 2020'!$F55,2)</f>
        <v>13362.98</v>
      </c>
      <c r="K21" s="141">
        <f>'PCR Cycle 2'!J29*'TDR Cycle 2'!$N21</f>
        <v>13216.833400000001</v>
      </c>
      <c r="L21" s="53">
        <f>'PCR Cycle 2'!K29*'TDR Cycle 2'!$N21</f>
        <v>14278.476200000001</v>
      </c>
      <c r="M21" s="74">
        <f>'PCR Cycle 2'!L29*'TDR Cycle 2'!$N21</f>
        <v>15826.713400000001</v>
      </c>
      <c r="N21" s="85">
        <v>2.0000000000000001E-4</v>
      </c>
      <c r="O21" s="4"/>
    </row>
    <row r="22" spans="1:15" x14ac:dyDescent="0.35">
      <c r="C22" s="80"/>
      <c r="D22" s="223"/>
      <c r="E22" s="81"/>
      <c r="F22" s="81"/>
      <c r="G22" s="81"/>
      <c r="H22" s="80"/>
      <c r="I22" s="81"/>
      <c r="J22" s="189"/>
      <c r="K22" s="69"/>
      <c r="L22" s="69"/>
      <c r="M22" s="13"/>
      <c r="O22" s="4"/>
    </row>
    <row r="23" spans="1:15" x14ac:dyDescent="0.35">
      <c r="A23" s="51" t="s">
        <v>70</v>
      </c>
      <c r="B23" s="51"/>
      <c r="C23" s="80"/>
      <c r="D23" s="223"/>
      <c r="E23" s="69"/>
      <c r="F23" s="69"/>
      <c r="G23" s="69"/>
      <c r="H23" s="12"/>
      <c r="I23" s="69"/>
      <c r="J23" s="190"/>
      <c r="K23" s="69"/>
      <c r="L23" s="69"/>
      <c r="M23" s="13"/>
      <c r="N23" s="7"/>
    </row>
    <row r="24" spans="1:15" x14ac:dyDescent="0.35">
      <c r="A24" s="59" t="s">
        <v>26</v>
      </c>
      <c r="C24" s="219">
        <v>-7884461.2247520182</v>
      </c>
      <c r="D24" s="224"/>
      <c r="E24" s="129">
        <f>+'[2]Monthly TD Calc'!AZ285</f>
        <v>3622617.1364313252</v>
      </c>
      <c r="F24" s="129">
        <f>+'[2]Monthly TD Calc'!BA285</f>
        <v>3848808.3791743834</v>
      </c>
      <c r="G24" s="143">
        <f>+'[2]Monthly TD Calc'!BB285</f>
        <v>4524482.8033801541</v>
      </c>
      <c r="H24" s="89">
        <f>+'[2]Monthly TD Calc'!BC285</f>
        <v>4254139.1572805867</v>
      </c>
      <c r="I24" s="90">
        <f>+'[2]Monthly TD Calc'!BD285</f>
        <v>3438765.3625207683</v>
      </c>
      <c r="J24" s="191">
        <f>+'[2]Monthly TD Calc'!BE285</f>
        <v>3350801.0955900047</v>
      </c>
      <c r="K24" s="180">
        <f>+'[2]Monthly TD Calc'!BF285</f>
        <v>3200897.113468044</v>
      </c>
      <c r="L24" s="162">
        <f>+'[2]Monthly TD Calc'!BG285</f>
        <v>3799541.9440570329</v>
      </c>
      <c r="M24" s="95"/>
      <c r="N24" s="72">
        <f>SUM(C24:L24)</f>
        <v>22155591.767150283</v>
      </c>
    </row>
    <row r="25" spans="1:15" x14ac:dyDescent="0.35">
      <c r="A25" s="59" t="s">
        <v>120</v>
      </c>
      <c r="C25" s="219">
        <v>-3857736.6930329697</v>
      </c>
      <c r="D25" s="224"/>
      <c r="E25" s="129">
        <f>+'[2]Monthly TD Calc'!AZ286</f>
        <v>1929862.7740866141</v>
      </c>
      <c r="F25" s="129">
        <f>+'[2]Monthly TD Calc'!BA286</f>
        <v>1927873.9189463556</v>
      </c>
      <c r="G25" s="143">
        <f>+'[2]Monthly TD Calc'!BB286</f>
        <v>1997647.6114853616</v>
      </c>
      <c r="H25" s="89">
        <f>+'[2]Monthly TD Calc'!BC286</f>
        <v>2027066.2414548299</v>
      </c>
      <c r="I25" s="90">
        <f>+'[2]Monthly TD Calc'!BD286</f>
        <v>1834054.3366449273</v>
      </c>
      <c r="J25" s="191">
        <f>+'[2]Monthly TD Calc'!BE286</f>
        <v>1888743.4323475384</v>
      </c>
      <c r="K25" s="180">
        <f>+'[2]Monthly TD Calc'!BF286</f>
        <v>1783272.6144496959</v>
      </c>
      <c r="L25" s="162">
        <f>+'[2]Monthly TD Calc'!BG286</f>
        <v>1777961.0361499267</v>
      </c>
      <c r="M25" s="95"/>
      <c r="N25" s="72">
        <f t="shared" ref="N25:N27" si="5">SUM(C25:L25)</f>
        <v>11308745.272532281</v>
      </c>
    </row>
    <row r="26" spans="1:15" x14ac:dyDescent="0.35">
      <c r="A26" s="59" t="s">
        <v>121</v>
      </c>
      <c r="C26" s="219">
        <v>-5722496.8780121692</v>
      </c>
      <c r="D26" s="224"/>
      <c r="E26" s="129">
        <f>+'[2]Monthly TD Calc'!AZ288</f>
        <v>2890409.8209900213</v>
      </c>
      <c r="F26" s="129">
        <f>+'[2]Monthly TD Calc'!BA288</f>
        <v>2832087.0570221478</v>
      </c>
      <c r="G26" s="143">
        <f>+'[2]Monthly TD Calc'!BB288</f>
        <v>2914197.0369588025</v>
      </c>
      <c r="H26" s="89">
        <f>+'[2]Monthly TD Calc'!BC288</f>
        <v>2970935.0270213811</v>
      </c>
      <c r="I26" s="90">
        <f>+'[2]Monthly TD Calc'!BD288</f>
        <v>2715680.539241707</v>
      </c>
      <c r="J26" s="191">
        <f>+'[2]Monthly TD Calc'!BE288</f>
        <v>2862809.8842250369</v>
      </c>
      <c r="K26" s="180">
        <f>+'[2]Monthly TD Calc'!BF288</f>
        <v>2703012.0649789949</v>
      </c>
      <c r="L26" s="162">
        <f>+'[2]Monthly TD Calc'!BG288</f>
        <v>2698632.3480119267</v>
      </c>
      <c r="M26" s="95"/>
      <c r="N26" s="72">
        <f t="shared" si="5"/>
        <v>16865266.900437847</v>
      </c>
    </row>
    <row r="27" spans="1:15" x14ac:dyDescent="0.35">
      <c r="A27" s="59" t="s">
        <v>122</v>
      </c>
      <c r="C27" s="219">
        <v>-2042366.6808370957</v>
      </c>
      <c r="D27" s="224"/>
      <c r="E27" s="129">
        <f>+'[2]Monthly TD Calc'!AZ289</f>
        <v>1031776.4605094917</v>
      </c>
      <c r="F27" s="129">
        <f>+'[2]Monthly TD Calc'!BA289</f>
        <v>1010590.2203276039</v>
      </c>
      <c r="G27" s="143">
        <f>+'[2]Monthly TD Calc'!BB289</f>
        <v>1039178.5305886413</v>
      </c>
      <c r="H27" s="89">
        <f>+'[2]Monthly TD Calc'!BC289</f>
        <v>1060465.2308712879</v>
      </c>
      <c r="I27" s="90">
        <f>+'[2]Monthly TD Calc'!BD289</f>
        <v>967808.71359927149</v>
      </c>
      <c r="J27" s="191">
        <f>+'[2]Monthly TD Calc'!BE289</f>
        <v>1022288.2013225708</v>
      </c>
      <c r="K27" s="180">
        <f>+'[2]Monthly TD Calc'!BF289</f>
        <v>964706.0990347442</v>
      </c>
      <c r="L27" s="162">
        <f>+'[2]Monthly TD Calc'!BG289</f>
        <v>962745.40439030575</v>
      </c>
      <c r="M27" s="95"/>
      <c r="N27" s="72">
        <f t="shared" si="5"/>
        <v>6017192.179806821</v>
      </c>
    </row>
    <row r="28" spans="1:15" x14ac:dyDescent="0.35">
      <c r="C28" s="80"/>
      <c r="D28" s="223"/>
      <c r="E28" s="81"/>
      <c r="F28" s="81"/>
      <c r="G28" s="81"/>
      <c r="H28" s="80"/>
      <c r="I28" s="81"/>
      <c r="J28" s="189"/>
      <c r="K28" s="69"/>
      <c r="L28" s="69"/>
      <c r="M28" s="13"/>
    </row>
    <row r="29" spans="1:15" x14ac:dyDescent="0.35">
      <c r="A29" s="59" t="s">
        <v>73</v>
      </c>
      <c r="C29" s="48"/>
      <c r="D29" s="225"/>
      <c r="E29" s="49"/>
      <c r="F29" s="49"/>
      <c r="G29" s="49"/>
      <c r="H29" s="48"/>
      <c r="I29" s="49"/>
      <c r="J29" s="192"/>
      <c r="K29" s="65"/>
      <c r="L29" s="65"/>
      <c r="M29" s="50"/>
    </row>
    <row r="30" spans="1:15" x14ac:dyDescent="0.35">
      <c r="A30" s="59" t="s">
        <v>26</v>
      </c>
      <c r="C30" s="218">
        <v>-475141.51</v>
      </c>
      <c r="D30" s="221"/>
      <c r="E30" s="127">
        <f>ROUND('[2]Monthly TD Calc'!AZ326,2)</f>
        <v>172528.95</v>
      </c>
      <c r="F30" s="127">
        <f>ROUND('[2]Monthly TD Calc'!BA326,2)</f>
        <v>302612.56</v>
      </c>
      <c r="G30" s="128">
        <f>ROUND('[2]Monthly TD Calc'!BB326,2)</f>
        <v>360467.8</v>
      </c>
      <c r="H30" s="16">
        <f>ROUND('[2]Monthly TD Calc'!BC326,2)</f>
        <v>338929.39</v>
      </c>
      <c r="I30" s="68">
        <f>ROUND('[2]Monthly TD Calc'!BD326,2)</f>
        <v>271074.44</v>
      </c>
      <c r="J30" s="191">
        <f>ROUND('[2]Monthly TD Calc'!BE326,2)</f>
        <v>153317.57999999999</v>
      </c>
      <c r="K30" s="181">
        <f>ROUND('[2]Monthly TD Calc'!BF326,2)</f>
        <v>149696.35999999999</v>
      </c>
      <c r="L30" s="161">
        <f>ROUND('[2]Monthly TD Calc'!BG326,2)</f>
        <v>164387.18</v>
      </c>
      <c r="M30" s="94"/>
    </row>
    <row r="31" spans="1:15" x14ac:dyDescent="0.35">
      <c r="A31" s="59" t="s">
        <v>120</v>
      </c>
      <c r="C31" s="218">
        <v>-206638.61</v>
      </c>
      <c r="D31" s="221"/>
      <c r="E31" s="127">
        <f>ROUND('[2]Monthly TD Calc'!AZ327,2)</f>
        <v>80341.75</v>
      </c>
      <c r="F31" s="127">
        <f>ROUND('[2]Monthly TD Calc'!BA327,2)</f>
        <v>126296.86</v>
      </c>
      <c r="G31" s="128">
        <f>ROUND('[2]Monthly TD Calc'!BB327,2)</f>
        <v>128643.41</v>
      </c>
      <c r="H31" s="16">
        <f>ROUND('[2]Monthly TD Calc'!BC327,2)</f>
        <v>130888.34</v>
      </c>
      <c r="I31" s="68">
        <f>ROUND('[2]Monthly TD Calc'!BD327,2)</f>
        <v>119321.89</v>
      </c>
      <c r="J31" s="191">
        <f>ROUND('[2]Monthly TD Calc'!BE327,2)</f>
        <v>77840.95</v>
      </c>
      <c r="K31" s="181">
        <f>ROUND('[2]Monthly TD Calc'!BF327,2)</f>
        <v>74091.149999999994</v>
      </c>
      <c r="L31" s="161">
        <f>ROUND('[2]Monthly TD Calc'!BG327,2)</f>
        <v>67343.210000000006</v>
      </c>
      <c r="M31" s="94"/>
    </row>
    <row r="32" spans="1:15" x14ac:dyDescent="0.35">
      <c r="A32" s="59" t="s">
        <v>121</v>
      </c>
      <c r="C32" s="218">
        <v>-177648.91999999998</v>
      </c>
      <c r="D32" s="221"/>
      <c r="E32" s="127">
        <f>ROUND('[2]Monthly TD Calc'!AZ329,2)</f>
        <v>81992.95</v>
      </c>
      <c r="F32" s="127">
        <f>ROUND('[2]Monthly TD Calc'!BA329,2)</f>
        <v>95655.97</v>
      </c>
      <c r="G32" s="128">
        <f>ROUND('[2]Monthly TD Calc'!BB329,2)</f>
        <v>95158.56</v>
      </c>
      <c r="H32" s="16">
        <f>ROUND('[2]Monthly TD Calc'!BC329,2)</f>
        <v>97995.36</v>
      </c>
      <c r="I32" s="68">
        <f>ROUND('[2]Monthly TD Calc'!BD329,2)</f>
        <v>91010.55</v>
      </c>
      <c r="J32" s="191">
        <f>ROUND('[2]Monthly TD Calc'!BE329,2)</f>
        <v>77920.800000000003</v>
      </c>
      <c r="K32" s="181">
        <f>ROUND('[2]Monthly TD Calc'!BF329,2)</f>
        <v>75716.31</v>
      </c>
      <c r="L32" s="161">
        <f>ROUND('[2]Monthly TD Calc'!BG329,2)</f>
        <v>72630.33</v>
      </c>
      <c r="M32" s="94"/>
    </row>
    <row r="33" spans="1:15" x14ac:dyDescent="0.35">
      <c r="A33" s="59" t="s">
        <v>122</v>
      </c>
      <c r="C33" s="218">
        <v>-31572.38</v>
      </c>
      <c r="D33" s="221"/>
      <c r="E33" s="127">
        <f>ROUND('[2]Monthly TD Calc'!AZ330,2)</f>
        <v>14070.41</v>
      </c>
      <c r="F33" s="127">
        <f>ROUND('[2]Monthly TD Calc'!BA330,2)</f>
        <v>17501.97</v>
      </c>
      <c r="G33" s="128">
        <f>ROUND('[2]Monthly TD Calc'!BB330,2)</f>
        <v>17971.36</v>
      </c>
      <c r="H33" s="16">
        <f>ROUND('[2]Monthly TD Calc'!BC330,2)</f>
        <v>18227.55</v>
      </c>
      <c r="I33" s="68">
        <f>ROUND('[2]Monthly TD Calc'!BD330,2)</f>
        <v>17181.66</v>
      </c>
      <c r="J33" s="191">
        <f>ROUND('[2]Monthly TD Calc'!BE330,2)</f>
        <v>13264.22</v>
      </c>
      <c r="K33" s="181">
        <f>ROUND('[2]Monthly TD Calc'!BF330,2)</f>
        <v>12740.14</v>
      </c>
      <c r="L33" s="161">
        <f>ROUND('[2]Monthly TD Calc'!BG330,2)</f>
        <v>13601.93</v>
      </c>
      <c r="M33" s="94"/>
      <c r="O33" s="60"/>
    </row>
    <row r="34" spans="1:15" x14ac:dyDescent="0.35">
      <c r="C34" s="117"/>
      <c r="D34" s="222"/>
      <c r="E34" s="18"/>
      <c r="F34" s="18"/>
      <c r="G34" s="18"/>
      <c r="H34" s="109"/>
      <c r="I34" s="18"/>
      <c r="J34" s="187"/>
      <c r="K34" s="69"/>
      <c r="L34" s="69"/>
      <c r="M34" s="13"/>
    </row>
    <row r="35" spans="1:15" ht="15" thickBot="1" x14ac:dyDescent="0.4">
      <c r="A35" s="3" t="s">
        <v>17</v>
      </c>
      <c r="B35" s="3"/>
      <c r="C35" s="220">
        <v>-2792.6499999999996</v>
      </c>
      <c r="D35" s="226"/>
      <c r="E35" s="154">
        <v>1011</v>
      </c>
      <c r="F35" s="154">
        <v>1123.1499999999999</v>
      </c>
      <c r="G35" s="155">
        <v>1243.06</v>
      </c>
      <c r="H35" s="38">
        <v>1321.23</v>
      </c>
      <c r="I35" s="140">
        <v>1373.87</v>
      </c>
      <c r="J35" s="193">
        <v>1361.63</v>
      </c>
      <c r="K35" s="182">
        <v>1318.29</v>
      </c>
      <c r="L35" s="163">
        <v>1245.9000000000001</v>
      </c>
      <c r="M35" s="97"/>
    </row>
    <row r="36" spans="1:15" x14ac:dyDescent="0.35">
      <c r="C36" s="77"/>
      <c r="D36" s="229"/>
      <c r="E36" s="79"/>
      <c r="F36" s="79"/>
      <c r="G36" s="45"/>
      <c r="H36" s="77"/>
      <c r="I36" s="45"/>
      <c r="J36" s="194"/>
      <c r="K36" s="46"/>
      <c r="L36" s="46"/>
      <c r="M36" s="73"/>
    </row>
    <row r="37" spans="1:15" x14ac:dyDescent="0.35">
      <c r="A37" s="59" t="s">
        <v>54</v>
      </c>
      <c r="C37" s="78"/>
      <c r="D37" s="230"/>
      <c r="E37" s="47"/>
      <c r="F37" s="47"/>
      <c r="G37" s="47"/>
      <c r="H37" s="78"/>
      <c r="I37" s="47"/>
      <c r="J37" s="195"/>
      <c r="K37" s="46"/>
      <c r="L37" s="46"/>
      <c r="M37" s="73"/>
    </row>
    <row r="38" spans="1:15" x14ac:dyDescent="0.35">
      <c r="A38" s="59" t="s">
        <v>26</v>
      </c>
      <c r="C38" s="227">
        <f t="shared" ref="C38:M38" si="6">C30-C18</f>
        <v>233228.80570000014</v>
      </c>
      <c r="D38" s="231">
        <f t="shared" si="6"/>
        <v>0</v>
      </c>
      <c r="E38" s="53">
        <f t="shared" si="6"/>
        <v>3021.0299999999988</v>
      </c>
      <c r="F38" s="53">
        <f t="shared" si="6"/>
        <v>59330.700000000012</v>
      </c>
      <c r="G38" s="126">
        <f t="shared" si="6"/>
        <v>21769.570000000007</v>
      </c>
      <c r="H38" s="52">
        <f t="shared" si="6"/>
        <v>29363.809999999998</v>
      </c>
      <c r="I38" s="53">
        <f t="shared" si="6"/>
        <v>-7697.6199999999953</v>
      </c>
      <c r="J38" s="74">
        <f t="shared" si="6"/>
        <v>-40525.25</v>
      </c>
      <c r="K38" s="141">
        <f t="shared" si="6"/>
        <v>-23610.261549999996</v>
      </c>
      <c r="L38" s="53">
        <f t="shared" si="6"/>
        <v>-59611.555399999983</v>
      </c>
      <c r="M38" s="74">
        <f t="shared" si="6"/>
        <v>-311064.95874999999</v>
      </c>
    </row>
    <row r="39" spans="1:15" x14ac:dyDescent="0.35">
      <c r="A39" s="59" t="s">
        <v>27</v>
      </c>
      <c r="C39" s="227">
        <f>SUM(C31:C33)-SUM(C19:C21)</f>
        <v>107194.28259000002</v>
      </c>
      <c r="D39" s="231">
        <f t="shared" ref="D39:M39" si="7">SUM(D31:D33)-SUM(D19:D21)</f>
        <v>0</v>
      </c>
      <c r="E39" s="53">
        <f t="shared" si="7"/>
        <v>56405.619999999995</v>
      </c>
      <c r="F39" s="53">
        <f t="shared" si="7"/>
        <v>83371.370000000024</v>
      </c>
      <c r="G39" s="126">
        <f t="shared" si="7"/>
        <v>50741.380000000005</v>
      </c>
      <c r="H39" s="52">
        <f t="shared" si="7"/>
        <v>44865.72</v>
      </c>
      <c r="I39" s="53">
        <f t="shared" si="7"/>
        <v>36160.899999999994</v>
      </c>
      <c r="J39" s="74">
        <f t="shared" si="7"/>
        <v>-2579.5200000000186</v>
      </c>
      <c r="K39" s="141">
        <f t="shared" si="7"/>
        <v>-10481.005880000012</v>
      </c>
      <c r="L39" s="53">
        <f t="shared" si="7"/>
        <v>-33351.666209999996</v>
      </c>
      <c r="M39" s="74">
        <f t="shared" si="7"/>
        <v>-207195.93241000001</v>
      </c>
    </row>
    <row r="40" spans="1:15" x14ac:dyDescent="0.35">
      <c r="C40" s="117"/>
      <c r="D40" s="222"/>
      <c r="E40" s="17"/>
      <c r="F40" s="17"/>
      <c r="G40" s="17"/>
      <c r="H40" s="10"/>
      <c r="I40" s="17"/>
      <c r="J40" s="11"/>
      <c r="K40" s="17"/>
      <c r="L40" s="17"/>
      <c r="M40" s="11"/>
    </row>
    <row r="41" spans="1:15" ht="15" thickBot="1" x14ac:dyDescent="0.4">
      <c r="A41" s="59" t="s">
        <v>55</v>
      </c>
      <c r="C41" s="117"/>
      <c r="D41" s="222"/>
      <c r="E41" s="17"/>
      <c r="F41" s="17"/>
      <c r="G41" s="17"/>
      <c r="H41" s="10"/>
      <c r="I41" s="17"/>
      <c r="J41" s="11"/>
      <c r="K41" s="17"/>
      <c r="L41" s="17"/>
      <c r="M41" s="11"/>
    </row>
    <row r="42" spans="1:15" x14ac:dyDescent="0.35">
      <c r="A42" s="59" t="s">
        <v>26</v>
      </c>
      <c r="B42" s="134">
        <v>530014.38429999992</v>
      </c>
      <c r="C42" s="227">
        <f t="shared" ref="C42:E43" si="8">+B42+C38+B47</f>
        <v>763243.19000000006</v>
      </c>
      <c r="D42" s="231">
        <f t="shared" si="8"/>
        <v>760701.2300000001</v>
      </c>
      <c r="E42" s="53">
        <f t="shared" si="8"/>
        <v>763722.26000000013</v>
      </c>
      <c r="F42" s="53">
        <f t="shared" ref="F42:M42" si="9">+E42+F38+E47</f>
        <v>823972.58000000019</v>
      </c>
      <c r="G42" s="126">
        <f t="shared" si="9"/>
        <v>846691.20000000019</v>
      </c>
      <c r="H42" s="52">
        <f t="shared" si="9"/>
        <v>877045.67000000027</v>
      </c>
      <c r="I42" s="53">
        <f t="shared" si="9"/>
        <v>870362.31000000029</v>
      </c>
      <c r="J42" s="74">
        <f t="shared" si="9"/>
        <v>830858.35000000033</v>
      </c>
      <c r="K42" s="141">
        <f t="shared" si="9"/>
        <v>808238.53845000034</v>
      </c>
      <c r="L42" s="53">
        <f t="shared" si="9"/>
        <v>749581.26305000042</v>
      </c>
      <c r="M42" s="74">
        <f t="shared" si="9"/>
        <v>439423.2743000004</v>
      </c>
    </row>
    <row r="43" spans="1:15" ht="15" thickBot="1" x14ac:dyDescent="0.4">
      <c r="A43" s="59" t="s">
        <v>27</v>
      </c>
      <c r="B43" s="135">
        <v>-59414.258320000008</v>
      </c>
      <c r="C43" s="227">
        <f t="shared" si="8"/>
        <v>47780.024270000009</v>
      </c>
      <c r="D43" s="231">
        <f t="shared" si="8"/>
        <v>47529.334270000007</v>
      </c>
      <c r="E43" s="53">
        <f t="shared" si="8"/>
        <v>103934.95427</v>
      </c>
      <c r="F43" s="53">
        <f t="shared" ref="F43:M43" si="10">+E43+F39+E48</f>
        <v>187397.69427000004</v>
      </c>
      <c r="G43" s="126">
        <f t="shared" si="10"/>
        <v>238313.17427000005</v>
      </c>
      <c r="H43" s="52">
        <f t="shared" si="10"/>
        <v>283431.29427000007</v>
      </c>
      <c r="I43" s="53">
        <f t="shared" si="10"/>
        <v>319899.16427000007</v>
      </c>
      <c r="J43" s="74">
        <f t="shared" si="10"/>
        <v>317672.24427000002</v>
      </c>
      <c r="K43" s="141">
        <f t="shared" si="10"/>
        <v>307562.41839000001</v>
      </c>
      <c r="L43" s="53">
        <f t="shared" si="10"/>
        <v>274574.76218000002</v>
      </c>
      <c r="M43" s="74">
        <f t="shared" si="10"/>
        <v>67717.759770000004</v>
      </c>
    </row>
    <row r="44" spans="1:15" x14ac:dyDescent="0.35">
      <c r="C44" s="117"/>
      <c r="D44" s="222"/>
      <c r="E44" s="17"/>
      <c r="F44" s="17"/>
      <c r="G44" s="17"/>
      <c r="H44" s="10"/>
      <c r="I44" s="17"/>
      <c r="J44" s="11"/>
      <c r="K44" s="17"/>
      <c r="L44" s="17"/>
      <c r="M44" s="11"/>
    </row>
    <row r="45" spans="1:15" x14ac:dyDescent="0.35">
      <c r="A45" s="51" t="s">
        <v>137</v>
      </c>
      <c r="B45" s="51"/>
      <c r="C45" s="122"/>
      <c r="D45" s="232"/>
      <c r="E45" s="98">
        <f>+'PCR Cycle 2'!D47</f>
        <v>1.20652E-3</v>
      </c>
      <c r="F45" s="98">
        <f>+'PCR Cycle 2'!E47</f>
        <v>1.1948200000000001E-3</v>
      </c>
      <c r="G45" s="98">
        <f>+'PCR Cycle 2'!F47</f>
        <v>1.1852799999999999E-3</v>
      </c>
      <c r="H45" s="99">
        <f>+'PCR Cycle 2'!G47</f>
        <v>1.17614E-3</v>
      </c>
      <c r="I45" s="98">
        <f>+'PCR Cycle 2'!H47</f>
        <v>1.1682400000000001E-3</v>
      </c>
      <c r="J45" s="110">
        <f>+'PCR Cycle 2'!I47</f>
        <v>1.1636999999999999E-3</v>
      </c>
      <c r="K45" s="98">
        <f>+'PCR Cycle 2'!J47</f>
        <v>1.1636999999999999E-3</v>
      </c>
      <c r="L45" s="98">
        <f>+'PCR Cycle 2'!K47</f>
        <v>1.1636999999999999E-3</v>
      </c>
      <c r="M45" s="100"/>
    </row>
    <row r="46" spans="1:15" x14ac:dyDescent="0.35">
      <c r="A46" s="51" t="s">
        <v>39</v>
      </c>
      <c r="B46" s="51"/>
      <c r="C46" s="124"/>
      <c r="D46" s="233"/>
      <c r="E46" s="98"/>
      <c r="F46" s="98"/>
      <c r="G46" s="98"/>
      <c r="H46" s="99"/>
      <c r="I46" s="98"/>
      <c r="J46" s="100"/>
      <c r="K46" s="98"/>
      <c r="L46" s="98"/>
      <c r="M46" s="100"/>
    </row>
    <row r="47" spans="1:15" x14ac:dyDescent="0.35">
      <c r="A47" s="59" t="s">
        <v>26</v>
      </c>
      <c r="C47" s="227">
        <v>-2541.96</v>
      </c>
      <c r="D47" s="231"/>
      <c r="E47" s="53">
        <f>ROUND((D42+D47+E38/2)*E$45,2)</f>
        <v>919.62</v>
      </c>
      <c r="F47" s="53">
        <f t="shared" ref="F47:F48" si="11">ROUND((E42+E47+F38/2)*F$45,2)</f>
        <v>949.05</v>
      </c>
      <c r="G47" s="126">
        <f t="shared" ref="G47:G48" si="12">ROUND((F42+F47+G38/2)*G$45,2)</f>
        <v>990.66</v>
      </c>
      <c r="H47" s="52">
        <f t="shared" ref="H47:H48" si="13">ROUND((G42+G47+H38/2)*H$45,2)</f>
        <v>1014.26</v>
      </c>
      <c r="I47" s="141">
        <f t="shared" ref="I47:J48" si="14">ROUND((H42+H47+I38/2)*I$45,2)</f>
        <v>1021.29</v>
      </c>
      <c r="J47" s="74">
        <f t="shared" si="14"/>
        <v>990.45</v>
      </c>
      <c r="K47" s="183">
        <f t="shared" ref="K47:K48" si="15">ROUND((J42+J47+K38/2)*K$45,2)</f>
        <v>954.28</v>
      </c>
      <c r="L47" s="126">
        <f t="shared" ref="L47:L48" si="16">ROUND((K42+K47+L38/2)*L$45,2)</f>
        <v>906.97</v>
      </c>
      <c r="M47" s="74">
        <f t="shared" ref="M47:M48" si="17">ROUND((L42+L47+M38/2)*M$45,2)</f>
        <v>0</v>
      </c>
    </row>
    <row r="48" spans="1:15" ht="15" thickBot="1" x14ac:dyDescent="0.4">
      <c r="A48" s="59" t="s">
        <v>27</v>
      </c>
      <c r="C48" s="227">
        <v>-250.69</v>
      </c>
      <c r="D48" s="231"/>
      <c r="E48" s="53">
        <f>ROUND((D43+D48+E39/2)*E$45,2)</f>
        <v>91.37</v>
      </c>
      <c r="F48" s="53">
        <f t="shared" si="11"/>
        <v>174.1</v>
      </c>
      <c r="G48" s="126">
        <f t="shared" si="12"/>
        <v>252.4</v>
      </c>
      <c r="H48" s="52">
        <f t="shared" si="13"/>
        <v>306.97000000000003</v>
      </c>
      <c r="I48" s="141">
        <f t="shared" si="14"/>
        <v>352.6</v>
      </c>
      <c r="J48" s="74">
        <f t="shared" si="14"/>
        <v>371.18</v>
      </c>
      <c r="K48" s="183">
        <f t="shared" si="15"/>
        <v>364.01</v>
      </c>
      <c r="L48" s="126">
        <f t="shared" si="16"/>
        <v>338.93</v>
      </c>
      <c r="M48" s="74">
        <f t="shared" si="17"/>
        <v>0</v>
      </c>
    </row>
    <row r="49" spans="1:13" ht="15.5" thickTop="1" thickBot="1" x14ac:dyDescent="0.4">
      <c r="A49" s="67" t="s">
        <v>24</v>
      </c>
      <c r="B49" s="67"/>
      <c r="C49" s="228">
        <v>0</v>
      </c>
      <c r="D49" s="234"/>
      <c r="E49" s="54">
        <f>SUM(E47:E48)+SUM(E42:E43)-E52</f>
        <v>0</v>
      </c>
      <c r="F49" s="54">
        <f t="shared" ref="F49:M49" si="18">SUM(F47:F48)+SUM(F42:F43)-F52</f>
        <v>0</v>
      </c>
      <c r="G49" s="63">
        <f t="shared" si="18"/>
        <v>0</v>
      </c>
      <c r="H49" s="64">
        <f t="shared" si="18"/>
        <v>0</v>
      </c>
      <c r="I49" s="54">
        <f t="shared" si="18"/>
        <v>0</v>
      </c>
      <c r="J49" s="75">
        <f t="shared" si="18"/>
        <v>0</v>
      </c>
      <c r="K49" s="184">
        <f t="shared" si="18"/>
        <v>0</v>
      </c>
      <c r="L49" s="63">
        <f t="shared" si="18"/>
        <v>0</v>
      </c>
      <c r="M49" s="75">
        <f t="shared" si="18"/>
        <v>0</v>
      </c>
    </row>
    <row r="50" spans="1:13" ht="15.5" thickTop="1" thickBot="1" x14ac:dyDescent="0.4">
      <c r="A50" s="67" t="s">
        <v>25</v>
      </c>
      <c r="B50" s="67"/>
      <c r="C50" s="228">
        <v>0</v>
      </c>
      <c r="D50" s="234"/>
      <c r="E50" s="54">
        <f>SUM(E47:E48)-E35</f>
        <v>-9.9999999999909051E-3</v>
      </c>
      <c r="F50" s="54">
        <f t="shared" ref="F50:J50" si="19">SUM(F47:F48)-F35</f>
        <v>0</v>
      </c>
      <c r="G50" s="63">
        <f t="shared" ref="G50:I50" si="20">SUM(G47:G48)-G35</f>
        <v>0</v>
      </c>
      <c r="H50" s="64">
        <f t="shared" si="20"/>
        <v>0</v>
      </c>
      <c r="I50" s="54">
        <f t="shared" si="20"/>
        <v>1.999999999998181E-2</v>
      </c>
      <c r="J50" s="75">
        <f t="shared" si="19"/>
        <v>0</v>
      </c>
      <c r="K50" s="185">
        <f t="shared" ref="K50:M50" si="21">SUM(K47:K48)-K35</f>
        <v>0</v>
      </c>
      <c r="L50" s="54">
        <f t="shared" si="21"/>
        <v>0</v>
      </c>
      <c r="M50" s="54">
        <f t="shared" si="21"/>
        <v>0</v>
      </c>
    </row>
    <row r="51" spans="1:13" ht="15.5" thickTop="1" thickBot="1" x14ac:dyDescent="0.4">
      <c r="C51" s="117"/>
      <c r="D51" s="222"/>
      <c r="E51" s="17"/>
      <c r="F51" s="17"/>
      <c r="G51" s="17"/>
      <c r="H51" s="10"/>
      <c r="I51" s="17"/>
      <c r="J51" s="11"/>
      <c r="K51" s="17"/>
      <c r="L51" s="17"/>
      <c r="M51" s="11"/>
    </row>
    <row r="52" spans="1:13" ht="15" thickBot="1" x14ac:dyDescent="0.4">
      <c r="A52" s="59" t="s">
        <v>38</v>
      </c>
      <c r="B52" s="137">
        <f>+B42+B43</f>
        <v>470600.1259799999</v>
      </c>
      <c r="C52" s="227">
        <f t="shared" ref="C52:M52" si="22">(C15-SUM(C18:C21))+SUM(C47:C48)+B52</f>
        <v>808230.56427000021</v>
      </c>
      <c r="D52" s="231">
        <f t="shared" si="22"/>
        <v>808230.56427000021</v>
      </c>
      <c r="E52" s="53">
        <f t="shared" si="22"/>
        <v>868668.20427000022</v>
      </c>
      <c r="F52" s="53">
        <f t="shared" si="22"/>
        <v>1012493.4242700002</v>
      </c>
      <c r="G52" s="126">
        <f t="shared" si="22"/>
        <v>1086247.4342700003</v>
      </c>
      <c r="H52" s="52">
        <f t="shared" si="22"/>
        <v>1161798.1942700003</v>
      </c>
      <c r="I52" s="53">
        <f t="shared" si="22"/>
        <v>1191635.3642700003</v>
      </c>
      <c r="J52" s="74">
        <f t="shared" si="22"/>
        <v>1149892.2242700001</v>
      </c>
      <c r="K52" s="183">
        <f t="shared" si="22"/>
        <v>1117119.2468400002</v>
      </c>
      <c r="L52" s="126">
        <f t="shared" si="22"/>
        <v>1025401.9252300002</v>
      </c>
      <c r="M52" s="74">
        <f t="shared" si="22"/>
        <v>507141.03407000017</v>
      </c>
    </row>
    <row r="53" spans="1:13" x14ac:dyDescent="0.35">
      <c r="A53" s="59" t="s">
        <v>14</v>
      </c>
      <c r="C53" s="138"/>
      <c r="D53" s="235"/>
      <c r="E53" s="17"/>
      <c r="F53" s="17"/>
      <c r="G53" s="17"/>
      <c r="H53" s="10"/>
      <c r="I53" s="17"/>
      <c r="J53" s="11"/>
      <c r="K53" s="17"/>
      <c r="L53" s="17"/>
      <c r="M53" s="11"/>
    </row>
    <row r="54" spans="1:13" ht="15" thickBot="1" x14ac:dyDescent="0.4">
      <c r="A54" s="49"/>
      <c r="B54" s="49"/>
      <c r="C54" s="166"/>
      <c r="D54" s="236"/>
      <c r="E54" s="56"/>
      <c r="F54" s="56"/>
      <c r="G54" s="56"/>
      <c r="H54" s="55"/>
      <c r="I54" s="56"/>
      <c r="J54" s="57"/>
      <c r="K54" s="56"/>
      <c r="L54" s="56"/>
      <c r="M54" s="57"/>
    </row>
    <row r="56" spans="1:13" x14ac:dyDescent="0.35">
      <c r="A56" s="82" t="s">
        <v>13</v>
      </c>
      <c r="B56" s="82"/>
      <c r="C56" s="82"/>
      <c r="D56" s="82"/>
    </row>
    <row r="57" spans="1:13" ht="34.5" customHeight="1" x14ac:dyDescent="0.35">
      <c r="A57" s="306" t="s">
        <v>200</v>
      </c>
      <c r="B57" s="306"/>
      <c r="C57" s="306"/>
      <c r="D57" s="306"/>
      <c r="E57" s="306"/>
      <c r="F57" s="306"/>
      <c r="G57" s="306"/>
      <c r="H57" s="306"/>
      <c r="I57" s="306"/>
      <c r="J57" s="306"/>
      <c r="K57" s="215"/>
      <c r="L57" s="164"/>
      <c r="M57" s="164"/>
    </row>
    <row r="58" spans="1:13" ht="42.75" customHeight="1" x14ac:dyDescent="0.35">
      <c r="A58" s="306" t="s">
        <v>195</v>
      </c>
      <c r="B58" s="306"/>
      <c r="C58" s="306"/>
      <c r="D58" s="306"/>
      <c r="E58" s="306"/>
      <c r="F58" s="306"/>
      <c r="G58" s="306"/>
      <c r="H58" s="306"/>
      <c r="I58" s="306"/>
      <c r="J58" s="306"/>
      <c r="K58" s="306"/>
      <c r="L58" s="164"/>
      <c r="M58" s="164"/>
    </row>
    <row r="59" spans="1:13" ht="33.75" customHeight="1" x14ac:dyDescent="0.35">
      <c r="A59" s="306" t="s">
        <v>201</v>
      </c>
      <c r="B59" s="306"/>
      <c r="C59" s="306"/>
      <c r="D59" s="306"/>
      <c r="E59" s="306"/>
      <c r="F59" s="306"/>
      <c r="G59" s="306"/>
      <c r="H59" s="306"/>
      <c r="I59" s="306"/>
      <c r="J59" s="306"/>
      <c r="K59" s="215"/>
      <c r="L59" s="164"/>
      <c r="M59" s="164"/>
    </row>
    <row r="60" spans="1:13" x14ac:dyDescent="0.35">
      <c r="A60" s="3" t="s">
        <v>71</v>
      </c>
      <c r="B60" s="3"/>
      <c r="C60" s="3"/>
      <c r="D60" s="3"/>
    </row>
    <row r="61" spans="1:13" x14ac:dyDescent="0.35">
      <c r="A61" s="76" t="s">
        <v>188</v>
      </c>
      <c r="B61" s="3"/>
      <c r="C61" s="3"/>
      <c r="D61" s="3"/>
    </row>
    <row r="62" spans="1:13" x14ac:dyDescent="0.35">
      <c r="A62" s="3" t="s">
        <v>74</v>
      </c>
      <c r="B62" s="3"/>
      <c r="C62" s="3"/>
      <c r="D62" s="3"/>
    </row>
    <row r="63" spans="1:13" x14ac:dyDescent="0.35">
      <c r="A63" s="3" t="s">
        <v>202</v>
      </c>
      <c r="B63" s="3"/>
      <c r="C63" s="3"/>
      <c r="D63" s="3"/>
    </row>
  </sheetData>
  <mergeCells count="6">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67"/>
  <sheetViews>
    <sheetView zoomScaleNormal="100" workbookViewId="0">
      <pane xSplit="1" ySplit="2" topLeftCell="B3" activePane="bottomRight" state="frozen"/>
      <selection activeCell="J8" sqref="J8"/>
      <selection pane="topRight" activeCell="J8" sqref="J8"/>
      <selection pane="bottomLeft" activeCell="J8" sqref="J8"/>
      <selection pane="bottomRight" activeCell="A71" sqref="A71"/>
    </sheetView>
  </sheetViews>
  <sheetFormatPr defaultColWidth="9.1796875" defaultRowHeight="14.5" x14ac:dyDescent="0.35"/>
  <cols>
    <col min="1" max="1" width="61.7265625" style="59" customWidth="1"/>
    <col min="2" max="2" width="12.1796875" style="59" customWidth="1"/>
    <col min="3" max="4" width="12.453125" style="59" customWidth="1"/>
    <col min="5" max="5" width="15.453125" style="59" customWidth="1"/>
    <col min="6" max="6" width="15.81640625" style="59" customWidth="1"/>
    <col min="7" max="7" width="12.26953125" style="59" customWidth="1"/>
    <col min="8" max="9" width="13.26953125" style="59" customWidth="1"/>
    <col min="10" max="10" width="12.26953125" style="59" bestFit="1" customWidth="1"/>
    <col min="11" max="11" width="11.54296875" style="59" bestFit="1" customWidth="1"/>
    <col min="12" max="12" width="12.81640625" style="59" customWidth="1"/>
    <col min="13" max="13" width="10.7265625" style="59" bestFit="1" customWidth="1"/>
    <col min="14" max="14" width="15" style="59" bestFit="1" customWidth="1"/>
    <col min="15" max="15" width="16" style="59" bestFit="1"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35" x14ac:dyDescent="0.35">
      <c r="A1" s="3" t="str">
        <f>+'PPC Cycle 2'!A1</f>
        <v>Evergy Missouri West, Inc. - DSIM Rider Update Filed 12/01/2020</v>
      </c>
      <c r="B1" s="3"/>
      <c r="C1" s="3"/>
      <c r="D1" s="3"/>
    </row>
    <row r="2" spans="1:35" x14ac:dyDescent="0.35">
      <c r="E2" s="3" t="s">
        <v>153</v>
      </c>
    </row>
    <row r="3" spans="1:35" ht="29" x14ac:dyDescent="0.35">
      <c r="E3" s="61" t="s">
        <v>48</v>
      </c>
      <c r="F3" s="83" t="s">
        <v>75</v>
      </c>
      <c r="G3" s="83" t="s">
        <v>56</v>
      </c>
      <c r="H3" s="61" t="s">
        <v>3</v>
      </c>
      <c r="I3" s="83" t="s">
        <v>57</v>
      </c>
      <c r="J3" s="61" t="s">
        <v>11</v>
      </c>
      <c r="K3" s="61" t="s">
        <v>10</v>
      </c>
      <c r="S3" s="61"/>
    </row>
    <row r="4" spans="1:35" x14ac:dyDescent="0.35">
      <c r="A4" s="21" t="s">
        <v>26</v>
      </c>
      <c r="B4" s="21"/>
      <c r="C4" s="21"/>
      <c r="D4" s="21"/>
      <c r="E4" s="23">
        <f>SUM(C15:M15)</f>
        <v>1188214.6120999998</v>
      </c>
      <c r="F4" s="156">
        <f>N21</f>
        <v>19033526.260113262</v>
      </c>
      <c r="G4" s="23">
        <f>SUM(C27:L27)</f>
        <v>1258245.3999999999</v>
      </c>
      <c r="H4" s="23">
        <f>G4-E4</f>
        <v>70030.787900000112</v>
      </c>
      <c r="I4" s="23">
        <f>+B41</f>
        <v>-149420.05361999996</v>
      </c>
      <c r="J4" s="23">
        <f>SUM(C48:L48)</f>
        <v>501.45</v>
      </c>
      <c r="K4" s="35">
        <f>SUM(H4:J4)</f>
        <v>-78887.815719999853</v>
      </c>
      <c r="L4" s="60">
        <f>+K4-M41</f>
        <v>0</v>
      </c>
    </row>
    <row r="5" spans="1:35" x14ac:dyDescent="0.35">
      <c r="A5" s="21" t="s">
        <v>120</v>
      </c>
      <c r="B5" s="21"/>
      <c r="C5" s="21"/>
      <c r="D5" s="21"/>
      <c r="E5" s="23">
        <f>SUM(C16:M16)</f>
        <v>161613.24503999998</v>
      </c>
      <c r="F5" s="156">
        <f>N22</f>
        <v>1847672.8448831209</v>
      </c>
      <c r="G5" s="23">
        <f>SUM(C28:L28)</f>
        <v>97504.43</v>
      </c>
      <c r="H5" s="23">
        <f t="shared" ref="H5:H6" si="0">G5-E5</f>
        <v>-64108.815039999987</v>
      </c>
      <c r="I5" s="23">
        <f>+B42</f>
        <v>-26653.263359999997</v>
      </c>
      <c r="J5" s="23">
        <f>SUM(C49:L49)</f>
        <v>-274.93</v>
      </c>
      <c r="K5" s="35">
        <f t="shared" ref="K5:K6" si="1">SUM(H5:J5)</f>
        <v>-91037.008399999977</v>
      </c>
      <c r="L5" s="60">
        <f t="shared" ref="L5:L6" si="2">+K5-M42</f>
        <v>0</v>
      </c>
    </row>
    <row r="6" spans="1:35" x14ac:dyDescent="0.35">
      <c r="A6" s="21" t="s">
        <v>121</v>
      </c>
      <c r="B6" s="21"/>
      <c r="C6" s="21"/>
      <c r="D6" s="21"/>
      <c r="E6" s="23">
        <f>SUM(C17:M17)</f>
        <v>106514.22420000001</v>
      </c>
      <c r="F6" s="156">
        <f>N23</f>
        <v>2017351.1385572343</v>
      </c>
      <c r="G6" s="23">
        <f>SUM(C29:L29)</f>
        <v>63778.240000000005</v>
      </c>
      <c r="H6" s="23">
        <f t="shared" si="0"/>
        <v>-42735.984200000006</v>
      </c>
      <c r="I6" s="23">
        <f>+B43</f>
        <v>-24046.844939999995</v>
      </c>
      <c r="J6" s="23">
        <f>SUM(C50:L50)</f>
        <v>-168.22</v>
      </c>
      <c r="K6" s="35">
        <f t="shared" si="1"/>
        <v>-66951.049140000003</v>
      </c>
      <c r="L6" s="60">
        <f t="shared" si="2"/>
        <v>0</v>
      </c>
    </row>
    <row r="7" spans="1:35" ht="15" thickBot="1" x14ac:dyDescent="0.4">
      <c r="A7" s="21" t="s">
        <v>122</v>
      </c>
      <c r="B7" s="21"/>
      <c r="C7" s="21"/>
      <c r="D7" s="21"/>
      <c r="E7" s="23">
        <f>SUM(C18:M18)</f>
        <v>37132.886900000005</v>
      </c>
      <c r="F7" s="156">
        <f>N24</f>
        <v>1768343.9463489065</v>
      </c>
      <c r="G7" s="23">
        <f>SUM(C30:L30)</f>
        <v>22410.42</v>
      </c>
      <c r="H7" s="23">
        <f>G7-E7</f>
        <v>-14722.466900000007</v>
      </c>
      <c r="I7" s="23">
        <f>+B44</f>
        <v>-7799.6934500000007</v>
      </c>
      <c r="J7" s="23">
        <f>SUM(C51:L51)</f>
        <v>-80.349999999999994</v>
      </c>
      <c r="K7" s="35">
        <f>SUM(H7:J7)</f>
        <v>-22602.510350000004</v>
      </c>
      <c r="L7" s="60">
        <f>+K7-M44</f>
        <v>0</v>
      </c>
    </row>
    <row r="8" spans="1:35" ht="15.5" thickTop="1" thickBot="1" x14ac:dyDescent="0.4">
      <c r="E8" s="39">
        <f t="shared" ref="E8:K8" si="3">SUM(E4:E7)</f>
        <v>1493474.9682399998</v>
      </c>
      <c r="F8" s="157">
        <f t="shared" si="3"/>
        <v>24666894.189902522</v>
      </c>
      <c r="G8" s="39">
        <f t="shared" si="3"/>
        <v>1441938.4899999998</v>
      </c>
      <c r="H8" s="39">
        <f t="shared" si="3"/>
        <v>-51536.478239999888</v>
      </c>
      <c r="I8" s="39">
        <f t="shared" si="3"/>
        <v>-207919.85536999992</v>
      </c>
      <c r="J8" s="39">
        <f t="shared" si="3"/>
        <v>-22.050000000000011</v>
      </c>
      <c r="K8" s="39">
        <f t="shared" si="3"/>
        <v>-259478.38360999984</v>
      </c>
      <c r="T8" s="5"/>
    </row>
    <row r="9" spans="1:35" ht="15.5" thickTop="1" thickBot="1" x14ac:dyDescent="0.4">
      <c r="V9" s="4"/>
      <c r="W9" s="5"/>
    </row>
    <row r="10" spans="1:35" ht="116.5" thickBot="1" x14ac:dyDescent="0.4">
      <c r="B10" s="136" t="str">
        <f>+'PCR Cycle 2'!B13</f>
        <v>Cumulative Over/Under Carryover From 06/01/2020 Filing</v>
      </c>
      <c r="C10" s="171" t="str">
        <f>+'PCR Cycle 2'!C13</f>
        <v>Reverse November-20 - January 2021  Forecast From 06/01/2020 Filing</v>
      </c>
      <c r="D10" s="237" t="s">
        <v>215</v>
      </c>
      <c r="E10" s="307" t="s">
        <v>35</v>
      </c>
      <c r="F10" s="307"/>
      <c r="G10" s="308"/>
      <c r="H10" s="309" t="s">
        <v>35</v>
      </c>
      <c r="I10" s="310"/>
      <c r="J10" s="311"/>
      <c r="K10" s="303" t="s">
        <v>9</v>
      </c>
      <c r="L10" s="304"/>
      <c r="M10" s="305"/>
    </row>
    <row r="11" spans="1:35" x14ac:dyDescent="0.35">
      <c r="A11" s="59" t="s">
        <v>66</v>
      </c>
      <c r="C11" s="123"/>
      <c r="D11" s="238"/>
      <c r="E11" s="19">
        <f>+'PCR Cycle 2'!D14</f>
        <v>43982</v>
      </c>
      <c r="F11" s="19">
        <f t="shared" ref="F11:M11" si="4">EOMONTH(E11,1)</f>
        <v>44012</v>
      </c>
      <c r="G11" s="19">
        <f t="shared" si="4"/>
        <v>44043</v>
      </c>
      <c r="H11" s="14">
        <f t="shared" si="4"/>
        <v>44074</v>
      </c>
      <c r="I11" s="19">
        <f t="shared" si="4"/>
        <v>44104</v>
      </c>
      <c r="J11" s="15">
        <f t="shared" si="4"/>
        <v>44135</v>
      </c>
      <c r="K11" s="19">
        <f t="shared" si="4"/>
        <v>44165</v>
      </c>
      <c r="L11" s="19">
        <f t="shared" si="4"/>
        <v>44196</v>
      </c>
      <c r="M11" s="15">
        <f t="shared" si="4"/>
        <v>44227</v>
      </c>
      <c r="Z11" s="1"/>
      <c r="AA11" s="1"/>
      <c r="AB11" s="1"/>
      <c r="AC11" s="1"/>
      <c r="AD11" s="1"/>
      <c r="AE11" s="1"/>
      <c r="AF11" s="1"/>
      <c r="AG11" s="1"/>
      <c r="AH11" s="1"/>
      <c r="AI11" s="1"/>
    </row>
    <row r="12" spans="1:35" x14ac:dyDescent="0.35">
      <c r="A12" s="59" t="s">
        <v>6</v>
      </c>
      <c r="C12" s="218">
        <v>-346688.66000000003</v>
      </c>
      <c r="D12" s="221">
        <f t="shared" ref="D12:L12" si="5">SUM(D27:D30)</f>
        <v>121.77999999999943</v>
      </c>
      <c r="E12" s="127">
        <f t="shared" si="5"/>
        <v>112689.88</v>
      </c>
      <c r="F12" s="127">
        <f t="shared" si="5"/>
        <v>193994.29</v>
      </c>
      <c r="G12" s="128">
        <f t="shared" si="5"/>
        <v>234644.58999999997</v>
      </c>
      <c r="H12" s="16">
        <f t="shared" si="5"/>
        <v>310532.67000000004</v>
      </c>
      <c r="I12" s="68">
        <f t="shared" si="5"/>
        <v>314152.34000000003</v>
      </c>
      <c r="J12" s="186">
        <f t="shared" si="5"/>
        <v>182675.98</v>
      </c>
      <c r="K12" s="179">
        <f t="shared" si="5"/>
        <v>210329.43000000002</v>
      </c>
      <c r="L12" s="93">
        <f t="shared" si="5"/>
        <v>229486.19</v>
      </c>
      <c r="M12" s="94"/>
    </row>
    <row r="13" spans="1:35" x14ac:dyDescent="0.35">
      <c r="C13" s="117"/>
      <c r="D13" s="222"/>
      <c r="E13" s="17"/>
      <c r="F13" s="17"/>
      <c r="G13" s="17"/>
      <c r="H13" s="10"/>
      <c r="I13" s="17"/>
      <c r="J13" s="11"/>
      <c r="K13" s="43"/>
      <c r="L13" s="43"/>
      <c r="M13" s="41"/>
    </row>
    <row r="14" spans="1:35" x14ac:dyDescent="0.35">
      <c r="A14" s="59" t="s">
        <v>65</v>
      </c>
      <c r="C14" s="117"/>
      <c r="D14" s="222"/>
      <c r="E14" s="18"/>
      <c r="F14" s="18"/>
      <c r="G14" s="18"/>
      <c r="H14" s="109"/>
      <c r="I14" s="18"/>
      <c r="J14" s="187"/>
      <c r="K14" s="43"/>
      <c r="L14" s="43"/>
      <c r="M14" s="41"/>
      <c r="N14" s="3" t="s">
        <v>72</v>
      </c>
      <c r="O14" s="51"/>
    </row>
    <row r="15" spans="1:35" x14ac:dyDescent="0.35">
      <c r="A15" s="59" t="s">
        <v>26</v>
      </c>
      <c r="C15" s="218">
        <v>-508359.87361999997</v>
      </c>
      <c r="D15" s="221">
        <v>0</v>
      </c>
      <c r="E15" s="154">
        <f>ROUND('[5]May 2020'!$F82,2)</f>
        <v>121635.98</v>
      </c>
      <c r="F15" s="154">
        <f>ROUND('[5]June 2020'!$F82,2)</f>
        <v>174566.87</v>
      </c>
      <c r="G15" s="154">
        <f>ROUND('[5]July 2020'!$F82,2)</f>
        <v>243052.49</v>
      </c>
      <c r="H15" s="16">
        <f>ROUND('[5]Aug 2020'!$F82,2)</f>
        <v>240333.36</v>
      </c>
      <c r="I15" s="139">
        <f>ROUND('[5]Sept 2020'!$F82,2)</f>
        <v>216474.46</v>
      </c>
      <c r="J15" s="191">
        <f>ROUND('[5]Oct 2020'!$F82,2)</f>
        <v>150482.60999999999</v>
      </c>
      <c r="K15" s="141">
        <f>'PCR Cycle 2'!J26*'TDR Cycle 3'!$N15</f>
        <v>134567.49437999999</v>
      </c>
      <c r="L15" s="53">
        <f>'PCR Cycle 2'!K26*'TDR Cycle 3'!$N15</f>
        <v>173928.42984</v>
      </c>
      <c r="M15" s="74">
        <f>'PCR Cycle 2'!L26*'TDR Cycle 3'!$N15</f>
        <v>241532.79149999999</v>
      </c>
      <c r="N15" s="85">
        <v>6.6E-4</v>
      </c>
      <c r="O15" s="4"/>
    </row>
    <row r="16" spans="1:35" x14ac:dyDescent="0.35">
      <c r="A16" s="59" t="s">
        <v>120</v>
      </c>
      <c r="C16" s="218">
        <v>-29433.123360000001</v>
      </c>
      <c r="D16" s="221">
        <v>0</v>
      </c>
      <c r="E16" s="154">
        <f>ROUND('[5]May 2020'!$F83,2)</f>
        <v>7668.49</v>
      </c>
      <c r="F16" s="154">
        <f>ROUND('[5]June 2020'!$F83,2)</f>
        <v>10290.780000000001</v>
      </c>
      <c r="G16" s="154">
        <f>ROUND('[5]July 2020'!$F83,2)</f>
        <v>13063.55</v>
      </c>
      <c r="H16" s="16">
        <f>ROUND('[5]Aug 2020'!$F83,2)</f>
        <v>31077.68</v>
      </c>
      <c r="I16" s="139">
        <f>ROUND('[5]Sept 2020'!$F83,2)</f>
        <v>29576.71</v>
      </c>
      <c r="J16" s="191">
        <f>ROUND('[5]Oct 2020'!$F83,2)</f>
        <v>25786.35</v>
      </c>
      <c r="K16" s="141">
        <f>'PCR Cycle 2'!J27*'TDR Cycle 3'!$N16</f>
        <v>22448.8992</v>
      </c>
      <c r="L16" s="53">
        <f>'PCR Cycle 2'!K27*'TDR Cycle 3'!$N16</f>
        <v>24252.107999999997</v>
      </c>
      <c r="M16" s="74">
        <f>'PCR Cycle 2'!L27*'TDR Cycle 3'!$N16</f>
        <v>26881.801199999998</v>
      </c>
      <c r="N16" s="85">
        <v>2.9999999999999997E-4</v>
      </c>
      <c r="O16" s="4"/>
    </row>
    <row r="17" spans="1:15" x14ac:dyDescent="0.35">
      <c r="A17" s="59" t="s">
        <v>121</v>
      </c>
      <c r="C17" s="218">
        <v>-26027.514940000001</v>
      </c>
      <c r="D17" s="221">
        <v>0</v>
      </c>
      <c r="E17" s="154">
        <f>ROUND('[5]May 2020'!$F84,2)</f>
        <v>4934.97</v>
      </c>
      <c r="F17" s="154">
        <f>ROUND('[5]June 2020'!$F84,2)</f>
        <v>6259.9</v>
      </c>
      <c r="G17" s="154">
        <f>ROUND('[5]July 2020'!$F84,2)</f>
        <v>7422.45</v>
      </c>
      <c r="H17" s="16">
        <f>ROUND('[5]Aug 2020'!$F84,2)</f>
        <v>17935.150000000001</v>
      </c>
      <c r="I17" s="139">
        <f>ROUND('[5]Sept 2020'!$F84,2)</f>
        <v>17132.91</v>
      </c>
      <c r="J17" s="191">
        <f>ROUND('[5]Oct 2020'!$F84,2)</f>
        <v>15646.68</v>
      </c>
      <c r="K17" s="141">
        <f>'PCR Cycle 2'!J28*'TDR Cycle 3'!$N17</f>
        <v>19284.228800000001</v>
      </c>
      <c r="L17" s="53">
        <f>'PCR Cycle 2'!K28*'TDR Cycle 3'!$N17</f>
        <v>20833.23531</v>
      </c>
      <c r="M17" s="74">
        <f>'PCR Cycle 2'!L28*'TDR Cycle 3'!$N17</f>
        <v>23092.215030000003</v>
      </c>
      <c r="N17" s="85">
        <v>1.7000000000000001E-4</v>
      </c>
      <c r="O17" s="4"/>
    </row>
    <row r="18" spans="1:15" x14ac:dyDescent="0.35">
      <c r="A18" s="59" t="s">
        <v>122</v>
      </c>
      <c r="C18" s="218">
        <v>-6498.3034500000003</v>
      </c>
      <c r="D18" s="221">
        <v>0</v>
      </c>
      <c r="E18" s="154">
        <f>ROUND('[5]May 2020'!$F85,2)</f>
        <v>1702.5</v>
      </c>
      <c r="F18" s="154">
        <f>ROUND('[5]June 2020'!$F85,2)</f>
        <v>1901.18</v>
      </c>
      <c r="G18" s="154">
        <f>ROUND('[5]July 2020'!$F85,2)</f>
        <v>2030.62</v>
      </c>
      <c r="H18" s="16">
        <f>ROUND('[5]Aug 2020'!$F85,2)</f>
        <v>6273.14</v>
      </c>
      <c r="I18" s="139">
        <f>ROUND('[5]Sept 2020'!$F85,2)</f>
        <v>6238.27</v>
      </c>
      <c r="J18" s="191">
        <f>ROUND('[5]Oct 2020'!$F85,2)</f>
        <v>5990.57</v>
      </c>
      <c r="K18" s="141">
        <f>'PCR Cycle 2'!J29*'TDR Cycle 3'!$N18</f>
        <v>5947.57503</v>
      </c>
      <c r="L18" s="53">
        <f>'PCR Cycle 2'!K29*'TDR Cycle 3'!$N18</f>
        <v>6425.3142900000003</v>
      </c>
      <c r="M18" s="74">
        <f>'PCR Cycle 2'!L29*'TDR Cycle 3'!$N18</f>
        <v>7122.0210300000008</v>
      </c>
      <c r="N18" s="85">
        <v>9.0000000000000006E-5</v>
      </c>
      <c r="O18" s="4"/>
    </row>
    <row r="19" spans="1:15" x14ac:dyDescent="0.35">
      <c r="C19" s="80"/>
      <c r="D19" s="223"/>
      <c r="E19" s="81"/>
      <c r="F19" s="81"/>
      <c r="G19" s="81"/>
      <c r="H19" s="80"/>
      <c r="I19" s="81"/>
      <c r="J19" s="189"/>
      <c r="K19" s="69"/>
      <c r="L19" s="69"/>
      <c r="M19" s="13"/>
      <c r="O19" s="4"/>
    </row>
    <row r="20" spans="1:15" x14ac:dyDescent="0.35">
      <c r="A20" s="51" t="s">
        <v>70</v>
      </c>
      <c r="B20" s="51"/>
      <c r="C20" s="80"/>
      <c r="D20" s="223"/>
      <c r="E20" s="69"/>
      <c r="F20" s="69"/>
      <c r="G20" s="69"/>
      <c r="H20" s="12"/>
      <c r="I20" s="69"/>
      <c r="J20" s="190"/>
      <c r="K20" s="69"/>
      <c r="L20" s="69"/>
      <c r="M20" s="13"/>
      <c r="N20" s="7"/>
    </row>
    <row r="21" spans="1:15" x14ac:dyDescent="0.35">
      <c r="A21" s="59" t="s">
        <v>26</v>
      </c>
      <c r="C21" s="219">
        <v>-4370665.6734486353</v>
      </c>
      <c r="D21" s="224"/>
      <c r="E21" s="129">
        <f>+'[13]Monthly TD Calc'!I460</f>
        <v>1886834.6888693962</v>
      </c>
      <c r="F21" s="129">
        <f>+'[13]Monthly TD Calc'!J460</f>
        <v>2012953.9421158377</v>
      </c>
      <c r="G21" s="143">
        <f>+'[13]Monthly TD Calc'!K460</f>
        <v>2439725.3283017445</v>
      </c>
      <c r="H21" s="89">
        <f>+'[13]Monthly TD Calc'!L460</f>
        <v>3215170.8834627294</v>
      </c>
      <c r="I21" s="90">
        <f>+'[13]Monthly TD Calc'!M460</f>
        <v>3253366.4676832096</v>
      </c>
      <c r="J21" s="191">
        <f>+'[13]Monthly TD Calc'!N460</f>
        <v>3101854.9328909847</v>
      </c>
      <c r="K21" s="180">
        <f>+'[3]Monthly TD Calc'!O461</f>
        <v>3446392.5217540837</v>
      </c>
      <c r="L21" s="162">
        <f>+'[3]Monthly TD Calc'!P461</f>
        <v>4047893.168483912</v>
      </c>
      <c r="M21" s="95"/>
      <c r="N21" s="72">
        <f>SUM(C21:L21)</f>
        <v>19033526.260113262</v>
      </c>
    </row>
    <row r="22" spans="1:15" x14ac:dyDescent="0.35">
      <c r="A22" s="59" t="s">
        <v>120</v>
      </c>
      <c r="C22" s="219">
        <v>-317296.19061088964</v>
      </c>
      <c r="D22" s="224"/>
      <c r="E22" s="129">
        <f>+'[13]Monthly TD Calc'!I461</f>
        <v>133842.34726475706</v>
      </c>
      <c r="F22" s="129">
        <f>+'[13]Monthly TD Calc'!J461</f>
        <v>144950.45101934159</v>
      </c>
      <c r="G22" s="143">
        <f>+'[13]Monthly TD Calc'!K461</f>
        <v>182165.68824609235</v>
      </c>
      <c r="H22" s="89">
        <f>+'[13]Monthly TD Calc'!L461</f>
        <v>232184.14496905444</v>
      </c>
      <c r="I22" s="90">
        <f>+'[13]Monthly TD Calc'!M461</f>
        <v>264235.44003805198</v>
      </c>
      <c r="J22" s="191">
        <f>+'[13]Monthly TD Calc'!N461</f>
        <v>342039.10151945968</v>
      </c>
      <c r="K22" s="180">
        <f>+'[3]Monthly TD Calc'!O462</f>
        <v>391002.15848317393</v>
      </c>
      <c r="L22" s="162">
        <f>+'[3]Monthly TD Calc'!P462</f>
        <v>474549.70395407936</v>
      </c>
      <c r="M22" s="95"/>
      <c r="N22" s="72">
        <f t="shared" ref="N22:N24" si="6">SUM(C22:L22)</f>
        <v>1847672.8448831209</v>
      </c>
    </row>
    <row r="23" spans="1:15" x14ac:dyDescent="0.35">
      <c r="A23" s="59" t="s">
        <v>121</v>
      </c>
      <c r="C23" s="219">
        <v>-350713.38826606283</v>
      </c>
      <c r="D23" s="224"/>
      <c r="E23" s="129">
        <f>+'[13]Monthly TD Calc'!I463</f>
        <v>143548.9201424208</v>
      </c>
      <c r="F23" s="129">
        <f>+'[13]Monthly TD Calc'!J463</f>
        <v>157503.31771662878</v>
      </c>
      <c r="G23" s="143">
        <f>+'[13]Monthly TD Calc'!K463</f>
        <v>184781.42441703539</v>
      </c>
      <c r="H23" s="89">
        <f>+'[13]Monthly TD Calc'!L463</f>
        <v>250802.85238364036</v>
      </c>
      <c r="I23" s="90">
        <f>+'[13]Monthly TD Calc'!M463</f>
        <v>291638.85946172109</v>
      </c>
      <c r="J23" s="191">
        <f>+'[13]Monthly TD Calc'!N463</f>
        <v>359361.59357603267</v>
      </c>
      <c r="K23" s="180">
        <f>+'[3]Monthly TD Calc'!O464</f>
        <v>425278.67606767121</v>
      </c>
      <c r="L23" s="162">
        <f>+'[3]Monthly TD Calc'!P464</f>
        <v>555148.88305814681</v>
      </c>
      <c r="M23" s="95"/>
      <c r="N23" s="72">
        <f t="shared" si="6"/>
        <v>2017351.1385572343</v>
      </c>
    </row>
    <row r="24" spans="1:15" x14ac:dyDescent="0.35">
      <c r="A24" s="59" t="s">
        <v>122</v>
      </c>
      <c r="C24" s="219">
        <v>-167517.43987414951</v>
      </c>
      <c r="D24" s="224"/>
      <c r="E24" s="129">
        <f>+'[13]Monthly TD Calc'!I464</f>
        <v>65584.934002638562</v>
      </c>
      <c r="F24" s="129">
        <f>+'[13]Monthly TD Calc'!J464</f>
        <v>94894.975941971948</v>
      </c>
      <c r="G24" s="143">
        <f>+'[13]Monthly TD Calc'!K464</f>
        <v>107575.99887821586</v>
      </c>
      <c r="H24" s="89">
        <f>+'[13]Monthly TD Calc'!L464</f>
        <v>122242.34596581406</v>
      </c>
      <c r="I24" s="90">
        <f>+'[13]Monthly TD Calc'!M464</f>
        <v>128009.06383553296</v>
      </c>
      <c r="J24" s="191">
        <f>+'[13]Monthly TD Calc'!N464</f>
        <v>310882.15835522144</v>
      </c>
      <c r="K24" s="180">
        <f>+'[3]Monthly TD Calc'!O465</f>
        <v>503813.32370472298</v>
      </c>
      <c r="L24" s="162">
        <f>+'[3]Monthly TD Calc'!P465</f>
        <v>602858.58553893806</v>
      </c>
      <c r="M24" s="95"/>
      <c r="N24" s="72">
        <f t="shared" si="6"/>
        <v>1768343.9463489065</v>
      </c>
    </row>
    <row r="25" spans="1:15" x14ac:dyDescent="0.35">
      <c r="C25" s="80"/>
      <c r="D25" s="223"/>
      <c r="E25" s="81"/>
      <c r="F25" s="81"/>
      <c r="G25" s="81"/>
      <c r="H25" s="80"/>
      <c r="I25" s="81"/>
      <c r="J25" s="189"/>
      <c r="K25" s="69"/>
      <c r="L25" s="69"/>
      <c r="M25" s="13"/>
    </row>
    <row r="26" spans="1:15" x14ac:dyDescent="0.35">
      <c r="A26" s="59" t="s">
        <v>73</v>
      </c>
      <c r="C26" s="48"/>
      <c r="D26" s="225"/>
      <c r="E26" s="49"/>
      <c r="F26" s="49"/>
      <c r="G26" s="49"/>
      <c r="H26" s="48"/>
      <c r="I26" s="49"/>
      <c r="J26" s="192"/>
      <c r="K26" s="65"/>
      <c r="L26" s="65"/>
      <c r="M26" s="50"/>
    </row>
    <row r="27" spans="1:15" x14ac:dyDescent="0.35">
      <c r="A27" s="59" t="s">
        <v>26</v>
      </c>
      <c r="C27" s="218">
        <v>-314476.06</v>
      </c>
      <c r="D27" s="221">
        <f>+'[13]Monthly TD Calc'!H674</f>
        <v>0</v>
      </c>
      <c r="E27" s="127">
        <f>ROUND('[13]Monthly TD Calc'!I562,2)</f>
        <v>101612.64</v>
      </c>
      <c r="F27" s="127">
        <f>ROUND('[13]Monthly TD Calc'!J562,2)</f>
        <v>176817.83</v>
      </c>
      <c r="G27" s="128">
        <f>ROUND('[13]Monthly TD Calc'!K562,2)</f>
        <v>214140.03</v>
      </c>
      <c r="H27" s="16">
        <f>ROUND('[13]Monthly TD Calc'!L562,2)</f>
        <v>283578.25</v>
      </c>
      <c r="I27" s="68">
        <f>ROUND('[13]Monthly TD Calc'!M562,2)</f>
        <v>282767.5</v>
      </c>
      <c r="J27" s="278">
        <f>ROUND('[13]Monthly TD Calc'!N562,2)</f>
        <v>153111.03</v>
      </c>
      <c r="K27" s="181">
        <f>ROUND('[3]Monthly TD Calc'!O563,2)</f>
        <v>173998.39</v>
      </c>
      <c r="L27" s="161">
        <f>ROUND('[3]Monthly TD Calc'!P563,2)</f>
        <v>186695.79</v>
      </c>
      <c r="M27" s="94"/>
    </row>
    <row r="28" spans="1:15" x14ac:dyDescent="0.35">
      <c r="A28" s="59" t="s">
        <v>120</v>
      </c>
      <c r="C28" s="218">
        <v>-18522.580000000002</v>
      </c>
      <c r="D28" s="221">
        <f>+'[13]Monthly TD Calc'!H675</f>
        <v>56.689999999999657</v>
      </c>
      <c r="E28" s="127">
        <f>ROUND('[13]Monthly TD Calc'!I563,2)</f>
        <v>5972.02</v>
      </c>
      <c r="F28" s="127">
        <f>ROUND('[13]Monthly TD Calc'!J563,2)</f>
        <v>10216.17</v>
      </c>
      <c r="G28" s="128">
        <f>ROUND('[13]Monthly TD Calc'!K563,2)</f>
        <v>12646.4</v>
      </c>
      <c r="H28" s="16">
        <f>ROUND('[13]Monthly TD Calc'!L563,2)</f>
        <v>16241.53</v>
      </c>
      <c r="I28" s="68">
        <f>ROUND('[13]Monthly TD Calc'!M563,2)</f>
        <v>18639.14</v>
      </c>
      <c r="J28" s="278">
        <f>ROUND('[13]Monthly TD Calc'!N563,2)</f>
        <v>15298.13</v>
      </c>
      <c r="K28" s="181">
        <f>ROUND('[3]Monthly TD Calc'!O564,2)</f>
        <v>17607.75</v>
      </c>
      <c r="L28" s="161">
        <f>ROUND('[3]Monthly TD Calc'!P564,2)</f>
        <v>19349.18</v>
      </c>
      <c r="M28" s="94"/>
    </row>
    <row r="29" spans="1:15" x14ac:dyDescent="0.35">
      <c r="A29" s="59" t="s">
        <v>121</v>
      </c>
      <c r="C29" s="218">
        <v>-11409.42</v>
      </c>
      <c r="D29" s="221">
        <f>+'[13]Monthly TD Calc'!H677</f>
        <v>72.129999999999768</v>
      </c>
      <c r="E29" s="127">
        <f>ROUND('[13]Monthly TD Calc'!I565,2)</f>
        <v>4336.21</v>
      </c>
      <c r="F29" s="127">
        <f>ROUND('[13]Monthly TD Calc'!J565,2)</f>
        <v>5599.67</v>
      </c>
      <c r="G29" s="128">
        <f>ROUND('[13]Monthly TD Calc'!K565,2)</f>
        <v>6331.83</v>
      </c>
      <c r="H29" s="16">
        <f>ROUND('[13]Monthly TD Calc'!L565,2)</f>
        <v>8838.9</v>
      </c>
      <c r="I29" s="68">
        <f>ROUND('[13]Monthly TD Calc'!M565,2)</f>
        <v>10566.09</v>
      </c>
      <c r="J29" s="278">
        <f>ROUND('[13]Monthly TD Calc'!N565,2)</f>
        <v>10604.88</v>
      </c>
      <c r="K29" s="181">
        <f>ROUND('[3]Monthly TD Calc'!O566,2)</f>
        <v>12864.51</v>
      </c>
      <c r="L29" s="161">
        <f>ROUND('[3]Monthly TD Calc'!P566,2)</f>
        <v>15973.44</v>
      </c>
      <c r="M29" s="94"/>
    </row>
    <row r="30" spans="1:15" x14ac:dyDescent="0.35">
      <c r="A30" s="59" t="s">
        <v>122</v>
      </c>
      <c r="C30" s="218">
        <v>-2280.6</v>
      </c>
      <c r="D30" s="221">
        <f>+'[13]Monthly TD Calc'!H678</f>
        <v>-7.039999999999992</v>
      </c>
      <c r="E30" s="127">
        <f>ROUND('[13]Monthly TD Calc'!I566,2)</f>
        <v>769.01</v>
      </c>
      <c r="F30" s="127">
        <f>ROUND('[13]Monthly TD Calc'!J566,2)</f>
        <v>1360.62</v>
      </c>
      <c r="G30" s="128">
        <f>ROUND('[13]Monthly TD Calc'!K566,2)</f>
        <v>1526.33</v>
      </c>
      <c r="H30" s="16">
        <f>ROUND('[13]Monthly TD Calc'!L566,2)</f>
        <v>1873.99</v>
      </c>
      <c r="I30" s="68">
        <f>ROUND('[13]Monthly TD Calc'!M566,2)</f>
        <v>2179.61</v>
      </c>
      <c r="J30" s="278">
        <f>ROUND('[13]Monthly TD Calc'!N566,2)</f>
        <v>3661.94</v>
      </c>
      <c r="K30" s="181">
        <f>ROUND('[3]Monthly TD Calc'!O567,2)</f>
        <v>5858.78</v>
      </c>
      <c r="L30" s="161">
        <f>ROUND('[3]Monthly TD Calc'!P567,2)</f>
        <v>7467.78</v>
      </c>
      <c r="M30" s="94"/>
      <c r="O30" s="60"/>
    </row>
    <row r="31" spans="1:15" x14ac:dyDescent="0.35">
      <c r="C31" s="117"/>
      <c r="D31" s="222"/>
      <c r="E31" s="18"/>
      <c r="F31" s="18"/>
      <c r="G31" s="18"/>
      <c r="H31" s="109"/>
      <c r="I31" s="18"/>
      <c r="J31" s="187"/>
      <c r="K31" s="69"/>
      <c r="L31" s="69"/>
      <c r="M31" s="13"/>
    </row>
    <row r="32" spans="1:15" ht="15" thickBot="1" x14ac:dyDescent="0.4">
      <c r="A32" s="3" t="s">
        <v>17</v>
      </c>
      <c r="B32" s="3"/>
      <c r="C32" s="220">
        <v>-41.929999999999993</v>
      </c>
      <c r="D32" s="226">
        <v>0.14999999999999947</v>
      </c>
      <c r="E32" s="154">
        <v>5.020000000000004</v>
      </c>
      <c r="F32" s="154">
        <v>-8.32</v>
      </c>
      <c r="G32" s="155">
        <v>-26.01</v>
      </c>
      <c r="H32" s="38">
        <v>-35.260000000000005</v>
      </c>
      <c r="I32" s="140">
        <v>-0.23000000000000576</v>
      </c>
      <c r="J32" s="193">
        <v>16.93</v>
      </c>
      <c r="K32" s="182">
        <v>24.440000000000015</v>
      </c>
      <c r="L32" s="163">
        <v>43.16</v>
      </c>
      <c r="M32" s="97"/>
    </row>
    <row r="33" spans="1:13" x14ac:dyDescent="0.35">
      <c r="C33" s="77"/>
      <c r="D33" s="229"/>
      <c r="E33" s="79"/>
      <c r="F33" s="79"/>
      <c r="G33" s="45"/>
      <c r="H33" s="77"/>
      <c r="I33" s="45"/>
      <c r="J33" s="194"/>
      <c r="K33" s="46"/>
      <c r="L33" s="46"/>
      <c r="M33" s="73"/>
    </row>
    <row r="34" spans="1:13" x14ac:dyDescent="0.35">
      <c r="A34" s="59" t="s">
        <v>54</v>
      </c>
      <c r="C34" s="78"/>
      <c r="D34" s="230"/>
      <c r="E34" s="47"/>
      <c r="F34" s="47"/>
      <c r="G34" s="47"/>
      <c r="H34" s="78"/>
      <c r="I34" s="47"/>
      <c r="J34" s="195"/>
      <c r="K34" s="46"/>
      <c r="L34" s="46"/>
      <c r="M34" s="73"/>
    </row>
    <row r="35" spans="1:13" x14ac:dyDescent="0.35">
      <c r="A35" s="59" t="s">
        <v>26</v>
      </c>
      <c r="C35" s="227">
        <f t="shared" ref="C35:M35" si="7">C27-C15</f>
        <v>193883.81361999997</v>
      </c>
      <c r="D35" s="231">
        <f t="shared" si="7"/>
        <v>0</v>
      </c>
      <c r="E35" s="53">
        <f t="shared" si="7"/>
        <v>-20023.339999999997</v>
      </c>
      <c r="F35" s="53">
        <f t="shared" si="7"/>
        <v>2250.9599999999919</v>
      </c>
      <c r="G35" s="126">
        <f t="shared" si="7"/>
        <v>-28912.459999999992</v>
      </c>
      <c r="H35" s="52">
        <f t="shared" si="7"/>
        <v>43244.890000000014</v>
      </c>
      <c r="I35" s="53">
        <f t="shared" si="7"/>
        <v>66293.040000000008</v>
      </c>
      <c r="J35" s="74">
        <f t="shared" si="7"/>
        <v>2628.4200000000128</v>
      </c>
      <c r="K35" s="141">
        <f t="shared" si="7"/>
        <v>39430.895620000025</v>
      </c>
      <c r="L35" s="53">
        <f t="shared" si="7"/>
        <v>12767.360160000011</v>
      </c>
      <c r="M35" s="74">
        <f t="shared" si="7"/>
        <v>-241532.79149999999</v>
      </c>
    </row>
    <row r="36" spans="1:13" x14ac:dyDescent="0.35">
      <c r="A36" s="59" t="s">
        <v>120</v>
      </c>
      <c r="C36" s="227">
        <f t="shared" ref="C36:M36" si="8">C28-C16</f>
        <v>10910.54336</v>
      </c>
      <c r="D36" s="231">
        <f t="shared" si="8"/>
        <v>56.689999999999657</v>
      </c>
      <c r="E36" s="53">
        <f t="shared" si="8"/>
        <v>-1696.4699999999993</v>
      </c>
      <c r="F36" s="53">
        <f t="shared" si="8"/>
        <v>-74.610000000000582</v>
      </c>
      <c r="G36" s="126">
        <f t="shared" si="8"/>
        <v>-417.14999999999964</v>
      </c>
      <c r="H36" s="52">
        <f t="shared" si="8"/>
        <v>-14836.15</v>
      </c>
      <c r="I36" s="53">
        <f t="shared" si="8"/>
        <v>-10937.57</v>
      </c>
      <c r="J36" s="74">
        <f t="shared" si="8"/>
        <v>-10488.22</v>
      </c>
      <c r="K36" s="141">
        <f t="shared" si="8"/>
        <v>-4841.1491999999998</v>
      </c>
      <c r="L36" s="53">
        <f t="shared" si="8"/>
        <v>-4902.9279999999962</v>
      </c>
      <c r="M36" s="74">
        <f t="shared" si="8"/>
        <v>-26881.801199999998</v>
      </c>
    </row>
    <row r="37" spans="1:13" x14ac:dyDescent="0.35">
      <c r="A37" s="59" t="s">
        <v>121</v>
      </c>
      <c r="C37" s="227">
        <f t="shared" ref="C37:M37" si="9">C29-C17</f>
        <v>14618.094940000001</v>
      </c>
      <c r="D37" s="231">
        <f t="shared" si="9"/>
        <v>72.129999999999768</v>
      </c>
      <c r="E37" s="53">
        <f t="shared" si="9"/>
        <v>-598.76000000000022</v>
      </c>
      <c r="F37" s="53">
        <f t="shared" si="9"/>
        <v>-660.22999999999956</v>
      </c>
      <c r="G37" s="126">
        <f t="shared" si="9"/>
        <v>-1090.6199999999999</v>
      </c>
      <c r="H37" s="52">
        <f t="shared" si="9"/>
        <v>-9096.2500000000018</v>
      </c>
      <c r="I37" s="53">
        <f t="shared" si="9"/>
        <v>-6566.82</v>
      </c>
      <c r="J37" s="74">
        <f t="shared" si="9"/>
        <v>-5041.8000000000011</v>
      </c>
      <c r="K37" s="141">
        <f t="shared" si="9"/>
        <v>-6419.7188000000006</v>
      </c>
      <c r="L37" s="53">
        <f t="shared" si="9"/>
        <v>-4859.7953099999995</v>
      </c>
      <c r="M37" s="74">
        <f t="shared" si="9"/>
        <v>-23092.215030000003</v>
      </c>
    </row>
    <row r="38" spans="1:13" x14ac:dyDescent="0.35">
      <c r="A38" s="59" t="s">
        <v>122</v>
      </c>
      <c r="C38" s="227">
        <f t="shared" ref="C38:M38" si="10">C30-C18</f>
        <v>4217.7034500000009</v>
      </c>
      <c r="D38" s="231">
        <f t="shared" si="10"/>
        <v>-7.039999999999992</v>
      </c>
      <c r="E38" s="53">
        <f t="shared" si="10"/>
        <v>-933.49</v>
      </c>
      <c r="F38" s="53">
        <f t="shared" si="10"/>
        <v>-540.56000000000017</v>
      </c>
      <c r="G38" s="126">
        <f t="shared" si="10"/>
        <v>-504.28999999999996</v>
      </c>
      <c r="H38" s="52">
        <f t="shared" si="10"/>
        <v>-4399.1500000000005</v>
      </c>
      <c r="I38" s="53">
        <f t="shared" si="10"/>
        <v>-4058.6600000000003</v>
      </c>
      <c r="J38" s="74">
        <f t="shared" si="10"/>
        <v>-2328.6299999999997</v>
      </c>
      <c r="K38" s="141">
        <f t="shared" si="10"/>
        <v>-88.795030000000224</v>
      </c>
      <c r="L38" s="53">
        <f t="shared" si="10"/>
        <v>1042.4657099999995</v>
      </c>
      <c r="M38" s="74">
        <f t="shared" si="10"/>
        <v>-7122.0210300000008</v>
      </c>
    </row>
    <row r="39" spans="1:13" x14ac:dyDescent="0.35">
      <c r="C39" s="117"/>
      <c r="D39" s="222"/>
      <c r="E39" s="17"/>
      <c r="F39" s="17"/>
      <c r="G39" s="17"/>
      <c r="H39" s="10"/>
      <c r="I39" s="17"/>
      <c r="J39" s="11"/>
      <c r="K39" s="17"/>
      <c r="L39" s="17"/>
      <c r="M39" s="11"/>
    </row>
    <row r="40" spans="1:13" ht="15" thickBot="1" x14ac:dyDescent="0.4">
      <c r="A40" s="59" t="s">
        <v>55</v>
      </c>
      <c r="C40" s="117"/>
      <c r="D40" s="222"/>
      <c r="E40" s="17"/>
      <c r="F40" s="17"/>
      <c r="G40" s="17"/>
      <c r="H40" s="10"/>
      <c r="I40" s="17"/>
      <c r="J40" s="11"/>
      <c r="K40" s="17"/>
      <c r="L40" s="17"/>
      <c r="M40" s="11"/>
    </row>
    <row r="41" spans="1:13" x14ac:dyDescent="0.35">
      <c r="A41" s="59" t="s">
        <v>26</v>
      </c>
      <c r="B41" s="134">
        <v>-149420.05361999996</v>
      </c>
      <c r="C41" s="227">
        <f t="shared" ref="C41:M41" si="11">+B41+C35+B48</f>
        <v>44463.760000000009</v>
      </c>
      <c r="D41" s="231">
        <f t="shared" si="11"/>
        <v>44310.500000000007</v>
      </c>
      <c r="E41" s="53">
        <f t="shared" si="11"/>
        <v>24287.160000000011</v>
      </c>
      <c r="F41" s="53">
        <f t="shared" si="11"/>
        <v>26579.500000000004</v>
      </c>
      <c r="G41" s="126">
        <f t="shared" si="11"/>
        <v>-2302.5499999999884</v>
      </c>
      <c r="H41" s="52">
        <f t="shared" si="11"/>
        <v>40956.750000000029</v>
      </c>
      <c r="I41" s="53">
        <f t="shared" si="11"/>
        <v>107272.53000000004</v>
      </c>
      <c r="J41" s="74">
        <f t="shared" si="11"/>
        <v>109987.55000000006</v>
      </c>
      <c r="K41" s="141">
        <f t="shared" si="11"/>
        <v>149544.90562000006</v>
      </c>
      <c r="L41" s="53">
        <f t="shared" si="11"/>
        <v>162463.34578000006</v>
      </c>
      <c r="M41" s="74">
        <f t="shared" si="11"/>
        <v>-78887.815719999926</v>
      </c>
    </row>
    <row r="42" spans="1:13" x14ac:dyDescent="0.35">
      <c r="A42" s="59" t="s">
        <v>120</v>
      </c>
      <c r="B42" s="270">
        <v>-26653.263359999997</v>
      </c>
      <c r="C42" s="227">
        <f t="shared" ref="C42:M42" si="12">+B42+C36+B49</f>
        <v>-15742.719999999998</v>
      </c>
      <c r="D42" s="231">
        <f t="shared" si="12"/>
        <v>-15630.399999999998</v>
      </c>
      <c r="E42" s="53">
        <f t="shared" si="12"/>
        <v>-17326.789999999994</v>
      </c>
      <c r="F42" s="53">
        <f t="shared" si="12"/>
        <v>-17421.279999999995</v>
      </c>
      <c r="G42" s="126">
        <f t="shared" si="12"/>
        <v>-17859.199999999993</v>
      </c>
      <c r="H42" s="52">
        <f t="shared" si="12"/>
        <v>-32716.26999999999</v>
      </c>
      <c r="I42" s="53">
        <f t="shared" si="12"/>
        <v>-43683.589999999989</v>
      </c>
      <c r="J42" s="74">
        <f t="shared" si="12"/>
        <v>-54216.44999999999</v>
      </c>
      <c r="K42" s="141">
        <f t="shared" si="12"/>
        <v>-59114.589199999988</v>
      </c>
      <c r="L42" s="53">
        <f t="shared" si="12"/>
        <v>-64083.487199999989</v>
      </c>
      <c r="M42" s="74">
        <f t="shared" si="12"/>
        <v>-91037.008399999992</v>
      </c>
    </row>
    <row r="43" spans="1:13" x14ac:dyDescent="0.35">
      <c r="A43" s="59" t="s">
        <v>121</v>
      </c>
      <c r="B43" s="270">
        <v>-24046.844939999995</v>
      </c>
      <c r="C43" s="227">
        <f t="shared" ref="C43:M43" si="13">+B43+C37+B50</f>
        <v>-9428.7499999999945</v>
      </c>
      <c r="D43" s="231">
        <f t="shared" si="13"/>
        <v>-9316.0699999999961</v>
      </c>
      <c r="E43" s="53">
        <f t="shared" si="13"/>
        <v>-9914.7499999999964</v>
      </c>
      <c r="F43" s="53">
        <f t="shared" si="13"/>
        <v>-10586.579999999996</v>
      </c>
      <c r="G43" s="126">
        <f t="shared" si="13"/>
        <v>-11689.449999999997</v>
      </c>
      <c r="H43" s="52">
        <f t="shared" si="13"/>
        <v>-20798.909999999996</v>
      </c>
      <c r="I43" s="53">
        <f t="shared" si="13"/>
        <v>-27384.839999999997</v>
      </c>
      <c r="J43" s="74">
        <f t="shared" si="13"/>
        <v>-32454.799999999999</v>
      </c>
      <c r="K43" s="141">
        <f t="shared" si="13"/>
        <v>-38909.3488</v>
      </c>
      <c r="L43" s="53">
        <f t="shared" si="13"/>
        <v>-43810.684110000002</v>
      </c>
      <c r="M43" s="74">
        <f t="shared" si="13"/>
        <v>-66951.049140000003</v>
      </c>
    </row>
    <row r="44" spans="1:13" ht="15" thickBot="1" x14ac:dyDescent="0.4">
      <c r="A44" s="59" t="s">
        <v>122</v>
      </c>
      <c r="B44" s="135">
        <v>-7799.6934500000007</v>
      </c>
      <c r="C44" s="227">
        <f t="shared" ref="C44:M44" si="14">+B44+C38+B51</f>
        <v>-3581.99</v>
      </c>
      <c r="D44" s="231">
        <f t="shared" si="14"/>
        <v>-3573.8799999999997</v>
      </c>
      <c r="E44" s="53">
        <f t="shared" si="14"/>
        <v>-4507.38</v>
      </c>
      <c r="F44" s="53">
        <f t="shared" si="14"/>
        <v>-5052.8200000000006</v>
      </c>
      <c r="G44" s="126">
        <f t="shared" si="14"/>
        <v>-5562.8200000000006</v>
      </c>
      <c r="H44" s="52">
        <f t="shared" si="14"/>
        <v>-9968.260000000002</v>
      </c>
      <c r="I44" s="53">
        <f t="shared" si="14"/>
        <v>-14036.060000000001</v>
      </c>
      <c r="J44" s="74">
        <f t="shared" si="14"/>
        <v>-16378.720000000001</v>
      </c>
      <c r="K44" s="141">
        <f t="shared" si="14"/>
        <v>-16485.225030000001</v>
      </c>
      <c r="L44" s="53">
        <f t="shared" si="14"/>
        <v>-15461.88932</v>
      </c>
      <c r="M44" s="74">
        <f t="shared" si="14"/>
        <v>-22602.51035</v>
      </c>
    </row>
    <row r="45" spans="1:13" x14ac:dyDescent="0.35">
      <c r="C45" s="117"/>
      <c r="D45" s="222"/>
      <c r="E45" s="17"/>
      <c r="F45" s="17"/>
      <c r="G45" s="17"/>
      <c r="H45" s="10"/>
      <c r="I45" s="17"/>
      <c r="J45" s="11"/>
      <c r="K45" s="17"/>
      <c r="L45" s="17"/>
      <c r="M45" s="11"/>
    </row>
    <row r="46" spans="1:13" x14ac:dyDescent="0.35">
      <c r="A46" s="51" t="s">
        <v>137</v>
      </c>
      <c r="B46" s="51"/>
      <c r="C46" s="122"/>
      <c r="D46" s="232"/>
      <c r="E46" s="98">
        <f>+'PCR Cycle 2'!D47</f>
        <v>1.20652E-3</v>
      </c>
      <c r="F46" s="98">
        <f>+'PCR Cycle 2'!E47</f>
        <v>1.1948200000000001E-3</v>
      </c>
      <c r="G46" s="98">
        <f>+'PCR Cycle 2'!F47</f>
        <v>1.1852799999999999E-3</v>
      </c>
      <c r="H46" s="99">
        <f>+'PCR Cycle 2'!G47</f>
        <v>1.17614E-3</v>
      </c>
      <c r="I46" s="98">
        <f>+'PCR Cycle 2'!H47</f>
        <v>1.1682400000000001E-3</v>
      </c>
      <c r="J46" s="110">
        <f>+'PCR Cycle 2'!I47</f>
        <v>1.1636999999999999E-3</v>
      </c>
      <c r="K46" s="98">
        <f>+'PCR Cycle 2'!J47</f>
        <v>1.1636999999999999E-3</v>
      </c>
      <c r="L46" s="98">
        <f>+'PCR Cycle 2'!K47</f>
        <v>1.1636999999999999E-3</v>
      </c>
      <c r="M46" s="100"/>
    </row>
    <row r="47" spans="1:13" x14ac:dyDescent="0.35">
      <c r="A47" s="51" t="s">
        <v>39</v>
      </c>
      <c r="B47" s="51"/>
      <c r="C47" s="124"/>
      <c r="D47" s="233"/>
      <c r="E47" s="98"/>
      <c r="F47" s="98"/>
      <c r="G47" s="98"/>
      <c r="H47" s="99"/>
      <c r="I47" s="98"/>
      <c r="J47" s="100"/>
      <c r="K47" s="98"/>
      <c r="L47" s="98"/>
      <c r="M47" s="100"/>
    </row>
    <row r="48" spans="1:13" x14ac:dyDescent="0.35">
      <c r="A48" s="59" t="s">
        <v>26</v>
      </c>
      <c r="C48" s="227">
        <v>-153.26</v>
      </c>
      <c r="D48" s="231">
        <v>0</v>
      </c>
      <c r="E48" s="53">
        <f t="shared" ref="E48:M48" si="15">ROUND((D41+D48+E35/2)*E$46,2)</f>
        <v>41.38</v>
      </c>
      <c r="F48" s="53">
        <f t="shared" si="15"/>
        <v>30.41</v>
      </c>
      <c r="G48" s="126">
        <f t="shared" si="15"/>
        <v>14.41</v>
      </c>
      <c r="H48" s="52">
        <f t="shared" si="15"/>
        <v>22.74</v>
      </c>
      <c r="I48" s="141">
        <f t="shared" si="15"/>
        <v>86.6</v>
      </c>
      <c r="J48" s="74">
        <f t="shared" si="15"/>
        <v>126.46</v>
      </c>
      <c r="K48" s="183">
        <f t="shared" si="15"/>
        <v>151.08000000000001</v>
      </c>
      <c r="L48" s="126">
        <f t="shared" si="15"/>
        <v>181.63</v>
      </c>
      <c r="M48" s="74">
        <f t="shared" si="15"/>
        <v>0</v>
      </c>
    </row>
    <row r="49" spans="1:13" x14ac:dyDescent="0.35">
      <c r="A49" s="59" t="s">
        <v>120</v>
      </c>
      <c r="C49" s="227">
        <v>55.629999999999995</v>
      </c>
      <c r="D49" s="231">
        <v>8.0000000000000071E-2</v>
      </c>
      <c r="E49" s="53">
        <f t="shared" ref="E49:L49" si="16">ROUND((D42+D49+E36/2)*E$46,2)</f>
        <v>-19.88</v>
      </c>
      <c r="F49" s="53">
        <f t="shared" si="16"/>
        <v>-20.77</v>
      </c>
      <c r="G49" s="126">
        <f t="shared" si="16"/>
        <v>-20.92</v>
      </c>
      <c r="H49" s="52">
        <f t="shared" si="16"/>
        <v>-29.75</v>
      </c>
      <c r="I49" s="141">
        <f t="shared" si="16"/>
        <v>-44.64</v>
      </c>
      <c r="J49" s="74">
        <f t="shared" si="16"/>
        <v>-56.99</v>
      </c>
      <c r="K49" s="183">
        <f t="shared" si="16"/>
        <v>-65.97</v>
      </c>
      <c r="L49" s="126">
        <f t="shared" si="16"/>
        <v>-71.72</v>
      </c>
      <c r="M49" s="74"/>
    </row>
    <row r="50" spans="1:13" x14ac:dyDescent="0.35">
      <c r="A50" s="59" t="s">
        <v>121</v>
      </c>
      <c r="C50" s="227">
        <v>40.549999999999997</v>
      </c>
      <c r="D50" s="231">
        <v>8.0000000000000071E-2</v>
      </c>
      <c r="E50" s="53">
        <f t="shared" ref="E50:L50" si="17">ROUND((D43+D50+E37/2)*E$46,2)</f>
        <v>-11.6</v>
      </c>
      <c r="F50" s="53">
        <f t="shared" si="17"/>
        <v>-12.25</v>
      </c>
      <c r="G50" s="126">
        <f t="shared" si="17"/>
        <v>-13.21</v>
      </c>
      <c r="H50" s="52">
        <f t="shared" si="17"/>
        <v>-19.11</v>
      </c>
      <c r="I50" s="141">
        <f t="shared" si="17"/>
        <v>-28.16</v>
      </c>
      <c r="J50" s="74">
        <f t="shared" si="17"/>
        <v>-34.83</v>
      </c>
      <c r="K50" s="183">
        <f t="shared" si="17"/>
        <v>-41.54</v>
      </c>
      <c r="L50" s="126">
        <f t="shared" si="17"/>
        <v>-48.15</v>
      </c>
      <c r="M50" s="74"/>
    </row>
    <row r="51" spans="1:13" ht="15" thickBot="1" x14ac:dyDescent="0.4">
      <c r="A51" s="59" t="s">
        <v>122</v>
      </c>
      <c r="C51" s="227">
        <v>15.15</v>
      </c>
      <c r="D51" s="231">
        <v>-1.0000000000000675E-2</v>
      </c>
      <c r="E51" s="53">
        <f t="shared" ref="E51:L51" si="18">ROUND((D44+D51+E38/2)*E$46,2)</f>
        <v>-4.88</v>
      </c>
      <c r="F51" s="53">
        <f t="shared" si="18"/>
        <v>-5.71</v>
      </c>
      <c r="G51" s="126">
        <f t="shared" si="18"/>
        <v>-6.29</v>
      </c>
      <c r="H51" s="52">
        <f t="shared" si="18"/>
        <v>-9.14</v>
      </c>
      <c r="I51" s="141">
        <f t="shared" si="18"/>
        <v>-14.03</v>
      </c>
      <c r="J51" s="74">
        <f t="shared" si="18"/>
        <v>-17.71</v>
      </c>
      <c r="K51" s="183">
        <f t="shared" si="18"/>
        <v>-19.13</v>
      </c>
      <c r="L51" s="126">
        <f t="shared" si="18"/>
        <v>-18.600000000000001</v>
      </c>
      <c r="M51" s="74">
        <f>ROUND((L44+L51+M38/2)*M$46,2)</f>
        <v>0</v>
      </c>
    </row>
    <row r="52" spans="1:13" ht="15.5" thickTop="1" thickBot="1" x14ac:dyDescent="0.4">
      <c r="A52" s="67" t="s">
        <v>24</v>
      </c>
      <c r="B52" s="67"/>
      <c r="C52" s="228">
        <v>0</v>
      </c>
      <c r="D52" s="234"/>
      <c r="E52" s="54">
        <f t="shared" ref="E52:M52" si="19">SUM(E48:E51)+SUM(E41:E44)-E55</f>
        <v>0</v>
      </c>
      <c r="F52" s="54">
        <f t="shared" si="19"/>
        <v>-4.2746250983327627E-11</v>
      </c>
      <c r="G52" s="63">
        <f t="shared" si="19"/>
        <v>0</v>
      </c>
      <c r="H52" s="64">
        <f t="shared" si="19"/>
        <v>0</v>
      </c>
      <c r="I52" s="54">
        <f t="shared" si="19"/>
        <v>-5.0931703299283981E-11</v>
      </c>
      <c r="J52" s="75">
        <f t="shared" si="19"/>
        <v>-5.4569682106375694E-11</v>
      </c>
      <c r="K52" s="184">
        <f t="shared" si="19"/>
        <v>-8.0035533756017685E-11</v>
      </c>
      <c r="L52" s="63">
        <f t="shared" si="19"/>
        <v>-8.7311491370201111E-11</v>
      </c>
      <c r="M52" s="75">
        <f t="shared" si="19"/>
        <v>0</v>
      </c>
    </row>
    <row r="53" spans="1:13" ht="15.5" thickTop="1" thickBot="1" x14ac:dyDescent="0.4">
      <c r="A53" s="67" t="s">
        <v>25</v>
      </c>
      <c r="B53" s="67"/>
      <c r="C53" s="228">
        <v>0</v>
      </c>
      <c r="D53" s="234"/>
      <c r="E53" s="54">
        <f t="shared" ref="E53:M53" si="20">SUM(E48:E51)-E32</f>
        <v>0</v>
      </c>
      <c r="F53" s="54">
        <f t="shared" si="20"/>
        <v>0</v>
      </c>
      <c r="G53" s="63">
        <f t="shared" si="20"/>
        <v>0</v>
      </c>
      <c r="H53" s="64">
        <f t="shared" si="20"/>
        <v>0</v>
      </c>
      <c r="I53" s="54">
        <f t="shared" si="20"/>
        <v>0</v>
      </c>
      <c r="J53" s="75">
        <f t="shared" si="20"/>
        <v>0</v>
      </c>
      <c r="K53" s="185">
        <f>SUM(K48:K51)-K32</f>
        <v>0</v>
      </c>
      <c r="L53" s="54">
        <f t="shared" si="20"/>
        <v>0</v>
      </c>
      <c r="M53" s="54">
        <f t="shared" si="20"/>
        <v>0</v>
      </c>
    </row>
    <row r="54" spans="1:13" ht="15.5" thickTop="1" thickBot="1" x14ac:dyDescent="0.4">
      <c r="C54" s="117"/>
      <c r="D54" s="222"/>
      <c r="E54" s="17"/>
      <c r="F54" s="17"/>
      <c r="G54" s="17"/>
      <c r="H54" s="10"/>
      <c r="I54" s="17"/>
      <c r="J54" s="11"/>
      <c r="K54" s="17"/>
      <c r="L54" s="17"/>
      <c r="M54" s="11"/>
    </row>
    <row r="55" spans="1:13" ht="15" thickBot="1" x14ac:dyDescent="0.4">
      <c r="A55" s="59" t="s">
        <v>38</v>
      </c>
      <c r="B55" s="137">
        <f>SUM(B41:B44)</f>
        <v>-207919.85536999992</v>
      </c>
      <c r="C55" s="227">
        <f t="shared" ref="C55:M55" si="21">(C12-SUM(C15:C18))+SUM(C48:C51)+B55</f>
        <v>15668.370000000024</v>
      </c>
      <c r="D55" s="231">
        <f t="shared" si="21"/>
        <v>15790.300000000025</v>
      </c>
      <c r="E55" s="53">
        <f t="shared" si="21"/>
        <v>-7456.7399999999725</v>
      </c>
      <c r="F55" s="53">
        <f t="shared" si="21"/>
        <v>-6489.4999999999454</v>
      </c>
      <c r="G55" s="126">
        <f t="shared" si="21"/>
        <v>-37440.029999999962</v>
      </c>
      <c r="H55" s="52">
        <f t="shared" si="21"/>
        <v>-22561.949999999939</v>
      </c>
      <c r="I55" s="53">
        <f t="shared" si="21"/>
        <v>22167.810000000107</v>
      </c>
      <c r="J55" s="74">
        <f t="shared" si="21"/>
        <v>6954.5100000001257</v>
      </c>
      <c r="K55" s="183">
        <f t="shared" si="21"/>
        <v>35060.182590000157</v>
      </c>
      <c r="L55" s="126">
        <f t="shared" si="21"/>
        <v>39150.44515000016</v>
      </c>
      <c r="M55" s="74">
        <f t="shared" si="21"/>
        <v>-259478.38360999984</v>
      </c>
    </row>
    <row r="56" spans="1:13" x14ac:dyDescent="0.35">
      <c r="A56" s="59" t="s">
        <v>14</v>
      </c>
      <c r="C56" s="138"/>
      <c r="D56" s="235"/>
      <c r="E56" s="17"/>
      <c r="F56" s="17"/>
      <c r="G56" s="17"/>
      <c r="H56" s="10"/>
      <c r="I56" s="17"/>
      <c r="J56" s="11"/>
      <c r="K56" s="17"/>
      <c r="L56" s="17"/>
      <c r="M56" s="11"/>
    </row>
    <row r="57" spans="1:13" ht="15" thickBot="1" x14ac:dyDescent="0.4">
      <c r="A57" s="49"/>
      <c r="B57" s="49"/>
      <c r="C57" s="166"/>
      <c r="D57" s="236"/>
      <c r="E57" s="56"/>
      <c r="F57" s="56"/>
      <c r="G57" s="56"/>
      <c r="H57" s="55"/>
      <c r="I57" s="56"/>
      <c r="J57" s="57"/>
      <c r="K57" s="56"/>
      <c r="L57" s="56"/>
      <c r="M57" s="57"/>
    </row>
    <row r="59" spans="1:13" x14ac:dyDescent="0.35">
      <c r="A59" s="82" t="s">
        <v>13</v>
      </c>
      <c r="B59" s="82"/>
      <c r="C59" s="82"/>
      <c r="D59" s="82"/>
    </row>
    <row r="60" spans="1:13" ht="34.5" customHeight="1" x14ac:dyDescent="0.35">
      <c r="A60" s="306" t="s">
        <v>194</v>
      </c>
      <c r="B60" s="306"/>
      <c r="C60" s="306"/>
      <c r="D60" s="306"/>
      <c r="E60" s="306"/>
      <c r="F60" s="306"/>
      <c r="G60" s="306"/>
      <c r="H60" s="306"/>
      <c r="I60" s="306"/>
      <c r="J60" s="306"/>
      <c r="K60" s="279"/>
      <c r="L60" s="259"/>
      <c r="M60" s="259"/>
    </row>
    <row r="61" spans="1:13" ht="42.75" customHeight="1" x14ac:dyDescent="0.35">
      <c r="A61" s="306" t="s">
        <v>195</v>
      </c>
      <c r="B61" s="306"/>
      <c r="C61" s="306"/>
      <c r="D61" s="306"/>
      <c r="E61" s="306"/>
      <c r="F61" s="306"/>
      <c r="G61" s="306"/>
      <c r="H61" s="306"/>
      <c r="I61" s="306"/>
      <c r="J61" s="306"/>
      <c r="K61" s="306"/>
      <c r="L61" s="259"/>
      <c r="M61" s="259"/>
    </row>
    <row r="62" spans="1:13" ht="33.75" customHeight="1" x14ac:dyDescent="0.35">
      <c r="A62" s="306" t="s">
        <v>196</v>
      </c>
      <c r="B62" s="306"/>
      <c r="C62" s="306"/>
      <c r="D62" s="306"/>
      <c r="E62" s="306"/>
      <c r="F62" s="306"/>
      <c r="G62" s="306"/>
      <c r="H62" s="306"/>
      <c r="I62" s="306"/>
      <c r="J62" s="306"/>
      <c r="K62" s="279"/>
      <c r="L62" s="259"/>
      <c r="M62" s="259"/>
    </row>
    <row r="63" spans="1:13" x14ac:dyDescent="0.35">
      <c r="A63" s="76" t="s">
        <v>71</v>
      </c>
      <c r="B63" s="76"/>
      <c r="C63" s="76"/>
      <c r="D63" s="76"/>
      <c r="E63" s="51"/>
      <c r="F63" s="51"/>
      <c r="G63" s="51"/>
      <c r="H63" s="51"/>
      <c r="I63" s="51"/>
      <c r="J63" s="51"/>
      <c r="K63" s="51"/>
    </row>
    <row r="64" spans="1:13" x14ac:dyDescent="0.35">
      <c r="A64" s="76" t="s">
        <v>188</v>
      </c>
      <c r="B64" s="76"/>
      <c r="C64" s="76"/>
      <c r="D64" s="76"/>
      <c r="E64" s="51"/>
      <c r="F64" s="51"/>
      <c r="G64" s="51"/>
      <c r="H64" s="51"/>
      <c r="I64" s="51"/>
      <c r="J64" s="51"/>
      <c r="K64" s="51"/>
    </row>
    <row r="65" spans="1:11" x14ac:dyDescent="0.35">
      <c r="A65" s="76" t="s">
        <v>74</v>
      </c>
      <c r="B65" s="76"/>
      <c r="C65" s="76"/>
      <c r="D65" s="76"/>
      <c r="E65" s="51"/>
      <c r="F65" s="51"/>
      <c r="G65" s="51"/>
      <c r="H65" s="51"/>
      <c r="I65" s="51"/>
      <c r="J65" s="51"/>
      <c r="K65" s="51"/>
    </row>
    <row r="66" spans="1:11" x14ac:dyDescent="0.35">
      <c r="A66" s="3"/>
      <c r="B66" s="3"/>
      <c r="C66" s="3"/>
      <c r="D66" s="3"/>
    </row>
    <row r="67" spans="1:11" x14ac:dyDescent="0.35">
      <c r="A67" s="3" t="s">
        <v>216</v>
      </c>
    </row>
  </sheetData>
  <mergeCells count="6">
    <mergeCell ref="A62:J62"/>
    <mergeCell ref="E10:G10"/>
    <mergeCell ref="H10:J10"/>
    <mergeCell ref="K10:M10"/>
    <mergeCell ref="A60:J60"/>
    <mergeCell ref="A61:K61"/>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6"/>
  <sheetViews>
    <sheetView workbookViewId="0">
      <pane xSplit="1" ySplit="4" topLeftCell="B5" activePane="bottomRight" state="frozen"/>
      <selection pane="topRight" activeCell="B1" sqref="B1"/>
      <selection pane="bottomLeft" activeCell="A5" sqref="A5"/>
      <selection pane="bottomRight" sqref="A1:XFD1048576"/>
    </sheetView>
  </sheetViews>
  <sheetFormatPr defaultRowHeight="14.5" x14ac:dyDescent="0.35"/>
  <cols>
    <col min="1" max="1" width="23.7265625" customWidth="1"/>
    <col min="2" max="2" width="15.26953125" bestFit="1" customWidth="1"/>
    <col min="3" max="3" width="14.26953125" style="59" customWidth="1"/>
    <col min="4" max="4" width="13.26953125" bestFit="1" customWidth="1"/>
    <col min="5" max="5" width="9.7265625" bestFit="1" customWidth="1"/>
    <col min="6" max="6" width="12.54296875" bestFit="1" customWidth="1"/>
    <col min="7" max="7" width="13.1796875" customWidth="1"/>
  </cols>
  <sheetData>
    <row r="1" spans="1:7" x14ac:dyDescent="0.35">
      <c r="A1" s="76" t="str">
        <f>+'PPC Cycle 2'!A1</f>
        <v>Evergy Missouri West, Inc. - DSIM Rider Update Filed 12/01/2020</v>
      </c>
      <c r="B1" s="59"/>
      <c r="D1" s="59"/>
      <c r="E1" s="59"/>
    </row>
    <row r="2" spans="1:7" x14ac:dyDescent="0.35">
      <c r="A2" s="9" t="str">
        <f>+'PPC Cycle 2'!A2</f>
        <v>Projections for Cycle 2 November 2020 - December 2021 DSIM</v>
      </c>
      <c r="B2" s="59"/>
      <c r="D2" s="59"/>
      <c r="E2" s="59"/>
    </row>
    <row r="3" spans="1:7" ht="45.75" customHeight="1" x14ac:dyDescent="0.35">
      <c r="A3" s="59"/>
      <c r="B3" s="297" t="s">
        <v>111</v>
      </c>
      <c r="C3" s="297"/>
      <c r="D3" s="297"/>
      <c r="E3" s="59"/>
    </row>
    <row r="4" spans="1:7" ht="87" x14ac:dyDescent="0.35">
      <c r="A4" s="59"/>
      <c r="B4" s="83" t="s">
        <v>113</v>
      </c>
      <c r="C4" s="83" t="s">
        <v>114</v>
      </c>
      <c r="D4" s="83" t="s">
        <v>117</v>
      </c>
      <c r="E4" s="83" t="s">
        <v>115</v>
      </c>
      <c r="F4" s="83" t="s">
        <v>112</v>
      </c>
      <c r="G4" s="83" t="s">
        <v>118</v>
      </c>
    </row>
    <row r="5" spans="1:7" s="59" customFormat="1" x14ac:dyDescent="0.35">
      <c r="A5" s="21"/>
      <c r="B5" s="83"/>
      <c r="C5" s="83"/>
      <c r="D5" s="173"/>
    </row>
    <row r="6" spans="1:7" s="59" customFormat="1" x14ac:dyDescent="0.35">
      <c r="A6" s="281" t="s">
        <v>197</v>
      </c>
      <c r="B6" s="83"/>
      <c r="C6" s="83"/>
      <c r="D6" s="172"/>
    </row>
    <row r="7" spans="1:7" s="59" customFormat="1" x14ac:dyDescent="0.35">
      <c r="A7" s="21" t="s">
        <v>26</v>
      </c>
      <c r="B7" s="257">
        <f>+B18+B29</f>
        <v>6580575.5600000005</v>
      </c>
      <c r="C7" s="257">
        <f t="shared" ref="C7:E7" si="0">+C18+C29</f>
        <v>-1523393.56</v>
      </c>
      <c r="D7" s="257">
        <f t="shared" si="0"/>
        <v>-800444.82000000007</v>
      </c>
      <c r="E7" s="257">
        <f t="shared" si="0"/>
        <v>-40192.19</v>
      </c>
      <c r="F7" s="257">
        <f>SUM(B7:E7)</f>
        <v>4216544.9899999993</v>
      </c>
      <c r="G7" s="257">
        <f t="shared" ref="G7:G8" si="1">+G18+G29</f>
        <v>2108272.4900000002</v>
      </c>
    </row>
    <row r="8" spans="1:7" s="59" customFormat="1" x14ac:dyDescent="0.35">
      <c r="A8" s="21" t="s">
        <v>27</v>
      </c>
      <c r="B8" s="257">
        <f t="shared" ref="B8:E8" si="2">+B19+B30</f>
        <v>6141489.0100000007</v>
      </c>
      <c r="C8" s="257">
        <f t="shared" si="2"/>
        <v>718436.28999999992</v>
      </c>
      <c r="D8" s="257">
        <f t="shared" si="2"/>
        <v>25871.25</v>
      </c>
      <c r="E8" s="257">
        <f t="shared" si="2"/>
        <v>58409.279999999999</v>
      </c>
      <c r="F8" s="257">
        <f>SUM(B8:E8)</f>
        <v>6944205.830000001</v>
      </c>
      <c r="G8" s="257">
        <f t="shared" si="1"/>
        <v>3472102.92</v>
      </c>
    </row>
    <row r="9" spans="1:7" s="59" customFormat="1" x14ac:dyDescent="0.35">
      <c r="A9" s="21" t="s">
        <v>6</v>
      </c>
      <c r="B9" s="248">
        <f t="shared" ref="B9:G9" si="3">SUM(B7:B8)</f>
        <v>12722064.57</v>
      </c>
      <c r="C9" s="248">
        <f t="shared" si="3"/>
        <v>-804957.27000000014</v>
      </c>
      <c r="D9" s="248">
        <f t="shared" si="3"/>
        <v>-774573.57000000007</v>
      </c>
      <c r="E9" s="248">
        <f t="shared" si="3"/>
        <v>18217.089999999997</v>
      </c>
      <c r="F9" s="248">
        <f t="shared" si="3"/>
        <v>11160750.82</v>
      </c>
      <c r="G9" s="248">
        <f t="shared" si="3"/>
        <v>5580375.4100000001</v>
      </c>
    </row>
    <row r="10" spans="1:7" s="59" customFormat="1" x14ac:dyDescent="0.35">
      <c r="B10" s="245"/>
      <c r="C10" s="245"/>
      <c r="D10" s="246"/>
    </row>
    <row r="11" spans="1:7" s="59" customFormat="1" x14ac:dyDescent="0.35">
      <c r="A11" s="21" t="s">
        <v>120</v>
      </c>
      <c r="B11" s="248">
        <f t="shared" ref="B11:E11" si="4">+B22+B33</f>
        <v>2400450.7000000002</v>
      </c>
      <c r="C11" s="248">
        <f t="shared" si="4"/>
        <v>301367.78000000003</v>
      </c>
      <c r="D11" s="248">
        <f t="shared" si="4"/>
        <v>38680.080000000016</v>
      </c>
      <c r="E11" s="248">
        <f t="shared" si="4"/>
        <v>26475.39</v>
      </c>
      <c r="F11" s="248">
        <f t="shared" ref="F11:F13" si="5">SUM(B11:E11)</f>
        <v>2766973.9500000007</v>
      </c>
      <c r="G11" s="248">
        <f t="shared" ref="G11:G13" si="6">+G22+G33</f>
        <v>1383486.98</v>
      </c>
    </row>
    <row r="12" spans="1:7" s="59" customFormat="1" x14ac:dyDescent="0.35">
      <c r="A12" s="21" t="s">
        <v>121</v>
      </c>
      <c r="B12" s="248">
        <f t="shared" ref="B12:E12" si="7">+B23+B34</f>
        <v>2683377.23</v>
      </c>
      <c r="C12" s="248">
        <f t="shared" si="7"/>
        <v>384075.6</v>
      </c>
      <c r="D12" s="248">
        <f t="shared" si="7"/>
        <v>-15670.149999999994</v>
      </c>
      <c r="E12" s="248">
        <f t="shared" si="7"/>
        <v>28269.96</v>
      </c>
      <c r="F12" s="248">
        <f t="shared" si="5"/>
        <v>3080052.64</v>
      </c>
      <c r="G12" s="248">
        <f t="shared" si="6"/>
        <v>1540026.33</v>
      </c>
    </row>
    <row r="13" spans="1:7" s="59" customFormat="1" x14ac:dyDescent="0.35">
      <c r="A13" s="21" t="s">
        <v>122</v>
      </c>
      <c r="B13" s="248">
        <f t="shared" ref="B13:E13" si="8">+B24+B35</f>
        <v>1057661.06</v>
      </c>
      <c r="C13" s="248">
        <f t="shared" si="8"/>
        <v>32992.910000000003</v>
      </c>
      <c r="D13" s="248">
        <f t="shared" si="8"/>
        <v>2861.3199999999997</v>
      </c>
      <c r="E13" s="248">
        <f t="shared" si="8"/>
        <v>3663.9300000000003</v>
      </c>
      <c r="F13" s="248">
        <f t="shared" si="5"/>
        <v>1097179.22</v>
      </c>
      <c r="G13" s="248">
        <f t="shared" si="6"/>
        <v>548589.61</v>
      </c>
    </row>
    <row r="14" spans="1:7" s="59" customFormat="1" x14ac:dyDescent="0.35">
      <c r="A14" s="42" t="s">
        <v>124</v>
      </c>
      <c r="B14" s="248">
        <f>SUM(B11:B13)</f>
        <v>6141488.9900000002</v>
      </c>
      <c r="C14" s="248">
        <f>SUM(C11:C13)</f>
        <v>718436.29</v>
      </c>
      <c r="D14" s="248">
        <f t="shared" ref="D14:G14" si="9">SUM(D11:D13)</f>
        <v>25871.250000000022</v>
      </c>
      <c r="E14" s="248">
        <f t="shared" si="9"/>
        <v>58409.279999999999</v>
      </c>
      <c r="F14" s="248">
        <f t="shared" si="9"/>
        <v>6944205.8100000005</v>
      </c>
      <c r="G14" s="248">
        <f t="shared" si="9"/>
        <v>3472102.92</v>
      </c>
    </row>
    <row r="15" spans="1:7" s="59" customFormat="1" x14ac:dyDescent="0.35">
      <c r="A15" s="21"/>
      <c r="B15" s="83"/>
      <c r="C15" s="83"/>
      <c r="D15" s="172"/>
    </row>
    <row r="16" spans="1:7" s="59" customFormat="1" x14ac:dyDescent="0.35">
      <c r="A16" s="21"/>
      <c r="B16" s="83"/>
      <c r="C16" s="83"/>
      <c r="D16" s="172"/>
    </row>
    <row r="17" spans="1:7" s="59" customFormat="1" x14ac:dyDescent="0.35">
      <c r="A17" s="281" t="s">
        <v>203</v>
      </c>
      <c r="B17" s="83"/>
      <c r="C17" s="83"/>
      <c r="D17" s="172"/>
    </row>
    <row r="18" spans="1:7" s="59" customFormat="1" x14ac:dyDescent="0.35">
      <c r="A18" s="21" t="s">
        <v>26</v>
      </c>
      <c r="B18" s="35">
        <f>ROUND(+'[14]EO Matrix @Meter'!$S$18,2)</f>
        <v>5181939.6500000004</v>
      </c>
      <c r="C18" s="35">
        <f>ROUND(+'[15]TD EO Ex Post Gross Adj'!$AL$370,2)</f>
        <v>-722286.33</v>
      </c>
      <c r="D18" s="35">
        <f>ROUND(+'[15]TD EO NTG Adj'!$AL$384,2)</f>
        <v>574414.55000000005</v>
      </c>
      <c r="E18" s="272">
        <f>ROUND(+'[15]EO TD Carrying Costs'!$AL$63,2)</f>
        <v>2229.4899999999998</v>
      </c>
      <c r="F18" s="257">
        <f>SUM(B18:E18)</f>
        <v>5036297.3600000003</v>
      </c>
      <c r="G18" s="273">
        <f>ROUND(F18/24*12,2)</f>
        <v>2518148.6800000002</v>
      </c>
    </row>
    <row r="19" spans="1:7" s="59" customFormat="1" x14ac:dyDescent="0.35">
      <c r="A19" s="21" t="s">
        <v>27</v>
      </c>
      <c r="B19" s="247">
        <f>ROUND(+'[14]EO Matrix @Meter'!$T$18,2)</f>
        <v>5060008.6900000004</v>
      </c>
      <c r="C19" s="247">
        <f>ROUND(+'[15]TD EO Ex Post Gross Adj'!$AL$375,2)</f>
        <v>194085.35</v>
      </c>
      <c r="D19" s="247">
        <f>ROUND(+'[15]TD EO NTG Adj'!$AL$389,2)</f>
        <v>562321.14</v>
      </c>
      <c r="E19" s="274">
        <f>ROUND(+'[15]EO TD Carrying Costs'!$AL$68,2)</f>
        <v>20418.36</v>
      </c>
      <c r="F19" s="257">
        <f>SUM(B19:E19)</f>
        <v>5836833.54</v>
      </c>
      <c r="G19" s="273">
        <f>ROUND(F19/24*12,2)</f>
        <v>2918416.77</v>
      </c>
    </row>
    <row r="20" spans="1:7" s="59" customFormat="1" x14ac:dyDescent="0.35">
      <c r="A20" s="21" t="s">
        <v>6</v>
      </c>
      <c r="B20" s="248">
        <f t="shared" ref="B20:G20" si="10">SUM(B18:B19)</f>
        <v>10241948.34</v>
      </c>
      <c r="C20" s="248">
        <f t="shared" si="10"/>
        <v>-528200.98</v>
      </c>
      <c r="D20" s="248">
        <f t="shared" si="10"/>
        <v>1136735.69</v>
      </c>
      <c r="E20" s="275">
        <f t="shared" si="10"/>
        <v>22647.85</v>
      </c>
      <c r="F20" s="248">
        <f t="shared" si="10"/>
        <v>10873130.9</v>
      </c>
      <c r="G20" s="276">
        <f t="shared" si="10"/>
        <v>5436565.4500000002</v>
      </c>
    </row>
    <row r="21" spans="1:7" s="59" customFormat="1" x14ac:dyDescent="0.35">
      <c r="B21" s="245"/>
      <c r="C21" s="245"/>
      <c r="D21" s="246"/>
    </row>
    <row r="22" spans="1:7" x14ac:dyDescent="0.35">
      <c r="A22" s="21" t="s">
        <v>120</v>
      </c>
      <c r="B22" s="35">
        <f>ROUND(+'[14]EO Matrix @Meter'!$W$18,2)</f>
        <v>1943830.05</v>
      </c>
      <c r="C22" s="35">
        <f>ROUND(+'[15]TD EO Ex Post Gross Adj'!$AL$371,2)</f>
        <v>62654.27</v>
      </c>
      <c r="D22" s="35">
        <f>ROUND(+'[15]TD EO NTG Adj'!$AL$385,2)</f>
        <v>289519.26</v>
      </c>
      <c r="E22" s="247">
        <f>ROUND(+'[15]EO TD Carrying Costs'!$AL$64,2)</f>
        <v>9487.83</v>
      </c>
      <c r="F22" s="248">
        <f t="shared" ref="F22:F24" si="11">SUM(B22:E22)</f>
        <v>2305491.41</v>
      </c>
      <c r="G22" s="283">
        <f>ROUND(F22/24*12,2)</f>
        <v>1152745.71</v>
      </c>
    </row>
    <row r="23" spans="1:7" x14ac:dyDescent="0.35">
      <c r="A23" s="21" t="s">
        <v>121</v>
      </c>
      <c r="B23" s="35">
        <f>ROUND(+'[14]EO Matrix @Meter'!$Y$18,2)</f>
        <v>2196160.91</v>
      </c>
      <c r="C23" s="35">
        <f>ROUND(+'[15]TD EO Ex Post Gross Adj'!$AL$373,2)</f>
        <v>122990.05</v>
      </c>
      <c r="D23" s="35">
        <f>ROUND(+'[15]TD EO NTG Adj'!$AL$387,2)</f>
        <v>233118.96</v>
      </c>
      <c r="E23" s="35">
        <f>ROUND(+'[15]EO TD Carrying Costs'!$AL$66,2)</f>
        <v>9593.31</v>
      </c>
      <c r="F23" s="248">
        <f t="shared" si="11"/>
        <v>2561863.23</v>
      </c>
      <c r="G23" s="283">
        <f t="shared" ref="G23:G24" si="12">ROUND(F23/24*12,2)</f>
        <v>1280931.6200000001</v>
      </c>
    </row>
    <row r="24" spans="1:7" x14ac:dyDescent="0.35">
      <c r="A24" s="21" t="s">
        <v>122</v>
      </c>
      <c r="B24" s="247">
        <f>ROUND(+'[14]EO Matrix @Meter'!$Z$18,2)</f>
        <v>920017.71</v>
      </c>
      <c r="C24" s="247">
        <f>ROUND(+'[15]TD EO Ex Post Gross Adj'!$AL$374,2)</f>
        <v>8441.0300000000007</v>
      </c>
      <c r="D24" s="247">
        <f>ROUND(+'[15]TD EO NTG Adj'!$AL$388,2)</f>
        <v>39682.92</v>
      </c>
      <c r="E24" s="247">
        <f>ROUND(+'[15]EO TD Carrying Costs'!$AL$67,2)</f>
        <v>1337.22</v>
      </c>
      <c r="F24" s="248">
        <f t="shared" si="11"/>
        <v>969478.88</v>
      </c>
      <c r="G24" s="283">
        <f t="shared" si="12"/>
        <v>484739.44</v>
      </c>
    </row>
    <row r="25" spans="1:7" x14ac:dyDescent="0.35">
      <c r="A25" s="42" t="s">
        <v>124</v>
      </c>
      <c r="B25" s="248">
        <f>SUM(B22:B24)</f>
        <v>5060008.67</v>
      </c>
      <c r="C25" s="248">
        <f>SUM(C22:C24)</f>
        <v>194085.35</v>
      </c>
      <c r="D25" s="248">
        <f t="shared" ref="D25:G25" si="13">SUM(D22:D24)</f>
        <v>562321.14</v>
      </c>
      <c r="E25" s="248">
        <f t="shared" si="13"/>
        <v>20418.36</v>
      </c>
      <c r="F25" s="248">
        <f t="shared" si="13"/>
        <v>5836833.5200000005</v>
      </c>
      <c r="G25" s="248">
        <f t="shared" si="13"/>
        <v>2918416.77</v>
      </c>
    </row>
    <row r="26" spans="1:7" s="51" customFormat="1" x14ac:dyDescent="0.35">
      <c r="A26" s="42"/>
      <c r="B26" s="282"/>
      <c r="C26" s="282"/>
      <c r="D26" s="282"/>
      <c r="E26" s="282"/>
      <c r="F26" s="282"/>
      <c r="G26" s="282"/>
    </row>
    <row r="27" spans="1:7" s="51" customFormat="1" x14ac:dyDescent="0.35">
      <c r="A27" s="42"/>
      <c r="B27" s="282"/>
      <c r="C27" s="282"/>
      <c r="D27" s="282"/>
      <c r="E27" s="282"/>
      <c r="F27" s="282"/>
      <c r="G27" s="282"/>
    </row>
    <row r="28" spans="1:7" s="59" customFormat="1" x14ac:dyDescent="0.35">
      <c r="A28" s="281" t="s">
        <v>214</v>
      </c>
      <c r="B28" s="83"/>
      <c r="C28" s="83"/>
      <c r="D28" s="172"/>
    </row>
    <row r="29" spans="1:7" s="59" customFormat="1" x14ac:dyDescent="0.35">
      <c r="A29" s="21" t="s">
        <v>26</v>
      </c>
      <c r="B29" s="35">
        <f>ROUND(+'[16]EO Matrix @Meter'!$S$18,2)</f>
        <v>1398635.91</v>
      </c>
      <c r="C29" s="35">
        <f>ROUND(+'[15]TD EO Ex Post Gross Adj'!$BE$370+'[15]TD EO Ex Post Gross Adj'!$BS$370+'[17]TD EO Ex Post Gross Adj'!$BE$370+'[17]TD EO Ex Post Gross Adj'!$BS$370,2)</f>
        <v>-801107.23</v>
      </c>
      <c r="D29" s="35">
        <f>ROUND(+'[15]TD EO NTG Adj'!$BE$384+'[15]TD EO NTG Adj'!$BS$384+'[17]TD EO NTG Adj'!$BE$384+'[17]TD EO NTG Adj'!$BS$384,2)</f>
        <v>-1374859.37</v>
      </c>
      <c r="E29" s="272">
        <f>ROUND(+'[15]EO TD Carrying Costs'!$BE$63+'[17]EO TD Carrying Costs'!$BE$63,2)</f>
        <v>-42421.68</v>
      </c>
      <c r="F29" s="257">
        <f>SUM(B29:E29)</f>
        <v>-819752.37000000023</v>
      </c>
      <c r="G29" s="273">
        <f>ROUND(F29/24*12,2)</f>
        <v>-409876.19</v>
      </c>
    </row>
    <row r="30" spans="1:7" s="59" customFormat="1" x14ac:dyDescent="0.35">
      <c r="A30" s="21" t="s">
        <v>27</v>
      </c>
      <c r="B30" s="247">
        <f>ROUND(+'[16]EO Matrix @Meter'!$T$18,2)</f>
        <v>1081480.32</v>
      </c>
      <c r="C30" s="247">
        <f>ROUND(SUM('[15]TD EO Ex Post Gross Adj'!$BE$371:$BE$374)+SUM('[15]TD EO Ex Post Gross Adj'!$BS$371:$BS$374)+SUM('[17]TD EO Ex Post Gross Adj'!$BE$371:$BE$374)+SUM('[17]TD EO Ex Post Gross Adj'!$BS$371:$BS$374),2)</f>
        <v>524350.93999999994</v>
      </c>
      <c r="D30" s="247">
        <f>ROUND(SUM('[15]TD EO NTG Adj'!$BE$385:$BE$388)+SUM('[15]TD EO NTG Adj'!$BS$385:$BS$388)+SUM('[17]TD EO NTG Adj'!$BE$385:$BE$388)+SUM('[17]TD EO NTG Adj'!$BS$385:$BS$388),2)</f>
        <v>-536449.89</v>
      </c>
      <c r="E30" s="274">
        <f>ROUND(+'[15]EO TD Carrying Costs'!$BE$68+'[17]EO TD Carrying Costs'!$BE$68,2)</f>
        <v>37990.92</v>
      </c>
      <c r="F30" s="257">
        <f>SUM(B30:E30)</f>
        <v>1107372.29</v>
      </c>
      <c r="G30" s="273">
        <f>ROUND(F30/24*12,2)</f>
        <v>553686.15</v>
      </c>
    </row>
    <row r="31" spans="1:7" s="59" customFormat="1" x14ac:dyDescent="0.35">
      <c r="A31" s="21" t="s">
        <v>6</v>
      </c>
      <c r="B31" s="248">
        <f t="shared" ref="B31:G31" si="14">SUM(B29:B30)</f>
        <v>2480116.23</v>
      </c>
      <c r="C31" s="248">
        <f t="shared" si="14"/>
        <v>-276756.29000000004</v>
      </c>
      <c r="D31" s="248">
        <f t="shared" si="14"/>
        <v>-1911309.2600000002</v>
      </c>
      <c r="E31" s="275">
        <f t="shared" si="14"/>
        <v>-4430.760000000002</v>
      </c>
      <c r="F31" s="248">
        <f t="shared" si="14"/>
        <v>287619.91999999981</v>
      </c>
      <c r="G31" s="276">
        <f t="shared" si="14"/>
        <v>143809.96000000002</v>
      </c>
    </row>
    <row r="32" spans="1:7" s="59" customFormat="1" x14ac:dyDescent="0.35">
      <c r="B32" s="245"/>
      <c r="C32" s="245"/>
      <c r="D32" s="246"/>
    </row>
    <row r="33" spans="1:7" s="59" customFormat="1" x14ac:dyDescent="0.35">
      <c r="A33" s="21" t="s">
        <v>120</v>
      </c>
      <c r="B33" s="35">
        <f>ROUND(+'[16]EO Matrix @Meter'!$W$18,2)</f>
        <v>456620.65</v>
      </c>
      <c r="C33" s="35">
        <f>ROUND(+'[15]TD EO Ex Post Gross Adj'!BE371+'[15]TD EO Ex Post Gross Adj'!BS371+'[17]TD EO Ex Post Gross Adj'!BE371+'[17]TD EO Ex Post Gross Adj'!BS371,2)</f>
        <v>238713.51</v>
      </c>
      <c r="D33" s="35">
        <f>ROUND(+'[15]TD EO NTG Adj'!BE385+'[15]TD EO NTG Adj'!BS385+'[17]TD EO NTG Adj'!BE385+'[17]TD EO NTG Adj'!BS385,2)</f>
        <v>-250839.18</v>
      </c>
      <c r="E33" s="247">
        <f>ROUND(+'[15]EO TD Carrying Costs'!BE64+'[17]EO TD Carrying Costs'!BE64,2)</f>
        <v>16987.560000000001</v>
      </c>
      <c r="F33" s="248">
        <f t="shared" ref="F33:F35" si="15">SUM(B33:E33)</f>
        <v>461482.54000000004</v>
      </c>
      <c r="G33" s="283">
        <f>ROUND(F33/24*12,2)</f>
        <v>230741.27</v>
      </c>
    </row>
    <row r="34" spans="1:7" s="59" customFormat="1" x14ac:dyDescent="0.35">
      <c r="A34" s="21" t="s">
        <v>121</v>
      </c>
      <c r="B34" s="35">
        <f>ROUND(+'[16]EO Matrix @Meter'!$Y$18,2)</f>
        <v>487216.32</v>
      </c>
      <c r="C34" s="35">
        <f>ROUND(+'[15]TD EO Ex Post Gross Adj'!BE373+'[15]TD EO Ex Post Gross Adj'!BS373+'[17]TD EO Ex Post Gross Adj'!BE373+'[17]TD EO Ex Post Gross Adj'!BS373,2)</f>
        <v>261085.55</v>
      </c>
      <c r="D34" s="35">
        <f>ROUND(+'[15]TD EO NTG Adj'!BE387+'[15]TD EO NTG Adj'!BS387+'[17]TD EO NTG Adj'!BE387+'[17]TD EO NTG Adj'!BS387,2)</f>
        <v>-248789.11</v>
      </c>
      <c r="E34" s="35">
        <f>ROUND(+'[15]EO TD Carrying Costs'!BE66+'[17]EO TD Carrying Costs'!BE66,2)</f>
        <v>18676.650000000001</v>
      </c>
      <c r="F34" s="248">
        <f t="shared" si="15"/>
        <v>518189.41000000003</v>
      </c>
      <c r="G34" s="283">
        <f t="shared" ref="G34:G35" si="16">ROUND(F34/24*12,2)</f>
        <v>259094.71</v>
      </c>
    </row>
    <row r="35" spans="1:7" s="59" customFormat="1" x14ac:dyDescent="0.35">
      <c r="A35" s="21" t="s">
        <v>122</v>
      </c>
      <c r="B35" s="247">
        <f>ROUND(+'[16]EO Matrix @Meter'!$Z$18,2)</f>
        <v>137643.35</v>
      </c>
      <c r="C35" s="247">
        <f>ROUND(+'[15]TD EO Ex Post Gross Adj'!BE374+'[15]TD EO Ex Post Gross Adj'!BS374+'[17]TD EO Ex Post Gross Adj'!BE374+'[17]TD EO Ex Post Gross Adj'!BS374,2)</f>
        <v>24551.88</v>
      </c>
      <c r="D35" s="247">
        <f>ROUND(+'[15]TD EO NTG Adj'!BE388+'[15]TD EO NTG Adj'!BS388+'[17]TD EO NTG Adj'!BE388+'[17]TD EO NTG Adj'!BS388,2)</f>
        <v>-36821.599999999999</v>
      </c>
      <c r="E35" s="247">
        <f>ROUND(+'[15]EO TD Carrying Costs'!BE67+'[17]EO TD Carrying Costs'!BE67,2)</f>
        <v>2326.71</v>
      </c>
      <c r="F35" s="248">
        <f t="shared" si="15"/>
        <v>127700.34000000001</v>
      </c>
      <c r="G35" s="283">
        <f t="shared" si="16"/>
        <v>63850.17</v>
      </c>
    </row>
    <row r="36" spans="1:7" s="59" customFormat="1" x14ac:dyDescent="0.35">
      <c r="A36" s="42" t="s">
        <v>124</v>
      </c>
      <c r="B36" s="248">
        <f>SUM(B33:B35)</f>
        <v>1081480.32</v>
      </c>
      <c r="C36" s="248">
        <f>SUM(C33:C35)</f>
        <v>524350.93999999994</v>
      </c>
      <c r="D36" s="248">
        <f t="shared" ref="D36:G36" si="17">SUM(D33:D35)</f>
        <v>-536449.89</v>
      </c>
      <c r="E36" s="248">
        <f t="shared" si="17"/>
        <v>37990.920000000006</v>
      </c>
      <c r="F36" s="248">
        <f t="shared" si="17"/>
        <v>1107372.29</v>
      </c>
      <c r="G36" s="248">
        <f t="shared" si="17"/>
        <v>553686.15</v>
      </c>
    </row>
    <row r="37" spans="1:7" x14ac:dyDescent="0.35">
      <c r="A37" s="42"/>
      <c r="B37" s="277"/>
      <c r="C37" s="277"/>
      <c r="D37" s="277"/>
      <c r="E37" s="277"/>
      <c r="F37" s="277"/>
      <c r="G37" s="277"/>
    </row>
    <row r="38" spans="1:7" x14ac:dyDescent="0.35">
      <c r="A38" s="3" t="s">
        <v>204</v>
      </c>
      <c r="B38" s="59"/>
      <c r="D38" s="59"/>
      <c r="E38" s="59"/>
      <c r="F38" s="59"/>
      <c r="G38" s="59"/>
    </row>
    <row r="39" spans="1:7" x14ac:dyDescent="0.35">
      <c r="A39" s="3" t="s">
        <v>205</v>
      </c>
      <c r="B39" s="59"/>
      <c r="D39" s="59"/>
      <c r="E39" s="59"/>
      <c r="F39" s="59"/>
      <c r="G39" s="59"/>
    </row>
    <row r="40" spans="1:7" x14ac:dyDescent="0.35">
      <c r="A40" s="3" t="s">
        <v>206</v>
      </c>
      <c r="B40" s="59"/>
      <c r="D40" s="59"/>
      <c r="E40" s="59"/>
      <c r="F40" s="59"/>
      <c r="G40" s="59"/>
    </row>
    <row r="41" spans="1:7" x14ac:dyDescent="0.35">
      <c r="A41" s="3" t="s">
        <v>207</v>
      </c>
      <c r="B41" s="59"/>
      <c r="D41" s="59"/>
      <c r="E41" s="59"/>
      <c r="F41" s="59"/>
      <c r="G41" s="59"/>
    </row>
    <row r="42" spans="1:7" s="59" customFormat="1" x14ac:dyDescent="0.35">
      <c r="A42" s="3" t="s">
        <v>209</v>
      </c>
    </row>
    <row r="43" spans="1:7" s="59" customFormat="1" ht="30.75" customHeight="1" x14ac:dyDescent="0.35">
      <c r="A43" s="312" t="s">
        <v>208</v>
      </c>
      <c r="B43" s="312"/>
      <c r="C43" s="312"/>
      <c r="D43" s="312"/>
      <c r="E43" s="312"/>
      <c r="F43" s="312"/>
      <c r="G43" s="312"/>
    </row>
    <row r="44" spans="1:7" x14ac:dyDescent="0.35">
      <c r="A44" s="3"/>
      <c r="B44" s="59"/>
      <c r="D44" s="59"/>
      <c r="E44" s="59"/>
    </row>
    <row r="45" spans="1:7" s="59" customFormat="1" x14ac:dyDescent="0.35">
      <c r="A45" s="3"/>
    </row>
    <row r="46" spans="1:7" x14ac:dyDescent="0.35">
      <c r="A46" s="3"/>
    </row>
  </sheetData>
  <mergeCells count="2">
    <mergeCell ref="B3:D3"/>
    <mergeCell ref="A43:G4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3"/>
  <sheetViews>
    <sheetView topLeftCell="A13" workbookViewId="0">
      <selection activeCell="O13" sqref="O1:O1048576"/>
    </sheetView>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54296875" style="59" customWidth="1"/>
    <col min="11" max="11" width="12.81640625" style="59" customWidth="1"/>
    <col min="12" max="12" width="16" style="59" customWidth="1"/>
    <col min="13" max="13" width="15" style="59" bestFit="1" customWidth="1"/>
    <col min="14" max="14" width="16" style="59" bestFit="1" customWidth="1"/>
    <col min="15" max="15" width="15.26953125" style="59" bestFit="1" customWidth="1"/>
    <col min="16" max="16" width="17.453125" style="59" bestFit="1" customWidth="1"/>
    <col min="17" max="17" width="16.26953125" style="59" bestFit="1" customWidth="1"/>
    <col min="18" max="18" width="15.26953125" style="59" bestFit="1" customWidth="1"/>
    <col min="19" max="19" width="12.453125" style="59" customWidth="1"/>
    <col min="20" max="21" width="14.26953125" style="59" bestFit="1" customWidth="1"/>
    <col min="22" max="16384" width="9.1796875" style="59"/>
  </cols>
  <sheetData>
    <row r="1" spans="1:34" x14ac:dyDescent="0.35">
      <c r="A1" s="3" t="str">
        <f>+'PPC Cycle 2'!A1</f>
        <v>Evergy Missouri West, Inc. - DSIM Rider Update Filed 12/01/2020</v>
      </c>
      <c r="B1" s="3"/>
      <c r="C1" s="3"/>
    </row>
    <row r="2" spans="1:34" x14ac:dyDescent="0.35">
      <c r="D2" s="3" t="s">
        <v>90</v>
      </c>
    </row>
    <row r="3" spans="1:34" ht="29" x14ac:dyDescent="0.35">
      <c r="D3" s="61" t="s">
        <v>48</v>
      </c>
      <c r="E3" s="83" t="s">
        <v>60</v>
      </c>
      <c r="F3" s="61" t="s">
        <v>3</v>
      </c>
      <c r="G3" s="83" t="s">
        <v>57</v>
      </c>
      <c r="H3" s="61" t="s">
        <v>11</v>
      </c>
      <c r="I3" s="61" t="s">
        <v>61</v>
      </c>
      <c r="R3" s="61"/>
    </row>
    <row r="4" spans="1:34" x14ac:dyDescent="0.35">
      <c r="A4" s="21" t="s">
        <v>26</v>
      </c>
      <c r="B4" s="21"/>
      <c r="C4" s="21"/>
      <c r="D4" s="23">
        <f>SUM(C18:L18)</f>
        <v>0</v>
      </c>
      <c r="E4" s="23">
        <f>SUM(C22:K22)</f>
        <v>0</v>
      </c>
      <c r="F4" s="23">
        <f>E4-D4</f>
        <v>0</v>
      </c>
      <c r="G4" s="23">
        <f>+B32</f>
        <v>0</v>
      </c>
      <c r="H4" s="23">
        <f>SUM(C37:K37)</f>
        <v>0</v>
      </c>
      <c r="I4" s="35">
        <f>SUM(F4:H4)</f>
        <v>0</v>
      </c>
      <c r="J4" s="60">
        <f>+I4-L32</f>
        <v>0</v>
      </c>
      <c r="M4" s="60"/>
    </row>
    <row r="5" spans="1:34" ht="15" thickBot="1" x14ac:dyDescent="0.4">
      <c r="A5" s="21" t="s">
        <v>27</v>
      </c>
      <c r="B5" s="21"/>
      <c r="C5" s="21"/>
      <c r="D5" s="23">
        <f>SUM(C19:L19)</f>
        <v>0</v>
      </c>
      <c r="E5" s="23">
        <f>SUM(C23:K23)</f>
        <v>0</v>
      </c>
      <c r="F5" s="23">
        <f>E5-D5</f>
        <v>0</v>
      </c>
      <c r="G5" s="23">
        <f>+B33</f>
        <v>0</v>
      </c>
      <c r="H5" s="23">
        <f>SUM(C38:K38)</f>
        <v>0</v>
      </c>
      <c r="I5" s="35">
        <f>SUM(F5:H5)</f>
        <v>0</v>
      </c>
      <c r="J5" s="60">
        <f>+I5-L33</f>
        <v>0</v>
      </c>
      <c r="M5" s="60"/>
    </row>
    <row r="6" spans="1:34" ht="15.5" thickTop="1" thickBot="1" x14ac:dyDescent="0.4">
      <c r="D6" s="39">
        <f t="shared" ref="D6" si="0">SUM(D4:D5)</f>
        <v>0</v>
      </c>
      <c r="E6" s="39">
        <f>SUM(E4:E5)</f>
        <v>0</v>
      </c>
      <c r="F6" s="39">
        <f>SUM(F4:F5)</f>
        <v>0</v>
      </c>
      <c r="G6" s="39">
        <f>SUM(G4:G5)</f>
        <v>0</v>
      </c>
      <c r="H6" s="39">
        <f>SUM(H4:H5)</f>
        <v>0</v>
      </c>
      <c r="I6" s="39">
        <f>SUM(I4:I5)</f>
        <v>0</v>
      </c>
      <c r="S6" s="5"/>
    </row>
    <row r="7" spans="1:34" ht="44" thickTop="1" x14ac:dyDescent="0.35">
      <c r="I7" s="253"/>
      <c r="J7" s="252" t="s">
        <v>136</v>
      </c>
    </row>
    <row r="8" spans="1:34" ht="17.25" customHeight="1" x14ac:dyDescent="0.35">
      <c r="A8" s="21" t="s">
        <v>120</v>
      </c>
      <c r="I8" s="35">
        <f>ROUND($I$5*J8,2)</f>
        <v>0</v>
      </c>
      <c r="J8" s="250">
        <f>+'PPC Cycle 2'!D10</f>
        <v>0.39209287804949344</v>
      </c>
    </row>
    <row r="9" spans="1:34" ht="17.25" customHeight="1" x14ac:dyDescent="0.35">
      <c r="A9" s="21" t="s">
        <v>121</v>
      </c>
      <c r="I9" s="35">
        <f t="shared" ref="I9:I10" si="1">ROUND($I$5*J9,2)</f>
        <v>0</v>
      </c>
      <c r="J9" s="250">
        <f>+'PPC Cycle 2'!D11</f>
        <v>0.45435908608374953</v>
      </c>
    </row>
    <row r="10" spans="1:34" ht="17.25" customHeight="1" thickBot="1" x14ac:dyDescent="0.4">
      <c r="A10" s="21" t="s">
        <v>122</v>
      </c>
      <c r="I10" s="35">
        <f t="shared" si="1"/>
        <v>0</v>
      </c>
      <c r="J10" s="250">
        <f>+'PPC Cycle 2'!D12</f>
        <v>0.15354803586675725</v>
      </c>
    </row>
    <row r="11" spans="1:34" ht="17.25" customHeight="1" thickTop="1" thickBot="1" x14ac:dyDescent="0.4">
      <c r="A11" s="21" t="s">
        <v>124</v>
      </c>
      <c r="I11" s="39">
        <f>SUM(I8:I10)</f>
        <v>0</v>
      </c>
      <c r="J11" s="251">
        <f>SUM(J8:J10)</f>
        <v>1.0000000000000002</v>
      </c>
    </row>
    <row r="12" spans="1:34" ht="15.5" thickTop="1" thickBot="1" x14ac:dyDescent="0.4">
      <c r="U12" s="4"/>
      <c r="V12" s="5"/>
    </row>
    <row r="13" spans="1:34" ht="116.5" thickBot="1" x14ac:dyDescent="0.4">
      <c r="B13" s="136" t="str">
        <f>+'PCR Cycle 2'!B13</f>
        <v>Cumulative Over/Under Carryover From 06/01/2020 Filing</v>
      </c>
      <c r="C13" s="171" t="str">
        <f>+'PCR Cycle 2'!C13</f>
        <v>Reverse November-20 - January 2021  Forecast From 06/01/2020 Filing</v>
      </c>
      <c r="D13" s="307" t="s">
        <v>35</v>
      </c>
      <c r="E13" s="307"/>
      <c r="F13" s="308"/>
      <c r="G13" s="309" t="s">
        <v>35</v>
      </c>
      <c r="H13" s="310"/>
      <c r="I13" s="311"/>
      <c r="J13" s="303" t="s">
        <v>9</v>
      </c>
      <c r="K13" s="304"/>
      <c r="L13" s="305"/>
    </row>
    <row r="14" spans="1:34" x14ac:dyDescent="0.35">
      <c r="A14" s="59" t="s">
        <v>91</v>
      </c>
      <c r="C14" s="123"/>
      <c r="D14" s="19">
        <f>+'PCR Cycle 2'!D14</f>
        <v>43982</v>
      </c>
      <c r="E14" s="19">
        <f t="shared" ref="E14:L14" si="2">EOMONTH(D14,1)</f>
        <v>44012</v>
      </c>
      <c r="F14" s="19">
        <f t="shared" si="2"/>
        <v>44043</v>
      </c>
      <c r="G14" s="14">
        <f t="shared" si="2"/>
        <v>44074</v>
      </c>
      <c r="H14" s="19">
        <f t="shared" si="2"/>
        <v>44104</v>
      </c>
      <c r="I14" s="15">
        <f t="shared" si="2"/>
        <v>44135</v>
      </c>
      <c r="J14" s="19">
        <f t="shared" si="2"/>
        <v>44165</v>
      </c>
      <c r="K14" s="19">
        <f t="shared" si="2"/>
        <v>44196</v>
      </c>
      <c r="L14" s="15">
        <f t="shared" si="2"/>
        <v>44227</v>
      </c>
      <c r="Y14" s="1"/>
      <c r="Z14" s="1"/>
      <c r="AA14" s="1"/>
      <c r="AB14" s="1"/>
      <c r="AC14" s="1"/>
      <c r="AD14" s="1"/>
      <c r="AE14" s="1"/>
      <c r="AF14" s="1"/>
      <c r="AG14" s="1"/>
      <c r="AH14" s="1"/>
    </row>
    <row r="15" spans="1:34" x14ac:dyDescent="0.35">
      <c r="A15" s="59" t="s">
        <v>6</v>
      </c>
      <c r="C15" s="115">
        <v>0</v>
      </c>
      <c r="D15" s="127">
        <f t="shared" ref="D15:H15" si="3">SUM(D22:D23)</f>
        <v>0</v>
      </c>
      <c r="E15" s="127">
        <f t="shared" si="3"/>
        <v>0</v>
      </c>
      <c r="F15" s="128">
        <f t="shared" si="3"/>
        <v>0</v>
      </c>
      <c r="G15" s="16">
        <f t="shared" si="3"/>
        <v>0</v>
      </c>
      <c r="H15" s="68">
        <f t="shared" si="3"/>
        <v>0</v>
      </c>
      <c r="I15" s="186">
        <f>+I22+I23</f>
        <v>0</v>
      </c>
      <c r="J15" s="179">
        <f t="shared" ref="J15:K15" si="4">+J22+J23</f>
        <v>0</v>
      </c>
      <c r="K15" s="93">
        <f t="shared" si="4"/>
        <v>0</v>
      </c>
      <c r="L15" s="94"/>
    </row>
    <row r="16" spans="1:34" x14ac:dyDescent="0.35">
      <c r="C16" s="117"/>
      <c r="D16" s="17"/>
      <c r="E16" s="17"/>
      <c r="F16" s="17"/>
      <c r="G16" s="10"/>
      <c r="H16" s="17"/>
      <c r="I16" s="11"/>
      <c r="J16" s="43"/>
      <c r="K16" s="43"/>
      <c r="L16" s="41"/>
    </row>
    <row r="17" spans="1:14" x14ac:dyDescent="0.35">
      <c r="A17" s="59" t="s">
        <v>92</v>
      </c>
      <c r="C17" s="117"/>
      <c r="D17" s="18"/>
      <c r="E17" s="18"/>
      <c r="F17" s="18"/>
      <c r="G17" s="109"/>
      <c r="H17" s="18"/>
      <c r="I17" s="187"/>
      <c r="J17" s="43"/>
      <c r="K17" s="43"/>
      <c r="L17" s="41"/>
      <c r="M17" s="3" t="s">
        <v>52</v>
      </c>
      <c r="N17" s="51"/>
    </row>
    <row r="18" spans="1:14" x14ac:dyDescent="0.35">
      <c r="A18" s="59" t="s">
        <v>26</v>
      </c>
      <c r="C18" s="115">
        <v>0</v>
      </c>
      <c r="D18" s="154">
        <v>0</v>
      </c>
      <c r="E18" s="154">
        <v>0</v>
      </c>
      <c r="F18" s="154">
        <v>0</v>
      </c>
      <c r="G18" s="207">
        <v>0</v>
      </c>
      <c r="H18" s="139">
        <v>0</v>
      </c>
      <c r="I18" s="188">
        <v>0</v>
      </c>
      <c r="J18" s="141">
        <f>'PCR Cycle 2'!J26*$M18</f>
        <v>0</v>
      </c>
      <c r="K18" s="53">
        <f>'PCR Cycle 2'!K26*$M18</f>
        <v>0</v>
      </c>
      <c r="L18" s="74">
        <f>'PCR Cycle 2'!L26*$M18</f>
        <v>0</v>
      </c>
      <c r="M18" s="85">
        <v>0</v>
      </c>
      <c r="N18" s="4"/>
    </row>
    <row r="19" spans="1:14" x14ac:dyDescent="0.35">
      <c r="A19" s="59" t="s">
        <v>27</v>
      </c>
      <c r="C19" s="115">
        <v>0</v>
      </c>
      <c r="D19" s="154">
        <v>0</v>
      </c>
      <c r="E19" s="154">
        <v>0</v>
      </c>
      <c r="F19" s="154">
        <v>0</v>
      </c>
      <c r="G19" s="207">
        <v>0</v>
      </c>
      <c r="H19" s="139">
        <v>0</v>
      </c>
      <c r="I19" s="188">
        <v>0</v>
      </c>
      <c r="J19" s="141">
        <f>SUM('PCR Cycle 2'!J27:J29)*$M19</f>
        <v>0</v>
      </c>
      <c r="K19" s="53">
        <f>SUM('PCR Cycle 2'!K27:K29)*$M19</f>
        <v>0</v>
      </c>
      <c r="L19" s="74">
        <f>SUM('PCR Cycle 2'!L27:L29)*$M19</f>
        <v>0</v>
      </c>
      <c r="M19" s="85">
        <v>0</v>
      </c>
      <c r="N19" s="4"/>
    </row>
    <row r="20" spans="1:14" x14ac:dyDescent="0.35">
      <c r="C20" s="80"/>
      <c r="D20" s="81"/>
      <c r="E20" s="81"/>
      <c r="F20" s="81"/>
      <c r="G20" s="80"/>
      <c r="H20" s="81"/>
      <c r="I20" s="189"/>
      <c r="J20" s="69"/>
      <c r="K20" s="69"/>
      <c r="L20" s="13"/>
      <c r="N20" s="4"/>
    </row>
    <row r="21" spans="1:14" x14ac:dyDescent="0.35">
      <c r="A21" s="59" t="s">
        <v>94</v>
      </c>
      <c r="C21" s="48"/>
      <c r="D21" s="49"/>
      <c r="E21" s="49"/>
      <c r="F21" s="49"/>
      <c r="G21" s="48"/>
      <c r="H21" s="49"/>
      <c r="I21" s="192"/>
      <c r="J21" s="65"/>
      <c r="K21" s="65"/>
      <c r="L21" s="50"/>
    </row>
    <row r="22" spans="1:14" x14ac:dyDescent="0.35">
      <c r="A22" s="59" t="s">
        <v>26</v>
      </c>
      <c r="C22" s="115">
        <v>0</v>
      </c>
      <c r="D22" s="127">
        <v>0</v>
      </c>
      <c r="E22" s="127">
        <v>0</v>
      </c>
      <c r="F22" s="128">
        <v>0</v>
      </c>
      <c r="G22" s="16">
        <v>0</v>
      </c>
      <c r="H22" s="68">
        <v>0</v>
      </c>
      <c r="I22" s="186">
        <v>0</v>
      </c>
      <c r="J22" s="181">
        <v>0</v>
      </c>
      <c r="K22" s="161">
        <v>0</v>
      </c>
      <c r="L22" s="94"/>
    </row>
    <row r="23" spans="1:14" x14ac:dyDescent="0.35">
      <c r="A23" s="59" t="s">
        <v>27</v>
      </c>
      <c r="C23" s="115">
        <v>0</v>
      </c>
      <c r="D23" s="127">
        <v>0</v>
      </c>
      <c r="E23" s="127">
        <v>0</v>
      </c>
      <c r="F23" s="128">
        <v>0</v>
      </c>
      <c r="G23" s="16">
        <v>0</v>
      </c>
      <c r="H23" s="68">
        <v>0</v>
      </c>
      <c r="I23" s="186">
        <v>0</v>
      </c>
      <c r="J23" s="181">
        <v>0</v>
      </c>
      <c r="K23" s="161">
        <v>0</v>
      </c>
      <c r="L23" s="94"/>
      <c r="N23" s="60"/>
    </row>
    <row r="24" spans="1:14" x14ac:dyDescent="0.35">
      <c r="C24" s="117"/>
      <c r="D24" s="18"/>
      <c r="E24" s="18"/>
      <c r="F24" s="18"/>
      <c r="G24" s="109"/>
      <c r="H24" s="18"/>
      <c r="I24" s="187"/>
      <c r="J24" s="69"/>
      <c r="K24" s="69"/>
      <c r="L24" s="13"/>
    </row>
    <row r="25" spans="1:14" ht="15" thickBot="1" x14ac:dyDescent="0.4">
      <c r="A25" s="3" t="s">
        <v>16</v>
      </c>
      <c r="B25" s="3"/>
      <c r="C25" s="121">
        <v>0</v>
      </c>
      <c r="D25" s="154">
        <v>0</v>
      </c>
      <c r="E25" s="154">
        <v>0</v>
      </c>
      <c r="F25" s="155">
        <v>0</v>
      </c>
      <c r="G25" s="38">
        <v>0</v>
      </c>
      <c r="H25" s="140">
        <v>0</v>
      </c>
      <c r="I25" s="193">
        <v>0</v>
      </c>
      <c r="J25" s="182"/>
      <c r="K25" s="163"/>
      <c r="L25" s="97"/>
    </row>
    <row r="26" spans="1:14" x14ac:dyDescent="0.35">
      <c r="C26" s="77"/>
      <c r="D26" s="167"/>
      <c r="E26" s="167"/>
      <c r="F26" s="168"/>
      <c r="G26" s="77"/>
      <c r="H26" s="45"/>
      <c r="I26" s="194"/>
      <c r="J26" s="46"/>
      <c r="K26" s="46"/>
      <c r="L26" s="73"/>
    </row>
    <row r="27" spans="1:14" x14ac:dyDescent="0.35">
      <c r="A27" s="59" t="s">
        <v>54</v>
      </c>
      <c r="C27" s="78"/>
      <c r="D27" s="168"/>
      <c r="E27" s="168"/>
      <c r="F27" s="168"/>
      <c r="G27" s="78"/>
      <c r="H27" s="47"/>
      <c r="I27" s="195"/>
      <c r="J27" s="46"/>
      <c r="K27" s="46"/>
      <c r="L27" s="73"/>
    </row>
    <row r="28" spans="1:14" x14ac:dyDescent="0.35">
      <c r="A28" s="59" t="s">
        <v>26</v>
      </c>
      <c r="C28" s="118">
        <f t="shared" ref="C28:L28" si="5">C22-C18</f>
        <v>0</v>
      </c>
      <c r="D28" s="53">
        <f t="shared" si="5"/>
        <v>0</v>
      </c>
      <c r="E28" s="53">
        <f t="shared" si="5"/>
        <v>0</v>
      </c>
      <c r="F28" s="126">
        <f t="shared" si="5"/>
        <v>0</v>
      </c>
      <c r="G28" s="52">
        <f t="shared" si="5"/>
        <v>0</v>
      </c>
      <c r="H28" s="53">
        <f t="shared" si="5"/>
        <v>0</v>
      </c>
      <c r="I28" s="74">
        <f t="shared" si="5"/>
        <v>0</v>
      </c>
      <c r="J28" s="141">
        <f t="shared" si="5"/>
        <v>0</v>
      </c>
      <c r="K28" s="53">
        <f t="shared" si="5"/>
        <v>0</v>
      </c>
      <c r="L28" s="74">
        <f t="shared" si="5"/>
        <v>0</v>
      </c>
    </row>
    <row r="29" spans="1:14" x14ac:dyDescent="0.35">
      <c r="A29" s="59" t="s">
        <v>27</v>
      </c>
      <c r="C29" s="118">
        <f t="shared" ref="C29:L29" si="6">C23-C19</f>
        <v>0</v>
      </c>
      <c r="D29" s="53">
        <f t="shared" si="6"/>
        <v>0</v>
      </c>
      <c r="E29" s="53">
        <f t="shared" si="6"/>
        <v>0</v>
      </c>
      <c r="F29" s="126">
        <f t="shared" si="6"/>
        <v>0</v>
      </c>
      <c r="G29" s="52">
        <f t="shared" si="6"/>
        <v>0</v>
      </c>
      <c r="H29" s="53">
        <f t="shared" si="6"/>
        <v>0</v>
      </c>
      <c r="I29" s="74">
        <f t="shared" si="6"/>
        <v>0</v>
      </c>
      <c r="J29" s="141">
        <f t="shared" si="6"/>
        <v>0</v>
      </c>
      <c r="K29" s="53">
        <f t="shared" si="6"/>
        <v>0</v>
      </c>
      <c r="L29" s="74">
        <f t="shared" si="6"/>
        <v>0</v>
      </c>
    </row>
    <row r="30" spans="1:14" x14ac:dyDescent="0.35">
      <c r="C30" s="117"/>
      <c r="D30" s="17"/>
      <c r="E30" s="17"/>
      <c r="F30" s="17"/>
      <c r="G30" s="10"/>
      <c r="H30" s="17"/>
      <c r="I30" s="11"/>
      <c r="J30" s="17"/>
      <c r="K30" s="17"/>
      <c r="L30" s="11"/>
    </row>
    <row r="31" spans="1:14" ht="15" thickBot="1" x14ac:dyDescent="0.4">
      <c r="A31" s="59" t="s">
        <v>55</v>
      </c>
      <c r="C31" s="117"/>
      <c r="D31" s="17"/>
      <c r="E31" s="17"/>
      <c r="F31" s="17"/>
      <c r="G31" s="10"/>
      <c r="H31" s="17"/>
      <c r="I31" s="11"/>
      <c r="J31" s="17"/>
      <c r="K31" s="17"/>
      <c r="L31" s="11"/>
    </row>
    <row r="32" spans="1:14" x14ac:dyDescent="0.35">
      <c r="A32" s="59" t="s">
        <v>26</v>
      </c>
      <c r="B32" s="134">
        <v>0</v>
      </c>
      <c r="C32" s="118">
        <v>0</v>
      </c>
      <c r="D32" s="53">
        <f t="shared" ref="D32:L33" si="7">C32+D28+C37</f>
        <v>0</v>
      </c>
      <c r="E32" s="53">
        <f t="shared" si="7"/>
        <v>0</v>
      </c>
      <c r="F32" s="126">
        <f t="shared" si="7"/>
        <v>0</v>
      </c>
      <c r="G32" s="52">
        <f t="shared" si="7"/>
        <v>0</v>
      </c>
      <c r="H32" s="53">
        <f t="shared" si="7"/>
        <v>0</v>
      </c>
      <c r="I32" s="74">
        <f t="shared" si="7"/>
        <v>0</v>
      </c>
      <c r="J32" s="141">
        <f t="shared" si="7"/>
        <v>0</v>
      </c>
      <c r="K32" s="53">
        <f t="shared" si="7"/>
        <v>0</v>
      </c>
      <c r="L32" s="74">
        <f t="shared" si="7"/>
        <v>0</v>
      </c>
    </row>
    <row r="33" spans="1:12" ht="15" thickBot="1" x14ac:dyDescent="0.4">
      <c r="A33" s="59" t="s">
        <v>27</v>
      </c>
      <c r="B33" s="135">
        <v>0</v>
      </c>
      <c r="C33" s="118">
        <v>0</v>
      </c>
      <c r="D33" s="53">
        <f t="shared" si="7"/>
        <v>0</v>
      </c>
      <c r="E33" s="53">
        <f t="shared" si="7"/>
        <v>0</v>
      </c>
      <c r="F33" s="126">
        <f t="shared" si="7"/>
        <v>0</v>
      </c>
      <c r="G33" s="52">
        <f t="shared" si="7"/>
        <v>0</v>
      </c>
      <c r="H33" s="53">
        <f t="shared" si="7"/>
        <v>0</v>
      </c>
      <c r="I33" s="74">
        <f t="shared" si="7"/>
        <v>0</v>
      </c>
      <c r="J33" s="141">
        <f t="shared" si="7"/>
        <v>0</v>
      </c>
      <c r="K33" s="53">
        <f t="shared" si="7"/>
        <v>0</v>
      </c>
      <c r="L33" s="74">
        <f t="shared" si="7"/>
        <v>0</v>
      </c>
    </row>
    <row r="34" spans="1:12" x14ac:dyDescent="0.35">
      <c r="C34" s="117"/>
      <c r="D34" s="17"/>
      <c r="E34" s="17"/>
      <c r="F34" s="17"/>
      <c r="G34" s="10"/>
      <c r="H34" s="17"/>
      <c r="I34" s="11"/>
      <c r="J34" s="17"/>
      <c r="K34" s="17"/>
      <c r="L34" s="11"/>
    </row>
    <row r="35" spans="1:12" x14ac:dyDescent="0.35">
      <c r="A35" s="51" t="s">
        <v>93</v>
      </c>
      <c r="B35" s="51"/>
      <c r="C35" s="122"/>
      <c r="D35" s="98">
        <f>+'PCR Cycle 2'!D47</f>
        <v>1.20652E-3</v>
      </c>
      <c r="E35" s="98">
        <f>+'PCR Cycle 2'!E47</f>
        <v>1.1948200000000001E-3</v>
      </c>
      <c r="F35" s="98">
        <f>+'PCR Cycle 2'!F47</f>
        <v>1.1852799999999999E-3</v>
      </c>
      <c r="G35" s="99">
        <f>+'PCR Cycle 2'!G47</f>
        <v>1.17614E-3</v>
      </c>
      <c r="H35" s="98">
        <f>+'PCR Cycle 2'!H47</f>
        <v>1.1682400000000001E-3</v>
      </c>
      <c r="I35" s="110">
        <f>+'PCR Cycle 2'!I47</f>
        <v>1.1636999999999999E-3</v>
      </c>
      <c r="J35" s="98">
        <f>+'PCR Cycle 2'!J47</f>
        <v>1.1636999999999999E-3</v>
      </c>
      <c r="K35" s="98">
        <f>+'PCR Cycle 2'!K47</f>
        <v>1.1636999999999999E-3</v>
      </c>
      <c r="L35" s="100"/>
    </row>
    <row r="36" spans="1:12" x14ac:dyDescent="0.35">
      <c r="A36" s="51" t="s">
        <v>39</v>
      </c>
      <c r="B36" s="51"/>
      <c r="C36" s="124"/>
      <c r="D36" s="98"/>
      <c r="E36" s="98"/>
      <c r="F36" s="98"/>
      <c r="G36" s="99"/>
      <c r="H36" s="98"/>
      <c r="I36" s="100"/>
      <c r="J36" s="98"/>
      <c r="K36" s="98"/>
      <c r="L36" s="100"/>
    </row>
    <row r="37" spans="1:12" x14ac:dyDescent="0.35">
      <c r="A37" s="59" t="s">
        <v>26</v>
      </c>
      <c r="C37" s="118">
        <v>0</v>
      </c>
      <c r="D37" s="53">
        <f t="shared" ref="D37:E38" si="8">ROUND((C32+C37+D28/2)*D$35,2)</f>
        <v>0</v>
      </c>
      <c r="E37" s="53">
        <f t="shared" si="8"/>
        <v>0</v>
      </c>
      <c r="F37" s="126">
        <f>ROUND((E32+E37+F28/2)*F$35,2)*0</f>
        <v>0</v>
      </c>
      <c r="G37" s="52">
        <f t="shared" ref="G37:L37" si="9">ROUND((F32+F37+G28/2)*G$35,2)*0</f>
        <v>0</v>
      </c>
      <c r="H37" s="141">
        <f t="shared" si="9"/>
        <v>0</v>
      </c>
      <c r="I37" s="62">
        <f t="shared" si="9"/>
        <v>0</v>
      </c>
      <c r="J37" s="183">
        <f t="shared" si="9"/>
        <v>0</v>
      </c>
      <c r="K37" s="126">
        <f t="shared" si="9"/>
        <v>0</v>
      </c>
      <c r="L37" s="74">
        <f t="shared" si="9"/>
        <v>0</v>
      </c>
    </row>
    <row r="38" spans="1:12" ht="15" thickBot="1" x14ac:dyDescent="0.4">
      <c r="A38" s="59" t="s">
        <v>27</v>
      </c>
      <c r="C38" s="118">
        <v>0</v>
      </c>
      <c r="D38" s="53">
        <f t="shared" si="8"/>
        <v>0</v>
      </c>
      <c r="E38" s="53">
        <f t="shared" si="8"/>
        <v>0</v>
      </c>
      <c r="F38" s="126">
        <f>ROUND((E33+E38+F29/2)*F$35,2)*0</f>
        <v>0</v>
      </c>
      <c r="G38" s="52">
        <f t="shared" ref="G38:L38" si="10">ROUND((F33+F38+G29/2)*G$35,2)*0</f>
        <v>0</v>
      </c>
      <c r="H38" s="141">
        <f t="shared" si="10"/>
        <v>0</v>
      </c>
      <c r="I38" s="62">
        <f t="shared" si="10"/>
        <v>0</v>
      </c>
      <c r="J38" s="183">
        <f t="shared" si="10"/>
        <v>0</v>
      </c>
      <c r="K38" s="126">
        <f t="shared" si="10"/>
        <v>0</v>
      </c>
      <c r="L38" s="74">
        <f t="shared" si="10"/>
        <v>0</v>
      </c>
    </row>
    <row r="39" spans="1:12" ht="15.5" thickTop="1" thickBot="1" x14ac:dyDescent="0.4">
      <c r="A39" s="67" t="s">
        <v>24</v>
      </c>
      <c r="B39" s="67"/>
      <c r="C39" s="125">
        <v>0</v>
      </c>
      <c r="D39" s="54">
        <f t="shared" ref="D39:I39" si="11">SUM(D37:D38)+SUM(D32:D33)-D42</f>
        <v>0</v>
      </c>
      <c r="E39" s="54">
        <f t="shared" si="11"/>
        <v>0</v>
      </c>
      <c r="F39" s="63">
        <f t="shared" ref="F39:H39" si="12">SUM(F37:F38)+SUM(F32:F33)-F42</f>
        <v>0</v>
      </c>
      <c r="G39" s="165">
        <f t="shared" si="12"/>
        <v>0</v>
      </c>
      <c r="H39" s="63">
        <f t="shared" si="12"/>
        <v>0</v>
      </c>
      <c r="I39" s="75">
        <f t="shared" si="11"/>
        <v>0</v>
      </c>
      <c r="J39" s="184">
        <f t="shared" ref="J39:L39" si="13">SUM(J37:J38)+SUM(J32:J33)-J42</f>
        <v>0</v>
      </c>
      <c r="K39" s="63">
        <f t="shared" si="13"/>
        <v>0</v>
      </c>
      <c r="L39" s="75">
        <f t="shared" si="13"/>
        <v>0</v>
      </c>
    </row>
    <row r="40" spans="1:12" ht="15.5" thickTop="1" thickBot="1" x14ac:dyDescent="0.4">
      <c r="A40" s="67" t="s">
        <v>25</v>
      </c>
      <c r="B40" s="67"/>
      <c r="C40" s="125">
        <v>0</v>
      </c>
      <c r="D40" s="54">
        <f t="shared" ref="D40:I40" si="14">SUM(D37:D38)-D25</f>
        <v>0</v>
      </c>
      <c r="E40" s="54">
        <f t="shared" si="14"/>
        <v>0</v>
      </c>
      <c r="F40" s="63">
        <f t="shared" ref="F40:H40" si="15">SUM(F37:F38)-F25</f>
        <v>0</v>
      </c>
      <c r="G40" s="165">
        <f t="shared" si="15"/>
        <v>0</v>
      </c>
      <c r="H40" s="63">
        <f t="shared" si="15"/>
        <v>0</v>
      </c>
      <c r="I40" s="75">
        <f t="shared" si="14"/>
        <v>0</v>
      </c>
      <c r="J40" s="185">
        <f t="shared" ref="J40:L40" si="16">SUM(J37:J38)-J25</f>
        <v>0</v>
      </c>
      <c r="K40" s="54">
        <f t="shared" si="16"/>
        <v>0</v>
      </c>
      <c r="L40" s="54">
        <f t="shared" si="16"/>
        <v>0</v>
      </c>
    </row>
    <row r="41" spans="1:12" ht="15.5" thickTop="1" thickBot="1" x14ac:dyDescent="0.4">
      <c r="C41" s="117"/>
      <c r="D41" s="17"/>
      <c r="E41" s="17"/>
      <c r="F41" s="17"/>
      <c r="G41" s="10"/>
      <c r="H41" s="17"/>
      <c r="I41" s="11"/>
      <c r="J41" s="17"/>
      <c r="K41" s="17"/>
      <c r="L41" s="11"/>
    </row>
    <row r="42" spans="1:12" ht="15" thickBot="1" x14ac:dyDescent="0.4">
      <c r="A42" s="59" t="s">
        <v>38</v>
      </c>
      <c r="B42" s="137">
        <f>+B32+B33</f>
        <v>0</v>
      </c>
      <c r="C42" s="118">
        <f t="shared" ref="C42:L42" si="17">(C15-SUM(C18:C19))+SUM(C37:C38)+B42</f>
        <v>0</v>
      </c>
      <c r="D42" s="53">
        <f t="shared" si="17"/>
        <v>0</v>
      </c>
      <c r="E42" s="53">
        <f t="shared" si="17"/>
        <v>0</v>
      </c>
      <c r="F42" s="126">
        <f t="shared" si="17"/>
        <v>0</v>
      </c>
      <c r="G42" s="52">
        <f t="shared" si="17"/>
        <v>0</v>
      </c>
      <c r="H42" s="53">
        <f t="shared" si="17"/>
        <v>0</v>
      </c>
      <c r="I42" s="74">
        <f t="shared" si="17"/>
        <v>0</v>
      </c>
      <c r="J42" s="183">
        <f t="shared" si="17"/>
        <v>0</v>
      </c>
      <c r="K42" s="126">
        <f t="shared" si="17"/>
        <v>0</v>
      </c>
      <c r="L42" s="74">
        <f t="shared" si="17"/>
        <v>0</v>
      </c>
    </row>
    <row r="43" spans="1:12" x14ac:dyDescent="0.35">
      <c r="A43" s="59" t="s">
        <v>14</v>
      </c>
      <c r="C43" s="138"/>
      <c r="D43" s="17"/>
      <c r="E43" s="17"/>
      <c r="F43" s="17"/>
      <c r="G43" s="10"/>
      <c r="H43" s="17"/>
      <c r="I43" s="11"/>
      <c r="J43" s="17"/>
      <c r="K43" s="17"/>
      <c r="L43" s="11"/>
    </row>
    <row r="44" spans="1:12" ht="15" thickBot="1" x14ac:dyDescent="0.4">
      <c r="A44" s="49"/>
      <c r="B44" s="49"/>
      <c r="C44" s="166"/>
      <c r="D44" s="56"/>
      <c r="E44" s="56"/>
      <c r="F44" s="56"/>
      <c r="G44" s="55"/>
      <c r="H44" s="56"/>
      <c r="I44" s="57"/>
      <c r="J44" s="56"/>
      <c r="K44" s="56"/>
      <c r="L44" s="57"/>
    </row>
    <row r="46" spans="1:12" x14ac:dyDescent="0.35">
      <c r="A46" s="82" t="s">
        <v>13</v>
      </c>
      <c r="B46" s="82"/>
      <c r="C46" s="82"/>
    </row>
    <row r="47" spans="1:12" ht="31.5" customHeight="1" x14ac:dyDescent="0.35">
      <c r="A47" s="306" t="s">
        <v>104</v>
      </c>
      <c r="B47" s="306"/>
      <c r="C47" s="306"/>
      <c r="D47" s="306"/>
      <c r="E47" s="306"/>
      <c r="F47" s="306"/>
      <c r="G47" s="306"/>
      <c r="H47" s="306"/>
      <c r="I47" s="306"/>
      <c r="J47" s="202"/>
      <c r="K47" s="202"/>
      <c r="L47" s="202"/>
    </row>
    <row r="48" spans="1:12" ht="45" customHeight="1" x14ac:dyDescent="0.35">
      <c r="A48" s="306" t="s">
        <v>189</v>
      </c>
      <c r="B48" s="306"/>
      <c r="C48" s="306"/>
      <c r="D48" s="306"/>
      <c r="E48" s="306"/>
      <c r="F48" s="306"/>
      <c r="G48" s="306"/>
      <c r="H48" s="306"/>
      <c r="I48" s="306"/>
      <c r="J48" s="202"/>
      <c r="K48" s="202"/>
    </row>
    <row r="49" spans="1:12" ht="18.75" customHeight="1" x14ac:dyDescent="0.35">
      <c r="A49" s="306" t="s">
        <v>98</v>
      </c>
      <c r="B49" s="306"/>
      <c r="C49" s="306"/>
      <c r="D49" s="306"/>
      <c r="E49" s="306"/>
      <c r="F49" s="306"/>
      <c r="G49" s="306"/>
      <c r="H49" s="306"/>
      <c r="I49" s="306"/>
      <c r="J49" s="202"/>
      <c r="K49" s="202"/>
      <c r="L49" s="202"/>
    </row>
    <row r="50" spans="1:12" x14ac:dyDescent="0.35">
      <c r="A50" s="76" t="s">
        <v>33</v>
      </c>
      <c r="B50" s="76"/>
      <c r="C50" s="76"/>
      <c r="D50" s="51"/>
      <c r="E50" s="51"/>
      <c r="F50" s="51"/>
      <c r="G50" s="51"/>
      <c r="H50" s="51"/>
      <c r="I50" s="51"/>
    </row>
    <row r="51" spans="1:12" x14ac:dyDescent="0.35">
      <c r="A51" s="76" t="s">
        <v>182</v>
      </c>
      <c r="B51" s="76"/>
      <c r="C51" s="76"/>
      <c r="D51" s="51"/>
      <c r="E51" s="51"/>
      <c r="F51" s="51"/>
      <c r="G51" s="51"/>
      <c r="H51" s="51"/>
      <c r="I51" s="51"/>
    </row>
    <row r="52" spans="1:12" x14ac:dyDescent="0.35">
      <c r="A52" s="76" t="s">
        <v>105</v>
      </c>
      <c r="B52" s="76"/>
      <c r="C52" s="76"/>
      <c r="D52" s="51"/>
      <c r="E52" s="51"/>
      <c r="F52" s="51"/>
      <c r="G52" s="51"/>
      <c r="H52" s="51"/>
      <c r="I52" s="51"/>
    </row>
    <row r="53" spans="1:12" x14ac:dyDescent="0.35">
      <c r="A53" s="3" t="s">
        <v>183</v>
      </c>
      <c r="B53" s="3"/>
      <c r="C53" s="3"/>
    </row>
  </sheetData>
  <mergeCells count="6">
    <mergeCell ref="A49:I49"/>
    <mergeCell ref="A48:I48"/>
    <mergeCell ref="D13:F13"/>
    <mergeCell ref="G13:I13"/>
    <mergeCell ref="J13:L13"/>
    <mergeCell ref="A47:I47"/>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3"/>
  <sheetViews>
    <sheetView topLeftCell="A22" workbookViewId="0">
      <selection activeCell="J29" sqref="J29:K29"/>
    </sheetView>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54296875" style="59" customWidth="1"/>
    <col min="11" max="11" width="12.81640625" style="59" customWidth="1"/>
    <col min="12" max="12" width="16" style="59" customWidth="1"/>
    <col min="13" max="13" width="15" style="59" bestFit="1" customWidth="1"/>
    <col min="14" max="14" width="16" style="59" bestFit="1" customWidth="1"/>
    <col min="15" max="15" width="15.26953125" style="59" bestFit="1" customWidth="1"/>
    <col min="16" max="16" width="17.453125" style="59" bestFit="1" customWidth="1"/>
    <col min="17" max="17" width="16.26953125" style="59" bestFit="1" customWidth="1"/>
    <col min="18" max="18" width="15.26953125" style="59" bestFit="1" customWidth="1"/>
    <col min="19" max="19" width="12.453125" style="59" customWidth="1"/>
    <col min="20" max="21" width="14.26953125" style="59" bestFit="1" customWidth="1"/>
    <col min="22" max="16384" width="9.1796875" style="59"/>
  </cols>
  <sheetData>
    <row r="1" spans="1:34" x14ac:dyDescent="0.35">
      <c r="A1" s="3" t="str">
        <f>+'PPC Cycle 2'!A1</f>
        <v>Evergy Missouri West, Inc. - DSIM Rider Update Filed 12/01/2020</v>
      </c>
      <c r="B1" s="3"/>
      <c r="C1" s="3"/>
    </row>
    <row r="2" spans="1:34" x14ac:dyDescent="0.35">
      <c r="D2" s="3" t="s">
        <v>154</v>
      </c>
    </row>
    <row r="3" spans="1:34" ht="29" x14ac:dyDescent="0.35">
      <c r="D3" s="61" t="s">
        <v>48</v>
      </c>
      <c r="E3" s="83" t="s">
        <v>60</v>
      </c>
      <c r="F3" s="61" t="s">
        <v>3</v>
      </c>
      <c r="G3" s="83" t="s">
        <v>57</v>
      </c>
      <c r="H3" s="61" t="s">
        <v>11</v>
      </c>
      <c r="I3" s="61" t="s">
        <v>61</v>
      </c>
      <c r="R3" s="61"/>
    </row>
    <row r="4" spans="1:34" x14ac:dyDescent="0.35">
      <c r="A4" s="21" t="s">
        <v>26</v>
      </c>
      <c r="B4" s="21"/>
      <c r="C4" s="21"/>
      <c r="D4" s="23">
        <f>SUM(C18:L18)</f>
        <v>1228364.28474</v>
      </c>
      <c r="E4" s="23">
        <f>SUM(C24:K24)</f>
        <v>1259074.32</v>
      </c>
      <c r="F4" s="23">
        <f>E4-D4</f>
        <v>30710.035260000033</v>
      </c>
      <c r="G4" s="23">
        <f>+B38</f>
        <v>-100278.19</v>
      </c>
      <c r="H4" s="23">
        <f>SUM(C45:K45)</f>
        <v>498.35</v>
      </c>
      <c r="I4" s="35">
        <f>SUM(F4:H4)</f>
        <v>-69069.804739999963</v>
      </c>
      <c r="J4" s="60">
        <f>+I4-L38</f>
        <v>0</v>
      </c>
      <c r="M4" s="60"/>
    </row>
    <row r="5" spans="1:34" ht="15" thickBot="1" x14ac:dyDescent="0.4">
      <c r="A5" s="21" t="s">
        <v>27</v>
      </c>
      <c r="B5" s="21"/>
      <c r="C5" s="21"/>
      <c r="D5" s="23">
        <f>SUM(C19:L21)</f>
        <v>1332132.7822699999</v>
      </c>
      <c r="E5" s="23">
        <f>SUM(C25:K27)</f>
        <v>1459208.3399999999</v>
      </c>
      <c r="F5" s="23">
        <f>E5-D5</f>
        <v>127075.55773</v>
      </c>
      <c r="G5" s="23">
        <f>SUM(B39:B41)</f>
        <v>-129124.31</v>
      </c>
      <c r="H5" s="23">
        <f>SUM(C46:K48)</f>
        <v>1567.9599999999998</v>
      </c>
      <c r="I5" s="35">
        <f>SUM(F5:H5)</f>
        <v>-480.79226999999742</v>
      </c>
      <c r="J5" s="60">
        <f>+I5-SUM(L39:L41)</f>
        <v>-5.7525539887137711E-11</v>
      </c>
      <c r="M5" s="60"/>
    </row>
    <row r="6" spans="1:34" ht="15.5" thickTop="1" thickBot="1" x14ac:dyDescent="0.4">
      <c r="D6" s="39">
        <f t="shared" ref="D6:I6" si="0">SUM(D4:D5)</f>
        <v>2560497.0670099999</v>
      </c>
      <c r="E6" s="39">
        <f t="shared" si="0"/>
        <v>2718282.66</v>
      </c>
      <c r="F6" s="39">
        <f t="shared" si="0"/>
        <v>157785.59299000003</v>
      </c>
      <c r="G6" s="39">
        <f t="shared" si="0"/>
        <v>-229402.5</v>
      </c>
      <c r="H6" s="39">
        <f t="shared" si="0"/>
        <v>2066.31</v>
      </c>
      <c r="I6" s="39">
        <f t="shared" si="0"/>
        <v>-69550.597009999954</v>
      </c>
      <c r="S6" s="5"/>
    </row>
    <row r="7" spans="1:34" ht="44" thickTop="1" x14ac:dyDescent="0.35">
      <c r="I7" s="253"/>
      <c r="J7" s="252" t="s">
        <v>136</v>
      </c>
    </row>
    <row r="8" spans="1:34" ht="17.25" customHeight="1" x14ac:dyDescent="0.35">
      <c r="A8" s="21" t="s">
        <v>120</v>
      </c>
      <c r="I8" s="35">
        <f>ROUND($I$5*J8,2)</f>
        <v>-188.52</v>
      </c>
      <c r="J8" s="250">
        <f>+'PPC Cycle 2'!D10</f>
        <v>0.39209287804949344</v>
      </c>
    </row>
    <row r="9" spans="1:34" ht="17.25" customHeight="1" x14ac:dyDescent="0.35">
      <c r="A9" s="21" t="s">
        <v>121</v>
      </c>
      <c r="I9" s="35">
        <f t="shared" ref="I9:I10" si="1">ROUND($I$5*J9,2)</f>
        <v>-218.45</v>
      </c>
      <c r="J9" s="250">
        <f>+'PPC Cycle 2'!D11</f>
        <v>0.45435908608374953</v>
      </c>
    </row>
    <row r="10" spans="1:34" ht="17.25" customHeight="1" thickBot="1" x14ac:dyDescent="0.4">
      <c r="A10" s="21" t="s">
        <v>122</v>
      </c>
      <c r="I10" s="35">
        <f t="shared" si="1"/>
        <v>-73.819999999999993</v>
      </c>
      <c r="J10" s="250">
        <f>+'PPC Cycle 2'!D12</f>
        <v>0.15354803586675725</v>
      </c>
    </row>
    <row r="11" spans="1:34" ht="17.25" customHeight="1" thickTop="1" thickBot="1" x14ac:dyDescent="0.4">
      <c r="A11" s="21" t="s">
        <v>124</v>
      </c>
      <c r="I11" s="39">
        <f>SUM(I8:I10)</f>
        <v>-480.79</v>
      </c>
      <c r="J11" s="251">
        <f>SUM(J8:J10)</f>
        <v>1.0000000000000002</v>
      </c>
    </row>
    <row r="12" spans="1:34" ht="15.5" thickTop="1" thickBot="1" x14ac:dyDescent="0.4">
      <c r="U12" s="4"/>
      <c r="V12" s="5"/>
    </row>
    <row r="13" spans="1:34" ht="116.5" thickBot="1" x14ac:dyDescent="0.4">
      <c r="B13" s="136" t="str">
        <f>+'PCR Cycle 2'!B13</f>
        <v>Cumulative Over/Under Carryover From 06/01/2020 Filing</v>
      </c>
      <c r="C13" s="171" t="str">
        <f>+'PCR Cycle 2'!C13</f>
        <v>Reverse November-20 - January 2021  Forecast From 06/01/2020 Filing</v>
      </c>
      <c r="D13" s="307" t="s">
        <v>35</v>
      </c>
      <c r="E13" s="307"/>
      <c r="F13" s="308"/>
      <c r="G13" s="309" t="s">
        <v>35</v>
      </c>
      <c r="H13" s="310"/>
      <c r="I13" s="311"/>
      <c r="J13" s="303" t="s">
        <v>9</v>
      </c>
      <c r="K13" s="304"/>
      <c r="L13" s="305"/>
    </row>
    <row r="14" spans="1:34" x14ac:dyDescent="0.35">
      <c r="A14" s="59" t="s">
        <v>91</v>
      </c>
      <c r="C14" s="123"/>
      <c r="D14" s="19">
        <f>+'PCR Cycle 2'!D14</f>
        <v>43982</v>
      </c>
      <c r="E14" s="19">
        <f t="shared" ref="E14:L14" si="2">EOMONTH(D14,1)</f>
        <v>44012</v>
      </c>
      <c r="F14" s="19">
        <f t="shared" si="2"/>
        <v>44043</v>
      </c>
      <c r="G14" s="14">
        <f t="shared" si="2"/>
        <v>44074</v>
      </c>
      <c r="H14" s="19">
        <f t="shared" si="2"/>
        <v>44104</v>
      </c>
      <c r="I14" s="15">
        <f t="shared" si="2"/>
        <v>44135</v>
      </c>
      <c r="J14" s="19">
        <f t="shared" si="2"/>
        <v>44165</v>
      </c>
      <c r="K14" s="19">
        <f t="shared" si="2"/>
        <v>44196</v>
      </c>
      <c r="L14" s="15">
        <f t="shared" si="2"/>
        <v>44227</v>
      </c>
      <c r="Y14" s="1"/>
      <c r="Z14" s="1"/>
      <c r="AA14" s="1"/>
      <c r="AB14" s="1"/>
      <c r="AC14" s="1"/>
      <c r="AD14" s="1"/>
      <c r="AE14" s="1"/>
      <c r="AF14" s="1"/>
      <c r="AG14" s="1"/>
      <c r="AH14" s="1"/>
    </row>
    <row r="15" spans="1:34" x14ac:dyDescent="0.35">
      <c r="A15" s="59" t="s">
        <v>6</v>
      </c>
      <c r="C15" s="115">
        <v>-906094.22</v>
      </c>
      <c r="D15" s="127">
        <f t="shared" ref="D15:K15" si="3">SUM(D24:D27)</f>
        <v>453047.11</v>
      </c>
      <c r="E15" s="127">
        <f t="shared" si="3"/>
        <v>453047.11</v>
      </c>
      <c r="F15" s="128">
        <f t="shared" si="3"/>
        <v>453047.11</v>
      </c>
      <c r="G15" s="16">
        <f t="shared" si="3"/>
        <v>453047.11</v>
      </c>
      <c r="H15" s="68">
        <f t="shared" si="3"/>
        <v>453047.11</v>
      </c>
      <c r="I15" s="186">
        <f t="shared" si="3"/>
        <v>453047.11</v>
      </c>
      <c r="J15" s="179">
        <f t="shared" si="3"/>
        <v>453047.11</v>
      </c>
      <c r="K15" s="93">
        <f t="shared" si="3"/>
        <v>453047.11</v>
      </c>
      <c r="L15" s="94"/>
    </row>
    <row r="16" spans="1:34" x14ac:dyDescent="0.35">
      <c r="C16" s="117"/>
      <c r="D16" s="17"/>
      <c r="E16" s="17"/>
      <c r="F16" s="17"/>
      <c r="G16" s="10"/>
      <c r="H16" s="17"/>
      <c r="I16" s="11"/>
      <c r="J16" s="43"/>
      <c r="K16" s="43"/>
      <c r="L16" s="41"/>
    </row>
    <row r="17" spans="1:14" x14ac:dyDescent="0.35">
      <c r="A17" s="59" t="s">
        <v>92</v>
      </c>
      <c r="C17" s="117"/>
      <c r="D17" s="18"/>
      <c r="E17" s="18"/>
      <c r="F17" s="18"/>
      <c r="G17" s="109"/>
      <c r="H17" s="18"/>
      <c r="I17" s="187"/>
      <c r="J17" s="43"/>
      <c r="K17" s="43"/>
      <c r="L17" s="41"/>
      <c r="M17" s="3" t="s">
        <v>52</v>
      </c>
      <c r="N17" s="51"/>
    </row>
    <row r="18" spans="1:14" x14ac:dyDescent="0.35">
      <c r="A18" s="59" t="s">
        <v>26</v>
      </c>
      <c r="C18" s="115">
        <v>-591697.55781999999</v>
      </c>
      <c r="D18" s="154">
        <f>ROUND('[5]May 2020'!$F60,2)</f>
        <v>141577.07999999999</v>
      </c>
      <c r="E18" s="154">
        <f>ROUND('[5]June 2020'!$F60,2)</f>
        <v>203188.29</v>
      </c>
      <c r="F18" s="154">
        <f>ROUND('[5]July 2020'!$F60,2)</f>
        <v>282897.67</v>
      </c>
      <c r="G18" s="207">
        <f>ROUND('[5]Aug 2020'!$F60,2)</f>
        <v>247620.33</v>
      </c>
      <c r="H18" s="139">
        <f>ROUND('[5]Sept 2020'!$F60,2)</f>
        <v>223034.39</v>
      </c>
      <c r="I18" s="188">
        <f>ROUND('[5]Oct 2020'!$F60,2)</f>
        <v>155047.82999999999</v>
      </c>
      <c r="J18" s="141">
        <f>'PCR Cycle 2'!J26*$M18</f>
        <v>138645.29724000001</v>
      </c>
      <c r="K18" s="53">
        <f>'PCR Cycle 2'!K26*$M18</f>
        <v>179198.98832</v>
      </c>
      <c r="L18" s="74">
        <f>'PCR Cycle 2'!L26*$M18</f>
        <v>248851.967</v>
      </c>
      <c r="M18" s="85">
        <v>6.8000000000000005E-4</v>
      </c>
      <c r="N18" s="4"/>
    </row>
    <row r="19" spans="1:14" x14ac:dyDescent="0.35">
      <c r="A19" s="59" t="s">
        <v>148</v>
      </c>
      <c r="C19" s="115">
        <v>-294331.23360000004</v>
      </c>
      <c r="D19" s="154">
        <f>ROUND('[5]May 2020'!$F61,2)</f>
        <v>76682.929999999993</v>
      </c>
      <c r="E19" s="154">
        <f>ROUND('[5]June 2020'!$F61,2)</f>
        <v>102910.47</v>
      </c>
      <c r="F19" s="154">
        <f>ROUND('[5]July 2020'!$F61,2)</f>
        <v>130681.51</v>
      </c>
      <c r="G19" s="207">
        <f>ROUND('[5]Aug 2020'!$F61,2)</f>
        <v>120268.94</v>
      </c>
      <c r="H19" s="139">
        <f>ROUND('[5]Sept 2020'!$F61,2)</f>
        <v>114405.02</v>
      </c>
      <c r="I19" s="188">
        <f>ROUND('[5]Oct 2020'!$F61,2)</f>
        <v>99672.83</v>
      </c>
      <c r="J19" s="141">
        <f>'PCR Cycle 2'!J27*$M19</f>
        <v>86802.410239999997</v>
      </c>
      <c r="K19" s="53">
        <f>'PCR Cycle 2'!K27*$M19</f>
        <v>93774.817599999995</v>
      </c>
      <c r="L19" s="74">
        <f>'PCR Cycle 2'!L27*$M19</f>
        <v>103942.96464000001</v>
      </c>
      <c r="M19" s="85">
        <v>1.16E-3</v>
      </c>
      <c r="N19" s="4"/>
    </row>
    <row r="20" spans="1:14" x14ac:dyDescent="0.35">
      <c r="A20" s="59" t="s">
        <v>149</v>
      </c>
      <c r="C20" s="115">
        <v>-327203.04496000003</v>
      </c>
      <c r="D20" s="154">
        <f>ROUND('[5]May 2020'!$F62,2)</f>
        <v>62038.01</v>
      </c>
      <c r="E20" s="154">
        <f>ROUND('[5]June 2020'!$F62,2)</f>
        <v>78697.97</v>
      </c>
      <c r="F20" s="154">
        <f>ROUND('[5]July 2020'!$F62,2)</f>
        <v>93343.63</v>
      </c>
      <c r="G20" s="207">
        <f>ROUND('[5]Aug 2020'!$F62,2)</f>
        <v>90674.4</v>
      </c>
      <c r="H20" s="139">
        <f>ROUND('[5]Sept 2020'!$F62,2)</f>
        <v>85129</v>
      </c>
      <c r="I20" s="188">
        <f>ROUND('[5]Oct 2020'!$F62,2)</f>
        <v>78222.39</v>
      </c>
      <c r="J20" s="141">
        <f>'PCR Cycle 2'!J28*$M20</f>
        <v>96421.144</v>
      </c>
      <c r="K20" s="53">
        <f>'PCR Cycle 2'!K28*$M20</f>
        <v>104166.17654999999</v>
      </c>
      <c r="L20" s="74">
        <f>'PCR Cycle 2'!L28*$M20</f>
        <v>115461.07514999999</v>
      </c>
      <c r="M20" s="85">
        <v>8.4999999999999995E-4</v>
      </c>
      <c r="N20" s="4"/>
    </row>
    <row r="21" spans="1:14" x14ac:dyDescent="0.35">
      <c r="A21" s="59" t="s">
        <v>150</v>
      </c>
      <c r="C21" s="115">
        <v>-95308.450600000011</v>
      </c>
      <c r="D21" s="154">
        <f>ROUND('[5]May 2020'!$F63,2)</f>
        <v>24969.4</v>
      </c>
      <c r="E21" s="154">
        <f>ROUND('[5]June 2020'!$F63,2)</f>
        <v>27884.639999999999</v>
      </c>
      <c r="F21" s="154">
        <f>ROUND('[5]July 2020'!$F63,2)</f>
        <v>29792.99</v>
      </c>
      <c r="G21" s="207">
        <f>ROUND('[5]Aug 2020'!$F63,2)</f>
        <v>39180.199999999997</v>
      </c>
      <c r="H21" s="139">
        <f>ROUND('[5]Sept 2020'!$F63,2)</f>
        <v>38106.639999999999</v>
      </c>
      <c r="I21" s="188">
        <f>ROUND('[5]Oct 2020'!$F63,2)</f>
        <v>36610.39</v>
      </c>
      <c r="J21" s="141">
        <f>'PCR Cycle 2'!J29*$M21</f>
        <v>36346.291850000001</v>
      </c>
      <c r="K21" s="53">
        <f>'PCR Cycle 2'!K29*$M21</f>
        <v>39265.809550000005</v>
      </c>
      <c r="L21" s="74">
        <f>'PCR Cycle 2'!L29*$M21</f>
        <v>43523.46185</v>
      </c>
      <c r="M21" s="85">
        <v>5.5000000000000003E-4</v>
      </c>
      <c r="N21" s="4"/>
    </row>
    <row r="22" spans="1:14" x14ac:dyDescent="0.35">
      <c r="C22" s="80"/>
      <c r="D22" s="81"/>
      <c r="E22" s="81"/>
      <c r="F22" s="81"/>
      <c r="G22" s="80"/>
      <c r="H22" s="81"/>
      <c r="I22" s="189"/>
      <c r="J22" s="69"/>
      <c r="K22" s="69"/>
      <c r="L22" s="13"/>
      <c r="N22" s="4"/>
    </row>
    <row r="23" spans="1:14" x14ac:dyDescent="0.35">
      <c r="A23" s="59" t="s">
        <v>94</v>
      </c>
      <c r="C23" s="48"/>
      <c r="D23" s="49"/>
      <c r="E23" s="49"/>
      <c r="F23" s="49"/>
      <c r="G23" s="48"/>
      <c r="H23" s="49"/>
      <c r="I23" s="192"/>
      <c r="J23" s="65"/>
      <c r="K23" s="65"/>
      <c r="L23" s="50"/>
    </row>
    <row r="24" spans="1:14" x14ac:dyDescent="0.35">
      <c r="A24" s="59" t="s">
        <v>26</v>
      </c>
      <c r="C24" s="115">
        <v>-419691.44</v>
      </c>
      <c r="D24" s="127">
        <f>ROUND('EO Cycle 2'!$G$18/12,2)</f>
        <v>209845.72</v>
      </c>
      <c r="E24" s="127">
        <f>ROUND('EO Cycle 2'!$G$18/12,2)</f>
        <v>209845.72</v>
      </c>
      <c r="F24" s="128">
        <f>ROUND('EO Cycle 2'!$G$18/12,2)</f>
        <v>209845.72</v>
      </c>
      <c r="G24" s="16">
        <f>ROUND('EO Cycle 2'!$G$18/12,2)</f>
        <v>209845.72</v>
      </c>
      <c r="H24" s="68">
        <f>ROUND('EO Cycle 2'!$G$18/12,2)</f>
        <v>209845.72</v>
      </c>
      <c r="I24" s="186">
        <f>ROUND('EO Cycle 2'!$G$18/12,2)</f>
        <v>209845.72</v>
      </c>
      <c r="J24" s="181">
        <f>ROUND('EO Cycle 2'!$G$18/12,2)</f>
        <v>209845.72</v>
      </c>
      <c r="K24" s="161">
        <f>ROUND('EO Cycle 2'!$G$18/12,2)</f>
        <v>209845.72</v>
      </c>
      <c r="L24" s="94"/>
    </row>
    <row r="25" spans="1:14" x14ac:dyDescent="0.35">
      <c r="A25" s="59" t="s">
        <v>148</v>
      </c>
      <c r="C25" s="115">
        <v>-192124.28</v>
      </c>
      <c r="D25" s="127">
        <f>ROUND('EO Cycle 2'!$G$22/12,2)</f>
        <v>96062.14</v>
      </c>
      <c r="E25" s="127">
        <f>ROUND('EO Cycle 2'!$G$22/12,2)</f>
        <v>96062.14</v>
      </c>
      <c r="F25" s="128">
        <f>ROUND('EO Cycle 2'!$G$22/12,2)</f>
        <v>96062.14</v>
      </c>
      <c r="G25" s="16">
        <f>ROUND('EO Cycle 2'!$G$22/12,2)</f>
        <v>96062.14</v>
      </c>
      <c r="H25" s="68">
        <f>ROUND('EO Cycle 2'!$G$22/12,2)</f>
        <v>96062.14</v>
      </c>
      <c r="I25" s="186">
        <f>ROUND('EO Cycle 2'!$G$22/12,2)</f>
        <v>96062.14</v>
      </c>
      <c r="J25" s="181">
        <f>ROUND('EO Cycle 2'!$G$22/12,2)</f>
        <v>96062.14</v>
      </c>
      <c r="K25" s="161">
        <f>ROUND('EO Cycle 2'!$G$22/12,2)</f>
        <v>96062.14</v>
      </c>
      <c r="L25" s="94"/>
    </row>
    <row r="26" spans="1:14" x14ac:dyDescent="0.35">
      <c r="A26" s="59" t="s">
        <v>149</v>
      </c>
      <c r="C26" s="115">
        <v>-213488.6</v>
      </c>
      <c r="D26" s="127">
        <f>ROUND('EO Cycle 2'!$G$23/12,2)</f>
        <v>106744.3</v>
      </c>
      <c r="E26" s="127">
        <f>ROUND('EO Cycle 2'!$G$23/12,2)</f>
        <v>106744.3</v>
      </c>
      <c r="F26" s="128">
        <f>ROUND('EO Cycle 2'!$G$23/12,2)</f>
        <v>106744.3</v>
      </c>
      <c r="G26" s="16">
        <f>ROUND('EO Cycle 2'!$G$23/12,2)</f>
        <v>106744.3</v>
      </c>
      <c r="H26" s="68">
        <f>ROUND('EO Cycle 2'!$G$23/12,2)</f>
        <v>106744.3</v>
      </c>
      <c r="I26" s="186">
        <f>ROUND('EO Cycle 2'!$G$23/12,2)</f>
        <v>106744.3</v>
      </c>
      <c r="J26" s="181">
        <f>ROUND('EO Cycle 2'!$G$23/12,2)</f>
        <v>106744.3</v>
      </c>
      <c r="K26" s="161">
        <f>ROUND('EO Cycle 2'!$G$23/12,2)</f>
        <v>106744.3</v>
      </c>
      <c r="L26" s="94"/>
    </row>
    <row r="27" spans="1:14" x14ac:dyDescent="0.35">
      <c r="A27" s="59" t="s">
        <v>150</v>
      </c>
      <c r="C27" s="115">
        <v>-80789.899999999994</v>
      </c>
      <c r="D27" s="127">
        <f>ROUND('EO Cycle 2'!$G$24/12,2)</f>
        <v>40394.949999999997</v>
      </c>
      <c r="E27" s="127">
        <f>ROUND('EO Cycle 2'!$G$24/12,2)</f>
        <v>40394.949999999997</v>
      </c>
      <c r="F27" s="128">
        <f>ROUND('EO Cycle 2'!$G$24/12,2)</f>
        <v>40394.949999999997</v>
      </c>
      <c r="G27" s="16">
        <f>ROUND('EO Cycle 2'!$G$24/12,2)</f>
        <v>40394.949999999997</v>
      </c>
      <c r="H27" s="68">
        <f>ROUND('EO Cycle 2'!$G$24/12,2)</f>
        <v>40394.949999999997</v>
      </c>
      <c r="I27" s="186">
        <f>ROUND('EO Cycle 2'!$G$24/12,2)</f>
        <v>40394.949999999997</v>
      </c>
      <c r="J27" s="181">
        <f>ROUND('EO Cycle 2'!$G$24/12,2)</f>
        <v>40394.949999999997</v>
      </c>
      <c r="K27" s="161">
        <f>ROUND('EO Cycle 2'!$G$24/12,2)</f>
        <v>40394.949999999997</v>
      </c>
      <c r="L27" s="94"/>
      <c r="N27" s="60"/>
    </row>
    <row r="28" spans="1:14" x14ac:dyDescent="0.35">
      <c r="C28" s="117"/>
      <c r="D28" s="18"/>
      <c r="E28" s="18"/>
      <c r="F28" s="18"/>
      <c r="G28" s="109"/>
      <c r="H28" s="18"/>
      <c r="I28" s="187"/>
      <c r="J28" s="69"/>
      <c r="K28" s="69"/>
      <c r="L28" s="13"/>
    </row>
    <row r="29" spans="1:14" ht="15" thickBot="1" x14ac:dyDescent="0.4">
      <c r="A29" s="3" t="s">
        <v>16</v>
      </c>
      <c r="B29" s="3"/>
      <c r="C29" s="121">
        <f>-804.64</f>
        <v>-804.64</v>
      </c>
      <c r="D29" s="154">
        <v>296.95999999999998</v>
      </c>
      <c r="E29" s="154">
        <v>406.84000000000003</v>
      </c>
      <c r="F29" s="155">
        <v>378.40999999999997</v>
      </c>
      <c r="G29" s="38">
        <v>300.45</v>
      </c>
      <c r="H29" s="140">
        <v>268.22000000000003</v>
      </c>
      <c r="I29" s="193">
        <v>311.62</v>
      </c>
      <c r="J29" s="182">
        <v>415.75</v>
      </c>
      <c r="K29" s="163">
        <v>492.72999999999996</v>
      </c>
      <c r="L29" s="97"/>
    </row>
    <row r="30" spans="1:14" x14ac:dyDescent="0.35">
      <c r="C30" s="77"/>
      <c r="D30" s="167"/>
      <c r="E30" s="167"/>
      <c r="F30" s="168"/>
      <c r="G30" s="77"/>
      <c r="H30" s="45"/>
      <c r="I30" s="194"/>
      <c r="J30" s="46"/>
      <c r="K30" s="46"/>
      <c r="L30" s="73"/>
    </row>
    <row r="31" spans="1:14" x14ac:dyDescent="0.35">
      <c r="A31" s="59" t="s">
        <v>54</v>
      </c>
      <c r="C31" s="78"/>
      <c r="D31" s="168"/>
      <c r="E31" s="168"/>
      <c r="F31" s="168"/>
      <c r="G31" s="78"/>
      <c r="H31" s="47"/>
      <c r="I31" s="195"/>
      <c r="J31" s="46"/>
      <c r="K31" s="46"/>
      <c r="L31" s="73"/>
    </row>
    <row r="32" spans="1:14" x14ac:dyDescent="0.35">
      <c r="A32" s="59" t="s">
        <v>26</v>
      </c>
      <c r="C32" s="118">
        <f t="shared" ref="C32:L32" si="4">C24-C18</f>
        <v>172006.11781999998</v>
      </c>
      <c r="D32" s="53">
        <f t="shared" si="4"/>
        <v>68268.640000000014</v>
      </c>
      <c r="E32" s="53">
        <f t="shared" si="4"/>
        <v>6657.429999999993</v>
      </c>
      <c r="F32" s="126">
        <f t="shared" si="4"/>
        <v>-73051.949999999983</v>
      </c>
      <c r="G32" s="52">
        <f t="shared" si="4"/>
        <v>-37774.609999999986</v>
      </c>
      <c r="H32" s="53">
        <f t="shared" si="4"/>
        <v>-13188.670000000013</v>
      </c>
      <c r="I32" s="74">
        <f t="shared" si="4"/>
        <v>54797.890000000014</v>
      </c>
      <c r="J32" s="141">
        <f t="shared" si="4"/>
        <v>71200.422759999987</v>
      </c>
      <c r="K32" s="53">
        <f t="shared" si="4"/>
        <v>30646.731679999997</v>
      </c>
      <c r="L32" s="74">
        <f t="shared" si="4"/>
        <v>-248851.967</v>
      </c>
    </row>
    <row r="33" spans="1:12" x14ac:dyDescent="0.35">
      <c r="A33" s="59" t="s">
        <v>148</v>
      </c>
      <c r="C33" s="118">
        <f t="shared" ref="C33:L33" si="5">C25-C19</f>
        <v>102206.95360000004</v>
      </c>
      <c r="D33" s="53">
        <f t="shared" si="5"/>
        <v>19379.210000000006</v>
      </c>
      <c r="E33" s="53">
        <f t="shared" si="5"/>
        <v>-6848.3300000000017</v>
      </c>
      <c r="F33" s="126">
        <f t="shared" si="5"/>
        <v>-34619.369999999995</v>
      </c>
      <c r="G33" s="52">
        <f t="shared" si="5"/>
        <v>-24206.800000000003</v>
      </c>
      <c r="H33" s="53">
        <f t="shared" si="5"/>
        <v>-18342.880000000005</v>
      </c>
      <c r="I33" s="74">
        <f t="shared" si="5"/>
        <v>-3610.6900000000023</v>
      </c>
      <c r="J33" s="141">
        <f t="shared" si="5"/>
        <v>9259.729760000002</v>
      </c>
      <c r="K33" s="53">
        <f t="shared" si="5"/>
        <v>2287.3224000000046</v>
      </c>
      <c r="L33" s="74">
        <f t="shared" si="5"/>
        <v>-103942.96464000001</v>
      </c>
    </row>
    <row r="34" spans="1:12" x14ac:dyDescent="0.35">
      <c r="A34" s="59" t="s">
        <v>149</v>
      </c>
      <c r="C34" s="118">
        <f t="shared" ref="C34:L34" si="6">C26-C20</f>
        <v>113714.44496000002</v>
      </c>
      <c r="D34" s="53">
        <f t="shared" si="6"/>
        <v>44706.29</v>
      </c>
      <c r="E34" s="53">
        <f t="shared" si="6"/>
        <v>28046.33</v>
      </c>
      <c r="F34" s="126">
        <f t="shared" si="6"/>
        <v>13400.669999999998</v>
      </c>
      <c r="G34" s="52">
        <f t="shared" si="6"/>
        <v>16069.900000000009</v>
      </c>
      <c r="H34" s="53">
        <f t="shared" si="6"/>
        <v>21615.300000000003</v>
      </c>
      <c r="I34" s="74">
        <f t="shared" si="6"/>
        <v>28521.910000000003</v>
      </c>
      <c r="J34" s="141">
        <f t="shared" si="6"/>
        <v>10323.156000000003</v>
      </c>
      <c r="K34" s="53">
        <f t="shared" si="6"/>
        <v>2578.1234500000137</v>
      </c>
      <c r="L34" s="74">
        <f t="shared" si="6"/>
        <v>-115461.07514999999</v>
      </c>
    </row>
    <row r="35" spans="1:12" x14ac:dyDescent="0.35">
      <c r="A35" s="59" t="s">
        <v>150</v>
      </c>
      <c r="C35" s="118">
        <f t="shared" ref="C35:L35" si="7">C27-C21</f>
        <v>14518.550600000017</v>
      </c>
      <c r="D35" s="53">
        <f t="shared" si="7"/>
        <v>15425.549999999996</v>
      </c>
      <c r="E35" s="53">
        <f t="shared" si="7"/>
        <v>12510.309999999998</v>
      </c>
      <c r="F35" s="126">
        <f t="shared" si="7"/>
        <v>10601.959999999995</v>
      </c>
      <c r="G35" s="52">
        <f t="shared" si="7"/>
        <v>1214.75</v>
      </c>
      <c r="H35" s="53">
        <f t="shared" si="7"/>
        <v>2288.3099999999977</v>
      </c>
      <c r="I35" s="74">
        <f t="shared" si="7"/>
        <v>3784.5599999999977</v>
      </c>
      <c r="J35" s="141">
        <f t="shared" si="7"/>
        <v>4048.6581499999957</v>
      </c>
      <c r="K35" s="53">
        <f t="shared" si="7"/>
        <v>1129.1404499999917</v>
      </c>
      <c r="L35" s="74">
        <f t="shared" si="7"/>
        <v>-43523.46185</v>
      </c>
    </row>
    <row r="36" spans="1:12" x14ac:dyDescent="0.35">
      <c r="C36" s="117"/>
      <c r="D36" s="17"/>
      <c r="E36" s="17"/>
      <c r="F36" s="17"/>
      <c r="G36" s="10"/>
      <c r="H36" s="17"/>
      <c r="I36" s="11"/>
      <c r="J36" s="17"/>
      <c r="K36" s="17"/>
      <c r="L36" s="11"/>
    </row>
    <row r="37" spans="1:12" ht="15" thickBot="1" x14ac:dyDescent="0.4">
      <c r="A37" s="59" t="s">
        <v>55</v>
      </c>
      <c r="C37" s="117"/>
      <c r="D37" s="17"/>
      <c r="E37" s="17"/>
      <c r="F37" s="17"/>
      <c r="G37" s="10"/>
      <c r="H37" s="17"/>
      <c r="I37" s="11"/>
      <c r="J37" s="17"/>
      <c r="K37" s="17"/>
      <c r="L37" s="11"/>
    </row>
    <row r="38" spans="1:12" x14ac:dyDescent="0.35">
      <c r="A38" s="59" t="s">
        <v>26</v>
      </c>
      <c r="B38" s="134">
        <f>-100278.19</f>
        <v>-100278.19</v>
      </c>
      <c r="C38" s="118">
        <f t="shared" ref="C38:L38" si="8">B38+C32+B45</f>
        <v>71727.927819999983</v>
      </c>
      <c r="D38" s="53">
        <f t="shared" si="8"/>
        <v>139586.47782</v>
      </c>
      <c r="E38" s="53">
        <f t="shared" si="8"/>
        <v>146371.13782</v>
      </c>
      <c r="F38" s="126">
        <f t="shared" si="8"/>
        <v>73490.097820000025</v>
      </c>
      <c r="G38" s="52">
        <f t="shared" si="8"/>
        <v>35845.88782000004</v>
      </c>
      <c r="H38" s="53">
        <f t="shared" si="8"/>
        <v>22721.587820000026</v>
      </c>
      <c r="I38" s="74">
        <f t="shared" si="8"/>
        <v>77553.727820000044</v>
      </c>
      <c r="J38" s="141">
        <f t="shared" si="8"/>
        <v>148812.52058000001</v>
      </c>
      <c r="K38" s="53">
        <f t="shared" si="8"/>
        <v>179591.00226000001</v>
      </c>
      <c r="L38" s="74">
        <f t="shared" si="8"/>
        <v>-69069.804739999992</v>
      </c>
    </row>
    <row r="39" spans="1:12" x14ac:dyDescent="0.35">
      <c r="A39" s="59" t="s">
        <v>148</v>
      </c>
      <c r="B39" s="270">
        <f>-98912.9</f>
        <v>-98912.9</v>
      </c>
      <c r="C39" s="118">
        <f t="shared" ref="C39:L39" si="9">B39+C33+B46</f>
        <v>3294.0536000000429</v>
      </c>
      <c r="D39" s="53">
        <f t="shared" si="9"/>
        <v>22648.05360000005</v>
      </c>
      <c r="E39" s="53">
        <f t="shared" si="9"/>
        <v>15815.353600000048</v>
      </c>
      <c r="F39" s="126">
        <f t="shared" si="9"/>
        <v>-18781.026399999948</v>
      </c>
      <c r="G39" s="52">
        <f t="shared" si="9"/>
        <v>-42989.566399999945</v>
      </c>
      <c r="H39" s="53">
        <f t="shared" si="9"/>
        <v>-61368.776399999952</v>
      </c>
      <c r="I39" s="74">
        <f t="shared" si="9"/>
        <v>-65040.446399999957</v>
      </c>
      <c r="J39" s="141">
        <f t="shared" si="9"/>
        <v>-55854.306639999952</v>
      </c>
      <c r="K39" s="53">
        <f t="shared" si="9"/>
        <v>-53637.374239999946</v>
      </c>
      <c r="L39" s="74">
        <f t="shared" si="9"/>
        <v>-157644.08887999994</v>
      </c>
    </row>
    <row r="40" spans="1:12" x14ac:dyDescent="0.35">
      <c r="A40" s="59" t="s">
        <v>149</v>
      </c>
      <c r="B40" s="270">
        <f>-41959.66</f>
        <v>-41959.66</v>
      </c>
      <c r="C40" s="118">
        <f t="shared" ref="C40:L40" si="10">B40+C34+B47</f>
        <v>71754.784960000019</v>
      </c>
      <c r="D40" s="53">
        <f t="shared" si="10"/>
        <v>116211.95496000003</v>
      </c>
      <c r="E40" s="53">
        <f t="shared" si="10"/>
        <v>144371.52496000001</v>
      </c>
      <c r="F40" s="126">
        <f t="shared" si="10"/>
        <v>157927.93495999998</v>
      </c>
      <c r="G40" s="52">
        <f t="shared" si="10"/>
        <v>174177.08496000001</v>
      </c>
      <c r="H40" s="53">
        <f t="shared" si="10"/>
        <v>195987.79496</v>
      </c>
      <c r="I40" s="74">
        <f t="shared" si="10"/>
        <v>224726.03495999999</v>
      </c>
      <c r="J40" s="141">
        <f t="shared" si="10"/>
        <v>235294.11095999999</v>
      </c>
      <c r="K40" s="53">
        <f t="shared" si="10"/>
        <v>238140.04441</v>
      </c>
      <c r="L40" s="74">
        <f t="shared" si="10"/>
        <v>122954.58926000001</v>
      </c>
    </row>
    <row r="41" spans="1:12" ht="15" thickBot="1" x14ac:dyDescent="0.4">
      <c r="A41" s="59" t="s">
        <v>150</v>
      </c>
      <c r="B41" s="135">
        <f>11748.25</f>
        <v>11748.25</v>
      </c>
      <c r="C41" s="118">
        <f t="shared" ref="C41:L41" si="11">B41+C35+B48</f>
        <v>26266.800600000017</v>
      </c>
      <c r="D41" s="53">
        <f t="shared" si="11"/>
        <v>41572.130600000011</v>
      </c>
      <c r="E41" s="53">
        <f t="shared" si="11"/>
        <v>54123.290600000008</v>
      </c>
      <c r="F41" s="126">
        <f t="shared" si="11"/>
        <v>64782.440600000002</v>
      </c>
      <c r="G41" s="52">
        <f t="shared" si="11"/>
        <v>66067.690600000002</v>
      </c>
      <c r="H41" s="53">
        <f t="shared" si="11"/>
        <v>68432.990600000005</v>
      </c>
      <c r="I41" s="74">
        <f t="shared" si="11"/>
        <v>72296.160600000003</v>
      </c>
      <c r="J41" s="141">
        <f t="shared" si="11"/>
        <v>76426.748749999999</v>
      </c>
      <c r="K41" s="53">
        <f t="shared" si="11"/>
        <v>77642.469199999992</v>
      </c>
      <c r="L41" s="74">
        <f t="shared" si="11"/>
        <v>34208.70734999999</v>
      </c>
    </row>
    <row r="42" spans="1:12" x14ac:dyDescent="0.35">
      <c r="C42" s="117"/>
      <c r="D42" s="17"/>
      <c r="E42" s="17"/>
      <c r="F42" s="17"/>
      <c r="G42" s="10"/>
      <c r="H42" s="17"/>
      <c r="I42" s="11"/>
      <c r="J42" s="17"/>
      <c r="K42" s="17"/>
      <c r="L42" s="11"/>
    </row>
    <row r="43" spans="1:12" x14ac:dyDescent="0.35">
      <c r="A43" s="51" t="s">
        <v>93</v>
      </c>
      <c r="B43" s="51"/>
      <c r="C43" s="122"/>
      <c r="D43" s="98">
        <f>+'PCR Cycle 2'!D47</f>
        <v>1.20652E-3</v>
      </c>
      <c r="E43" s="98">
        <f>+'PCR Cycle 2'!E47</f>
        <v>1.1948200000000001E-3</v>
      </c>
      <c r="F43" s="98">
        <f>+'PCR Cycle 2'!F47</f>
        <v>1.1852799999999999E-3</v>
      </c>
      <c r="G43" s="99">
        <f>+'PCR Cycle 2'!G47</f>
        <v>1.17614E-3</v>
      </c>
      <c r="H43" s="98">
        <f>+'PCR Cycle 2'!H47</f>
        <v>1.1682400000000001E-3</v>
      </c>
      <c r="I43" s="110">
        <f>+'PCR Cycle 2'!I47</f>
        <v>1.1636999999999999E-3</v>
      </c>
      <c r="J43" s="98">
        <f>+'PCR Cycle 2'!J47</f>
        <v>1.1636999999999999E-3</v>
      </c>
      <c r="K43" s="98">
        <f>+'PCR Cycle 2'!K47</f>
        <v>1.1636999999999999E-3</v>
      </c>
      <c r="L43" s="100"/>
    </row>
    <row r="44" spans="1:12" x14ac:dyDescent="0.35">
      <c r="A44" s="51" t="s">
        <v>39</v>
      </c>
      <c r="B44" s="51"/>
      <c r="C44" s="124"/>
      <c r="D44" s="98"/>
      <c r="E44" s="98"/>
      <c r="F44" s="98"/>
      <c r="G44" s="99"/>
      <c r="H44" s="98"/>
      <c r="I44" s="100"/>
      <c r="J44" s="98"/>
      <c r="K44" s="98"/>
      <c r="L44" s="100"/>
    </row>
    <row r="45" spans="1:12" x14ac:dyDescent="0.35">
      <c r="A45" s="59" t="s">
        <v>26</v>
      </c>
      <c r="C45" s="118">
        <f>-410.09</f>
        <v>-410.09</v>
      </c>
      <c r="D45" s="53">
        <f t="shared" ref="D45:L45" si="12">ROUND((C38+C45+D32/2)*D$43,2)</f>
        <v>127.23</v>
      </c>
      <c r="E45" s="53">
        <f t="shared" si="12"/>
        <v>170.91</v>
      </c>
      <c r="F45" s="126">
        <f t="shared" si="12"/>
        <v>130.4</v>
      </c>
      <c r="G45" s="52">
        <f t="shared" si="12"/>
        <v>64.37</v>
      </c>
      <c r="H45" s="141">
        <f t="shared" si="12"/>
        <v>34.25</v>
      </c>
      <c r="I45" s="62">
        <f t="shared" si="12"/>
        <v>58.37</v>
      </c>
      <c r="J45" s="183">
        <f t="shared" si="12"/>
        <v>131.75</v>
      </c>
      <c r="K45" s="126">
        <f t="shared" si="12"/>
        <v>191.16</v>
      </c>
      <c r="L45" s="74">
        <f t="shared" si="12"/>
        <v>0</v>
      </c>
    </row>
    <row r="46" spans="1:12" x14ac:dyDescent="0.35">
      <c r="A46" s="59" t="s">
        <v>148</v>
      </c>
      <c r="C46" s="118">
        <f>-25.21</f>
        <v>-25.21</v>
      </c>
      <c r="D46" s="53">
        <f t="shared" ref="D46:L46" si="13">ROUND((C39+C46+D33/2)*D$43,2)</f>
        <v>15.63</v>
      </c>
      <c r="E46" s="53">
        <f t="shared" si="13"/>
        <v>22.99</v>
      </c>
      <c r="F46" s="126">
        <f t="shared" si="13"/>
        <v>-1.74</v>
      </c>
      <c r="G46" s="52">
        <f t="shared" si="13"/>
        <v>-36.33</v>
      </c>
      <c r="H46" s="141">
        <f t="shared" si="13"/>
        <v>-60.98</v>
      </c>
      <c r="I46" s="62">
        <f t="shared" si="13"/>
        <v>-73.59</v>
      </c>
      <c r="J46" s="183">
        <f t="shared" si="13"/>
        <v>-70.39</v>
      </c>
      <c r="K46" s="126">
        <f t="shared" si="13"/>
        <v>-63.75</v>
      </c>
      <c r="L46" s="74">
        <f t="shared" si="13"/>
        <v>0</v>
      </c>
    </row>
    <row r="47" spans="1:12" x14ac:dyDescent="0.35">
      <c r="A47" s="59" t="s">
        <v>149</v>
      </c>
      <c r="C47" s="118">
        <f>-249.12</f>
        <v>-249.12</v>
      </c>
      <c r="D47" s="53">
        <f t="shared" ref="D47:L47" si="14">ROUND((C40+C47+D34/2)*D$43,2)</f>
        <v>113.24</v>
      </c>
      <c r="E47" s="53">
        <f t="shared" si="14"/>
        <v>155.74</v>
      </c>
      <c r="F47" s="126">
        <f t="shared" si="14"/>
        <v>179.25</v>
      </c>
      <c r="G47" s="52">
        <f t="shared" si="14"/>
        <v>195.41</v>
      </c>
      <c r="H47" s="141">
        <f t="shared" si="14"/>
        <v>216.33</v>
      </c>
      <c r="I47" s="62">
        <f t="shared" si="14"/>
        <v>244.92</v>
      </c>
      <c r="J47" s="183">
        <f t="shared" si="14"/>
        <v>267.81</v>
      </c>
      <c r="K47" s="126">
        <f t="shared" si="14"/>
        <v>275.62</v>
      </c>
      <c r="L47" s="74">
        <f t="shared" si="14"/>
        <v>0</v>
      </c>
    </row>
    <row r="48" spans="1:12" ht="15" thickBot="1" x14ac:dyDescent="0.4">
      <c r="A48" s="59" t="s">
        <v>150</v>
      </c>
      <c r="C48" s="118">
        <f>-120.22</f>
        <v>-120.22</v>
      </c>
      <c r="D48" s="53">
        <f t="shared" ref="D48:L48" si="15">ROUND((C41+C48+D35/2)*D$43,2)</f>
        <v>40.85</v>
      </c>
      <c r="E48" s="53">
        <f t="shared" si="15"/>
        <v>57.19</v>
      </c>
      <c r="F48" s="126">
        <f t="shared" si="15"/>
        <v>70.5</v>
      </c>
      <c r="G48" s="52">
        <f t="shared" si="15"/>
        <v>76.989999999999995</v>
      </c>
      <c r="H48" s="141">
        <f t="shared" si="15"/>
        <v>78.61</v>
      </c>
      <c r="I48" s="62">
        <f t="shared" si="15"/>
        <v>81.93</v>
      </c>
      <c r="J48" s="183">
        <f t="shared" si="15"/>
        <v>86.58</v>
      </c>
      <c r="K48" s="126">
        <f t="shared" si="15"/>
        <v>89.7</v>
      </c>
      <c r="L48" s="74">
        <f t="shared" si="15"/>
        <v>0</v>
      </c>
    </row>
    <row r="49" spans="1:12" ht="15.5" thickTop="1" thickBot="1" x14ac:dyDescent="0.4">
      <c r="A49" s="67" t="s">
        <v>24</v>
      </c>
      <c r="B49" s="67"/>
      <c r="C49" s="125">
        <v>0</v>
      </c>
      <c r="D49" s="54">
        <f t="shared" ref="D49:L49" si="16">SUM(D45:D48)+SUM(D38:D41)-D52</f>
        <v>0</v>
      </c>
      <c r="E49" s="54">
        <f t="shared" si="16"/>
        <v>0</v>
      </c>
      <c r="F49" s="63">
        <f t="shared" si="16"/>
        <v>0</v>
      </c>
      <c r="G49" s="165">
        <f t="shared" si="16"/>
        <v>0</v>
      </c>
      <c r="H49" s="63">
        <f t="shared" si="16"/>
        <v>0</v>
      </c>
      <c r="I49" s="75">
        <f t="shared" si="16"/>
        <v>0</v>
      </c>
      <c r="J49" s="184">
        <f t="shared" si="16"/>
        <v>0</v>
      </c>
      <c r="K49" s="63">
        <f t="shared" si="16"/>
        <v>0</v>
      </c>
      <c r="L49" s="75">
        <f t="shared" si="16"/>
        <v>2.0372681319713593E-10</v>
      </c>
    </row>
    <row r="50" spans="1:12" ht="15.5" thickTop="1" thickBot="1" x14ac:dyDescent="0.4">
      <c r="A50" s="67" t="s">
        <v>25</v>
      </c>
      <c r="B50" s="67"/>
      <c r="C50" s="125">
        <v>0</v>
      </c>
      <c r="D50" s="54">
        <f t="shared" ref="D50:L50" si="17">SUM(D45:D48)-D29</f>
        <v>-9.9999999999340616E-3</v>
      </c>
      <c r="E50" s="54">
        <f t="shared" si="17"/>
        <v>-1.0000000000047748E-2</v>
      </c>
      <c r="F50" s="63">
        <f t="shared" si="17"/>
        <v>0</v>
      </c>
      <c r="G50" s="165">
        <f t="shared" si="17"/>
        <v>-9.9999999999909051E-3</v>
      </c>
      <c r="H50" s="63">
        <f t="shared" si="17"/>
        <v>-9.9999999999909051E-3</v>
      </c>
      <c r="I50" s="75">
        <f t="shared" si="17"/>
        <v>9.9999999999909051E-3</v>
      </c>
      <c r="J50" s="185">
        <f t="shared" si="17"/>
        <v>0</v>
      </c>
      <c r="K50" s="54">
        <f t="shared" si="17"/>
        <v>0</v>
      </c>
      <c r="L50" s="54">
        <f t="shared" si="17"/>
        <v>0</v>
      </c>
    </row>
    <row r="51" spans="1:12" ht="15.5" thickTop="1" thickBot="1" x14ac:dyDescent="0.4">
      <c r="C51" s="117"/>
      <c r="D51" s="17"/>
      <c r="E51" s="17"/>
      <c r="F51" s="17"/>
      <c r="G51" s="10"/>
      <c r="H51" s="17"/>
      <c r="I51" s="11"/>
      <c r="J51" s="17"/>
      <c r="K51" s="17"/>
      <c r="L51" s="11"/>
    </row>
    <row r="52" spans="1:12" ht="15" thickBot="1" x14ac:dyDescent="0.4">
      <c r="A52" s="59" t="s">
        <v>38</v>
      </c>
      <c r="B52" s="137">
        <f>SUM(B38:B41)</f>
        <v>-229402.5</v>
      </c>
      <c r="C52" s="118">
        <f t="shared" ref="C52:L52" si="18">(C15-SUM(C18:C21))+SUM(C45:C48)+B52</f>
        <v>172238.92698000011</v>
      </c>
      <c r="D52" s="53">
        <f t="shared" si="18"/>
        <v>320315.56698000012</v>
      </c>
      <c r="E52" s="53">
        <f t="shared" si="18"/>
        <v>361088.13698000013</v>
      </c>
      <c r="F52" s="126">
        <f t="shared" si="18"/>
        <v>277797.85698000004</v>
      </c>
      <c r="G52" s="52">
        <f t="shared" si="18"/>
        <v>233401.53697999998</v>
      </c>
      <c r="H52" s="53">
        <f t="shared" si="18"/>
        <v>226041.80697999991</v>
      </c>
      <c r="I52" s="74">
        <f t="shared" si="18"/>
        <v>309847.10697999992</v>
      </c>
      <c r="J52" s="183">
        <f t="shared" si="18"/>
        <v>405094.82364999992</v>
      </c>
      <c r="K52" s="126">
        <f t="shared" si="18"/>
        <v>442228.87162999989</v>
      </c>
      <c r="L52" s="74">
        <f t="shared" si="18"/>
        <v>-69550.597010000143</v>
      </c>
    </row>
    <row r="53" spans="1:12" x14ac:dyDescent="0.35">
      <c r="A53" s="59" t="s">
        <v>14</v>
      </c>
      <c r="C53" s="138"/>
      <c r="D53" s="17"/>
      <c r="E53" s="17"/>
      <c r="F53" s="17"/>
      <c r="G53" s="10"/>
      <c r="H53" s="17"/>
      <c r="I53" s="11"/>
      <c r="J53" s="17"/>
      <c r="K53" s="17"/>
      <c r="L53" s="11"/>
    </row>
    <row r="54" spans="1:12" ht="15" thickBot="1" x14ac:dyDescent="0.4">
      <c r="A54" s="49"/>
      <c r="B54" s="49"/>
      <c r="C54" s="166"/>
      <c r="D54" s="56"/>
      <c r="E54" s="56"/>
      <c r="F54" s="56"/>
      <c r="G54" s="55"/>
      <c r="H54" s="56"/>
      <c r="I54" s="57"/>
      <c r="J54" s="56"/>
      <c r="K54" s="56"/>
      <c r="L54" s="57"/>
    </row>
    <row r="56" spans="1:12" x14ac:dyDescent="0.35">
      <c r="A56" s="82" t="s">
        <v>13</v>
      </c>
      <c r="B56" s="82"/>
      <c r="C56" s="82"/>
    </row>
    <row r="57" spans="1:12" ht="31.5" customHeight="1" x14ac:dyDescent="0.35">
      <c r="A57" s="306" t="s">
        <v>155</v>
      </c>
      <c r="B57" s="306"/>
      <c r="C57" s="306"/>
      <c r="D57" s="306"/>
      <c r="E57" s="306"/>
      <c r="F57" s="306"/>
      <c r="G57" s="306"/>
      <c r="H57" s="306"/>
      <c r="I57" s="306"/>
      <c r="J57" s="259"/>
      <c r="K57" s="259"/>
      <c r="L57" s="259"/>
    </row>
    <row r="58" spans="1:12" ht="45" customHeight="1" x14ac:dyDescent="0.35">
      <c r="A58" s="306" t="s">
        <v>190</v>
      </c>
      <c r="B58" s="306"/>
      <c r="C58" s="306"/>
      <c r="D58" s="306"/>
      <c r="E58" s="306"/>
      <c r="F58" s="306"/>
      <c r="G58" s="306"/>
      <c r="H58" s="306"/>
      <c r="I58" s="306"/>
      <c r="J58" s="259"/>
      <c r="K58" s="259"/>
    </row>
    <row r="59" spans="1:12" ht="18.75" customHeight="1" x14ac:dyDescent="0.35">
      <c r="A59" s="306" t="s">
        <v>174</v>
      </c>
      <c r="B59" s="306"/>
      <c r="C59" s="306"/>
      <c r="D59" s="306"/>
      <c r="E59" s="306"/>
      <c r="F59" s="306"/>
      <c r="G59" s="306"/>
      <c r="H59" s="306"/>
      <c r="I59" s="306"/>
      <c r="J59" s="259"/>
      <c r="K59" s="259"/>
      <c r="L59" s="259"/>
    </row>
    <row r="60" spans="1:12" x14ac:dyDescent="0.35">
      <c r="A60" s="76" t="s">
        <v>33</v>
      </c>
      <c r="B60" s="76"/>
      <c r="C60" s="76"/>
      <c r="D60" s="51"/>
      <c r="E60" s="51"/>
      <c r="F60" s="51"/>
      <c r="G60" s="51"/>
      <c r="H60" s="51"/>
      <c r="I60" s="51"/>
    </row>
    <row r="61" spans="1:12" x14ac:dyDescent="0.35">
      <c r="A61" s="76" t="s">
        <v>182</v>
      </c>
      <c r="B61" s="76"/>
      <c r="C61" s="76"/>
      <c r="D61" s="51"/>
      <c r="E61" s="51"/>
      <c r="F61" s="51"/>
      <c r="G61" s="51"/>
      <c r="H61" s="51"/>
      <c r="I61" s="51"/>
    </row>
    <row r="62" spans="1:12" x14ac:dyDescent="0.35">
      <c r="A62" s="76" t="s">
        <v>105</v>
      </c>
      <c r="B62" s="76"/>
      <c r="C62" s="76"/>
      <c r="D62" s="51"/>
      <c r="E62" s="51"/>
      <c r="F62" s="51"/>
      <c r="G62" s="51"/>
      <c r="H62" s="51"/>
      <c r="I62" s="51"/>
    </row>
    <row r="63" spans="1:12" x14ac:dyDescent="0.35">
      <c r="A63" s="3" t="s">
        <v>183</v>
      </c>
      <c r="B63" s="3"/>
      <c r="C63" s="3"/>
    </row>
  </sheetData>
  <mergeCells count="6">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3"/>
  <sheetViews>
    <sheetView workbookViewId="0">
      <selection sqref="A1:XFD1048576"/>
    </sheetView>
  </sheetViews>
  <sheetFormatPr defaultColWidth="9.1796875" defaultRowHeight="14.5" x14ac:dyDescent="0.35"/>
  <cols>
    <col min="1" max="1" width="43.1796875" style="59" customWidth="1"/>
    <col min="2" max="2" width="14.26953125" style="59" bestFit="1" customWidth="1"/>
    <col min="3" max="3" width="14.26953125" style="59" customWidth="1"/>
    <col min="4" max="4" width="13.26953125" style="59" bestFit="1" customWidth="1"/>
    <col min="5" max="16384" width="9.1796875" style="59"/>
  </cols>
  <sheetData>
    <row r="1" spans="1:5" x14ac:dyDescent="0.35">
      <c r="A1" s="76" t="str">
        <f>+'PPC Cycle 2'!A1</f>
        <v>Evergy Missouri West, Inc. - DSIM Rider Update Filed 12/01/2020</v>
      </c>
    </row>
    <row r="2" spans="1:5" x14ac:dyDescent="0.35">
      <c r="A2" s="9" t="str">
        <f>+'PPC Cycle 2'!A2</f>
        <v>Projections for Cycle 2 November 2020 - December 2021 DSIM</v>
      </c>
    </row>
    <row r="3" spans="1:5" ht="45.75" customHeight="1" x14ac:dyDescent="0.35">
      <c r="B3" s="297" t="s">
        <v>107</v>
      </c>
      <c r="C3" s="297"/>
      <c r="D3" s="297"/>
    </row>
    <row r="4" spans="1:5" x14ac:dyDescent="0.35">
      <c r="B4" s="83"/>
      <c r="C4" s="83"/>
      <c r="D4" s="61" t="s">
        <v>19</v>
      </c>
    </row>
    <row r="5" spans="1:5" x14ac:dyDescent="0.35">
      <c r="A5" s="21" t="s">
        <v>88</v>
      </c>
      <c r="B5" s="83"/>
      <c r="C5" s="83"/>
      <c r="D5" s="212">
        <f>+D23</f>
        <v>0</v>
      </c>
    </row>
    <row r="6" spans="1:5" x14ac:dyDescent="0.35">
      <c r="A6" s="21" t="s">
        <v>89</v>
      </c>
      <c r="B6" s="83"/>
      <c r="C6" s="83"/>
      <c r="D6" s="212">
        <f>+D33</f>
        <v>0</v>
      </c>
    </row>
    <row r="7" spans="1:5" ht="29" x14ac:dyDescent="0.35">
      <c r="A7" s="21"/>
      <c r="B7" s="83"/>
      <c r="C7" s="83" t="s">
        <v>99</v>
      </c>
      <c r="D7" s="172"/>
    </row>
    <row r="8" spans="1:5" x14ac:dyDescent="0.35">
      <c r="A8" s="21" t="s">
        <v>26</v>
      </c>
      <c r="B8" s="83"/>
      <c r="C8" s="211">
        <v>0.5</v>
      </c>
      <c r="D8" s="242">
        <f>ROUND(SUM(D5:D6)*C8,2)</f>
        <v>0</v>
      </c>
      <c r="E8" s="4"/>
    </row>
    <row r="9" spans="1:5" x14ac:dyDescent="0.35">
      <c r="A9" s="21" t="s">
        <v>27</v>
      </c>
      <c r="B9" s="83"/>
      <c r="C9" s="211">
        <v>0.5</v>
      </c>
      <c r="D9" s="242">
        <f>ROUND(SUM(D5:D6)*C9,2)</f>
        <v>0</v>
      </c>
      <c r="E9" s="4"/>
    </row>
    <row r="10" spans="1:5" ht="15" thickBot="1" x14ac:dyDescent="0.4">
      <c r="A10" s="21" t="s">
        <v>6</v>
      </c>
      <c r="B10" s="83"/>
      <c r="C10" s="211">
        <f>SUM(C8:C9)</f>
        <v>1</v>
      </c>
      <c r="D10" s="243">
        <f>SUM(D8:D9)</f>
        <v>0</v>
      </c>
      <c r="E10" s="4"/>
    </row>
    <row r="11" spans="1:5" ht="15.5" thickTop="1" thickBot="1" x14ac:dyDescent="0.4">
      <c r="B11" s="32"/>
      <c r="C11" s="32"/>
      <c r="D11" s="244">
        <f>ROUND(D5+D6,2)-D10</f>
        <v>0</v>
      </c>
      <c r="E11" s="2"/>
    </row>
    <row r="12" spans="1:5" ht="58.5" thickTop="1" x14ac:dyDescent="0.35">
      <c r="D12" s="253"/>
      <c r="E12" s="252" t="s">
        <v>123</v>
      </c>
    </row>
    <row r="13" spans="1:5" x14ac:dyDescent="0.35">
      <c r="A13" s="21" t="s">
        <v>120</v>
      </c>
      <c r="D13" s="35">
        <f>ROUND($D$9*E13,2)</f>
        <v>0</v>
      </c>
      <c r="E13" s="250">
        <f>+'PPC Cycle 2'!D10</f>
        <v>0.39209287804949344</v>
      </c>
    </row>
    <row r="14" spans="1:5" x14ac:dyDescent="0.35">
      <c r="A14" s="21" t="s">
        <v>121</v>
      </c>
      <c r="D14" s="35">
        <f t="shared" ref="D14:D15" si="0">ROUND($D$9*E14,2)</f>
        <v>0</v>
      </c>
      <c r="E14" s="250">
        <f>+'PPC Cycle 2'!D11</f>
        <v>0.45435908608374953</v>
      </c>
    </row>
    <row r="15" spans="1:5" ht="15" thickBot="1" x14ac:dyDescent="0.4">
      <c r="A15" s="21" t="s">
        <v>122</v>
      </c>
      <c r="D15" s="35">
        <f t="shared" si="0"/>
        <v>0</v>
      </c>
      <c r="E15" s="250">
        <f>+'PPC Cycle 2'!D12</f>
        <v>0.15354803586675725</v>
      </c>
    </row>
    <row r="16" spans="1:5" ht="15.5" thickTop="1" thickBot="1" x14ac:dyDescent="0.4">
      <c r="A16" s="21" t="s">
        <v>124</v>
      </c>
      <c r="D16" s="39">
        <f>SUM(D13:D15)</f>
        <v>0</v>
      </c>
      <c r="E16" s="251">
        <f>SUM(E13:E15)</f>
        <v>1.0000000000000002</v>
      </c>
    </row>
    <row r="17" spans="1:4" ht="15" thickTop="1" x14ac:dyDescent="0.35"/>
    <row r="18" spans="1:4" x14ac:dyDescent="0.35">
      <c r="A18" s="66" t="s">
        <v>13</v>
      </c>
    </row>
    <row r="19" spans="1:4" s="51" customFormat="1" x14ac:dyDescent="0.35">
      <c r="A19" s="3" t="s">
        <v>109</v>
      </c>
      <c r="B19" s="59"/>
      <c r="C19" s="59"/>
      <c r="D19" s="59"/>
    </row>
    <row r="20" spans="1:4" s="51" customFormat="1" x14ac:dyDescent="0.35">
      <c r="A20" s="3" t="s">
        <v>100</v>
      </c>
      <c r="B20" s="59"/>
      <c r="C20" s="59"/>
      <c r="D20" s="59"/>
    </row>
    <row r="21" spans="1:4" s="51" customFormat="1" x14ac:dyDescent="0.35">
      <c r="A21" s="3" t="s">
        <v>110</v>
      </c>
      <c r="B21" s="59"/>
      <c r="C21" s="59"/>
      <c r="D21" s="59"/>
    </row>
    <row r="23" spans="1:4" x14ac:dyDescent="0.35">
      <c r="A23" s="3" t="s">
        <v>108</v>
      </c>
      <c r="D23" s="213">
        <v>0</v>
      </c>
    </row>
    <row r="24" spans="1:4" x14ac:dyDescent="0.35">
      <c r="D24" s="213"/>
    </row>
    <row r="25" spans="1:4" ht="43.5" x14ac:dyDescent="0.35">
      <c r="B25" s="83" t="s">
        <v>101</v>
      </c>
      <c r="D25" s="213"/>
    </row>
    <row r="26" spans="1:4" x14ac:dyDescent="0.35">
      <c r="A26" s="239"/>
      <c r="B26" s="240"/>
      <c r="D26" s="213">
        <f>ROUND(SUM(D$23:D25)*B26,2)</f>
        <v>0</v>
      </c>
    </row>
    <row r="27" spans="1:4" x14ac:dyDescent="0.35">
      <c r="A27" s="239"/>
      <c r="B27" s="240"/>
      <c r="D27" s="213">
        <f>ROUND(SUM(D$23:D26)*B27,2)</f>
        <v>0</v>
      </c>
    </row>
    <row r="28" spans="1:4" x14ac:dyDescent="0.35">
      <c r="A28" s="239"/>
      <c r="B28" s="240"/>
      <c r="D28" s="213">
        <f>ROUND(SUM(D$23:D27)*B28,2)</f>
        <v>0</v>
      </c>
    </row>
    <row r="29" spans="1:4" x14ac:dyDescent="0.35">
      <c r="A29" s="239"/>
      <c r="B29" s="240"/>
      <c r="D29" s="213">
        <f>ROUND(SUM(D$23:D28)*B29,2)</f>
        <v>0</v>
      </c>
    </row>
    <row r="30" spans="1:4" x14ac:dyDescent="0.35">
      <c r="A30" s="239"/>
      <c r="B30" s="214"/>
      <c r="D30" s="213">
        <f>ROUND(SUM(D$23:D29)*B30,2)</f>
        <v>0</v>
      </c>
    </row>
    <row r="31" spans="1:4" x14ac:dyDescent="0.35">
      <c r="A31" s="239"/>
      <c r="B31" s="214"/>
      <c r="D31" s="213">
        <f>ROUND(SUM(D$23:D30)*B31,2)</f>
        <v>0</v>
      </c>
    </row>
    <row r="32" spans="1:4" ht="16" x14ac:dyDescent="0.5">
      <c r="A32" s="239"/>
      <c r="B32" s="214"/>
      <c r="D32" s="241">
        <f>ROUND(SUM(D$23:D31)*B32,2)</f>
        <v>0</v>
      </c>
    </row>
    <row r="33" spans="1:4" x14ac:dyDescent="0.35">
      <c r="A33" s="239"/>
      <c r="D33" s="213">
        <f>SUM(D26:D32)</f>
        <v>0</v>
      </c>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workbookViewId="0">
      <selection activeCell="L8" sqref="L8"/>
    </sheetView>
  </sheetViews>
  <sheetFormatPr defaultColWidth="9.1796875" defaultRowHeight="14.5" x14ac:dyDescent="0.35"/>
  <cols>
    <col min="1" max="1" width="37.7265625" style="59" customWidth="1"/>
    <col min="2" max="2" width="12.26953125" style="59" bestFit="1" customWidth="1"/>
    <col min="3" max="3" width="12.453125" style="59" bestFit="1" customWidth="1"/>
    <col min="4" max="4" width="15.453125" style="59" customWidth="1"/>
    <col min="5" max="5" width="15.81640625" style="59" bestFit="1" customWidth="1"/>
    <col min="6" max="6" width="12.26953125" style="59" bestFit="1" customWidth="1"/>
    <col min="7" max="8" width="13.26953125" style="59" bestFit="1" customWidth="1"/>
    <col min="9" max="9" width="12.26953125" style="59" bestFit="1" customWidth="1"/>
    <col min="10" max="10" width="12.453125" style="59" customWidth="1"/>
    <col min="11" max="11" width="12.81640625" style="59" customWidth="1"/>
    <col min="12" max="12" width="16" style="59" customWidth="1"/>
    <col min="13" max="13" width="15" style="59" bestFit="1" customWidth="1"/>
    <col min="14" max="14" width="16" style="59" bestFit="1" customWidth="1"/>
    <col min="15" max="15" width="17.81640625" style="59" customWidth="1"/>
    <col min="16" max="16" width="15.26953125" style="59" bestFit="1" customWidth="1"/>
    <col min="17" max="17" width="17.453125" style="59" bestFit="1" customWidth="1"/>
    <col min="18" max="18" width="16.26953125" style="59" bestFit="1" customWidth="1"/>
    <col min="19" max="19" width="15.26953125" style="59" bestFit="1" customWidth="1"/>
    <col min="20" max="20" width="12.453125" style="59" customWidth="1"/>
    <col min="21" max="22" width="14.26953125" style="59" bestFit="1" customWidth="1"/>
    <col min="23" max="16384" width="9.1796875" style="59"/>
  </cols>
  <sheetData>
    <row r="1" spans="1:35" x14ac:dyDescent="0.35">
      <c r="A1" s="3" t="str">
        <f>+'PPC Cycle 2'!A1</f>
        <v>Evergy Missouri West, Inc. - DSIM Rider Update Filed 12/01/2020</v>
      </c>
      <c r="B1" s="3"/>
      <c r="C1" s="3"/>
    </row>
    <row r="2" spans="1:35" x14ac:dyDescent="0.35">
      <c r="D2" s="3" t="s">
        <v>106</v>
      </c>
    </row>
    <row r="3" spans="1:35" ht="29" x14ac:dyDescent="0.35">
      <c r="D3" s="61" t="s">
        <v>48</v>
      </c>
      <c r="E3" s="83" t="s">
        <v>19</v>
      </c>
      <c r="F3" s="61" t="s">
        <v>3</v>
      </c>
      <c r="G3" s="83" t="s">
        <v>57</v>
      </c>
      <c r="H3" s="61" t="s">
        <v>11</v>
      </c>
      <c r="I3" s="61" t="s">
        <v>20</v>
      </c>
      <c r="S3" s="61"/>
    </row>
    <row r="4" spans="1:35" x14ac:dyDescent="0.35">
      <c r="A4" s="21" t="s">
        <v>26</v>
      </c>
      <c r="B4" s="21"/>
      <c r="C4" s="21"/>
      <c r="D4" s="23">
        <f>SUM(C18:L18)</f>
        <v>0</v>
      </c>
      <c r="E4" s="23">
        <f>SUM(C22:K22)</f>
        <v>0</v>
      </c>
      <c r="F4" s="23">
        <f>E4-D4</f>
        <v>0</v>
      </c>
      <c r="G4" s="23">
        <f>+B32</f>
        <v>0</v>
      </c>
      <c r="H4" s="23">
        <f>SUM(C37:K37)</f>
        <v>0</v>
      </c>
      <c r="I4" s="35">
        <f>SUM(F4:H4)</f>
        <v>0</v>
      </c>
      <c r="J4" s="60">
        <f>+I4-L32</f>
        <v>0</v>
      </c>
      <c r="M4" s="60"/>
    </row>
    <row r="5" spans="1:35" ht="15" thickBot="1" x14ac:dyDescent="0.4">
      <c r="A5" s="21" t="s">
        <v>27</v>
      </c>
      <c r="B5" s="21"/>
      <c r="C5" s="21"/>
      <c r="D5" s="23">
        <f>SUM(C19:L19)</f>
        <v>0</v>
      </c>
      <c r="E5" s="23">
        <f>SUM(C23:K23)</f>
        <v>0</v>
      </c>
      <c r="F5" s="23">
        <f>E5-D5</f>
        <v>0</v>
      </c>
      <c r="G5" s="23">
        <f>+B33</f>
        <v>0</v>
      </c>
      <c r="H5" s="23">
        <f>SUM(C38:K38)</f>
        <v>0</v>
      </c>
      <c r="I5" s="35">
        <f>SUM(F5:H5)</f>
        <v>0</v>
      </c>
      <c r="J5" s="60">
        <f>+I5-L33</f>
        <v>0</v>
      </c>
      <c r="M5" s="60"/>
    </row>
    <row r="6" spans="1:35" ht="15.5" thickTop="1" thickBot="1" x14ac:dyDescent="0.4">
      <c r="D6" s="39">
        <f t="shared" ref="D6" si="0">SUM(D4:D5)</f>
        <v>0</v>
      </c>
      <c r="E6" s="39">
        <f>SUM(E4:E5)</f>
        <v>0</v>
      </c>
      <c r="F6" s="39">
        <f>SUM(F4:F5)</f>
        <v>0</v>
      </c>
      <c r="G6" s="39">
        <f>SUM(G4:G5)</f>
        <v>0</v>
      </c>
      <c r="H6" s="39">
        <f>SUM(H4:H5)</f>
        <v>0</v>
      </c>
      <c r="I6" s="39">
        <f>SUM(I4:I5)</f>
        <v>0</v>
      </c>
      <c r="T6" s="5"/>
    </row>
    <row r="7" spans="1:35" ht="44" thickTop="1" x14ac:dyDescent="0.35">
      <c r="I7" s="253"/>
      <c r="J7" s="252" t="s">
        <v>136</v>
      </c>
    </row>
    <row r="8" spans="1:35" x14ac:dyDescent="0.35">
      <c r="A8" s="21" t="s">
        <v>120</v>
      </c>
      <c r="I8" s="35">
        <f>ROUND($I$5*J8,2)</f>
        <v>0</v>
      </c>
      <c r="J8" s="250">
        <v>0</v>
      </c>
    </row>
    <row r="9" spans="1:35" x14ac:dyDescent="0.35">
      <c r="A9" s="21" t="s">
        <v>121</v>
      </c>
      <c r="I9" s="35">
        <f t="shared" ref="I9:I10" si="1">ROUND($I$5*J9,2)</f>
        <v>0</v>
      </c>
      <c r="J9" s="250">
        <v>0</v>
      </c>
    </row>
    <row r="10" spans="1:35" ht="15" thickBot="1" x14ac:dyDescent="0.4">
      <c r="A10" s="21" t="s">
        <v>122</v>
      </c>
      <c r="I10" s="35">
        <f t="shared" si="1"/>
        <v>0</v>
      </c>
      <c r="J10" s="250">
        <v>0</v>
      </c>
    </row>
    <row r="11" spans="1:35" ht="15.5" thickTop="1" thickBot="1" x14ac:dyDescent="0.4">
      <c r="A11" s="21" t="s">
        <v>124</v>
      </c>
      <c r="I11" s="39">
        <f>SUM(I8:I10)</f>
        <v>0</v>
      </c>
      <c r="J11" s="251">
        <f>SUM(J8:J10)</f>
        <v>0</v>
      </c>
      <c r="V11" s="4"/>
    </row>
    <row r="12" spans="1:35" ht="15.5" thickTop="1" thickBot="1" x14ac:dyDescent="0.4">
      <c r="V12" s="4"/>
      <c r="W12" s="5"/>
    </row>
    <row r="13" spans="1:35" ht="116.5" thickBot="1" x14ac:dyDescent="0.4">
      <c r="B13" s="136" t="str">
        <f>+'PCR Cycle 2'!B13</f>
        <v>Cumulative Over/Under Carryover From 06/01/2020 Filing</v>
      </c>
      <c r="C13" s="171" t="str">
        <f>+'PCR Cycle 2'!C13</f>
        <v>Reverse November-20 - January 2021  Forecast From 06/01/2020 Filing</v>
      </c>
      <c r="D13" s="307" t="s">
        <v>35</v>
      </c>
      <c r="E13" s="307"/>
      <c r="F13" s="308"/>
      <c r="G13" s="309" t="s">
        <v>35</v>
      </c>
      <c r="H13" s="310"/>
      <c r="I13" s="311"/>
      <c r="J13" s="303" t="s">
        <v>9</v>
      </c>
      <c r="K13" s="304"/>
      <c r="L13" s="305"/>
    </row>
    <row r="14" spans="1:35" x14ac:dyDescent="0.35">
      <c r="A14" s="59" t="s">
        <v>96</v>
      </c>
      <c r="C14" s="123"/>
      <c r="D14" s="19">
        <f>+'PCR Cycle 2'!D14</f>
        <v>43982</v>
      </c>
      <c r="E14" s="19">
        <f t="shared" ref="E14:L14" si="2">EOMONTH(D14,1)</f>
        <v>44012</v>
      </c>
      <c r="F14" s="19">
        <f t="shared" si="2"/>
        <v>44043</v>
      </c>
      <c r="G14" s="14">
        <f t="shared" si="2"/>
        <v>44074</v>
      </c>
      <c r="H14" s="19">
        <f t="shared" si="2"/>
        <v>44104</v>
      </c>
      <c r="I14" s="15">
        <f t="shared" si="2"/>
        <v>44135</v>
      </c>
      <c r="J14" s="19">
        <f t="shared" si="2"/>
        <v>44165</v>
      </c>
      <c r="K14" s="19">
        <f t="shared" si="2"/>
        <v>44196</v>
      </c>
      <c r="L14" s="15">
        <f t="shared" si="2"/>
        <v>44227</v>
      </c>
      <c r="Z14" s="1"/>
      <c r="AA14" s="1"/>
      <c r="AB14" s="1"/>
      <c r="AC14" s="1"/>
      <c r="AD14" s="1"/>
      <c r="AE14" s="1"/>
      <c r="AF14" s="1"/>
      <c r="AG14" s="1"/>
      <c r="AH14" s="1"/>
      <c r="AI14" s="1"/>
    </row>
    <row r="15" spans="1:35" x14ac:dyDescent="0.35">
      <c r="A15" s="59" t="s">
        <v>6</v>
      </c>
      <c r="C15" s="115">
        <v>0</v>
      </c>
      <c r="D15" s="127">
        <f>SUM(D22:D23)</f>
        <v>0</v>
      </c>
      <c r="E15" s="127">
        <f t="shared" ref="E15:H15" si="3">SUM(E22:E23)</f>
        <v>0</v>
      </c>
      <c r="F15" s="128">
        <f t="shared" si="3"/>
        <v>0</v>
      </c>
      <c r="G15" s="16">
        <f t="shared" si="3"/>
        <v>0</v>
      </c>
      <c r="H15" s="68">
        <f t="shared" si="3"/>
        <v>0</v>
      </c>
      <c r="I15" s="186">
        <f>+I22+I23</f>
        <v>0</v>
      </c>
      <c r="J15" s="179">
        <f t="shared" ref="J15:K15" si="4">+J22+J23</f>
        <v>0</v>
      </c>
      <c r="K15" s="93">
        <f t="shared" si="4"/>
        <v>0</v>
      </c>
      <c r="L15" s="94"/>
    </row>
    <row r="16" spans="1:35" x14ac:dyDescent="0.35">
      <c r="C16" s="117"/>
      <c r="D16" s="17"/>
      <c r="E16" s="17"/>
      <c r="F16" s="17"/>
      <c r="G16" s="10"/>
      <c r="H16" s="17"/>
      <c r="I16" s="11"/>
      <c r="J16" s="43"/>
      <c r="K16" s="43"/>
      <c r="L16" s="41"/>
    </row>
    <row r="17" spans="1:14" x14ac:dyDescent="0.35">
      <c r="A17" s="59" t="s">
        <v>95</v>
      </c>
      <c r="C17" s="117"/>
      <c r="D17" s="18"/>
      <c r="E17" s="18"/>
      <c r="F17" s="18"/>
      <c r="G17" s="109"/>
      <c r="H17" s="18"/>
      <c r="I17" s="187"/>
      <c r="J17" s="43"/>
      <c r="K17" s="43"/>
      <c r="L17" s="41"/>
      <c r="M17" s="3" t="s">
        <v>52</v>
      </c>
      <c r="N17" s="51"/>
    </row>
    <row r="18" spans="1:14" x14ac:dyDescent="0.35">
      <c r="A18" s="59" t="s">
        <v>26</v>
      </c>
      <c r="C18" s="115">
        <v>0</v>
      </c>
      <c r="D18" s="154">
        <v>0</v>
      </c>
      <c r="E18" s="154">
        <v>0</v>
      </c>
      <c r="F18" s="208">
        <v>0</v>
      </c>
      <c r="G18" s="16">
        <v>0</v>
      </c>
      <c r="H18" s="139">
        <v>0</v>
      </c>
      <c r="I18" s="188">
        <v>0</v>
      </c>
      <c r="J18" s="141">
        <f>'PCR Cycle 2'!J26*$M18</f>
        <v>0</v>
      </c>
      <c r="K18" s="53">
        <f>'PCR Cycle 2'!K26*$M18</f>
        <v>0</v>
      </c>
      <c r="L18" s="74">
        <f>'PCR Cycle 2'!L26*$M18</f>
        <v>0</v>
      </c>
      <c r="M18" s="85">
        <v>0</v>
      </c>
      <c r="N18" s="4"/>
    </row>
    <row r="19" spans="1:14" x14ac:dyDescent="0.35">
      <c r="A19" s="59" t="s">
        <v>27</v>
      </c>
      <c r="C19" s="115">
        <v>0</v>
      </c>
      <c r="D19" s="154">
        <v>0</v>
      </c>
      <c r="E19" s="154">
        <v>0</v>
      </c>
      <c r="F19" s="208">
        <v>0</v>
      </c>
      <c r="G19" s="16">
        <v>0</v>
      </c>
      <c r="H19" s="139">
        <v>0</v>
      </c>
      <c r="I19" s="188">
        <v>0</v>
      </c>
      <c r="J19" s="141">
        <f>SUM('PCR Cycle 2'!J27:J29)*$M19</f>
        <v>0</v>
      </c>
      <c r="K19" s="53">
        <f>SUM('PCR Cycle 2'!K27:K29)*$M19</f>
        <v>0</v>
      </c>
      <c r="L19" s="74">
        <f>SUM('PCR Cycle 2'!L27:L29)*$M19</f>
        <v>0</v>
      </c>
      <c r="M19" s="85">
        <v>0</v>
      </c>
      <c r="N19" s="4"/>
    </row>
    <row r="20" spans="1:14" x14ac:dyDescent="0.35">
      <c r="C20" s="80"/>
      <c r="D20" s="81"/>
      <c r="E20" s="81"/>
      <c r="F20" s="81"/>
      <c r="G20" s="116"/>
      <c r="H20" s="81"/>
      <c r="I20" s="189"/>
      <c r="J20" s="69"/>
      <c r="K20" s="69"/>
      <c r="L20" s="13"/>
      <c r="N20" s="4"/>
    </row>
    <row r="21" spans="1:14" x14ac:dyDescent="0.35">
      <c r="A21" s="59" t="s">
        <v>97</v>
      </c>
      <c r="C21" s="48"/>
      <c r="D21" s="49"/>
      <c r="E21" s="49"/>
      <c r="F21" s="49"/>
      <c r="G21" s="48"/>
      <c r="H21" s="49"/>
      <c r="I21" s="192"/>
      <c r="J21" s="65"/>
      <c r="K21" s="65"/>
      <c r="L21" s="50"/>
    </row>
    <row r="22" spans="1:14" x14ac:dyDescent="0.35">
      <c r="A22" s="59" t="s">
        <v>26</v>
      </c>
      <c r="C22" s="115">
        <v>0</v>
      </c>
      <c r="D22" s="127">
        <v>0</v>
      </c>
      <c r="E22" s="127">
        <v>0</v>
      </c>
      <c r="F22" s="128">
        <v>0</v>
      </c>
      <c r="G22" s="16">
        <v>0</v>
      </c>
      <c r="H22" s="68">
        <v>0</v>
      </c>
      <c r="I22" s="186">
        <v>0</v>
      </c>
      <c r="J22" s="181">
        <v>0</v>
      </c>
      <c r="K22" s="161">
        <v>0</v>
      </c>
      <c r="L22" s="94"/>
    </row>
    <row r="23" spans="1:14" x14ac:dyDescent="0.35">
      <c r="A23" s="59" t="s">
        <v>27</v>
      </c>
      <c r="C23" s="115">
        <v>0</v>
      </c>
      <c r="D23" s="127">
        <v>0</v>
      </c>
      <c r="E23" s="127">
        <v>0</v>
      </c>
      <c r="F23" s="128">
        <v>0</v>
      </c>
      <c r="G23" s="16">
        <v>0</v>
      </c>
      <c r="H23" s="68">
        <v>0</v>
      </c>
      <c r="I23" s="186">
        <v>0</v>
      </c>
      <c r="J23" s="181">
        <v>0</v>
      </c>
      <c r="K23" s="161">
        <v>0</v>
      </c>
      <c r="L23" s="94"/>
      <c r="N23" s="60"/>
    </row>
    <row r="24" spans="1:14" x14ac:dyDescent="0.35">
      <c r="C24" s="117"/>
      <c r="D24" s="18"/>
      <c r="E24" s="18"/>
      <c r="F24" s="18"/>
      <c r="G24" s="109"/>
      <c r="H24" s="18"/>
      <c r="I24" s="187"/>
      <c r="J24" s="69"/>
      <c r="K24" s="69"/>
      <c r="L24" s="13"/>
    </row>
    <row r="25" spans="1:14" ht="15" thickBot="1" x14ac:dyDescent="0.4">
      <c r="A25" s="3" t="s">
        <v>16</v>
      </c>
      <c r="B25" s="3"/>
      <c r="C25" s="121">
        <v>0</v>
      </c>
      <c r="D25" s="154">
        <v>0</v>
      </c>
      <c r="E25" s="154">
        <v>0</v>
      </c>
      <c r="F25" s="155">
        <v>0</v>
      </c>
      <c r="G25" s="38">
        <v>0</v>
      </c>
      <c r="H25" s="140">
        <v>0</v>
      </c>
      <c r="I25" s="193">
        <v>0</v>
      </c>
      <c r="J25" s="182"/>
      <c r="K25" s="163"/>
      <c r="L25" s="97"/>
    </row>
    <row r="26" spans="1:14" x14ac:dyDescent="0.35">
      <c r="C26" s="77"/>
      <c r="D26" s="167"/>
      <c r="E26" s="167"/>
      <c r="F26" s="168"/>
      <c r="G26" s="77"/>
      <c r="H26" s="45"/>
      <c r="I26" s="194"/>
      <c r="J26" s="46"/>
      <c r="K26" s="46"/>
      <c r="L26" s="73"/>
    </row>
    <row r="27" spans="1:14" x14ac:dyDescent="0.35">
      <c r="A27" s="59" t="s">
        <v>54</v>
      </c>
      <c r="C27" s="78"/>
      <c r="D27" s="168"/>
      <c r="E27" s="168"/>
      <c r="F27" s="168"/>
      <c r="G27" s="78"/>
      <c r="H27" s="47"/>
      <c r="I27" s="195"/>
      <c r="J27" s="46"/>
      <c r="K27" s="46"/>
      <c r="L27" s="73"/>
    </row>
    <row r="28" spans="1:14" x14ac:dyDescent="0.35">
      <c r="A28" s="59" t="s">
        <v>26</v>
      </c>
      <c r="C28" s="118">
        <f t="shared" ref="C28:L28" si="5">C22-C18</f>
        <v>0</v>
      </c>
      <c r="D28" s="53">
        <f t="shared" si="5"/>
        <v>0</v>
      </c>
      <c r="E28" s="53">
        <f t="shared" si="5"/>
        <v>0</v>
      </c>
      <c r="F28" s="126">
        <f t="shared" si="5"/>
        <v>0</v>
      </c>
      <c r="G28" s="52">
        <f t="shared" si="5"/>
        <v>0</v>
      </c>
      <c r="H28" s="53">
        <f t="shared" si="5"/>
        <v>0</v>
      </c>
      <c r="I28" s="74">
        <f t="shared" si="5"/>
        <v>0</v>
      </c>
      <c r="J28" s="141">
        <f t="shared" si="5"/>
        <v>0</v>
      </c>
      <c r="K28" s="53">
        <f t="shared" si="5"/>
        <v>0</v>
      </c>
      <c r="L28" s="74">
        <f t="shared" si="5"/>
        <v>0</v>
      </c>
    </row>
    <row r="29" spans="1:14" x14ac:dyDescent="0.35">
      <c r="A29" s="59" t="s">
        <v>27</v>
      </c>
      <c r="C29" s="118">
        <f t="shared" ref="C29:L29" si="6">C23-C19</f>
        <v>0</v>
      </c>
      <c r="D29" s="53">
        <f t="shared" si="6"/>
        <v>0</v>
      </c>
      <c r="E29" s="53">
        <f t="shared" si="6"/>
        <v>0</v>
      </c>
      <c r="F29" s="126">
        <f t="shared" si="6"/>
        <v>0</v>
      </c>
      <c r="G29" s="52">
        <f t="shared" si="6"/>
        <v>0</v>
      </c>
      <c r="H29" s="53">
        <f t="shared" si="6"/>
        <v>0</v>
      </c>
      <c r="I29" s="74">
        <f t="shared" si="6"/>
        <v>0</v>
      </c>
      <c r="J29" s="141">
        <f t="shared" si="6"/>
        <v>0</v>
      </c>
      <c r="K29" s="53">
        <f t="shared" si="6"/>
        <v>0</v>
      </c>
      <c r="L29" s="74">
        <f t="shared" si="6"/>
        <v>0</v>
      </c>
    </row>
    <row r="30" spans="1:14" x14ac:dyDescent="0.35">
      <c r="C30" s="117"/>
      <c r="D30" s="17"/>
      <c r="E30" s="17"/>
      <c r="F30" s="17"/>
      <c r="G30" s="10"/>
      <c r="H30" s="17"/>
      <c r="I30" s="11"/>
      <c r="J30" s="17"/>
      <c r="K30" s="17"/>
      <c r="L30" s="11"/>
    </row>
    <row r="31" spans="1:14" ht="15" thickBot="1" x14ac:dyDescent="0.4">
      <c r="A31" s="59" t="s">
        <v>55</v>
      </c>
      <c r="C31" s="117"/>
      <c r="D31" s="17"/>
      <c r="E31" s="17"/>
      <c r="F31" s="17"/>
      <c r="G31" s="10"/>
      <c r="H31" s="17"/>
      <c r="I31" s="11"/>
      <c r="J31" s="17"/>
      <c r="K31" s="17"/>
      <c r="L31" s="11"/>
    </row>
    <row r="32" spans="1:14" x14ac:dyDescent="0.35">
      <c r="A32" s="59" t="s">
        <v>26</v>
      </c>
      <c r="B32" s="134">
        <v>0</v>
      </c>
      <c r="C32" s="118">
        <f>B32+C28+B37</f>
        <v>0</v>
      </c>
      <c r="D32" s="53">
        <f t="shared" ref="D32:L33" si="7">C32+D28+C37</f>
        <v>0</v>
      </c>
      <c r="E32" s="53">
        <f t="shared" si="7"/>
        <v>0</v>
      </c>
      <c r="F32" s="126">
        <f t="shared" si="7"/>
        <v>0</v>
      </c>
      <c r="G32" s="52">
        <f t="shared" si="7"/>
        <v>0</v>
      </c>
      <c r="H32" s="53">
        <f t="shared" si="7"/>
        <v>0</v>
      </c>
      <c r="I32" s="74">
        <f t="shared" si="7"/>
        <v>0</v>
      </c>
      <c r="J32" s="141">
        <f t="shared" si="7"/>
        <v>0</v>
      </c>
      <c r="K32" s="53">
        <f t="shared" si="7"/>
        <v>0</v>
      </c>
      <c r="L32" s="74">
        <f t="shared" si="7"/>
        <v>0</v>
      </c>
    </row>
    <row r="33" spans="1:12" ht="15" thickBot="1" x14ac:dyDescent="0.4">
      <c r="A33" s="59" t="s">
        <v>27</v>
      </c>
      <c r="B33" s="135">
        <v>0</v>
      </c>
      <c r="C33" s="118">
        <f>B33+C29+B38</f>
        <v>0</v>
      </c>
      <c r="D33" s="53">
        <f t="shared" si="7"/>
        <v>0</v>
      </c>
      <c r="E33" s="53">
        <f t="shared" si="7"/>
        <v>0</v>
      </c>
      <c r="F33" s="126">
        <f t="shared" si="7"/>
        <v>0</v>
      </c>
      <c r="G33" s="52">
        <f t="shared" si="7"/>
        <v>0</v>
      </c>
      <c r="H33" s="53">
        <f t="shared" si="7"/>
        <v>0</v>
      </c>
      <c r="I33" s="74">
        <f t="shared" si="7"/>
        <v>0</v>
      </c>
      <c r="J33" s="141">
        <f t="shared" si="7"/>
        <v>0</v>
      </c>
      <c r="K33" s="53">
        <f t="shared" si="7"/>
        <v>0</v>
      </c>
      <c r="L33" s="74">
        <f t="shared" si="7"/>
        <v>0</v>
      </c>
    </row>
    <row r="34" spans="1:12" x14ac:dyDescent="0.35">
      <c r="C34" s="117"/>
      <c r="D34" s="17"/>
      <c r="E34" s="17"/>
      <c r="F34" s="17"/>
      <c r="G34" s="10"/>
      <c r="H34" s="17"/>
      <c r="I34" s="11"/>
      <c r="J34" s="17"/>
      <c r="K34" s="17"/>
      <c r="L34" s="11"/>
    </row>
    <row r="35" spans="1:12" x14ac:dyDescent="0.35">
      <c r="A35" s="51" t="s">
        <v>93</v>
      </c>
      <c r="B35" s="51"/>
      <c r="C35" s="122"/>
      <c r="D35" s="98">
        <f>+'PCR Cycle 2'!D47</f>
        <v>1.20652E-3</v>
      </c>
      <c r="E35" s="98">
        <f>+'PCR Cycle 2'!E47</f>
        <v>1.1948200000000001E-3</v>
      </c>
      <c r="F35" s="98">
        <f>+'PCR Cycle 2'!F47</f>
        <v>1.1852799999999999E-3</v>
      </c>
      <c r="G35" s="99">
        <f>+'PCR Cycle 2'!G47</f>
        <v>1.17614E-3</v>
      </c>
      <c r="H35" s="98">
        <f>+'PCR Cycle 2'!H47</f>
        <v>1.1682400000000001E-3</v>
      </c>
      <c r="I35" s="110">
        <f>+'PCR Cycle 2'!I47</f>
        <v>1.1636999999999999E-3</v>
      </c>
      <c r="J35" s="98">
        <f>+'PCR Cycle 2'!J47</f>
        <v>1.1636999999999999E-3</v>
      </c>
      <c r="K35" s="98">
        <f>+'PCR Cycle 2'!K47</f>
        <v>1.1636999999999999E-3</v>
      </c>
      <c r="L35" s="100"/>
    </row>
    <row r="36" spans="1:12" x14ac:dyDescent="0.35">
      <c r="A36" s="51" t="s">
        <v>39</v>
      </c>
      <c r="B36" s="51"/>
      <c r="C36" s="124"/>
      <c r="D36" s="98"/>
      <c r="E36" s="98"/>
      <c r="F36" s="98"/>
      <c r="G36" s="99"/>
      <c r="H36" s="98"/>
      <c r="I36" s="100"/>
      <c r="J36" s="98"/>
      <c r="K36" s="98"/>
      <c r="L36" s="100"/>
    </row>
    <row r="37" spans="1:12" x14ac:dyDescent="0.35">
      <c r="A37" s="59" t="s">
        <v>26</v>
      </c>
      <c r="C37" s="118">
        <v>0</v>
      </c>
      <c r="D37" s="53">
        <f t="shared" ref="D37:L38" si="8">ROUND((C32+C37+D28/2)*D$35,2)</f>
        <v>0</v>
      </c>
      <c r="E37" s="53">
        <f t="shared" si="8"/>
        <v>0</v>
      </c>
      <c r="F37" s="126">
        <f t="shared" si="8"/>
        <v>0</v>
      </c>
      <c r="G37" s="52">
        <f t="shared" si="8"/>
        <v>0</v>
      </c>
      <c r="H37" s="141">
        <f t="shared" si="8"/>
        <v>0</v>
      </c>
      <c r="I37" s="62">
        <f t="shared" si="8"/>
        <v>0</v>
      </c>
      <c r="J37" s="183">
        <f t="shared" si="8"/>
        <v>0</v>
      </c>
      <c r="K37" s="126">
        <f t="shared" si="8"/>
        <v>0</v>
      </c>
      <c r="L37" s="74">
        <f t="shared" si="8"/>
        <v>0</v>
      </c>
    </row>
    <row r="38" spans="1:12" ht="15" thickBot="1" x14ac:dyDescent="0.4">
      <c r="A38" s="59" t="s">
        <v>27</v>
      </c>
      <c r="C38" s="118">
        <v>0</v>
      </c>
      <c r="D38" s="53">
        <f t="shared" si="8"/>
        <v>0</v>
      </c>
      <c r="E38" s="53">
        <f t="shared" si="8"/>
        <v>0</v>
      </c>
      <c r="F38" s="126">
        <f t="shared" si="8"/>
        <v>0</v>
      </c>
      <c r="G38" s="52">
        <f t="shared" si="8"/>
        <v>0</v>
      </c>
      <c r="H38" s="141">
        <f t="shared" si="8"/>
        <v>0</v>
      </c>
      <c r="I38" s="62">
        <f t="shared" si="8"/>
        <v>0</v>
      </c>
      <c r="J38" s="183">
        <f t="shared" si="8"/>
        <v>0</v>
      </c>
      <c r="K38" s="126">
        <f t="shared" si="8"/>
        <v>0</v>
      </c>
      <c r="L38" s="74">
        <f t="shared" si="8"/>
        <v>0</v>
      </c>
    </row>
    <row r="39" spans="1:12" ht="15.5" thickTop="1" thickBot="1" x14ac:dyDescent="0.4">
      <c r="A39" s="67" t="s">
        <v>24</v>
      </c>
      <c r="B39" s="67"/>
      <c r="C39" s="125">
        <v>0</v>
      </c>
      <c r="D39" s="54">
        <f t="shared" ref="D39:I39" si="9">SUM(D37:D38)+SUM(D32:D33)-D42</f>
        <v>0</v>
      </c>
      <c r="E39" s="54">
        <f t="shared" si="9"/>
        <v>0</v>
      </c>
      <c r="F39" s="63">
        <f t="shared" ref="F39:H39" si="10">SUM(F37:F38)+SUM(F32:F33)-F42</f>
        <v>0</v>
      </c>
      <c r="G39" s="165">
        <f t="shared" si="10"/>
        <v>0</v>
      </c>
      <c r="H39" s="63">
        <f t="shared" si="10"/>
        <v>0</v>
      </c>
      <c r="I39" s="75">
        <f t="shared" si="9"/>
        <v>0</v>
      </c>
      <c r="J39" s="184">
        <f t="shared" ref="J39:L39" si="11">SUM(J37:J38)+SUM(J32:J33)-J42</f>
        <v>0</v>
      </c>
      <c r="K39" s="63">
        <f t="shared" si="11"/>
        <v>0</v>
      </c>
      <c r="L39" s="75">
        <f t="shared" si="11"/>
        <v>0</v>
      </c>
    </row>
    <row r="40" spans="1:12" ht="15.5" thickTop="1" thickBot="1" x14ac:dyDescent="0.4">
      <c r="A40" s="67" t="s">
        <v>25</v>
      </c>
      <c r="B40" s="67"/>
      <c r="C40" s="125">
        <v>0</v>
      </c>
      <c r="D40" s="54">
        <f t="shared" ref="D40:I40" si="12">SUM(D37:D38)-D25</f>
        <v>0</v>
      </c>
      <c r="E40" s="54">
        <f t="shared" si="12"/>
        <v>0</v>
      </c>
      <c r="F40" s="63">
        <f t="shared" ref="F40:H40" si="13">SUM(F37:F38)-F25</f>
        <v>0</v>
      </c>
      <c r="G40" s="165">
        <f t="shared" si="13"/>
        <v>0</v>
      </c>
      <c r="H40" s="63">
        <f t="shared" si="13"/>
        <v>0</v>
      </c>
      <c r="I40" s="75">
        <f t="shared" si="12"/>
        <v>0</v>
      </c>
      <c r="J40" s="185">
        <f t="shared" ref="J40:L40" si="14">SUM(J37:J38)-J25</f>
        <v>0</v>
      </c>
      <c r="K40" s="54">
        <f t="shared" si="14"/>
        <v>0</v>
      </c>
      <c r="L40" s="54">
        <f t="shared" si="14"/>
        <v>0</v>
      </c>
    </row>
    <row r="41" spans="1:12" ht="15.5" thickTop="1" thickBot="1" x14ac:dyDescent="0.4">
      <c r="C41" s="117"/>
      <c r="D41" s="17"/>
      <c r="E41" s="17"/>
      <c r="F41" s="17"/>
      <c r="G41" s="10"/>
      <c r="H41" s="17"/>
      <c r="I41" s="11"/>
      <c r="J41" s="17"/>
      <c r="K41" s="17"/>
      <c r="L41" s="11"/>
    </row>
    <row r="42" spans="1:12" ht="15" thickBot="1" x14ac:dyDescent="0.4">
      <c r="A42" s="59" t="s">
        <v>38</v>
      </c>
      <c r="B42" s="137">
        <v>0</v>
      </c>
      <c r="C42" s="118">
        <f t="shared" ref="C42:L42" si="15">(C15-SUM(C18:C19))+SUM(C37:C38)+B42</f>
        <v>0</v>
      </c>
      <c r="D42" s="53">
        <f t="shared" si="15"/>
        <v>0</v>
      </c>
      <c r="E42" s="53">
        <f t="shared" si="15"/>
        <v>0</v>
      </c>
      <c r="F42" s="126">
        <f t="shared" si="15"/>
        <v>0</v>
      </c>
      <c r="G42" s="52">
        <f t="shared" si="15"/>
        <v>0</v>
      </c>
      <c r="H42" s="53">
        <f t="shared" si="15"/>
        <v>0</v>
      </c>
      <c r="I42" s="74">
        <f t="shared" si="15"/>
        <v>0</v>
      </c>
      <c r="J42" s="183">
        <f t="shared" si="15"/>
        <v>0</v>
      </c>
      <c r="K42" s="126">
        <f t="shared" si="15"/>
        <v>0</v>
      </c>
      <c r="L42" s="74">
        <f t="shared" si="15"/>
        <v>0</v>
      </c>
    </row>
    <row r="43" spans="1:12" x14ac:dyDescent="0.35">
      <c r="A43" s="59" t="s">
        <v>14</v>
      </c>
      <c r="C43" s="138"/>
      <c r="D43" s="17"/>
      <c r="E43" s="17"/>
      <c r="F43" s="17"/>
      <c r="G43" s="10"/>
      <c r="H43" s="17"/>
      <c r="I43" s="11"/>
      <c r="J43" s="17"/>
      <c r="K43" s="17"/>
      <c r="L43" s="11"/>
    </row>
    <row r="44" spans="1:12" ht="15" thickBot="1" x14ac:dyDescent="0.4">
      <c r="A44" s="49"/>
      <c r="B44" s="49"/>
      <c r="C44" s="166"/>
      <c r="D44" s="56"/>
      <c r="E44" s="56"/>
      <c r="F44" s="56"/>
      <c r="G44" s="55"/>
      <c r="H44" s="56"/>
      <c r="I44" s="57"/>
      <c r="J44" s="56"/>
      <c r="K44" s="56"/>
      <c r="L44" s="57"/>
    </row>
    <row r="46" spans="1:12" x14ac:dyDescent="0.35">
      <c r="A46" s="82" t="s">
        <v>13</v>
      </c>
      <c r="B46" s="82"/>
      <c r="C46" s="82"/>
    </row>
    <row r="47" spans="1:12" x14ac:dyDescent="0.35">
      <c r="A47" s="313" t="s">
        <v>170</v>
      </c>
      <c r="B47" s="313"/>
      <c r="C47" s="313"/>
      <c r="D47" s="313"/>
      <c r="E47" s="313"/>
      <c r="F47" s="313"/>
      <c r="G47" s="313"/>
      <c r="H47" s="313"/>
      <c r="I47" s="313"/>
      <c r="J47" s="202"/>
      <c r="K47" s="202"/>
      <c r="L47" s="202"/>
    </row>
    <row r="48" spans="1:12" ht="32.25" customHeight="1" x14ac:dyDescent="0.35">
      <c r="A48" s="313" t="s">
        <v>171</v>
      </c>
      <c r="B48" s="313"/>
      <c r="C48" s="313"/>
      <c r="D48" s="313"/>
      <c r="E48" s="313"/>
      <c r="F48" s="313"/>
      <c r="G48" s="313"/>
      <c r="H48" s="313"/>
      <c r="I48" s="313"/>
      <c r="J48" s="202"/>
      <c r="K48" s="202"/>
    </row>
    <row r="49" spans="1:12" ht="18.75" customHeight="1" x14ac:dyDescent="0.35">
      <c r="A49" s="3" t="s">
        <v>33</v>
      </c>
      <c r="B49" s="3"/>
      <c r="C49" s="3"/>
      <c r="I49" s="4"/>
      <c r="J49" s="202"/>
      <c r="K49" s="202"/>
      <c r="L49" s="202"/>
    </row>
    <row r="50" spans="1:12" x14ac:dyDescent="0.35">
      <c r="A50" s="3" t="s">
        <v>172</v>
      </c>
      <c r="B50" s="3"/>
      <c r="C50" s="3"/>
      <c r="I50" s="4"/>
    </row>
    <row r="51" spans="1:12" x14ac:dyDescent="0.35">
      <c r="A51" s="3" t="s">
        <v>139</v>
      </c>
      <c r="B51" s="3"/>
      <c r="C51" s="3"/>
      <c r="I51" s="4"/>
    </row>
    <row r="52" spans="1:12" x14ac:dyDescent="0.35">
      <c r="A52" s="3" t="s">
        <v>173</v>
      </c>
      <c r="B52" s="76"/>
      <c r="C52" s="76"/>
      <c r="D52" s="51"/>
      <c r="E52" s="51"/>
      <c r="F52" s="51"/>
      <c r="G52" s="51"/>
      <c r="H52" s="51"/>
      <c r="I52" s="51"/>
    </row>
    <row r="53" spans="1:12" x14ac:dyDescent="0.35">
      <c r="A53" s="3"/>
      <c r="B53" s="3"/>
      <c r="C53" s="3"/>
    </row>
  </sheetData>
  <mergeCells count="5">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1282B-6B2C-4D8B-A4CA-BF566046BB6E}">
  <dimension ref="A1:G9"/>
  <sheetViews>
    <sheetView workbookViewId="0">
      <selection activeCell="C6" sqref="C6"/>
    </sheetView>
  </sheetViews>
  <sheetFormatPr defaultRowHeight="14.5" x14ac:dyDescent="0.35"/>
  <cols>
    <col min="1" max="1" width="24.7265625" customWidth="1"/>
    <col min="2" max="2" width="13.54296875" customWidth="1"/>
    <col min="3" max="3" width="14" customWidth="1"/>
    <col min="4" max="4" width="13.54296875" customWidth="1"/>
    <col min="5" max="5" width="12.453125" bestFit="1" customWidth="1"/>
  </cols>
  <sheetData>
    <row r="1" spans="1:7" x14ac:dyDescent="0.35">
      <c r="A1" s="3" t="str">
        <f>+'PPC Cycle 2'!A1</f>
        <v>Evergy Missouri West, Inc. - DSIM Rider Update Filed 12/01/2020</v>
      </c>
    </row>
    <row r="3" spans="1:7" ht="15" thickBot="1" x14ac:dyDescent="0.4"/>
    <row r="4" spans="1:7" ht="15" thickBot="1" x14ac:dyDescent="0.4">
      <c r="B4" s="106" t="s">
        <v>210</v>
      </c>
      <c r="C4" s="107" t="s">
        <v>211</v>
      </c>
      <c r="D4" s="107" t="s">
        <v>212</v>
      </c>
    </row>
    <row r="5" spans="1:7" ht="54.5" thickBot="1" x14ac:dyDescent="0.4">
      <c r="A5" s="105" t="s">
        <v>8</v>
      </c>
      <c r="B5" s="107" t="s">
        <v>30</v>
      </c>
      <c r="C5" s="107" t="s">
        <v>30</v>
      </c>
      <c r="D5" s="107" t="s">
        <v>30</v>
      </c>
      <c r="E5" s="107" t="s">
        <v>213</v>
      </c>
    </row>
    <row r="6" spans="1:7" ht="15" thickBot="1" x14ac:dyDescent="0.4">
      <c r="A6" s="108" t="s">
        <v>26</v>
      </c>
      <c r="B6" s="151">
        <f>+'tariff tables'!H4</f>
        <v>5.0600000000000003E-3</v>
      </c>
      <c r="C6" s="151">
        <v>4.7800000000000004E-3</v>
      </c>
      <c r="D6" s="151">
        <f>+B6-C6</f>
        <v>2.7999999999999987E-4</v>
      </c>
      <c r="E6" s="293">
        <f>+D6*1000</f>
        <v>0.27999999999999986</v>
      </c>
      <c r="G6" s="296"/>
    </row>
    <row r="7" spans="1:7" ht="15" thickBot="1" x14ac:dyDescent="0.4">
      <c r="A7" s="108" t="s">
        <v>120</v>
      </c>
      <c r="B7" s="151">
        <f>+'tariff tables'!H5</f>
        <v>5.1700000000000001E-3</v>
      </c>
      <c r="C7" s="151">
        <v>4.2100000000000002E-3</v>
      </c>
      <c r="D7" s="151">
        <f t="shared" ref="D7:D9" si="0">+B7-C7</f>
        <v>9.5999999999999992E-4</v>
      </c>
      <c r="E7" s="293">
        <f t="shared" ref="E7:E9" si="1">+D7*1000</f>
        <v>0.96</v>
      </c>
      <c r="G7" s="296"/>
    </row>
    <row r="8" spans="1:7" ht="15" thickBot="1" x14ac:dyDescent="0.4">
      <c r="A8" s="108" t="s">
        <v>121</v>
      </c>
      <c r="B8" s="151">
        <f>+'tariff tables'!H6</f>
        <v>4.2500000000000003E-3</v>
      </c>
      <c r="C8" s="151">
        <v>3.3E-3</v>
      </c>
      <c r="D8" s="151">
        <f t="shared" si="0"/>
        <v>9.5000000000000032E-4</v>
      </c>
      <c r="E8" s="293">
        <f t="shared" si="1"/>
        <v>0.95000000000000029</v>
      </c>
      <c r="G8" s="296"/>
    </row>
    <row r="9" spans="1:7" ht="15" thickBot="1" x14ac:dyDescent="0.4">
      <c r="A9" s="108" t="s">
        <v>122</v>
      </c>
      <c r="B9" s="151">
        <f>+'tariff tables'!H7</f>
        <v>4.0899999999999999E-3</v>
      </c>
      <c r="C9" s="151">
        <v>3.2200000000000002E-3</v>
      </c>
      <c r="D9" s="151">
        <f t="shared" si="0"/>
        <v>8.6999999999999968E-4</v>
      </c>
      <c r="E9" s="293">
        <f t="shared" si="1"/>
        <v>0.86999999999999966</v>
      </c>
      <c r="G9" s="296"/>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29"/>
  <sheetViews>
    <sheetView workbookViewId="0">
      <selection activeCell="O22" sqref="O22"/>
    </sheetView>
  </sheetViews>
  <sheetFormatPr defaultRowHeight="14.5" x14ac:dyDescent="0.35"/>
  <cols>
    <col min="1" max="1" width="17.7265625" customWidth="1"/>
    <col min="2" max="2" width="11.26953125" bestFit="1" customWidth="1"/>
    <col min="3" max="6" width="10.1796875" bestFit="1" customWidth="1"/>
  </cols>
  <sheetData>
    <row r="3" spans="1:6" ht="15" thickBot="1" x14ac:dyDescent="0.4">
      <c r="A3" s="3" t="s">
        <v>140</v>
      </c>
    </row>
    <row r="4" spans="1:6" ht="27.5" thickBot="1" x14ac:dyDescent="0.4">
      <c r="A4" s="105" t="s">
        <v>147</v>
      </c>
      <c r="B4" s="148" t="s">
        <v>146</v>
      </c>
      <c r="C4" s="148" t="s">
        <v>145</v>
      </c>
      <c r="D4" s="148" t="s">
        <v>144</v>
      </c>
      <c r="E4" s="148" t="s">
        <v>143</v>
      </c>
      <c r="F4" s="107" t="s">
        <v>30</v>
      </c>
    </row>
    <row r="5" spans="1:6" ht="15" thickBot="1" x14ac:dyDescent="0.4">
      <c r="A5" s="108" t="s">
        <v>26</v>
      </c>
      <c r="B5" s="261">
        <f>+'tariff tables'!S12+'tariff tables'!S20</f>
        <v>0</v>
      </c>
      <c r="C5" s="262">
        <f>+'tariff tables'!T12+'tariff tables'!T20</f>
        <v>8.1999999999999998E-4</v>
      </c>
      <c r="D5" s="262">
        <f>+'tariff tables'!U12+'tariff tables'!U20</f>
        <v>5.8E-4</v>
      </c>
      <c r="E5" s="262">
        <f>+'tariff tables'!V12+'tariff tables'!V20</f>
        <v>0</v>
      </c>
      <c r="F5" s="260">
        <f>SUM(B5:E5)</f>
        <v>1.4E-3</v>
      </c>
    </row>
    <row r="6" spans="1:6" ht="27.5" thickBot="1" x14ac:dyDescent="0.4">
      <c r="A6" s="108" t="s">
        <v>120</v>
      </c>
      <c r="B6" s="261">
        <f>+'tariff tables'!S13+'tariff tables'!S21</f>
        <v>-2.1000000000000001E-4</v>
      </c>
      <c r="C6" s="262">
        <f>+'tariff tables'!T13+'tariff tables'!T21</f>
        <v>1.2199999999999999E-3</v>
      </c>
      <c r="D6" s="262">
        <f>+'tariff tables'!U13+'tariff tables'!U21</f>
        <v>1.5299999999999999E-3</v>
      </c>
      <c r="E6" s="262">
        <f>+'tariff tables'!V13+'tariff tables'!V21</f>
        <v>0</v>
      </c>
      <c r="F6" s="260">
        <f t="shared" ref="F6:F8" si="0">SUM(B6:E6)</f>
        <v>2.5399999999999997E-3</v>
      </c>
    </row>
    <row r="7" spans="1:6" ht="27.5" thickBot="1" x14ac:dyDescent="0.4">
      <c r="A7" s="108" t="s">
        <v>121</v>
      </c>
      <c r="B7" s="261">
        <f>+'tariff tables'!S14+'tariff tables'!S22</f>
        <v>-1.6000000000000001E-4</v>
      </c>
      <c r="C7" s="262">
        <f>+'tariff tables'!T14+'tariff tables'!T22</f>
        <v>7.3000000000000007E-4</v>
      </c>
      <c r="D7" s="262">
        <f>+'tariff tables'!U14+'tariff tables'!U22</f>
        <v>1.1199999999999999E-3</v>
      </c>
      <c r="E7" s="262">
        <f>+'tariff tables'!V14+'tariff tables'!V22</f>
        <v>0</v>
      </c>
      <c r="F7" s="260">
        <f t="shared" si="0"/>
        <v>1.6900000000000001E-3</v>
      </c>
    </row>
    <row r="8" spans="1:6" ht="27.5" thickBot="1" x14ac:dyDescent="0.4">
      <c r="A8" s="108" t="s">
        <v>122</v>
      </c>
      <c r="B8" s="261">
        <f>+'tariff tables'!S15+'tariff tables'!S23</f>
        <v>-9.0000000000000006E-5</v>
      </c>
      <c r="C8" s="262">
        <f>+'tariff tables'!T15+'tariff tables'!T23</f>
        <v>2.3000000000000001E-4</v>
      </c>
      <c r="D8" s="262">
        <f>+'tariff tables'!U15+'tariff tables'!U23</f>
        <v>6.8999999999999997E-4</v>
      </c>
      <c r="E8" s="262">
        <f>+'tariff tables'!V15+'tariff tables'!V23</f>
        <v>0</v>
      </c>
      <c r="F8" s="260">
        <f t="shared" si="0"/>
        <v>8.3000000000000001E-4</v>
      </c>
    </row>
    <row r="11" spans="1:6" ht="15" thickBot="1" x14ac:dyDescent="0.4">
      <c r="A11" s="3" t="s">
        <v>141</v>
      </c>
      <c r="B11" s="59"/>
      <c r="C11" s="59"/>
      <c r="D11" s="59"/>
      <c r="E11" s="59"/>
      <c r="F11" s="59"/>
    </row>
    <row r="12" spans="1:6" ht="27.5" thickBot="1" x14ac:dyDescent="0.4">
      <c r="A12" s="105" t="s">
        <v>147</v>
      </c>
      <c r="B12" s="148" t="s">
        <v>146</v>
      </c>
      <c r="C12" s="148" t="s">
        <v>145</v>
      </c>
      <c r="D12" s="148" t="s">
        <v>144</v>
      </c>
      <c r="E12" s="148" t="s">
        <v>143</v>
      </c>
      <c r="F12" s="107" t="s">
        <v>30</v>
      </c>
    </row>
    <row r="13" spans="1:6" ht="15" thickBot="1" x14ac:dyDescent="0.4">
      <c r="A13" s="108" t="s">
        <v>26</v>
      </c>
      <c r="B13" s="261">
        <f>+'tariff tables'!X12+'tariff tables'!X20</f>
        <v>2.5699999999999998E-3</v>
      </c>
      <c r="C13" s="262">
        <f>+'tariff tables'!Y12+'tariff tables'!Y20</f>
        <v>1.09E-3</v>
      </c>
      <c r="D13" s="262">
        <f>+'tariff tables'!Z12+'tariff tables'!Z20</f>
        <v>0</v>
      </c>
      <c r="E13" s="262">
        <f>+'tariff tables'!AA12+'tariff tables'!AA20</f>
        <v>0</v>
      </c>
      <c r="F13" s="260">
        <f>SUM(B13:E13)</f>
        <v>3.6600000000000001E-3</v>
      </c>
    </row>
    <row r="14" spans="1:6" ht="27.5" thickBot="1" x14ac:dyDescent="0.4">
      <c r="A14" s="108" t="s">
        <v>120</v>
      </c>
      <c r="B14" s="261">
        <f>+'tariff tables'!X13+'tariff tables'!X21</f>
        <v>2.0900000000000003E-3</v>
      </c>
      <c r="C14" s="262">
        <f>+'tariff tables'!Y13+'tariff tables'!Y21</f>
        <v>5.4000000000000001E-4</v>
      </c>
      <c r="D14" s="262">
        <f>+'tariff tables'!Z13+'tariff tables'!Z21</f>
        <v>0</v>
      </c>
      <c r="E14" s="262">
        <f>+'tariff tables'!AA13+'tariff tables'!AA21</f>
        <v>0</v>
      </c>
      <c r="F14" s="260">
        <f t="shared" ref="F14:F16" si="1">SUM(B14:E14)</f>
        <v>2.6300000000000004E-3</v>
      </c>
    </row>
    <row r="15" spans="1:6" ht="27.5" thickBot="1" x14ac:dyDescent="0.4">
      <c r="A15" s="108" t="s">
        <v>121</v>
      </c>
      <c r="B15" s="261">
        <f>+'tariff tables'!X14+'tariff tables'!X22</f>
        <v>2.2700000000000003E-3</v>
      </c>
      <c r="C15" s="262">
        <f>+'tariff tables'!Y14+'tariff tables'!Y22</f>
        <v>2.9E-4</v>
      </c>
      <c r="D15" s="262">
        <f>+'tariff tables'!Z14+'tariff tables'!Z22</f>
        <v>0</v>
      </c>
      <c r="E15" s="262">
        <f>+'tariff tables'!AA14+'tariff tables'!AA22</f>
        <v>0</v>
      </c>
      <c r="F15" s="260">
        <f t="shared" si="1"/>
        <v>2.5600000000000002E-3</v>
      </c>
    </row>
    <row r="16" spans="1:6" ht="27.5" thickBot="1" x14ac:dyDescent="0.4">
      <c r="A16" s="108" t="s">
        <v>122</v>
      </c>
      <c r="B16" s="261">
        <f>+'tariff tables'!X15+'tariff tables'!X23</f>
        <v>3.0700000000000002E-3</v>
      </c>
      <c r="C16" s="262">
        <f>+'tariff tables'!Y15+'tariff tables'!Y23</f>
        <v>1.9000000000000001E-4</v>
      </c>
      <c r="D16" s="262">
        <f>+'tariff tables'!Z15+'tariff tables'!Z23</f>
        <v>0</v>
      </c>
      <c r="E16" s="262">
        <f>+'tariff tables'!AA15+'tariff tables'!AA23</f>
        <v>0</v>
      </c>
      <c r="F16" s="260">
        <f t="shared" si="1"/>
        <v>3.2600000000000003E-3</v>
      </c>
    </row>
    <row r="19" spans="1:7" ht="15" thickBot="1" x14ac:dyDescent="0.4">
      <c r="A19" s="3" t="s">
        <v>142</v>
      </c>
      <c r="B19" s="59"/>
      <c r="C19" s="59"/>
      <c r="D19" s="59"/>
      <c r="E19" s="59"/>
      <c r="F19" s="59"/>
    </row>
    <row r="20" spans="1:7" ht="27.5" thickBot="1" x14ac:dyDescent="0.4">
      <c r="A20" s="105" t="s">
        <v>147</v>
      </c>
      <c r="B20" s="148" t="s">
        <v>146</v>
      </c>
      <c r="C20" s="148" t="s">
        <v>145</v>
      </c>
      <c r="D20" s="148" t="s">
        <v>144</v>
      </c>
      <c r="E20" s="148" t="s">
        <v>143</v>
      </c>
      <c r="F20" s="107" t="s">
        <v>30</v>
      </c>
    </row>
    <row r="21" spans="1:7" ht="15" thickBot="1" x14ac:dyDescent="0.4">
      <c r="A21" s="108" t="s">
        <v>26</v>
      </c>
      <c r="B21" s="261">
        <f t="shared" ref="B21:E24" si="2">+B5+B13</f>
        <v>2.5699999999999998E-3</v>
      </c>
      <c r="C21" s="262">
        <f t="shared" si="2"/>
        <v>1.91E-3</v>
      </c>
      <c r="D21" s="262">
        <f t="shared" si="2"/>
        <v>5.8E-4</v>
      </c>
      <c r="E21" s="262">
        <f t="shared" si="2"/>
        <v>0</v>
      </c>
      <c r="F21" s="260">
        <f>SUM(B21:E21)</f>
        <v>5.0599999999999994E-3</v>
      </c>
      <c r="G21" s="263">
        <f>+F21-'tariff tables'!H4</f>
        <v>0</v>
      </c>
    </row>
    <row r="22" spans="1:7" ht="27.5" thickBot="1" x14ac:dyDescent="0.4">
      <c r="A22" s="108" t="s">
        <v>120</v>
      </c>
      <c r="B22" s="261">
        <f t="shared" si="2"/>
        <v>1.8800000000000002E-3</v>
      </c>
      <c r="C22" s="262">
        <f t="shared" si="2"/>
        <v>1.7599999999999998E-3</v>
      </c>
      <c r="D22" s="262">
        <f t="shared" si="2"/>
        <v>1.5299999999999999E-3</v>
      </c>
      <c r="E22" s="262">
        <f t="shared" si="2"/>
        <v>0</v>
      </c>
      <c r="F22" s="260">
        <f t="shared" ref="F22:F24" si="3">SUM(B22:E22)</f>
        <v>5.1700000000000001E-3</v>
      </c>
      <c r="G22" s="263">
        <f>+F22-'tariff tables'!H5</f>
        <v>0</v>
      </c>
    </row>
    <row r="23" spans="1:7" ht="27.5" thickBot="1" x14ac:dyDescent="0.4">
      <c r="A23" s="108" t="s">
        <v>121</v>
      </c>
      <c r="B23" s="261">
        <f t="shared" si="2"/>
        <v>2.1100000000000003E-3</v>
      </c>
      <c r="C23" s="262">
        <f t="shared" si="2"/>
        <v>1.0200000000000001E-3</v>
      </c>
      <c r="D23" s="262">
        <f t="shared" si="2"/>
        <v>1.1199999999999999E-3</v>
      </c>
      <c r="E23" s="262">
        <f t="shared" si="2"/>
        <v>0</v>
      </c>
      <c r="F23" s="260">
        <f t="shared" si="3"/>
        <v>4.2500000000000003E-3</v>
      </c>
      <c r="G23" s="263">
        <f>+F23-'tariff tables'!H6</f>
        <v>0</v>
      </c>
    </row>
    <row r="24" spans="1:7" ht="27.5" thickBot="1" x14ac:dyDescent="0.4">
      <c r="A24" s="108" t="s">
        <v>122</v>
      </c>
      <c r="B24" s="261">
        <f t="shared" si="2"/>
        <v>2.9800000000000004E-3</v>
      </c>
      <c r="C24" s="262">
        <f t="shared" si="2"/>
        <v>4.2000000000000002E-4</v>
      </c>
      <c r="D24" s="262">
        <f t="shared" si="2"/>
        <v>6.8999999999999997E-4</v>
      </c>
      <c r="E24" s="262">
        <f t="shared" si="2"/>
        <v>0</v>
      </c>
      <c r="F24" s="260">
        <f t="shared" si="3"/>
        <v>4.0899999999999999E-3</v>
      </c>
      <c r="G24" s="263">
        <f>+F24-'tariff tables'!H7</f>
        <v>0</v>
      </c>
    </row>
    <row r="26" spans="1:7" x14ac:dyDescent="0.35">
      <c r="B26" s="263">
        <f>+B21-'tariff tables'!J4</f>
        <v>0</v>
      </c>
      <c r="C26" s="263">
        <f>+C21-'tariff tables'!K4</f>
        <v>0</v>
      </c>
      <c r="D26" s="263">
        <f>+D21-'tariff tables'!L4</f>
        <v>0</v>
      </c>
      <c r="E26" s="263">
        <f>+E21-'tariff tables'!M4</f>
        <v>0</v>
      </c>
      <c r="F26" s="263"/>
    </row>
    <row r="27" spans="1:7" x14ac:dyDescent="0.35">
      <c r="B27" s="263">
        <f>+B22-'tariff tables'!J5</f>
        <v>0</v>
      </c>
      <c r="C27" s="263">
        <f>+C22-'tariff tables'!K5</f>
        <v>0</v>
      </c>
      <c r="D27" s="263">
        <f>+D22-'tariff tables'!L5</f>
        <v>0</v>
      </c>
      <c r="E27" s="263">
        <f>+E22-'tariff tables'!M5</f>
        <v>0</v>
      </c>
      <c r="F27" s="263"/>
    </row>
    <row r="28" spans="1:7" x14ac:dyDescent="0.35">
      <c r="B28" s="263">
        <f>+B23-'tariff tables'!J6</f>
        <v>0</v>
      </c>
      <c r="C28" s="263">
        <f>+C23-'tariff tables'!K6</f>
        <v>0</v>
      </c>
      <c r="D28" s="263">
        <f>+D23-'tariff tables'!L6</f>
        <v>0</v>
      </c>
      <c r="E28" s="263">
        <f>+E23-'tariff tables'!M6</f>
        <v>0</v>
      </c>
      <c r="F28" s="263"/>
    </row>
    <row r="29" spans="1:7" x14ac:dyDescent="0.35">
      <c r="B29" s="263">
        <f>+B24-'tariff tables'!J7</f>
        <v>0</v>
      </c>
      <c r="C29" s="263">
        <f>+C24-'tariff tables'!K7</f>
        <v>0</v>
      </c>
      <c r="D29" s="263">
        <f>+D24-'tariff tables'!L7</f>
        <v>0</v>
      </c>
      <c r="E29" s="263">
        <f>+E24-'tariff tables'!M7</f>
        <v>0</v>
      </c>
      <c r="F29" s="263"/>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3"/>
  <sheetViews>
    <sheetView workbookViewId="0">
      <selection activeCell="I8" sqref="I8"/>
    </sheetView>
  </sheetViews>
  <sheetFormatPr defaultRowHeight="14.5" x14ac:dyDescent="0.35"/>
  <cols>
    <col min="1" max="1" width="20.81640625" customWidth="1"/>
    <col min="2" max="2" width="22" customWidth="1"/>
    <col min="3" max="3" width="17.26953125" customWidth="1"/>
    <col min="4" max="4" width="16.26953125" customWidth="1"/>
    <col min="5" max="5" width="15.54296875" bestFit="1" customWidth="1"/>
    <col min="6" max="9" width="17.7265625" customWidth="1"/>
  </cols>
  <sheetData>
    <row r="1" spans="1:32" s="59" customFormat="1" x14ac:dyDescent="0.35">
      <c r="A1" s="76" t="s">
        <v>175</v>
      </c>
    </row>
    <row r="2" spans="1:32" ht="15" thickBot="1" x14ac:dyDescent="0.4">
      <c r="A2" s="9" t="s">
        <v>176</v>
      </c>
    </row>
    <row r="3" spans="1:32" ht="35.25" customHeight="1" thickBot="1" x14ac:dyDescent="0.4">
      <c r="B3" s="297" t="s">
        <v>67</v>
      </c>
      <c r="C3" s="297"/>
      <c r="E3" s="298" t="s">
        <v>5</v>
      </c>
      <c r="F3" s="299"/>
      <c r="G3" s="299"/>
      <c r="H3" s="299"/>
      <c r="I3" s="300"/>
    </row>
    <row r="4" spans="1:32" ht="43.5" x14ac:dyDescent="0.35">
      <c r="B4" s="83" t="s">
        <v>46</v>
      </c>
      <c r="C4" s="6" t="s">
        <v>28</v>
      </c>
      <c r="E4" s="10"/>
      <c r="F4" s="87" t="s">
        <v>26</v>
      </c>
      <c r="G4" s="87" t="s">
        <v>27</v>
      </c>
      <c r="H4" s="87" t="s">
        <v>62</v>
      </c>
      <c r="I4" s="88" t="s">
        <v>1</v>
      </c>
    </row>
    <row r="5" spans="1:32" x14ac:dyDescent="0.35">
      <c r="A5" s="21" t="s">
        <v>26</v>
      </c>
      <c r="B5" s="90">
        <f>SUM('[1]Billed kWh Sales'!G33:H33)</f>
        <v>3544334226</v>
      </c>
      <c r="C5" s="35">
        <f>SUM(F9:I9)</f>
        <v>0</v>
      </c>
      <c r="D5" s="4"/>
      <c r="E5" s="24"/>
      <c r="F5" s="26">
        <v>1</v>
      </c>
      <c r="G5" s="26">
        <v>0</v>
      </c>
      <c r="H5" s="26">
        <v>0.5</v>
      </c>
      <c r="I5" s="27">
        <v>0.5</v>
      </c>
    </row>
    <row r="6" spans="1:32" ht="15" thickBot="1" x14ac:dyDescent="0.4">
      <c r="A6" s="21" t="s">
        <v>27</v>
      </c>
      <c r="B6" s="90">
        <f>+B13</f>
        <v>3081503213</v>
      </c>
      <c r="C6" s="35">
        <f>SUM(F10:I10)</f>
        <v>0</v>
      </c>
      <c r="D6" s="4"/>
      <c r="E6" s="24"/>
      <c r="F6" s="26">
        <v>0</v>
      </c>
      <c r="G6" s="26">
        <v>1</v>
      </c>
      <c r="H6" s="26">
        <v>0.5</v>
      </c>
      <c r="I6" s="27">
        <v>0.5</v>
      </c>
    </row>
    <row r="7" spans="1:32" ht="15.5" thickTop="1" thickBot="1" x14ac:dyDescent="0.4">
      <c r="A7" s="21" t="s">
        <v>6</v>
      </c>
      <c r="B7" s="34">
        <f>SUM(B5:B6)</f>
        <v>6625837439</v>
      </c>
      <c r="C7" s="23">
        <f>SUM(C5:C6)</f>
        <v>0</v>
      </c>
      <c r="D7" s="4"/>
      <c r="E7" s="30" t="s">
        <v>12</v>
      </c>
      <c r="F7" s="20">
        <f>1-SUM(F5:F6)</f>
        <v>0</v>
      </c>
      <c r="G7" s="20">
        <f>1-SUM(G5:G6)</f>
        <v>0</v>
      </c>
      <c r="H7" s="20">
        <f>1-SUM(H5:H6)</f>
        <v>0</v>
      </c>
      <c r="I7" s="20">
        <f>1-SUM(I5:I6)</f>
        <v>0</v>
      </c>
    </row>
    <row r="8" spans="1:32" ht="15.5" thickTop="1" thickBot="1" x14ac:dyDescent="0.4">
      <c r="B8" s="32" t="s">
        <v>12</v>
      </c>
      <c r="C8" s="20">
        <f>SUM(F8:I8)-C7</f>
        <v>0</v>
      </c>
      <c r="D8" s="2"/>
      <c r="E8" s="31" t="s">
        <v>6</v>
      </c>
      <c r="F8" s="36">
        <v>0</v>
      </c>
      <c r="G8" s="36">
        <v>0</v>
      </c>
      <c r="H8" s="36">
        <v>0</v>
      </c>
      <c r="I8" s="37">
        <v>0</v>
      </c>
    </row>
    <row r="9" spans="1:32" ht="29.5" thickTop="1" x14ac:dyDescent="0.35">
      <c r="D9" s="252" t="s">
        <v>127</v>
      </c>
      <c r="E9" s="102" t="s">
        <v>26</v>
      </c>
      <c r="F9" s="103">
        <f t="shared" ref="F9:I10" si="0">F5*F$8</f>
        <v>0</v>
      </c>
      <c r="G9" s="103">
        <f t="shared" si="0"/>
        <v>0</v>
      </c>
      <c r="H9" s="103">
        <f t="shared" si="0"/>
        <v>0</v>
      </c>
      <c r="I9" s="104">
        <f t="shared" si="0"/>
        <v>0</v>
      </c>
    </row>
    <row r="10" spans="1:32" ht="15" thickBot="1" x14ac:dyDescent="0.4">
      <c r="A10" s="21" t="s">
        <v>120</v>
      </c>
      <c r="B10" s="90">
        <f>SUM('[1]Billed kWh Sales'!$G$34:$H$34)</f>
        <v>906575279</v>
      </c>
      <c r="C10" s="35">
        <f>ROUND($C$6*D10,2)</f>
        <v>0</v>
      </c>
      <c r="D10" s="250">
        <f>+'[2]Monthly TD Calc'!$CY$44</f>
        <v>0.39209287804949344</v>
      </c>
      <c r="E10" s="25" t="s">
        <v>27</v>
      </c>
      <c r="F10" s="28">
        <f t="shared" si="0"/>
        <v>0</v>
      </c>
      <c r="G10" s="28">
        <f t="shared" si="0"/>
        <v>0</v>
      </c>
      <c r="H10" s="28">
        <f t="shared" si="0"/>
        <v>0</v>
      </c>
      <c r="I10" s="29">
        <f t="shared" si="0"/>
        <v>0</v>
      </c>
    </row>
    <row r="11" spans="1:32" x14ac:dyDescent="0.35">
      <c r="A11" s="21" t="s">
        <v>121</v>
      </c>
      <c r="B11" s="90">
        <f>SUM('[1]Billed kWh Sales'!$G$35:$H$35)</f>
        <v>1374305969</v>
      </c>
      <c r="C11" s="35">
        <f>ROUND($C$6*D11,2)</f>
        <v>0</v>
      </c>
      <c r="D11" s="250">
        <f>+'[2]Monthly TD Calc'!$DA$44</f>
        <v>0.45435908608374953</v>
      </c>
    </row>
    <row r="12" spans="1:32" x14ac:dyDescent="0.35">
      <c r="A12" s="21" t="s">
        <v>122</v>
      </c>
      <c r="B12" s="90">
        <f>SUM('[1]Billed kWh Sales'!$G$36:$H$36)</f>
        <v>800621965</v>
      </c>
      <c r="C12" s="35">
        <f>ROUND($C$6*D12,2)</f>
        <v>0</v>
      </c>
      <c r="D12" s="250">
        <f>+'[2]Monthly TD Calc'!$DB$44</f>
        <v>0.15354803586675725</v>
      </c>
      <c r="W12" s="1"/>
      <c r="X12" s="1"/>
      <c r="Y12" s="1"/>
      <c r="Z12" s="1"/>
      <c r="AA12" s="1"/>
      <c r="AB12" s="1"/>
      <c r="AC12" s="1"/>
      <c r="AD12" s="1"/>
      <c r="AE12" s="1"/>
      <c r="AF12" s="1"/>
    </row>
    <row r="13" spans="1:32" s="59" customFormat="1" x14ac:dyDescent="0.35">
      <c r="A13" s="42" t="s">
        <v>124</v>
      </c>
      <c r="B13" s="34">
        <f>SUM(B10:B12)</f>
        <v>3081503213</v>
      </c>
      <c r="C13" s="23">
        <f>SUM(C10:C12)</f>
        <v>0</v>
      </c>
      <c r="D13" s="251">
        <f>SUM(D10:D12)</f>
        <v>1.0000000000000002</v>
      </c>
      <c r="W13" s="1"/>
      <c r="X13" s="1"/>
      <c r="Y13" s="1"/>
      <c r="Z13" s="1"/>
      <c r="AA13" s="1"/>
      <c r="AB13" s="1"/>
      <c r="AC13" s="1"/>
      <c r="AD13" s="1"/>
      <c r="AE13" s="1"/>
      <c r="AF13" s="1"/>
    </row>
    <row r="14" spans="1:32" x14ac:dyDescent="0.35">
      <c r="F14" s="58"/>
      <c r="G14" s="58"/>
      <c r="H14" s="58"/>
      <c r="I14" s="169"/>
      <c r="J14" s="58"/>
    </row>
    <row r="15" spans="1:32" s="59" customFormat="1" x14ac:dyDescent="0.35">
      <c r="A15" s="66" t="s">
        <v>13</v>
      </c>
      <c r="I15" s="169"/>
    </row>
    <row r="16" spans="1:32" x14ac:dyDescent="0.35">
      <c r="A16" s="301" t="s">
        <v>185</v>
      </c>
      <c r="B16" s="301"/>
      <c r="C16" s="301"/>
      <c r="D16" s="301"/>
      <c r="E16" s="301"/>
      <c r="F16" s="301"/>
      <c r="G16" s="301"/>
      <c r="H16" s="301"/>
      <c r="I16" s="301"/>
    </row>
    <row r="17" spans="1:10" x14ac:dyDescent="0.35">
      <c r="A17" s="301" t="s">
        <v>186</v>
      </c>
      <c r="B17" s="301"/>
      <c r="C17" s="301"/>
      <c r="D17" s="301"/>
      <c r="E17" s="301"/>
      <c r="F17" s="301"/>
      <c r="G17" s="301"/>
      <c r="H17" s="301"/>
      <c r="I17" s="301"/>
    </row>
    <row r="18" spans="1:10" x14ac:dyDescent="0.35">
      <c r="A18" s="3" t="s">
        <v>184</v>
      </c>
      <c r="I18" s="169"/>
    </row>
    <row r="19" spans="1:10" x14ac:dyDescent="0.35">
      <c r="I19" s="169"/>
    </row>
    <row r="20" spans="1:10" x14ac:dyDescent="0.35">
      <c r="I20" s="169"/>
    </row>
    <row r="27" spans="1:10" x14ac:dyDescent="0.35">
      <c r="C27" s="2"/>
    </row>
    <row r="29" spans="1:10" x14ac:dyDescent="0.35">
      <c r="A29" s="59"/>
      <c r="B29" s="59"/>
      <c r="C29" s="59"/>
      <c r="D29" s="59"/>
      <c r="E29" s="59"/>
      <c r="F29" s="59"/>
      <c r="G29" s="59"/>
      <c r="H29" s="59"/>
      <c r="I29" s="59"/>
      <c r="J29" s="59"/>
    </row>
    <row r="30" spans="1:10" x14ac:dyDescent="0.35">
      <c r="A30" s="59"/>
      <c r="B30" s="59"/>
      <c r="C30" s="59"/>
      <c r="E30" s="59"/>
      <c r="F30" s="59"/>
      <c r="G30" s="59"/>
      <c r="H30" s="59"/>
      <c r="I30" s="59"/>
      <c r="J30" s="59"/>
    </row>
    <row r="31" spans="1:10" x14ac:dyDescent="0.35">
      <c r="A31" s="59"/>
      <c r="B31" s="59"/>
      <c r="C31" s="59"/>
      <c r="D31" s="59"/>
      <c r="E31" s="59"/>
      <c r="F31" s="59"/>
      <c r="G31" s="59"/>
      <c r="H31" s="59"/>
      <c r="I31" s="59"/>
      <c r="J31" s="59"/>
    </row>
    <row r="32" spans="1:10" x14ac:dyDescent="0.35">
      <c r="A32" s="59"/>
      <c r="B32" s="59"/>
      <c r="C32" s="59"/>
      <c r="D32" s="59"/>
      <c r="E32" s="59"/>
      <c r="F32" s="59"/>
      <c r="G32" s="59"/>
      <c r="H32" s="59"/>
      <c r="I32" s="59"/>
      <c r="J32" s="59"/>
    </row>
    <row r="33" spans="1:10" x14ac:dyDescent="0.35">
      <c r="A33" s="59"/>
      <c r="B33" s="59"/>
      <c r="C33" s="59"/>
      <c r="D33" s="59"/>
      <c r="E33" s="59"/>
      <c r="F33" s="59"/>
      <c r="G33" s="59"/>
      <c r="H33" s="59"/>
      <c r="I33" s="59"/>
      <c r="J33" s="59"/>
    </row>
    <row r="34" spans="1:10" x14ac:dyDescent="0.35">
      <c r="A34" s="59"/>
      <c r="B34" s="59"/>
      <c r="C34" s="59"/>
      <c r="D34" s="59"/>
      <c r="E34" s="59"/>
      <c r="F34" s="59"/>
      <c r="G34" s="59"/>
      <c r="H34" s="59"/>
      <c r="I34" s="59"/>
      <c r="J34" s="59"/>
    </row>
    <row r="35" spans="1:10" x14ac:dyDescent="0.35">
      <c r="A35" s="59"/>
      <c r="B35" s="59"/>
      <c r="C35" s="59"/>
      <c r="D35" s="59"/>
      <c r="E35" s="59"/>
      <c r="F35" s="59"/>
      <c r="G35" s="59"/>
      <c r="H35" s="59"/>
      <c r="I35" s="59"/>
      <c r="J35" s="59"/>
    </row>
    <row r="36" spans="1:10" x14ac:dyDescent="0.35">
      <c r="A36" s="59"/>
      <c r="B36" s="59"/>
      <c r="C36" s="59"/>
      <c r="D36" s="59"/>
      <c r="E36" s="59"/>
      <c r="F36" s="59"/>
      <c r="G36" s="59"/>
      <c r="H36" s="59"/>
      <c r="I36" s="59"/>
      <c r="J36" s="59"/>
    </row>
    <row r="37" spans="1:10" x14ac:dyDescent="0.35">
      <c r="A37" s="59"/>
      <c r="B37" s="59"/>
      <c r="C37" s="59"/>
      <c r="D37" s="59"/>
      <c r="E37" s="59"/>
      <c r="F37" s="59"/>
      <c r="G37" s="59"/>
      <c r="H37" s="59"/>
      <c r="I37" s="59"/>
      <c r="J37" s="59"/>
    </row>
    <row r="38" spans="1:10" x14ac:dyDescent="0.35">
      <c r="A38" s="59"/>
      <c r="B38" s="59"/>
      <c r="C38" s="59"/>
      <c r="D38" s="59"/>
      <c r="E38" s="59"/>
      <c r="F38" s="59"/>
      <c r="G38" s="59"/>
      <c r="H38" s="59"/>
      <c r="I38" s="59"/>
      <c r="J38" s="59"/>
    </row>
    <row r="39" spans="1:10" x14ac:dyDescent="0.35">
      <c r="A39" s="59"/>
      <c r="B39" s="59"/>
      <c r="C39" s="59"/>
      <c r="D39" s="59"/>
      <c r="E39" s="59"/>
      <c r="F39" s="59"/>
      <c r="G39" s="59"/>
      <c r="H39" s="59"/>
      <c r="I39" s="59"/>
      <c r="J39" s="59"/>
    </row>
    <row r="40" spans="1:10" x14ac:dyDescent="0.35">
      <c r="A40" s="59"/>
      <c r="B40" s="59"/>
      <c r="C40" s="59"/>
      <c r="D40" s="59"/>
      <c r="E40" s="59"/>
      <c r="F40" s="59"/>
      <c r="G40" s="59"/>
      <c r="H40" s="59"/>
      <c r="I40" s="59"/>
      <c r="J40" s="59"/>
    </row>
    <row r="41" spans="1:10" x14ac:dyDescent="0.35">
      <c r="A41" s="59"/>
      <c r="B41" s="59"/>
      <c r="C41" s="59"/>
      <c r="D41" s="59"/>
      <c r="E41" s="59"/>
      <c r="F41" s="59"/>
      <c r="G41" s="59"/>
      <c r="H41" s="59"/>
      <c r="I41" s="59"/>
      <c r="J41" s="59"/>
    </row>
    <row r="42" spans="1:10" x14ac:dyDescent="0.35">
      <c r="A42" s="59"/>
      <c r="B42" s="59"/>
      <c r="C42" s="59"/>
      <c r="D42" s="59"/>
      <c r="E42" s="59"/>
      <c r="F42" s="59"/>
      <c r="G42" s="59"/>
      <c r="H42" s="59"/>
      <c r="I42" s="59"/>
      <c r="J42" s="59"/>
    </row>
    <row r="43" spans="1:10" x14ac:dyDescent="0.35">
      <c r="A43" s="59"/>
      <c r="B43" s="59"/>
      <c r="C43" s="59"/>
      <c r="D43" s="59"/>
      <c r="E43" s="59"/>
      <c r="F43" s="59"/>
      <c r="G43" s="59"/>
      <c r="H43" s="59"/>
      <c r="I43" s="59"/>
      <c r="J43" s="59"/>
    </row>
    <row r="49" spans="2:4" x14ac:dyDescent="0.35">
      <c r="B49" s="8"/>
      <c r="C49" s="8"/>
      <c r="D49" s="8"/>
    </row>
    <row r="53" spans="2:4" x14ac:dyDescent="0.35">
      <c r="B53" s="8"/>
      <c r="C53" s="8"/>
      <c r="D53" s="8"/>
    </row>
  </sheetData>
  <mergeCells count="4">
    <mergeCell ref="B3:C3"/>
    <mergeCell ref="E3:I3"/>
    <mergeCell ref="A16:I16"/>
    <mergeCell ref="A17:I17"/>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9"/>
  <sheetViews>
    <sheetView workbookViewId="0">
      <selection activeCell="E4" sqref="E4:E11"/>
    </sheetView>
  </sheetViews>
  <sheetFormatPr defaultColWidth="9.1796875" defaultRowHeight="14.5" x14ac:dyDescent="0.35"/>
  <cols>
    <col min="1" max="1" width="20.81640625" style="59" customWidth="1"/>
    <col min="2" max="2" width="22" style="59" customWidth="1"/>
    <col min="3" max="3" width="17.26953125" style="59" customWidth="1"/>
    <col min="4" max="16384" width="9.1796875" style="59"/>
  </cols>
  <sheetData>
    <row r="1" spans="1:25" x14ac:dyDescent="0.35">
      <c r="A1" s="76" t="str">
        <f>+'PPC Cycle 2'!A1</f>
        <v>Evergy Missouri West, Inc. - DSIM Rider Update Filed 12/01/2020</v>
      </c>
    </row>
    <row r="2" spans="1:25" x14ac:dyDescent="0.35">
      <c r="A2" s="9" t="s">
        <v>176</v>
      </c>
    </row>
    <row r="3" spans="1:25" ht="35.25" customHeight="1" x14ac:dyDescent="0.35">
      <c r="B3" s="297" t="s">
        <v>125</v>
      </c>
      <c r="C3" s="297"/>
    </row>
    <row r="4" spans="1:25" ht="43.5" x14ac:dyDescent="0.35">
      <c r="B4" s="83" t="s">
        <v>46</v>
      </c>
      <c r="C4" s="258" t="s">
        <v>28</v>
      </c>
    </row>
    <row r="5" spans="1:25" x14ac:dyDescent="0.35">
      <c r="A5" s="21" t="s">
        <v>26</v>
      </c>
      <c r="B5" s="90">
        <f>SUM('[1]Billed kWh Sales'!G33:H33)</f>
        <v>3544334226</v>
      </c>
      <c r="C5" s="256">
        <f>ROUND(SUM('[3]Monthly Program Costs'!T277:AE277),2)</f>
        <v>9230834.5099999998</v>
      </c>
    </row>
    <row r="6" spans="1:25" x14ac:dyDescent="0.35">
      <c r="A6" s="21" t="s">
        <v>120</v>
      </c>
      <c r="B6" s="90">
        <f>SUM('[1]Billed kWh Sales'!$G$34:$H$34)</f>
        <v>906575279</v>
      </c>
      <c r="C6" s="256">
        <f>ROUND(SUM('[3]Monthly Program Costs'!T278:AE278),2)</f>
        <v>2013632.28</v>
      </c>
      <c r="E6" s="296"/>
    </row>
    <row r="7" spans="1:25" x14ac:dyDescent="0.35">
      <c r="A7" s="21" t="s">
        <v>121</v>
      </c>
      <c r="B7" s="90">
        <f>SUM('[1]Billed kWh Sales'!$G$35:$H$35)</f>
        <v>1374305969</v>
      </c>
      <c r="C7" s="256">
        <f>ROUND(SUM('[3]Monthly Program Costs'!T280:AE280),2)</f>
        <v>3018909.65</v>
      </c>
      <c r="E7" s="296"/>
    </row>
    <row r="8" spans="1:25" x14ac:dyDescent="0.35">
      <c r="A8" s="21" t="s">
        <v>122</v>
      </c>
      <c r="B8" s="90">
        <f>SUM('[1]Billed kWh Sales'!$G$36:$H$36)</f>
        <v>800621965</v>
      </c>
      <c r="C8" s="256">
        <f>ROUND(SUM('[3]Monthly Program Costs'!T281:AE281),2)</f>
        <v>2275768.66</v>
      </c>
      <c r="E8" s="296"/>
      <c r="P8" s="1"/>
      <c r="Q8" s="1"/>
      <c r="R8" s="1"/>
      <c r="S8" s="1"/>
      <c r="T8" s="1"/>
      <c r="U8" s="1"/>
      <c r="V8" s="1"/>
      <c r="W8" s="1"/>
      <c r="X8" s="1"/>
      <c r="Y8" s="1"/>
    </row>
    <row r="9" spans="1:25" x14ac:dyDescent="0.35">
      <c r="A9" s="42" t="s">
        <v>124</v>
      </c>
      <c r="B9" s="34">
        <f>SUM(B5:B8)</f>
        <v>6625837439</v>
      </c>
      <c r="C9" s="257">
        <f>SUM(C5:C8)</f>
        <v>16539145.1</v>
      </c>
      <c r="P9" s="1"/>
      <c r="Q9" s="1"/>
      <c r="R9" s="1"/>
      <c r="S9" s="1"/>
      <c r="T9" s="1"/>
      <c r="U9" s="1"/>
      <c r="V9" s="1"/>
      <c r="W9" s="1"/>
      <c r="X9" s="1"/>
      <c r="Y9" s="1"/>
    </row>
    <row r="11" spans="1:25" x14ac:dyDescent="0.35">
      <c r="A11" s="66" t="s">
        <v>13</v>
      </c>
    </row>
    <row r="12" spans="1:25" ht="29.25" customHeight="1" x14ac:dyDescent="0.35">
      <c r="A12" s="302" t="s">
        <v>185</v>
      </c>
      <c r="B12" s="302"/>
      <c r="C12" s="302"/>
      <c r="D12" s="302"/>
      <c r="E12" s="302"/>
      <c r="F12" s="302"/>
      <c r="G12" s="302"/>
      <c r="H12" s="302"/>
      <c r="I12" s="302"/>
    </row>
    <row r="13" spans="1:25" ht="47.25" customHeight="1" x14ac:dyDescent="0.35">
      <c r="A13" s="302" t="s">
        <v>191</v>
      </c>
      <c r="B13" s="302"/>
      <c r="C13" s="302"/>
    </row>
    <row r="14" spans="1:25" x14ac:dyDescent="0.35">
      <c r="A14" s="3"/>
    </row>
    <row r="23" spans="3:3" x14ac:dyDescent="0.35">
      <c r="C23" s="2"/>
    </row>
    <row r="45" spans="2:3" x14ac:dyDescent="0.35">
      <c r="B45" s="8"/>
      <c r="C45" s="8"/>
    </row>
    <row r="49" spans="2:3" x14ac:dyDescent="0.35">
      <c r="B49" s="8"/>
      <c r="C49" s="8"/>
    </row>
  </sheetData>
  <mergeCells count="5">
    <mergeCell ref="B3:C3"/>
    <mergeCell ref="A13:C13"/>
    <mergeCell ref="A12:C12"/>
    <mergeCell ref="D12:F12"/>
    <mergeCell ref="G12:I12"/>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topLeftCell="A22" workbookViewId="0">
      <selection activeCell="M44" sqref="M44"/>
    </sheetView>
  </sheetViews>
  <sheetFormatPr defaultColWidth="9.1796875" defaultRowHeight="14.5" x14ac:dyDescent="0.35"/>
  <cols>
    <col min="1" max="1" width="54.54296875" style="59" customWidth="1"/>
    <col min="2" max="2" width="14.7265625" style="59" customWidth="1"/>
    <col min="3" max="3" width="15" style="59" customWidth="1"/>
    <col min="4" max="4" width="15.26953125" style="59" customWidth="1"/>
    <col min="5" max="5" width="15.81640625" style="59" customWidth="1"/>
    <col min="6" max="6" width="17.54296875" style="59" customWidth="1"/>
    <col min="7" max="8" width="13.26953125" style="59" customWidth="1"/>
    <col min="9" max="9" width="15.7265625" style="59" customWidth="1"/>
    <col min="10" max="11" width="12.54296875" style="59" bestFit="1" customWidth="1"/>
    <col min="12" max="12" width="14.453125" style="59" customWidth="1"/>
    <col min="13" max="13" width="15" style="59" bestFit="1" customWidth="1"/>
    <col min="14" max="14" width="16.26953125" style="59" bestFit="1" customWidth="1"/>
    <col min="15" max="15" width="16.1796875" style="59" customWidth="1"/>
    <col min="16" max="16" width="17.26953125" style="59" bestFit="1" customWidth="1"/>
    <col min="17" max="17" width="17.453125" style="59" customWidth="1"/>
    <col min="18" max="18" width="15.54296875" style="59" customWidth="1"/>
    <col min="19" max="19" width="13" style="59" customWidth="1"/>
    <col min="20" max="20" width="9.1796875" style="59"/>
    <col min="21" max="21" width="14.26953125" style="59" bestFit="1" customWidth="1"/>
    <col min="22" max="16384" width="9.1796875" style="59"/>
  </cols>
  <sheetData>
    <row r="1" spans="1:34" x14ac:dyDescent="0.35">
      <c r="A1" s="3" t="str">
        <f>+'PPC Cycle 2'!A1</f>
        <v>Evergy Missouri West, Inc. - DSIM Rider Update Filed 12/01/2020</v>
      </c>
      <c r="B1" s="3"/>
      <c r="C1" s="3"/>
    </row>
    <row r="2" spans="1:34" x14ac:dyDescent="0.35">
      <c r="D2" s="3" t="s">
        <v>63</v>
      </c>
    </row>
    <row r="3" spans="1:34" ht="29" x14ac:dyDescent="0.35">
      <c r="D3" s="61" t="s">
        <v>48</v>
      </c>
      <c r="E3" s="61" t="s">
        <v>47</v>
      </c>
      <c r="F3" s="83" t="s">
        <v>2</v>
      </c>
      <c r="G3" s="61" t="s">
        <v>3</v>
      </c>
      <c r="H3" s="83" t="s">
        <v>57</v>
      </c>
      <c r="I3" s="61" t="s">
        <v>11</v>
      </c>
      <c r="J3" s="61" t="s">
        <v>4</v>
      </c>
    </row>
    <row r="4" spans="1:34" x14ac:dyDescent="0.35">
      <c r="A4" s="21" t="s">
        <v>26</v>
      </c>
      <c r="D4" s="23">
        <f>SUM(C32:L32)</f>
        <v>33025.630000000026</v>
      </c>
      <c r="E4" s="156">
        <f>SUM(C26:L26)</f>
        <v>1804178913.3283997</v>
      </c>
      <c r="F4" s="23">
        <f>SUM(C22:K22)</f>
        <v>56449.62999999999</v>
      </c>
      <c r="G4" s="23">
        <f>F4-D4</f>
        <v>23423.999999999964</v>
      </c>
      <c r="H4" s="23">
        <f>+B44</f>
        <v>-9777.4976800000786</v>
      </c>
      <c r="I4" s="23">
        <f>SUM(C49:K49)</f>
        <v>-124.57999999999998</v>
      </c>
      <c r="J4" s="35">
        <f>SUM(G4:I4)</f>
        <v>13521.922319999885</v>
      </c>
      <c r="K4" s="60">
        <f>+J4-L44</f>
        <v>2.9103830456733704E-11</v>
      </c>
    </row>
    <row r="5" spans="1:34" ht="15" thickBot="1" x14ac:dyDescent="0.4">
      <c r="A5" s="21" t="s">
        <v>27</v>
      </c>
      <c r="D5" s="23">
        <f>SUM(C33:L35)</f>
        <v>-541359.21</v>
      </c>
      <c r="E5" s="156">
        <f>SUM(C27:L29)</f>
        <v>1507160632.0118001</v>
      </c>
      <c r="F5" s="23">
        <f>SUM(C23:K23)</f>
        <v>62612.869999999995</v>
      </c>
      <c r="G5" s="23">
        <f>F5-D5</f>
        <v>603972.07999999996</v>
      </c>
      <c r="H5" s="23">
        <f>+B45</f>
        <v>-1080923.53896</v>
      </c>
      <c r="I5" s="23">
        <f>SUM(C50:K50)</f>
        <v>-5086.26</v>
      </c>
      <c r="J5" s="35">
        <f>SUM(G5:I5)</f>
        <v>-482037.71896000009</v>
      </c>
      <c r="K5" s="60">
        <f>+J5-L45</f>
        <v>0</v>
      </c>
    </row>
    <row r="6" spans="1:34" ht="15.5" thickTop="1" thickBot="1" x14ac:dyDescent="0.4">
      <c r="D6" s="39">
        <f t="shared" ref="D6" si="0">SUM(D4:D5)</f>
        <v>-508333.57999999996</v>
      </c>
      <c r="E6" s="39">
        <f t="shared" ref="E6:H6" si="1">SUM(E4:E5)</f>
        <v>3311339545.3401995</v>
      </c>
      <c r="F6" s="39">
        <f t="shared" si="1"/>
        <v>119062.49999999999</v>
      </c>
      <c r="G6" s="39">
        <f t="shared" si="1"/>
        <v>627396.07999999996</v>
      </c>
      <c r="H6" s="39">
        <f t="shared" si="1"/>
        <v>-1090701.0366400001</v>
      </c>
      <c r="I6" s="39">
        <f>SUM(I4:I5)</f>
        <v>-5210.84</v>
      </c>
      <c r="J6" s="39">
        <f>SUM(J4:J5)</f>
        <v>-468515.79664000019</v>
      </c>
    </row>
    <row r="7" spans="1:34" ht="44" thickTop="1" x14ac:dyDescent="0.35">
      <c r="D7" s="254"/>
      <c r="E7" s="255"/>
      <c r="F7" s="254"/>
      <c r="G7" s="254"/>
      <c r="H7" s="254"/>
      <c r="I7" s="253"/>
      <c r="J7" s="253"/>
      <c r="K7" s="252" t="s">
        <v>136</v>
      </c>
    </row>
    <row r="8" spans="1:34" x14ac:dyDescent="0.35">
      <c r="A8" s="21" t="s">
        <v>120</v>
      </c>
      <c r="D8" s="254"/>
      <c r="E8" s="255"/>
      <c r="F8" s="254"/>
      <c r="G8" s="254"/>
      <c r="H8" s="254"/>
      <c r="I8" s="253"/>
      <c r="J8" s="35">
        <f>ROUND($J$5*K8,2)</f>
        <v>-189003.56</v>
      </c>
      <c r="K8" s="250">
        <f>+'PPC Cycle 2'!D10</f>
        <v>0.39209287804949344</v>
      </c>
    </row>
    <row r="9" spans="1:34" x14ac:dyDescent="0.35">
      <c r="A9" s="21" t="s">
        <v>121</v>
      </c>
      <c r="D9" s="254"/>
      <c r="E9" s="255"/>
      <c r="F9" s="254"/>
      <c r="G9" s="254"/>
      <c r="H9" s="254"/>
      <c r="I9" s="253"/>
      <c r="J9" s="35">
        <f t="shared" ref="J9:J10" si="2">ROUND($J$5*K9,2)</f>
        <v>-219018.22</v>
      </c>
      <c r="K9" s="250">
        <f>+'PPC Cycle 2'!D11</f>
        <v>0.45435908608374953</v>
      </c>
    </row>
    <row r="10" spans="1:34" ht="15" thickBot="1" x14ac:dyDescent="0.4">
      <c r="A10" s="21" t="s">
        <v>122</v>
      </c>
      <c r="D10" s="254"/>
      <c r="E10" s="255"/>
      <c r="F10" s="254"/>
      <c r="G10" s="254"/>
      <c r="H10" s="254"/>
      <c r="I10" s="253"/>
      <c r="J10" s="35">
        <f t="shared" si="2"/>
        <v>-74015.94</v>
      </c>
      <c r="K10" s="250">
        <f>+'PPC Cycle 2'!D12</f>
        <v>0.15354803586675725</v>
      </c>
    </row>
    <row r="11" spans="1:34" ht="15.5" thickTop="1" thickBot="1" x14ac:dyDescent="0.4">
      <c r="A11" s="21" t="s">
        <v>124</v>
      </c>
      <c r="D11" s="254"/>
      <c r="E11" s="255"/>
      <c r="F11" s="254"/>
      <c r="G11" s="254"/>
      <c r="H11" s="254"/>
      <c r="I11" s="253"/>
      <c r="J11" s="39">
        <f>SUM(J8:J10)</f>
        <v>-482037.72000000003</v>
      </c>
      <c r="K11" s="251">
        <f>SUM(K8:K10)</f>
        <v>1.0000000000000002</v>
      </c>
    </row>
    <row r="12" spans="1:34" ht="15.5" thickTop="1" thickBot="1" x14ac:dyDescent="0.4"/>
    <row r="13" spans="1:34" ht="87.5" thickBot="1" x14ac:dyDescent="0.4">
      <c r="B13" s="136" t="s">
        <v>177</v>
      </c>
      <c r="C13" s="171" t="s">
        <v>178</v>
      </c>
      <c r="D13" s="307" t="s">
        <v>35</v>
      </c>
      <c r="E13" s="307"/>
      <c r="F13" s="308"/>
      <c r="G13" s="298" t="s">
        <v>35</v>
      </c>
      <c r="H13" s="299"/>
      <c r="I13" s="300"/>
      <c r="J13" s="303" t="s">
        <v>9</v>
      </c>
      <c r="K13" s="304"/>
      <c r="L13" s="305"/>
    </row>
    <row r="14" spans="1:34" x14ac:dyDescent="0.35">
      <c r="A14" s="59" t="s">
        <v>34</v>
      </c>
      <c r="C14" s="14"/>
      <c r="D14" s="19">
        <v>43982</v>
      </c>
      <c r="E14" s="19">
        <f>EOMONTH(D14,1)</f>
        <v>44012</v>
      </c>
      <c r="F14" s="19">
        <f t="shared" ref="F14:L14" si="3">EOMONTH(E14,1)</f>
        <v>44043</v>
      </c>
      <c r="G14" s="14">
        <f t="shared" si="3"/>
        <v>44074</v>
      </c>
      <c r="H14" s="19">
        <f t="shared" si="3"/>
        <v>44104</v>
      </c>
      <c r="I14" s="15">
        <f t="shared" si="3"/>
        <v>44135</v>
      </c>
      <c r="J14" s="19">
        <f t="shared" si="3"/>
        <v>44165</v>
      </c>
      <c r="K14" s="19">
        <f t="shared" si="3"/>
        <v>44196</v>
      </c>
      <c r="L14" s="113">
        <f t="shared" si="3"/>
        <v>44227</v>
      </c>
      <c r="Y14" s="1"/>
      <c r="Z14" s="1"/>
      <c r="AA14" s="1"/>
      <c r="AB14" s="1"/>
      <c r="AC14" s="1"/>
      <c r="AD14" s="1"/>
      <c r="AE14" s="1"/>
      <c r="AF14" s="1"/>
      <c r="AG14" s="1"/>
      <c r="AH14" s="1"/>
    </row>
    <row r="15" spans="1:34" x14ac:dyDescent="0.35">
      <c r="A15" s="59" t="s">
        <v>26</v>
      </c>
      <c r="C15" s="115">
        <v>-27919.22</v>
      </c>
      <c r="D15" s="127">
        <f>ROUND('[4]MO West Cycle 2'!C22,2)</f>
        <v>0</v>
      </c>
      <c r="E15" s="127">
        <f>ROUND('[4]MO West Cycle 2'!D22,2)</f>
        <v>0</v>
      </c>
      <c r="F15" s="128">
        <f>ROUND('[4]MO West Cycle 2'!E22,2)</f>
        <v>0</v>
      </c>
      <c r="G15" s="16">
        <f>ROUND('[4]MO West Cycle 2'!F22,2)</f>
        <v>40273.949999999997</v>
      </c>
      <c r="H15" s="68">
        <f>ROUND('[4]MO West Cycle 2'!G22,2)</f>
        <v>43483.71</v>
      </c>
      <c r="I15" s="186">
        <f>ROUND('[4]MO West Cycle 2'!H22,2)</f>
        <v>-4828.33</v>
      </c>
      <c r="J15" s="196">
        <v>0</v>
      </c>
      <c r="K15" s="158">
        <v>0</v>
      </c>
      <c r="L15" s="91"/>
    </row>
    <row r="16" spans="1:34" x14ac:dyDescent="0.35">
      <c r="A16" s="59" t="s">
        <v>27</v>
      </c>
      <c r="C16" s="115">
        <v>-31292.52</v>
      </c>
      <c r="D16" s="127">
        <f>ROUND('[4]MO West Cycle 2'!C23,2)</f>
        <v>0</v>
      </c>
      <c r="E16" s="127">
        <f>ROUND('[4]MO West Cycle 2'!D23,2)</f>
        <v>0</v>
      </c>
      <c r="F16" s="128">
        <f>ROUND('[4]MO West Cycle 2'!E23,2)</f>
        <v>0</v>
      </c>
      <c r="G16" s="16">
        <f>ROUND('[4]MO West Cycle 2'!F23,2)</f>
        <v>45140</v>
      </c>
      <c r="H16" s="68">
        <f>ROUND('[4]MO West Cycle 2'!G23,2)</f>
        <v>48737.56</v>
      </c>
      <c r="I16" s="186">
        <f>ROUND('[4]MO West Cycle 2'!H23,2)</f>
        <v>-5411.69</v>
      </c>
      <c r="J16" s="196">
        <v>0</v>
      </c>
      <c r="K16" s="158">
        <v>0</v>
      </c>
      <c r="L16" s="91"/>
      <c r="M16" s="76" t="s">
        <v>29</v>
      </c>
    </row>
    <row r="17" spans="1:14" x14ac:dyDescent="0.35">
      <c r="A17" s="59" t="s">
        <v>0</v>
      </c>
      <c r="C17" s="115">
        <v>-5954.4</v>
      </c>
      <c r="D17" s="127">
        <f>ROUND('[4]MO West Cycle 2'!C24,2)</f>
        <v>0</v>
      </c>
      <c r="E17" s="127">
        <f>ROUND('[4]MO West Cycle 2'!D24,2)</f>
        <v>0</v>
      </c>
      <c r="F17" s="128">
        <f>ROUND('[4]MO West Cycle 2'!E24,2)</f>
        <v>0</v>
      </c>
      <c r="G17" s="16">
        <f>ROUND('[4]MO West Cycle 2'!F24,2)</f>
        <v>8589.32</v>
      </c>
      <c r="H17" s="68">
        <f>ROUND('[4]MO West Cycle 2'!G24,2)</f>
        <v>9273.8700000000008</v>
      </c>
      <c r="I17" s="186">
        <f>ROUND('[4]MO West Cycle 2'!H24,2)</f>
        <v>-1029.75</v>
      </c>
      <c r="J17" s="196">
        <v>0</v>
      </c>
      <c r="K17" s="158">
        <v>0</v>
      </c>
      <c r="L17" s="91"/>
      <c r="M17" s="86">
        <v>0.5</v>
      </c>
    </row>
    <row r="18" spans="1:14" x14ac:dyDescent="0.35">
      <c r="A18" s="59" t="s">
        <v>1</v>
      </c>
      <c r="C18" s="115">
        <v>0</v>
      </c>
      <c r="D18" s="127">
        <f>ROUND('[4]MO West Cycle 2'!C25,2)</f>
        <v>0</v>
      </c>
      <c r="E18" s="127">
        <f>ROUND('[4]MO West Cycle 2'!D25,2)</f>
        <v>0</v>
      </c>
      <c r="F18" s="128">
        <f>ROUND('[4]MO West Cycle 2'!E25,2)</f>
        <v>0</v>
      </c>
      <c r="G18" s="16">
        <f>ROUND('[4]MO West Cycle 2'!F25,2)</f>
        <v>0</v>
      </c>
      <c r="H18" s="68">
        <f>ROUND('[4]MO West Cycle 2'!G25,2)</f>
        <v>0</v>
      </c>
      <c r="I18" s="186">
        <f>ROUND('[4]MO West Cycle 2'!H25,2)</f>
        <v>0</v>
      </c>
      <c r="J18" s="196">
        <v>0</v>
      </c>
      <c r="K18" s="158">
        <v>0</v>
      </c>
      <c r="L18" s="91"/>
      <c r="M18" s="76"/>
    </row>
    <row r="19" spans="1:14" x14ac:dyDescent="0.35">
      <c r="C19" s="116"/>
      <c r="D19" s="43"/>
      <c r="E19" s="43"/>
      <c r="F19" s="43"/>
      <c r="G19" s="40"/>
      <c r="H19" s="43"/>
      <c r="I19" s="11"/>
      <c r="J19" s="43"/>
      <c r="K19" s="43"/>
      <c r="L19" s="41"/>
    </row>
    <row r="20" spans="1:14" x14ac:dyDescent="0.35">
      <c r="C20" s="116"/>
      <c r="D20" s="43"/>
      <c r="E20" s="43"/>
      <c r="F20" s="43"/>
      <c r="G20" s="40"/>
      <c r="H20" s="43"/>
      <c r="I20" s="11"/>
      <c r="J20" s="43"/>
      <c r="K20" s="43"/>
      <c r="L20" s="41"/>
    </row>
    <row r="21" spans="1:14" x14ac:dyDescent="0.35">
      <c r="A21" s="59" t="s">
        <v>37</v>
      </c>
      <c r="C21" s="117"/>
      <c r="D21" s="43"/>
      <c r="E21" s="43"/>
      <c r="F21" s="43"/>
      <c r="G21" s="40"/>
      <c r="H21" s="43"/>
      <c r="I21" s="187"/>
      <c r="J21" s="17"/>
      <c r="K21" s="17"/>
      <c r="L21" s="11"/>
    </row>
    <row r="22" spans="1:14" x14ac:dyDescent="0.35">
      <c r="A22" s="59" t="s">
        <v>26</v>
      </c>
      <c r="C22" s="52">
        <f t="shared" ref="C22:K22" si="4">C15+($M$17*C$17)+($M$17*C$18)</f>
        <v>-30896.420000000002</v>
      </c>
      <c r="D22" s="53">
        <f t="shared" si="4"/>
        <v>0</v>
      </c>
      <c r="E22" s="53">
        <f t="shared" si="4"/>
        <v>0</v>
      </c>
      <c r="F22" s="126">
        <f t="shared" si="4"/>
        <v>0</v>
      </c>
      <c r="G22" s="52">
        <f t="shared" si="4"/>
        <v>44568.61</v>
      </c>
      <c r="H22" s="53">
        <f t="shared" si="4"/>
        <v>48120.644999999997</v>
      </c>
      <c r="I22" s="74">
        <f t="shared" si="4"/>
        <v>-5343.2049999999999</v>
      </c>
      <c r="J22" s="141">
        <f t="shared" si="4"/>
        <v>0</v>
      </c>
      <c r="K22" s="53">
        <f t="shared" si="4"/>
        <v>0</v>
      </c>
      <c r="L22" s="74">
        <f t="shared" ref="L22" si="5">L15+($M$17*L$17)+($M$17*L$18)+L$19*(1-$M$19)</f>
        <v>0</v>
      </c>
    </row>
    <row r="23" spans="1:14" x14ac:dyDescent="0.35">
      <c r="A23" s="59" t="s">
        <v>27</v>
      </c>
      <c r="C23" s="52">
        <f t="shared" ref="C23:K23" si="6">(C$16+$M$17*C$17)+C$18*$M$17</f>
        <v>-34269.72</v>
      </c>
      <c r="D23" s="53">
        <f t="shared" si="6"/>
        <v>0</v>
      </c>
      <c r="E23" s="53">
        <f t="shared" si="6"/>
        <v>0</v>
      </c>
      <c r="F23" s="126">
        <f t="shared" si="6"/>
        <v>0</v>
      </c>
      <c r="G23" s="52">
        <f t="shared" si="6"/>
        <v>49434.66</v>
      </c>
      <c r="H23" s="53">
        <f t="shared" si="6"/>
        <v>53374.494999999995</v>
      </c>
      <c r="I23" s="74">
        <f t="shared" si="6"/>
        <v>-5926.5649999999996</v>
      </c>
      <c r="J23" s="141">
        <f t="shared" si="6"/>
        <v>0</v>
      </c>
      <c r="K23" s="53">
        <f t="shared" si="6"/>
        <v>0</v>
      </c>
      <c r="L23" s="74">
        <f t="shared" ref="L23" si="7">(L$16+$M$17*L$17+L$19*$M$19)+L$18*$M$17</f>
        <v>0</v>
      </c>
    </row>
    <row r="24" spans="1:14" x14ac:dyDescent="0.35">
      <c r="C24" s="117"/>
      <c r="D24" s="43"/>
      <c r="E24" s="43"/>
      <c r="F24" s="43"/>
      <c r="G24" s="40"/>
      <c r="H24" s="43"/>
      <c r="I24" s="11"/>
      <c r="J24" s="17"/>
      <c r="K24" s="17"/>
      <c r="L24" s="11"/>
    </row>
    <row r="25" spans="1:14" x14ac:dyDescent="0.35">
      <c r="A25" s="51" t="s">
        <v>49</v>
      </c>
      <c r="B25" s="51"/>
      <c r="C25" s="119"/>
      <c r="D25" s="43"/>
      <c r="E25" s="43"/>
      <c r="F25" s="43"/>
      <c r="G25" s="40"/>
      <c r="H25" s="43"/>
      <c r="I25" s="11"/>
      <c r="J25" s="17"/>
      <c r="K25" s="17"/>
      <c r="L25" s="11"/>
    </row>
    <row r="26" spans="1:14" x14ac:dyDescent="0.35">
      <c r="A26" s="59" t="s">
        <v>26</v>
      </c>
      <c r="C26" s="120">
        <v>-833376842</v>
      </c>
      <c r="D26" s="129">
        <f>+'[5]May 2020'!$F108</f>
        <v>199403248.4835</v>
      </c>
      <c r="E26" s="129">
        <f>+'[5]June 2020'!$F108</f>
        <v>286175202.26459992</v>
      </c>
      <c r="F26" s="129">
        <f>+'[5]July 2020'!$F108</f>
        <v>398445202.37469995</v>
      </c>
      <c r="G26" s="206">
        <f>+'[5]Aug 2020'!$F108</f>
        <v>364143211.15249997</v>
      </c>
      <c r="H26" s="209">
        <f>+'[5]Sept 2020'!$F108</f>
        <v>328005354.16079998</v>
      </c>
      <c r="I26" s="201">
        <f>+'[5]Oct 2020'!$F108</f>
        <v>228006694.89229998</v>
      </c>
      <c r="J26" s="197">
        <f>+'[1]Billed kWh Sales'!G24</f>
        <v>203890143</v>
      </c>
      <c r="K26" s="159">
        <f>+'[1]Billed kWh Sales'!H24</f>
        <v>263527924</v>
      </c>
      <c r="L26" s="92">
        <f>+'[1]Billed kWh Sales'!I24</f>
        <v>365958775</v>
      </c>
    </row>
    <row r="27" spans="1:14" x14ac:dyDescent="0.35">
      <c r="A27" s="59" t="s">
        <v>120</v>
      </c>
      <c r="C27" s="120">
        <v>-245276028</v>
      </c>
      <c r="D27" s="129">
        <f>+'[5]May 2020'!$F109</f>
        <v>63904046.996799998</v>
      </c>
      <c r="E27" s="129">
        <f>+'[5]June 2020'!$F109</f>
        <v>85756522.119599998</v>
      </c>
      <c r="F27" s="129">
        <f>+'[5]July 2020'!$F109</f>
        <v>108862905.37110001</v>
      </c>
      <c r="G27" s="206">
        <f>+'[5]Aug 2020'!$F109</f>
        <v>103666496.91549996</v>
      </c>
      <c r="H27" s="209">
        <f>+'[5]Sept 2020'!$F109</f>
        <v>98662510.360800043</v>
      </c>
      <c r="I27" s="201">
        <f>+'[5]Oct 2020'!$F109</f>
        <v>85923453.744699985</v>
      </c>
      <c r="J27" s="197">
        <f>+'[1]Billed kWh Sales'!G25</f>
        <v>74829664</v>
      </c>
      <c r="K27" s="159">
        <f>+'[1]Billed kWh Sales'!H25</f>
        <v>80840360</v>
      </c>
      <c r="L27" s="92">
        <f>+'[1]Billed kWh Sales'!I25</f>
        <v>89606004</v>
      </c>
    </row>
    <row r="28" spans="1:14" x14ac:dyDescent="0.35">
      <c r="A28" s="59" t="s">
        <v>121</v>
      </c>
      <c r="C28" s="120">
        <v>-371821642</v>
      </c>
      <c r="D28" s="129">
        <f>+'[5]May 2020'!$F110</f>
        <v>70499521.607899994</v>
      </c>
      <c r="E28" s="129">
        <f>+'[5]June 2020'!$F110</f>
        <v>89427213.129099995</v>
      </c>
      <c r="F28" s="129">
        <f>+'[5]July 2020'!$F110</f>
        <v>106034959.5429</v>
      </c>
      <c r="G28" s="206">
        <f>+'[5]Aug 2020'!$F110</f>
        <v>106600183.03749998</v>
      </c>
      <c r="H28" s="209">
        <f>+'[5]Sept 2020'!$F110</f>
        <v>100227395.4313</v>
      </c>
      <c r="I28" s="201">
        <f>+'[5]Oct 2020'!$F110</f>
        <v>92023858.185599998</v>
      </c>
      <c r="J28" s="197">
        <f>+'[1]Billed kWh Sales'!G26</f>
        <v>113436640</v>
      </c>
      <c r="K28" s="159">
        <f>+'[1]Billed kWh Sales'!H26</f>
        <v>122548443</v>
      </c>
      <c r="L28" s="92">
        <f>+'[1]Billed kWh Sales'!I26</f>
        <v>135836559</v>
      </c>
    </row>
    <row r="29" spans="1:14" x14ac:dyDescent="0.35">
      <c r="A29" s="59" t="s">
        <v>122</v>
      </c>
      <c r="C29" s="120">
        <v>-216610115</v>
      </c>
      <c r="D29" s="129">
        <f>+'[5]May 2020'!$F111</f>
        <v>56750058.543399997</v>
      </c>
      <c r="E29" s="129">
        <f>+'[5]June 2020'!$F111</f>
        <v>63372537.728</v>
      </c>
      <c r="F29" s="129">
        <f>+'[5]July 2020'!$F111</f>
        <v>67687491.856800005</v>
      </c>
      <c r="G29" s="206">
        <f>+'[5]Aug 2020'!$F111</f>
        <v>71885495.752599999</v>
      </c>
      <c r="H29" s="209">
        <f>+'[5]Sept 2020'!$F111</f>
        <v>69314101.535400003</v>
      </c>
      <c r="I29" s="201">
        <f>+'[5]Oct 2020'!$F111</f>
        <v>66561880.152799994</v>
      </c>
      <c r="J29" s="197">
        <f>+'[1]Billed kWh Sales'!G27</f>
        <v>66084167</v>
      </c>
      <c r="K29" s="159">
        <f>+'[1]Billed kWh Sales'!H27</f>
        <v>71392381</v>
      </c>
      <c r="L29" s="92">
        <f>+'[1]Billed kWh Sales'!I27</f>
        <v>79133567</v>
      </c>
    </row>
    <row r="30" spans="1:14" x14ac:dyDescent="0.35">
      <c r="C30" s="117"/>
      <c r="D30" s="43"/>
      <c r="E30" s="43"/>
      <c r="F30" s="43"/>
      <c r="G30" s="40"/>
      <c r="H30" s="43"/>
      <c r="I30" s="11"/>
      <c r="J30" s="17"/>
      <c r="K30" s="17"/>
      <c r="L30" s="11"/>
    </row>
    <row r="31" spans="1:14" x14ac:dyDescent="0.35">
      <c r="A31" s="59" t="s">
        <v>36</v>
      </c>
      <c r="C31" s="117"/>
      <c r="D31" s="18"/>
      <c r="E31" s="18"/>
      <c r="F31" s="18"/>
      <c r="G31" s="109"/>
      <c r="H31" s="18"/>
      <c r="I31" s="11"/>
      <c r="J31" s="70"/>
      <c r="K31" s="70"/>
      <c r="L31" s="71"/>
      <c r="M31" s="76" t="s">
        <v>52</v>
      </c>
      <c r="N31" s="51"/>
    </row>
    <row r="32" spans="1:14" x14ac:dyDescent="0.35">
      <c r="A32" s="59" t="s">
        <v>26</v>
      </c>
      <c r="C32" s="115">
        <v>-241679.27999999997</v>
      </c>
      <c r="D32" s="127">
        <f>ROUND('[5]May 2020'!$F36+'[5]May 2020'!$F44,2)</f>
        <v>57918.54</v>
      </c>
      <c r="E32" s="127">
        <f>ROUND('[5]June 2020'!$F36+'[5]June 2020'!$F44,2)</f>
        <v>83106.679999999993</v>
      </c>
      <c r="F32" s="129">
        <f>ROUND('[5]July 2020'!$F36+'[5]July 2020'!$F44,2)</f>
        <v>115625.87</v>
      </c>
      <c r="G32" s="207">
        <f>ROUND('[5]Aug 2020'!$F36+'[5]Aug 2020'!$F44,2)</f>
        <v>3891.12</v>
      </c>
      <c r="H32" s="68">
        <f>ROUND('[5]Sept 2020'!$F36+'[5]Sept 2020'!$F44,2)</f>
        <v>3314.97</v>
      </c>
      <c r="I32" s="199">
        <f>ROUND('[5]Oct 2020'!$F36+'[5]Oct 2020'!$F44,2)</f>
        <v>2513.96</v>
      </c>
      <c r="J32" s="141">
        <f t="shared" ref="J32:L35" si="8">ROUND(J26*$M32,2)</f>
        <v>2038.9</v>
      </c>
      <c r="K32" s="53">
        <f t="shared" si="8"/>
        <v>2635.28</v>
      </c>
      <c r="L32" s="74">
        <f t="shared" si="8"/>
        <v>3659.59</v>
      </c>
      <c r="M32" s="85">
        <v>1.0000000000000001E-5</v>
      </c>
    </row>
    <row r="33" spans="1:13" x14ac:dyDescent="0.35">
      <c r="A33" s="59" t="s">
        <v>120</v>
      </c>
      <c r="C33" s="115">
        <v>-132449.04999999999</v>
      </c>
      <c r="D33" s="127">
        <f>ROUND('[5]May 2020'!$F37+'[5]May 2020'!$F45,2)</f>
        <v>33771.07</v>
      </c>
      <c r="E33" s="127">
        <f>ROUND('[5]June 2020'!$F37+'[5]June 2020'!$F45,2)</f>
        <v>47565.29</v>
      </c>
      <c r="F33" s="129">
        <f>ROUND('[5]July 2020'!$F37+'[5]July 2020'!$F45,2)</f>
        <v>61395.43</v>
      </c>
      <c r="G33" s="207">
        <f>ROUND('[5]Aug 2020'!$F37+'[5]Aug 2020'!$F45,2)</f>
        <v>-40297.99</v>
      </c>
      <c r="H33" s="68">
        <f>ROUND('[5]Sept 2020'!$F37+'[5]Sept 2020'!$F45,2)</f>
        <v>-38882.44</v>
      </c>
      <c r="I33" s="199">
        <f>ROUND('[5]Oct 2020'!$F37+'[5]Oct 2020'!$F45,2)</f>
        <v>-33526.92</v>
      </c>
      <c r="J33" s="141">
        <f t="shared" si="8"/>
        <v>-30680.16</v>
      </c>
      <c r="K33" s="53">
        <f t="shared" si="8"/>
        <v>-33144.550000000003</v>
      </c>
      <c r="L33" s="74">
        <f t="shared" si="8"/>
        <v>-36738.46</v>
      </c>
      <c r="M33" s="85">
        <v>-4.0999999999999994E-4</v>
      </c>
    </row>
    <row r="34" spans="1:13" x14ac:dyDescent="0.35">
      <c r="A34" s="59" t="s">
        <v>121</v>
      </c>
      <c r="C34" s="115">
        <v>-152446.87</v>
      </c>
      <c r="D34" s="127">
        <f>ROUND('[5]May 2020'!$F38+'[5]May 2020'!$F46,2)</f>
        <v>28023.57</v>
      </c>
      <c r="E34" s="127">
        <f>ROUND('[5]June 2020'!$F38+'[5]June 2020'!$F46,2)</f>
        <v>37514.120000000003</v>
      </c>
      <c r="F34" s="129">
        <f>ROUND('[5]July 2020'!$F38+'[5]July 2020'!$F46,2)</f>
        <v>49589.21</v>
      </c>
      <c r="G34" s="207">
        <f>ROUND('[5]Aug 2020'!$F38+'[5]Aug 2020'!$F46,2)</f>
        <v>-31551.439999999999</v>
      </c>
      <c r="H34" s="68">
        <f>ROUND('[5]Sept 2020'!$F38+'[5]Sept 2020'!$F46,2)</f>
        <v>-35683.440000000002</v>
      </c>
      <c r="I34" s="199">
        <f>ROUND('[5]Oct 2020'!$F38+'[5]Oct 2020'!$F46,2)</f>
        <v>-28481.54</v>
      </c>
      <c r="J34" s="141">
        <f t="shared" si="8"/>
        <v>-36299.72</v>
      </c>
      <c r="K34" s="53">
        <f t="shared" si="8"/>
        <v>-39215.5</v>
      </c>
      <c r="L34" s="74">
        <f t="shared" si="8"/>
        <v>-43467.7</v>
      </c>
      <c r="M34" s="85">
        <v>-3.2000000000000003E-4</v>
      </c>
    </row>
    <row r="35" spans="1:13" x14ac:dyDescent="0.35">
      <c r="A35" s="59" t="s">
        <v>122</v>
      </c>
      <c r="C35" s="115">
        <v>-38989.82</v>
      </c>
      <c r="D35" s="127">
        <f>ROUND('[5]May 2020'!$F39+'[5]May 2020'!$F47,2)</f>
        <v>9915.7999999999993</v>
      </c>
      <c r="E35" s="127">
        <f>ROUND('[5]June 2020'!$F39+'[5]June 2020'!$F47,2)</f>
        <v>11661.27</v>
      </c>
      <c r="F35" s="129">
        <f>ROUND('[5]July 2020'!$F39+'[5]July 2020'!$F47,2)</f>
        <v>5310.79</v>
      </c>
      <c r="G35" s="207">
        <f>ROUND('[5]Aug 2020'!$F39+'[5]Aug 2020'!$F47,2)</f>
        <v>-11407.65</v>
      </c>
      <c r="H35" s="68">
        <f>ROUND('[5]Sept 2020'!$F39+'[5]Sept 2020'!$F47,2)</f>
        <v>-12201.37</v>
      </c>
      <c r="I35" s="199">
        <f>ROUND('[5]Oct 2020'!$F39+'[5]Oct 2020'!$F47,2)</f>
        <v>-11651.32</v>
      </c>
      <c r="J35" s="141">
        <f t="shared" si="8"/>
        <v>-11895.15</v>
      </c>
      <c r="K35" s="53">
        <f t="shared" si="8"/>
        <v>-12850.63</v>
      </c>
      <c r="L35" s="74">
        <f t="shared" si="8"/>
        <v>-14244.04</v>
      </c>
      <c r="M35" s="85">
        <v>-1.8000000000000001E-4</v>
      </c>
    </row>
    <row r="36" spans="1:13" x14ac:dyDescent="0.35">
      <c r="C36" s="80"/>
      <c r="D36" s="18"/>
      <c r="E36" s="18"/>
      <c r="F36" s="18"/>
      <c r="G36" s="109"/>
      <c r="H36" s="18"/>
      <c r="I36" s="11"/>
      <c r="J36" s="69"/>
      <c r="K36" s="69"/>
      <c r="L36" s="13"/>
      <c r="M36" s="4"/>
    </row>
    <row r="37" spans="1:13" ht="15" thickBot="1" x14ac:dyDescent="0.4">
      <c r="A37" s="59" t="s">
        <v>16</v>
      </c>
      <c r="C37" s="121">
        <v>2345.73</v>
      </c>
      <c r="D37" s="130">
        <v>-787.57999999999993</v>
      </c>
      <c r="E37" s="130">
        <v>-965.76</v>
      </c>
      <c r="F37" s="131">
        <v>-1203.23</v>
      </c>
      <c r="G37" s="38">
        <v>-1229.8</v>
      </c>
      <c r="H37" s="140">
        <v>-1013.68</v>
      </c>
      <c r="I37" s="200">
        <v>-868.47</v>
      </c>
      <c r="J37" s="198">
        <v>-789.93999999999994</v>
      </c>
      <c r="K37" s="160">
        <v>-698.1</v>
      </c>
      <c r="L37" s="96"/>
    </row>
    <row r="38" spans="1:13" x14ac:dyDescent="0.35">
      <c r="C38" s="117"/>
      <c r="D38" s="43"/>
      <c r="E38" s="43"/>
      <c r="F38" s="43"/>
      <c r="G38" s="40"/>
      <c r="H38" s="43"/>
      <c r="I38" s="11"/>
      <c r="J38" s="17"/>
      <c r="K38" s="17"/>
      <c r="L38" s="11"/>
    </row>
    <row r="39" spans="1:13" x14ac:dyDescent="0.35">
      <c r="A39" s="59" t="s">
        <v>54</v>
      </c>
      <c r="C39" s="117"/>
      <c r="D39" s="43"/>
      <c r="E39" s="43"/>
      <c r="F39" s="43"/>
      <c r="G39" s="40"/>
      <c r="H39" s="43"/>
      <c r="I39" s="11"/>
      <c r="J39" s="17"/>
      <c r="K39" s="17"/>
      <c r="L39" s="11"/>
    </row>
    <row r="40" spans="1:13" x14ac:dyDescent="0.35">
      <c r="A40" s="59" t="s">
        <v>26</v>
      </c>
      <c r="C40" s="52">
        <f t="shared" ref="C40:L40" si="9">C22-C32</f>
        <v>210782.85999999996</v>
      </c>
      <c r="D40" s="53">
        <f t="shared" si="9"/>
        <v>-57918.54</v>
      </c>
      <c r="E40" s="53">
        <f t="shared" si="9"/>
        <v>-83106.679999999993</v>
      </c>
      <c r="F40" s="126">
        <f t="shared" si="9"/>
        <v>-115625.87</v>
      </c>
      <c r="G40" s="52">
        <f t="shared" si="9"/>
        <v>40677.49</v>
      </c>
      <c r="H40" s="53">
        <f t="shared" si="9"/>
        <v>44805.674999999996</v>
      </c>
      <c r="I40" s="74">
        <f t="shared" si="9"/>
        <v>-7857.165</v>
      </c>
      <c r="J40" s="141">
        <f t="shared" si="9"/>
        <v>-2038.9</v>
      </c>
      <c r="K40" s="53">
        <f t="shared" si="9"/>
        <v>-2635.28</v>
      </c>
      <c r="L40" s="62">
        <f t="shared" si="9"/>
        <v>-3659.59</v>
      </c>
    </row>
    <row r="41" spans="1:13" x14ac:dyDescent="0.35">
      <c r="A41" s="59" t="s">
        <v>27</v>
      </c>
      <c r="C41" s="52">
        <f>C23-SUM(C33:C35)</f>
        <v>289616.02</v>
      </c>
      <c r="D41" s="53">
        <f t="shared" ref="D41:L41" si="10">D23-SUM(D33:D35)</f>
        <v>-71710.44</v>
      </c>
      <c r="E41" s="53">
        <f t="shared" si="10"/>
        <v>-96740.680000000008</v>
      </c>
      <c r="F41" s="126">
        <f t="shared" si="10"/>
        <v>-116295.43</v>
      </c>
      <c r="G41" s="52">
        <f t="shared" si="10"/>
        <v>132691.74</v>
      </c>
      <c r="H41" s="53">
        <f t="shared" si="10"/>
        <v>140141.745</v>
      </c>
      <c r="I41" s="74">
        <f t="shared" si="10"/>
        <v>67733.214999999997</v>
      </c>
      <c r="J41" s="141">
        <f t="shared" si="10"/>
        <v>78875.03</v>
      </c>
      <c r="K41" s="53">
        <f t="shared" si="10"/>
        <v>85210.680000000008</v>
      </c>
      <c r="L41" s="62">
        <f t="shared" si="10"/>
        <v>94450.200000000012</v>
      </c>
    </row>
    <row r="42" spans="1:13" x14ac:dyDescent="0.35">
      <c r="C42" s="117"/>
      <c r="D42" s="43"/>
      <c r="E42" s="43"/>
      <c r="F42" s="43"/>
      <c r="G42" s="40"/>
      <c r="H42" s="43"/>
      <c r="I42" s="11"/>
      <c r="J42" s="17"/>
      <c r="K42" s="17"/>
      <c r="L42" s="11"/>
    </row>
    <row r="43" spans="1:13" ht="15" thickBot="1" x14ac:dyDescent="0.4">
      <c r="A43" s="59" t="s">
        <v>55</v>
      </c>
      <c r="C43" s="122"/>
      <c r="D43" s="43"/>
      <c r="E43" s="43"/>
      <c r="F43" s="43"/>
      <c r="G43" s="40"/>
      <c r="H43" s="43"/>
      <c r="I43" s="11"/>
      <c r="J43" s="17"/>
      <c r="K43" s="17"/>
      <c r="L43" s="11"/>
    </row>
    <row r="44" spans="1:13" x14ac:dyDescent="0.35">
      <c r="A44" s="59" t="s">
        <v>26</v>
      </c>
      <c r="B44" s="134">
        <v>-9777.4976800000786</v>
      </c>
      <c r="C44" s="53">
        <f>B44+C40+B49</f>
        <v>201005.36231999987</v>
      </c>
      <c r="D44" s="53">
        <f t="shared" ref="D44:L44" si="11">C44+D40+C49</f>
        <v>142589.59231999985</v>
      </c>
      <c r="E44" s="53">
        <f t="shared" si="11"/>
        <v>59689.892319999861</v>
      </c>
      <c r="F44" s="126">
        <f t="shared" si="11"/>
        <v>-55815.007680000133</v>
      </c>
      <c r="G44" s="52">
        <f t="shared" si="11"/>
        <v>-15135.147680000135</v>
      </c>
      <c r="H44" s="53">
        <f t="shared" si="11"/>
        <v>29628.807319999862</v>
      </c>
      <c r="I44" s="74">
        <f t="shared" si="11"/>
        <v>21780.082319999859</v>
      </c>
      <c r="J44" s="141">
        <f t="shared" si="11"/>
        <v>19771.102319999856</v>
      </c>
      <c r="K44" s="53">
        <f t="shared" si="11"/>
        <v>17160.012319999856</v>
      </c>
      <c r="L44" s="62">
        <f t="shared" si="11"/>
        <v>13521.922319999856</v>
      </c>
    </row>
    <row r="45" spans="1:13" ht="15" thickBot="1" x14ac:dyDescent="0.4">
      <c r="A45" s="59" t="s">
        <v>27</v>
      </c>
      <c r="B45" s="135">
        <v>-1080923.53896</v>
      </c>
      <c r="C45" s="53">
        <f>B45+C41+B50</f>
        <v>-791307.51896000002</v>
      </c>
      <c r="D45" s="53">
        <f t="shared" ref="D45:L45" si="12">C45+D41+C50</f>
        <v>-860174.99896</v>
      </c>
      <c r="E45" s="53">
        <f t="shared" si="12"/>
        <v>-957910.2389600001</v>
      </c>
      <c r="F45" s="126">
        <f t="shared" si="12"/>
        <v>-1075292.4089600001</v>
      </c>
      <c r="G45" s="52">
        <f t="shared" si="12"/>
        <v>-943806.26896000013</v>
      </c>
      <c r="H45" s="53">
        <f t="shared" si="12"/>
        <v>-804852.60396000009</v>
      </c>
      <c r="I45" s="74">
        <f t="shared" si="12"/>
        <v>-738141.50896000012</v>
      </c>
      <c r="J45" s="141">
        <f t="shared" si="12"/>
        <v>-660164.86896000011</v>
      </c>
      <c r="K45" s="53">
        <f t="shared" si="12"/>
        <v>-575768.31896000006</v>
      </c>
      <c r="L45" s="62">
        <f t="shared" si="12"/>
        <v>-482037.71896000003</v>
      </c>
    </row>
    <row r="46" spans="1:13" x14ac:dyDescent="0.35">
      <c r="C46" s="117"/>
      <c r="D46" s="43"/>
      <c r="E46" s="43"/>
      <c r="F46" s="43"/>
      <c r="G46" s="40"/>
      <c r="H46" s="43"/>
      <c r="I46" s="11"/>
      <c r="J46" s="17"/>
      <c r="K46" s="17"/>
      <c r="L46" s="11"/>
    </row>
    <row r="47" spans="1:13" x14ac:dyDescent="0.35">
      <c r="A47" s="51" t="s">
        <v>51</v>
      </c>
      <c r="B47" s="51"/>
      <c r="C47" s="122"/>
      <c r="D47" s="98">
        <f>+'[6]May 2020'!$F$51</f>
        <v>1.20652E-3</v>
      </c>
      <c r="E47" s="98">
        <f>+'[6]Jun 2020'!$F$51</f>
        <v>1.1948200000000001E-3</v>
      </c>
      <c r="F47" s="98">
        <f>+'[6]Jul 2020'!$F$51</f>
        <v>1.1852799999999999E-3</v>
      </c>
      <c r="G47" s="99">
        <f>+'[6]Aug 2020'!$F$51</f>
        <v>1.17614E-3</v>
      </c>
      <c r="H47" s="98">
        <f>+'[6]Sep 2020'!$F$51</f>
        <v>1.1682400000000001E-3</v>
      </c>
      <c r="I47" s="110">
        <f>+'[6]Oct 2020'!$F$51</f>
        <v>1.1636999999999999E-3</v>
      </c>
      <c r="J47" s="98">
        <f>+I47</f>
        <v>1.1636999999999999E-3</v>
      </c>
      <c r="K47" s="98">
        <f>+J47</f>
        <v>1.1636999999999999E-3</v>
      </c>
      <c r="L47" s="110"/>
    </row>
    <row r="48" spans="1:13" x14ac:dyDescent="0.35">
      <c r="A48" s="51" t="s">
        <v>39</v>
      </c>
      <c r="B48" s="51"/>
      <c r="C48" s="117"/>
      <c r="D48" s="43"/>
      <c r="E48" s="43"/>
      <c r="F48" s="43"/>
      <c r="G48" s="40"/>
      <c r="H48" s="43"/>
      <c r="I48" s="11"/>
      <c r="J48" s="17"/>
      <c r="K48" s="17"/>
      <c r="L48" s="11"/>
      <c r="M48" s="84"/>
    </row>
    <row r="49" spans="1:12" x14ac:dyDescent="0.35">
      <c r="A49" s="59" t="s">
        <v>26</v>
      </c>
      <c r="C49" s="52">
        <v>-497.23</v>
      </c>
      <c r="D49" s="53">
        <f t="shared" ref="D49" si="13">ROUND((C44+C49+D40/2)*D$47,2)</f>
        <v>206.98</v>
      </c>
      <c r="E49" s="53">
        <f t="shared" ref="E49:E50" si="14">ROUND((D44+D49+E40/2)*E$47,2)</f>
        <v>120.97</v>
      </c>
      <c r="F49" s="126">
        <f t="shared" ref="F49:F50" si="15">ROUND((E44+E49+F40/2)*F$47,2)</f>
        <v>2.37</v>
      </c>
      <c r="G49" s="52">
        <f t="shared" ref="G49:G50" si="16">ROUND((F44+F49+G40/2)*G$47,2)</f>
        <v>-41.72</v>
      </c>
      <c r="H49" s="141">
        <f t="shared" ref="H49:I50" si="17">ROUND((G44+G49+H40/2)*H$47,2)</f>
        <v>8.44</v>
      </c>
      <c r="I49" s="74">
        <f t="shared" si="17"/>
        <v>29.92</v>
      </c>
      <c r="J49" s="141">
        <f t="shared" ref="J49:J50" si="18">ROUND((I44+I49+J40/2)*J$47,2)</f>
        <v>24.19</v>
      </c>
      <c r="K49" s="141">
        <f t="shared" ref="K49:K50" si="19">ROUND((J44+J49+K40/2)*K$47,2)</f>
        <v>21.5</v>
      </c>
      <c r="L49" s="62"/>
    </row>
    <row r="50" spans="1:12" ht="15" thickBot="1" x14ac:dyDescent="0.4">
      <c r="A50" s="59" t="s">
        <v>27</v>
      </c>
      <c r="C50" s="132">
        <v>2842.96</v>
      </c>
      <c r="D50" s="53">
        <f>ROUND((C45+C50+D41/2)*D$47,2)</f>
        <v>-994.56</v>
      </c>
      <c r="E50" s="53">
        <f t="shared" si="14"/>
        <v>-1086.74</v>
      </c>
      <c r="F50" s="126">
        <f t="shared" si="15"/>
        <v>-1205.5999999999999</v>
      </c>
      <c r="G50" s="52">
        <f t="shared" si="16"/>
        <v>-1188.08</v>
      </c>
      <c r="H50" s="141">
        <f t="shared" si="17"/>
        <v>-1022.12</v>
      </c>
      <c r="I50" s="74">
        <f t="shared" si="17"/>
        <v>-898.39</v>
      </c>
      <c r="J50" s="141">
        <f t="shared" si="18"/>
        <v>-814.13</v>
      </c>
      <c r="K50" s="141">
        <f t="shared" si="19"/>
        <v>-719.6</v>
      </c>
      <c r="L50" s="62"/>
    </row>
    <row r="51" spans="1:12" ht="15.5" thickTop="1" thickBot="1" x14ac:dyDescent="0.4">
      <c r="A51" s="67" t="s">
        <v>24</v>
      </c>
      <c r="B51" s="67"/>
      <c r="C51" s="133">
        <v>0</v>
      </c>
      <c r="D51" s="44">
        <f t="shared" ref="D51:L51" si="20">SUM(D49:D50)+SUM(D44:D45)-D54</f>
        <v>0</v>
      </c>
      <c r="E51" s="44">
        <f t="shared" si="20"/>
        <v>0</v>
      </c>
      <c r="F51" s="63">
        <f t="shared" si="20"/>
        <v>0</v>
      </c>
      <c r="G51" s="142">
        <f t="shared" si="20"/>
        <v>0</v>
      </c>
      <c r="H51" s="44">
        <f t="shared" si="20"/>
        <v>0</v>
      </c>
      <c r="I51" s="75">
        <f t="shared" si="20"/>
        <v>0</v>
      </c>
      <c r="J51" s="185">
        <f t="shared" si="20"/>
        <v>0</v>
      </c>
      <c r="K51" s="44">
        <f t="shared" si="20"/>
        <v>0</v>
      </c>
      <c r="L51" s="114">
        <f t="shared" si="20"/>
        <v>0</v>
      </c>
    </row>
    <row r="52" spans="1:12" ht="15.5" thickTop="1" thickBot="1" x14ac:dyDescent="0.4">
      <c r="A52" s="67" t="s">
        <v>25</v>
      </c>
      <c r="B52" s="67"/>
      <c r="C52" s="125">
        <v>0</v>
      </c>
      <c r="D52" s="44">
        <f t="shared" ref="D52:L52" si="21">SUM(D49:D50)-D37</f>
        <v>0</v>
      </c>
      <c r="E52" s="44">
        <f t="shared" si="21"/>
        <v>-9.9999999999909051E-3</v>
      </c>
      <c r="F52" s="63">
        <f t="shared" si="21"/>
        <v>0</v>
      </c>
      <c r="G52" s="64">
        <f t="shared" si="21"/>
        <v>0</v>
      </c>
      <c r="H52" s="44">
        <f t="shared" si="21"/>
        <v>0</v>
      </c>
      <c r="I52" s="75">
        <f t="shared" si="21"/>
        <v>0</v>
      </c>
      <c r="J52" s="185">
        <f t="shared" si="21"/>
        <v>0</v>
      </c>
      <c r="K52" s="44">
        <f t="shared" si="21"/>
        <v>0</v>
      </c>
      <c r="L52" s="114">
        <f t="shared" si="21"/>
        <v>0</v>
      </c>
    </row>
    <row r="53" spans="1:12" ht="15.5" thickTop="1" thickBot="1" x14ac:dyDescent="0.4">
      <c r="C53" s="117"/>
      <c r="D53" s="17"/>
      <c r="E53" s="17"/>
      <c r="F53" s="17"/>
      <c r="G53" s="10"/>
      <c r="H53" s="17"/>
      <c r="I53" s="11"/>
      <c r="J53" s="17"/>
      <c r="K53" s="17"/>
      <c r="L53" s="11"/>
    </row>
    <row r="54" spans="1:12" ht="15" thickBot="1" x14ac:dyDescent="0.4">
      <c r="A54" s="59" t="s">
        <v>38</v>
      </c>
      <c r="B54" s="137">
        <f>+B44+B45</f>
        <v>-1090701.0366400001</v>
      </c>
      <c r="C54" s="52">
        <f t="shared" ref="C54:L54" si="22">(SUM(C15:C19)-SUM(C32:C35))+SUM(C49:C50)+B54</f>
        <v>-587956.42664000019</v>
      </c>
      <c r="D54" s="53">
        <f t="shared" si="22"/>
        <v>-718372.98664000025</v>
      </c>
      <c r="E54" s="53">
        <f t="shared" si="22"/>
        <v>-899186.11664000025</v>
      </c>
      <c r="F54" s="126">
        <f t="shared" si="22"/>
        <v>-1132310.6466400002</v>
      </c>
      <c r="G54" s="52">
        <f t="shared" si="22"/>
        <v>-960171.21664000023</v>
      </c>
      <c r="H54" s="53">
        <f t="shared" si="22"/>
        <v>-776237.47664000024</v>
      </c>
      <c r="I54" s="74">
        <f t="shared" si="22"/>
        <v>-717229.89664000028</v>
      </c>
      <c r="J54" s="141">
        <f t="shared" si="22"/>
        <v>-641183.70664000034</v>
      </c>
      <c r="K54" s="53">
        <f t="shared" si="22"/>
        <v>-559306.40664000029</v>
      </c>
      <c r="L54" s="74">
        <f t="shared" si="22"/>
        <v>-468515.79664000031</v>
      </c>
    </row>
    <row r="55" spans="1:12" x14ac:dyDescent="0.35">
      <c r="A55" s="59" t="s">
        <v>14</v>
      </c>
      <c r="C55" s="138"/>
      <c r="D55" s="69"/>
      <c r="E55" s="69"/>
      <c r="F55" s="69"/>
      <c r="G55" s="12"/>
      <c r="H55" s="69"/>
      <c r="I55" s="11"/>
      <c r="J55" s="17"/>
      <c r="K55" s="17"/>
      <c r="L55" s="11"/>
    </row>
    <row r="56" spans="1:12" ht="15" thickBot="1" x14ac:dyDescent="0.4">
      <c r="B56" s="17"/>
      <c r="C56" s="55"/>
      <c r="D56" s="56"/>
      <c r="E56" s="56"/>
      <c r="F56" s="56"/>
      <c r="G56" s="55"/>
      <c r="H56" s="56"/>
      <c r="I56" s="57"/>
      <c r="J56" s="56"/>
      <c r="K56" s="56"/>
      <c r="L56" s="57"/>
    </row>
    <row r="58" spans="1:12" x14ac:dyDescent="0.35">
      <c r="A58" s="82" t="s">
        <v>13</v>
      </c>
      <c r="B58" s="82"/>
      <c r="C58" s="82"/>
    </row>
    <row r="59" spans="1:12" ht="42.75" customHeight="1" x14ac:dyDescent="0.35">
      <c r="A59" s="306" t="s">
        <v>179</v>
      </c>
      <c r="B59" s="306"/>
      <c r="C59" s="306"/>
      <c r="D59" s="306"/>
      <c r="E59" s="306"/>
      <c r="F59" s="306"/>
      <c r="G59" s="306"/>
      <c r="H59" s="306"/>
      <c r="I59" s="306"/>
      <c r="J59" s="164"/>
      <c r="K59" s="164"/>
      <c r="L59" s="164"/>
    </row>
    <row r="60" spans="1:12" ht="33.75" customHeight="1" x14ac:dyDescent="0.35">
      <c r="A60" s="306" t="s">
        <v>180</v>
      </c>
      <c r="B60" s="306"/>
      <c r="C60" s="306"/>
      <c r="D60" s="306"/>
      <c r="E60" s="306"/>
      <c r="F60" s="306"/>
      <c r="G60" s="306"/>
      <c r="H60" s="306"/>
      <c r="I60" s="306"/>
      <c r="J60" s="164"/>
      <c r="K60" s="164"/>
      <c r="L60" s="164"/>
    </row>
    <row r="61" spans="1:12" ht="33.75" customHeight="1" x14ac:dyDescent="0.35">
      <c r="A61" s="306" t="s">
        <v>181</v>
      </c>
      <c r="B61" s="306"/>
      <c r="C61" s="306"/>
      <c r="D61" s="306"/>
      <c r="E61" s="306"/>
      <c r="F61" s="306"/>
      <c r="G61" s="306"/>
      <c r="H61" s="306"/>
      <c r="I61" s="306"/>
      <c r="J61" s="164"/>
      <c r="K61" s="164"/>
      <c r="L61" s="164"/>
    </row>
    <row r="62" spans="1:12" x14ac:dyDescent="0.35">
      <c r="A62" s="3" t="s">
        <v>33</v>
      </c>
      <c r="B62" s="3"/>
      <c r="C62" s="3"/>
      <c r="I62" s="4"/>
    </row>
    <row r="63" spans="1:12" x14ac:dyDescent="0.35">
      <c r="A63" s="76" t="s">
        <v>182</v>
      </c>
      <c r="B63" s="3"/>
      <c r="C63" s="3"/>
      <c r="I63" s="4"/>
    </row>
    <row r="64" spans="1:12" x14ac:dyDescent="0.35">
      <c r="A64" s="3" t="s">
        <v>53</v>
      </c>
      <c r="B64" s="3"/>
      <c r="C64" s="3"/>
      <c r="I64" s="4"/>
    </row>
    <row r="65" spans="1:13" x14ac:dyDescent="0.35">
      <c r="A65" s="3" t="s">
        <v>183</v>
      </c>
    </row>
    <row r="74" spans="1:13" x14ac:dyDescent="0.35">
      <c r="M74" s="8"/>
    </row>
  </sheetData>
  <mergeCells count="6">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H74"/>
  <sheetViews>
    <sheetView topLeftCell="A25" workbookViewId="0">
      <selection activeCell="K40" sqref="K40"/>
    </sheetView>
  </sheetViews>
  <sheetFormatPr defaultColWidth="9.1796875" defaultRowHeight="14.5" x14ac:dyDescent="0.35"/>
  <cols>
    <col min="1" max="1" width="54.54296875" style="59" customWidth="1"/>
    <col min="2" max="2" width="14.7265625" style="59" customWidth="1"/>
    <col min="3" max="3" width="15" style="59" customWidth="1"/>
    <col min="4" max="4" width="15.26953125" style="59" customWidth="1"/>
    <col min="5" max="5" width="15.81640625" style="59" customWidth="1"/>
    <col min="6" max="6" width="17.54296875" style="59" customWidth="1"/>
    <col min="7" max="8" width="13.26953125" style="59" customWidth="1"/>
    <col min="9" max="9" width="15.7265625" style="59" customWidth="1"/>
    <col min="10" max="11" width="12.54296875" style="59" bestFit="1" customWidth="1"/>
    <col min="12" max="12" width="14.453125" style="59" customWidth="1"/>
    <col min="13" max="13" width="15" style="59" bestFit="1" customWidth="1"/>
    <col min="14" max="14" width="16.26953125" style="59" bestFit="1" customWidth="1"/>
    <col min="15" max="15" width="16.1796875" style="59" customWidth="1"/>
    <col min="16" max="16" width="17.26953125" style="59" bestFit="1" customWidth="1"/>
    <col min="17" max="17" width="17.453125" style="59" customWidth="1"/>
    <col min="18" max="18" width="15.54296875" style="59" customWidth="1"/>
    <col min="19" max="19" width="13" style="59" customWidth="1"/>
    <col min="20" max="20" width="9.1796875" style="59"/>
    <col min="21" max="21" width="14.26953125" style="59" bestFit="1" customWidth="1"/>
    <col min="22" max="16384" width="9.1796875" style="59"/>
  </cols>
  <sheetData>
    <row r="1" spans="1:34" x14ac:dyDescent="0.35">
      <c r="A1" s="3" t="str">
        <f>+'PPC Cycle 2'!A1</f>
        <v>Evergy Missouri West, Inc. - DSIM Rider Update Filed 12/01/2020</v>
      </c>
      <c r="B1" s="3"/>
      <c r="C1" s="3"/>
    </row>
    <row r="2" spans="1:34" x14ac:dyDescent="0.35">
      <c r="D2" s="3" t="s">
        <v>151</v>
      </c>
    </row>
    <row r="3" spans="1:34" ht="29" x14ac:dyDescent="0.35">
      <c r="D3" s="61" t="s">
        <v>48</v>
      </c>
      <c r="E3" s="61" t="s">
        <v>47</v>
      </c>
      <c r="F3" s="83" t="s">
        <v>2</v>
      </c>
      <c r="G3" s="61" t="s">
        <v>3</v>
      </c>
      <c r="H3" s="83" t="s">
        <v>57</v>
      </c>
      <c r="I3" s="61" t="s">
        <v>11</v>
      </c>
      <c r="J3" s="61" t="s">
        <v>4</v>
      </c>
    </row>
    <row r="4" spans="1:34" x14ac:dyDescent="0.35">
      <c r="A4" s="21" t="s">
        <v>26</v>
      </c>
      <c r="D4" s="23">
        <f>SUM(C26:L26)</f>
        <v>4654781.5999999996</v>
      </c>
      <c r="E4" s="156">
        <f>SUM(C20:L20)</f>
        <v>1804178913.3283997</v>
      </c>
      <c r="F4" s="23">
        <f>SUM(C14:K14)</f>
        <v>3992159.7200000007</v>
      </c>
      <c r="G4" s="23">
        <f>F4-D4</f>
        <v>-662621.87999999896</v>
      </c>
      <c r="H4" s="23">
        <f>+B40</f>
        <v>520384.56999999995</v>
      </c>
      <c r="I4" s="23">
        <f>SUM(C47:K47)</f>
        <v>3629.3799999999992</v>
      </c>
      <c r="J4" s="35">
        <f>SUM(G4:I4)</f>
        <v>-138607.929999999</v>
      </c>
      <c r="K4" s="60">
        <f>+J4-L40</f>
        <v>6.6938810050487518E-10</v>
      </c>
    </row>
    <row r="5" spans="1:34" x14ac:dyDescent="0.35">
      <c r="A5" s="21" t="s">
        <v>120</v>
      </c>
      <c r="D5" s="23">
        <f>SUM(C27:L27)</f>
        <v>1109374.04</v>
      </c>
      <c r="E5" s="156">
        <f>SUM(C21:L21)</f>
        <v>546775935.50849998</v>
      </c>
      <c r="F5" s="23">
        <f>SUM(C15:K15)</f>
        <v>894110.88</v>
      </c>
      <c r="G5" s="23">
        <f>F5-D5</f>
        <v>-215263.16000000003</v>
      </c>
      <c r="H5" s="23">
        <f>+B41</f>
        <v>97876.19</v>
      </c>
      <c r="I5" s="23">
        <f>SUM(C48:K48)</f>
        <v>259.89999999999992</v>
      </c>
      <c r="J5" s="35">
        <f>SUM(G5:I5)</f>
        <v>-117127.07000000004</v>
      </c>
      <c r="K5" s="60">
        <f t="shared" ref="K5:K6" si="0">+J5-L41</f>
        <v>0</v>
      </c>
    </row>
    <row r="6" spans="1:34" x14ac:dyDescent="0.35">
      <c r="A6" s="21" t="s">
        <v>121</v>
      </c>
      <c r="D6" s="23">
        <f>SUM(C28:L28)</f>
        <v>1118428.5</v>
      </c>
      <c r="E6" s="156">
        <f>SUM(C22:L22)</f>
        <v>564813130.93429995</v>
      </c>
      <c r="F6" s="23">
        <f>SUM(C16:K16)</f>
        <v>1142906.74</v>
      </c>
      <c r="G6" s="23">
        <f>F6-D6</f>
        <v>24478.239999999991</v>
      </c>
      <c r="H6" s="23">
        <f>+B42</f>
        <v>73593.270000000019</v>
      </c>
      <c r="I6" s="23">
        <f>SUM(C49:K49)</f>
        <v>1664.15</v>
      </c>
      <c r="J6" s="35">
        <f>SUM(G6:I6)</f>
        <v>99735.66</v>
      </c>
      <c r="K6" s="60">
        <f t="shared" si="0"/>
        <v>0</v>
      </c>
    </row>
    <row r="7" spans="1:34" ht="15" thickBot="1" x14ac:dyDescent="0.4">
      <c r="A7" s="21" t="s">
        <v>122</v>
      </c>
      <c r="D7" s="23">
        <f>SUM(C29:L29)</f>
        <v>1038187.3500000001</v>
      </c>
      <c r="E7" s="156">
        <f>SUM(C23:L23)</f>
        <v>395571565.56900001</v>
      </c>
      <c r="F7" s="23">
        <f>SUM(C17:K17)</f>
        <v>1103811.21</v>
      </c>
      <c r="G7" s="23">
        <f>F7-D7</f>
        <v>65623.85999999987</v>
      </c>
      <c r="H7" s="23">
        <f>+B43</f>
        <v>115092.57999999999</v>
      </c>
      <c r="I7" s="23">
        <f>SUM(C50:K50)</f>
        <v>1386.63</v>
      </c>
      <c r="J7" s="35">
        <f>SUM(G7:I7)</f>
        <v>182103.06999999986</v>
      </c>
      <c r="K7" s="60">
        <f>+J7-L43</f>
        <v>0</v>
      </c>
    </row>
    <row r="8" spans="1:34" ht="15.5" thickTop="1" thickBot="1" x14ac:dyDescent="0.4">
      <c r="D8" s="39">
        <f t="shared" ref="D8:J8" si="1">SUM(D4:D7)</f>
        <v>7920771.4900000002</v>
      </c>
      <c r="E8" s="39">
        <f t="shared" si="1"/>
        <v>3311339545.3401995</v>
      </c>
      <c r="F8" s="39">
        <f t="shared" si="1"/>
        <v>7132988.5500000007</v>
      </c>
      <c r="G8" s="39">
        <f t="shared" si="1"/>
        <v>-787782.93999999913</v>
      </c>
      <c r="H8" s="39">
        <f t="shared" si="1"/>
        <v>806946.61</v>
      </c>
      <c r="I8" s="39">
        <f t="shared" si="1"/>
        <v>6940.0599999999995</v>
      </c>
      <c r="J8" s="39">
        <f t="shared" si="1"/>
        <v>26103.730000000825</v>
      </c>
    </row>
    <row r="9" spans="1:34" ht="15.5" thickTop="1" thickBot="1" x14ac:dyDescent="0.4"/>
    <row r="10" spans="1:34" ht="87.5" thickBot="1" x14ac:dyDescent="0.4">
      <c r="B10" s="136" t="str">
        <f>+'PCR Cycle 2'!B13</f>
        <v>Cumulative Over/Under Carryover From 06/01/2020 Filing</v>
      </c>
      <c r="C10" s="171" t="str">
        <f>+'PCR Cycle 2'!C13</f>
        <v>Reverse November-20 - January 2021  Forecast From 06/01/2020 Filing</v>
      </c>
      <c r="D10" s="307" t="s">
        <v>35</v>
      </c>
      <c r="E10" s="307"/>
      <c r="F10" s="308"/>
      <c r="G10" s="298" t="s">
        <v>35</v>
      </c>
      <c r="H10" s="299"/>
      <c r="I10" s="300"/>
      <c r="J10" s="303" t="s">
        <v>9</v>
      </c>
      <c r="K10" s="304"/>
      <c r="L10" s="305"/>
    </row>
    <row r="11" spans="1:34" x14ac:dyDescent="0.35">
      <c r="C11" s="14"/>
      <c r="D11" s="19">
        <f>+'PCR Cycle 2'!D14</f>
        <v>43982</v>
      </c>
      <c r="E11" s="19">
        <f>+'PCR Cycle 2'!E14</f>
        <v>44012</v>
      </c>
      <c r="F11" s="19">
        <f>+'PCR Cycle 2'!F14</f>
        <v>44043</v>
      </c>
      <c r="G11" s="14">
        <f>+'PCR Cycle 2'!G14</f>
        <v>44074</v>
      </c>
      <c r="H11" s="19">
        <f>+'PCR Cycle 2'!H14</f>
        <v>44104</v>
      </c>
      <c r="I11" s="15">
        <f>+'PCR Cycle 2'!I14</f>
        <v>44135</v>
      </c>
      <c r="J11" s="19">
        <f>+'PCR Cycle 2'!J14</f>
        <v>44165</v>
      </c>
      <c r="K11" s="19">
        <f>+'PCR Cycle 2'!K14</f>
        <v>44196</v>
      </c>
      <c r="L11" s="113">
        <f>+'PCR Cycle 2'!L14</f>
        <v>44227</v>
      </c>
      <c r="Y11" s="1"/>
      <c r="Z11" s="1"/>
      <c r="AA11" s="1"/>
      <c r="AB11" s="1"/>
      <c r="AC11" s="1"/>
      <c r="AD11" s="1"/>
      <c r="AE11" s="1"/>
      <c r="AF11" s="1"/>
      <c r="AG11" s="1"/>
      <c r="AH11" s="1"/>
    </row>
    <row r="12" spans="1:34" x14ac:dyDescent="0.35">
      <c r="C12" s="116"/>
      <c r="D12" s="43"/>
      <c r="E12" s="43"/>
      <c r="F12" s="43"/>
      <c r="G12" s="40"/>
      <c r="H12" s="43"/>
      <c r="I12" s="11"/>
      <c r="J12" s="43"/>
      <c r="K12" s="43"/>
      <c r="L12" s="41"/>
    </row>
    <row r="13" spans="1:34" x14ac:dyDescent="0.35">
      <c r="A13" s="59" t="s">
        <v>152</v>
      </c>
      <c r="C13" s="117"/>
      <c r="D13" s="43"/>
      <c r="E13" s="43"/>
      <c r="F13" s="43"/>
      <c r="G13" s="40"/>
      <c r="H13" s="43"/>
      <c r="I13" s="187"/>
      <c r="J13" s="17"/>
      <c r="K13" s="17"/>
      <c r="L13" s="11"/>
    </row>
    <row r="14" spans="1:34" x14ac:dyDescent="0.35">
      <c r="A14" s="59" t="s">
        <v>26</v>
      </c>
      <c r="C14" s="115">
        <v>-2180086.4299999997</v>
      </c>
      <c r="D14" s="127">
        <f>ROUND([7]Pivot!$R$26,2)</f>
        <v>1160363.25</v>
      </c>
      <c r="E14" s="127">
        <f>ROUND([8]Pivot!$R$26,2)</f>
        <v>621171.52</v>
      </c>
      <c r="F14" s="128">
        <f>ROUND([9]Pivot!$R$26,2)</f>
        <v>807646.92</v>
      </c>
      <c r="G14" s="16">
        <f>ROUND([10]Pivot!$R$26,2)</f>
        <v>644423.66</v>
      </c>
      <c r="H14" s="68">
        <f>ROUND([11]Pivot!$N$26,2)</f>
        <v>827017.21</v>
      </c>
      <c r="I14" s="186">
        <f>ROUND([12]Pivot!$N$26,2)</f>
        <v>1013317.87</v>
      </c>
      <c r="J14" s="196">
        <f>ROUND('[3]Monthly Program Costs'!R277,2)</f>
        <v>462243.52</v>
      </c>
      <c r="K14" s="158">
        <f>ROUND('[3]Monthly Program Costs'!S277,2)</f>
        <v>636062.19999999995</v>
      </c>
      <c r="L14" s="91"/>
    </row>
    <row r="15" spans="1:34" x14ac:dyDescent="0.35">
      <c r="A15" s="59" t="s">
        <v>120</v>
      </c>
      <c r="C15" s="115">
        <v>-317055.2</v>
      </c>
      <c r="D15" s="127">
        <f>ROUND([7]Pivot!$N$26,2)</f>
        <v>62312.6</v>
      </c>
      <c r="E15" s="127">
        <f>ROUND([8]Pivot!$N$26,2)</f>
        <v>128919.4</v>
      </c>
      <c r="F15" s="128">
        <f>ROUND([9]Pivot!$N$26,2)</f>
        <v>193650.01</v>
      </c>
      <c r="G15" s="16">
        <f>ROUND([10]Pivot!$N$26,2)</f>
        <v>171627.73</v>
      </c>
      <c r="H15" s="68">
        <f>ROUND([11]Pivot!$O$26,2)</f>
        <v>169637.75</v>
      </c>
      <c r="I15" s="186">
        <f>ROUND([12]Pivot!$O$26,2)</f>
        <v>145102.42000000001</v>
      </c>
      <c r="J15" s="196">
        <f>ROUND('[3]Monthly Program Costs'!R278,2)</f>
        <v>163167.96</v>
      </c>
      <c r="K15" s="158">
        <f>ROUND('[3]Monthly Program Costs'!S278,2)</f>
        <v>176748.21</v>
      </c>
      <c r="L15" s="91"/>
    </row>
    <row r="16" spans="1:34" x14ac:dyDescent="0.35">
      <c r="A16" s="59" t="s">
        <v>121</v>
      </c>
      <c r="C16" s="115">
        <v>-462491.23</v>
      </c>
      <c r="D16" s="127">
        <f>ROUND([7]Pivot!$P$26,2)</f>
        <v>116922.99</v>
      </c>
      <c r="E16" s="127">
        <f>ROUND([8]Pivot!$P$26,2)</f>
        <v>106953.89</v>
      </c>
      <c r="F16" s="128">
        <f>ROUND([9]Pivot!$P$26,2)</f>
        <v>198598.26</v>
      </c>
      <c r="G16" s="16">
        <f>ROUND([10]Pivot!$P$26,2)</f>
        <v>273371.11</v>
      </c>
      <c r="H16" s="68">
        <f>ROUND([11]Pivot!$Q$26,2)</f>
        <v>262523.44</v>
      </c>
      <c r="I16" s="186">
        <f>ROUND([12]Pivot!$Q$26,2)</f>
        <v>117947.85</v>
      </c>
      <c r="J16" s="196">
        <f>ROUND('[3]Monthly Program Costs'!R280,2)</f>
        <v>259304.39</v>
      </c>
      <c r="K16" s="158">
        <f>ROUND('[3]Monthly Program Costs'!S280,2)</f>
        <v>269776.03999999998</v>
      </c>
      <c r="L16" s="91"/>
    </row>
    <row r="17" spans="1:14" x14ac:dyDescent="0.35">
      <c r="A17" s="59" t="s">
        <v>122</v>
      </c>
      <c r="C17" s="115">
        <v>-350781.38</v>
      </c>
      <c r="D17" s="127">
        <f>ROUND([7]Pivot!$Q$26,2)</f>
        <v>103592.33</v>
      </c>
      <c r="E17" s="127">
        <f>ROUND([8]Pivot!$Q$26,2)</f>
        <v>197790.35</v>
      </c>
      <c r="F17" s="128">
        <f>ROUND([9]Pivot!$Q$26,2)</f>
        <v>68197.960000000006</v>
      </c>
      <c r="G17" s="16">
        <f>ROUND([10]Pivot!$Q$26,2)</f>
        <v>123861.2</v>
      </c>
      <c r="H17" s="68">
        <f>ROUND([11]Pivot!$R$26,2)</f>
        <v>133219.89000000001</v>
      </c>
      <c r="I17" s="186">
        <f>ROUND([12]Pivot!$R$26,2)</f>
        <v>432655.39</v>
      </c>
      <c r="J17" s="196">
        <f>ROUND('[3]Monthly Program Costs'!R281,2)</f>
        <v>193660.77</v>
      </c>
      <c r="K17" s="158">
        <f>ROUND('[3]Monthly Program Costs'!S281,2)</f>
        <v>201614.7</v>
      </c>
      <c r="L17" s="91"/>
    </row>
    <row r="18" spans="1:14" x14ac:dyDescent="0.35">
      <c r="C18" s="117"/>
      <c r="D18" s="43"/>
      <c r="E18" s="43"/>
      <c r="F18" s="43"/>
      <c r="G18" s="40"/>
      <c r="H18" s="43"/>
      <c r="I18" s="11"/>
      <c r="J18" s="17"/>
      <c r="K18" s="17"/>
      <c r="L18" s="11"/>
    </row>
    <row r="19" spans="1:14" x14ac:dyDescent="0.35">
      <c r="A19" s="51" t="s">
        <v>49</v>
      </c>
      <c r="B19" s="51"/>
      <c r="C19" s="119"/>
      <c r="D19" s="43"/>
      <c r="E19" s="43"/>
      <c r="F19" s="43"/>
      <c r="G19" s="40"/>
      <c r="H19" s="43"/>
      <c r="I19" s="11"/>
      <c r="J19" s="17"/>
      <c r="K19" s="17"/>
      <c r="L19" s="11"/>
    </row>
    <row r="20" spans="1:14" x14ac:dyDescent="0.35">
      <c r="A20" s="59" t="s">
        <v>26</v>
      </c>
      <c r="C20" s="120">
        <v>-833376842</v>
      </c>
      <c r="D20" s="129">
        <f>+'[5]May 2020'!$F108</f>
        <v>199403248.4835</v>
      </c>
      <c r="E20" s="129">
        <f>+'[5]June 2020'!$F108</f>
        <v>286175202.26459992</v>
      </c>
      <c r="F20" s="129">
        <f>+'[5]July 2020'!$F108</f>
        <v>398445202.37469995</v>
      </c>
      <c r="G20" s="206">
        <f>+'[5]Aug 2020'!$F108</f>
        <v>364143211.15249997</v>
      </c>
      <c r="H20" s="209">
        <f>+'[5]Sept 2020'!$F108</f>
        <v>328005354.16079998</v>
      </c>
      <c r="I20" s="201">
        <f>+'[5]Oct 2020'!$F108</f>
        <v>228006694.89229998</v>
      </c>
      <c r="J20" s="197">
        <f>+'PCR Cycle 2'!J26</f>
        <v>203890143</v>
      </c>
      <c r="K20" s="159">
        <f>+'PCR Cycle 2'!K26</f>
        <v>263527924</v>
      </c>
      <c r="L20" s="92">
        <f>+'PCR Cycle 2'!L26</f>
        <v>365958775</v>
      </c>
    </row>
    <row r="21" spans="1:14" x14ac:dyDescent="0.35">
      <c r="A21" s="59" t="s">
        <v>120</v>
      </c>
      <c r="C21" s="120">
        <v>-245276028</v>
      </c>
      <c r="D21" s="129">
        <f>+'[5]May 2020'!$F109</f>
        <v>63904046.996799998</v>
      </c>
      <c r="E21" s="129">
        <f>+'[5]June 2020'!$F109</f>
        <v>85756522.119599998</v>
      </c>
      <c r="F21" s="129">
        <f>+'[5]July 2020'!$F109</f>
        <v>108862905.37110001</v>
      </c>
      <c r="G21" s="206">
        <f>+'[5]Aug 2020'!$F109</f>
        <v>103666496.91549996</v>
      </c>
      <c r="H21" s="209">
        <f>+'[5]Sept 2020'!$F109</f>
        <v>98662510.360800043</v>
      </c>
      <c r="I21" s="201">
        <f>+'[5]Oct 2020'!$F109</f>
        <v>85923453.744699985</v>
      </c>
      <c r="J21" s="197">
        <f>+'PCR Cycle 2'!J27</f>
        <v>74829664</v>
      </c>
      <c r="K21" s="159">
        <f>+'PCR Cycle 2'!K27</f>
        <v>80840360</v>
      </c>
      <c r="L21" s="92">
        <f>+'PCR Cycle 2'!L27</f>
        <v>89606004</v>
      </c>
    </row>
    <row r="22" spans="1:14" x14ac:dyDescent="0.35">
      <c r="A22" s="59" t="s">
        <v>121</v>
      </c>
      <c r="C22" s="120">
        <v>-371821642</v>
      </c>
      <c r="D22" s="129">
        <f>+'[5]May 2020'!$F110</f>
        <v>70499521.607899994</v>
      </c>
      <c r="E22" s="129">
        <f>+'[5]June 2020'!$F110</f>
        <v>89427213.129099995</v>
      </c>
      <c r="F22" s="129">
        <f>+'[5]July 2020'!$F110</f>
        <v>106034959.5429</v>
      </c>
      <c r="G22" s="206">
        <f>+'[5]Aug 2020'!$F110</f>
        <v>106600183.03749998</v>
      </c>
      <c r="H22" s="209">
        <f>+'[5]Sept 2020'!$F110</f>
        <v>100227395.4313</v>
      </c>
      <c r="I22" s="201">
        <f>+'[5]Oct 2020'!$F110</f>
        <v>92023858.185599998</v>
      </c>
      <c r="J22" s="197">
        <f>+'PCR Cycle 2'!J28</f>
        <v>113436640</v>
      </c>
      <c r="K22" s="159">
        <f>+'PCR Cycle 2'!K28</f>
        <v>122548443</v>
      </c>
      <c r="L22" s="92">
        <f>+'PCR Cycle 2'!L28</f>
        <v>135836559</v>
      </c>
    </row>
    <row r="23" spans="1:14" x14ac:dyDescent="0.35">
      <c r="A23" s="59" t="s">
        <v>122</v>
      </c>
      <c r="C23" s="120">
        <v>-216610115</v>
      </c>
      <c r="D23" s="129">
        <f>+'[5]May 2020'!$F111</f>
        <v>56750058.543399997</v>
      </c>
      <c r="E23" s="129">
        <f>+'[5]June 2020'!$F111</f>
        <v>63372537.728</v>
      </c>
      <c r="F23" s="129">
        <f>+'[5]July 2020'!$F111</f>
        <v>67687491.856800005</v>
      </c>
      <c r="G23" s="206">
        <f>+'[5]Aug 2020'!$F111</f>
        <v>71885495.752599999</v>
      </c>
      <c r="H23" s="209">
        <f>+'[5]Sept 2020'!$F111</f>
        <v>69314101.535400003</v>
      </c>
      <c r="I23" s="201">
        <f>+'[5]Oct 2020'!$F111</f>
        <v>66561880.152799994</v>
      </c>
      <c r="J23" s="197">
        <f>+'PCR Cycle 2'!J29</f>
        <v>66084167</v>
      </c>
      <c r="K23" s="159">
        <f>+'PCR Cycle 2'!K29</f>
        <v>71392381</v>
      </c>
      <c r="L23" s="92">
        <f>+'PCR Cycle 2'!L29</f>
        <v>79133567</v>
      </c>
    </row>
    <row r="24" spans="1:14" x14ac:dyDescent="0.35">
      <c r="C24" s="117"/>
      <c r="D24" s="43"/>
      <c r="E24" s="43"/>
      <c r="F24" s="43"/>
      <c r="G24" s="40"/>
      <c r="H24" s="43"/>
      <c r="I24" s="11"/>
      <c r="J24" s="17"/>
      <c r="K24" s="17"/>
      <c r="L24" s="11"/>
    </row>
    <row r="25" spans="1:14" x14ac:dyDescent="0.35">
      <c r="A25" s="59" t="s">
        <v>36</v>
      </c>
      <c r="C25" s="117"/>
      <c r="D25" s="18"/>
      <c r="E25" s="18"/>
      <c r="F25" s="18"/>
      <c r="G25" s="109"/>
      <c r="H25" s="18"/>
      <c r="I25" s="11"/>
      <c r="J25" s="70"/>
      <c r="K25" s="70"/>
      <c r="L25" s="71"/>
      <c r="M25" s="76" t="s">
        <v>52</v>
      </c>
      <c r="N25" s="51"/>
    </row>
    <row r="26" spans="1:14" x14ac:dyDescent="0.35">
      <c r="A26" s="59" t="s">
        <v>26</v>
      </c>
      <c r="C26" s="115">
        <v>-2150112.25</v>
      </c>
      <c r="D26" s="127">
        <f>ROUND('[5]May 2020'!$F68+'[5]May 2020'!$F75,2)</f>
        <v>514460.38</v>
      </c>
      <c r="E26" s="127">
        <f>ROUND('[5]June 2020'!$F68+'[5]June 2020'!$F75,2)</f>
        <v>738332.02</v>
      </c>
      <c r="F26" s="127">
        <f>ROUND('[5]July 2020'!$F68+'[5]July 2020'!$F75,2)</f>
        <v>1027988.61</v>
      </c>
      <c r="G26" s="207">
        <f>ROUND('[5]Aug 2020'!$F68+'[5]Aug 2020'!$F75,2)</f>
        <v>939489.49</v>
      </c>
      <c r="H26" s="68">
        <f>ROUND('[5]Sept 2020'!$F68+'[5]Sept 2020'!$F75,2)</f>
        <v>846253.83</v>
      </c>
      <c r="I26" s="199">
        <f>ROUND('[5]Oct 2020'!$F68+'[5]Oct 2020'!$F75,2)</f>
        <v>588257.27</v>
      </c>
      <c r="J26" s="141">
        <f t="shared" ref="J26:L29" si="2">ROUND(J20*$M26,2)</f>
        <v>526036.56999999995</v>
      </c>
      <c r="K26" s="53">
        <f t="shared" si="2"/>
        <v>679902.04</v>
      </c>
      <c r="L26" s="74">
        <f t="shared" si="2"/>
        <v>944173.64</v>
      </c>
      <c r="M26" s="85">
        <v>2.5799999999999998E-3</v>
      </c>
    </row>
    <row r="27" spans="1:14" x14ac:dyDescent="0.35">
      <c r="A27" s="59" t="s">
        <v>120</v>
      </c>
      <c r="C27" s="115">
        <v>-389988.89</v>
      </c>
      <c r="D27" s="127">
        <f>ROUND('[5]May 2020'!$F69+'[5]May 2020'!$F76,2)</f>
        <v>101607.43</v>
      </c>
      <c r="E27" s="127">
        <f>ROUND('[5]June 2020'!$F69+'[5]June 2020'!$F76,2)</f>
        <v>136352.87</v>
      </c>
      <c r="F27" s="127">
        <f>ROUND('[5]July 2020'!$F69+'[5]July 2020'!$F76,2)</f>
        <v>173092.02</v>
      </c>
      <c r="G27" s="207">
        <f>ROUND('[5]Aug 2020'!$F69+'[5]Aug 2020'!$F76,2)</f>
        <v>211423.98</v>
      </c>
      <c r="H27" s="68">
        <f>ROUND('[5]Sept 2020'!$F69+'[5]Sept 2020'!$F76,2)</f>
        <v>201216.41</v>
      </c>
      <c r="I27" s="199">
        <f>ROUND('[5]Oct 2020'!$F69+'[5]Oct 2020'!$F76,2)</f>
        <v>175307.13</v>
      </c>
      <c r="J27" s="141">
        <f t="shared" si="2"/>
        <v>152652.51</v>
      </c>
      <c r="K27" s="53">
        <f t="shared" si="2"/>
        <v>164914.32999999999</v>
      </c>
      <c r="L27" s="74">
        <f t="shared" si="2"/>
        <v>182796.25</v>
      </c>
      <c r="M27" s="85">
        <v>2.0400000000000001E-3</v>
      </c>
    </row>
    <row r="28" spans="1:14" x14ac:dyDescent="0.35">
      <c r="A28" s="59" t="s">
        <v>121</v>
      </c>
      <c r="C28" s="115">
        <v>-617223.92999999993</v>
      </c>
      <c r="D28" s="127">
        <f>ROUND('[5]May 2020'!$F70+'[5]May 2020'!$F77,2)</f>
        <v>117029.21</v>
      </c>
      <c r="E28" s="127">
        <f>ROUND('[5]June 2020'!$F70+'[5]June 2020'!$F77,2)</f>
        <v>148449.17000000001</v>
      </c>
      <c r="F28" s="127">
        <f>ROUND('[5]July 2020'!$F70+'[5]July 2020'!$F77,2)</f>
        <v>176018.02</v>
      </c>
      <c r="G28" s="207">
        <f>ROUND('[5]Aug 2020'!$F70+'[5]Aug 2020'!$F77,2)</f>
        <v>205233.78</v>
      </c>
      <c r="H28" s="68">
        <f>ROUND('[5]Sept 2020'!$F70+'[5]Sept 2020'!$F77,2)</f>
        <v>193693.34</v>
      </c>
      <c r="I28" s="199">
        <f>ROUND('[5]Oct 2020'!$F70+'[5]Oct 2020'!$F77,2)</f>
        <v>177613.14</v>
      </c>
      <c r="J28" s="141">
        <f t="shared" si="2"/>
        <v>218932.72</v>
      </c>
      <c r="K28" s="53">
        <f t="shared" si="2"/>
        <v>236518.49</v>
      </c>
      <c r="L28" s="74">
        <f t="shared" si="2"/>
        <v>262164.56</v>
      </c>
      <c r="M28" s="85">
        <v>1.9299999999999999E-3</v>
      </c>
    </row>
    <row r="29" spans="1:14" x14ac:dyDescent="0.35">
      <c r="A29" s="59" t="s">
        <v>122</v>
      </c>
      <c r="C29" s="115">
        <v>-337911.77</v>
      </c>
      <c r="D29" s="127">
        <f>ROUND('[5]May 2020'!$F71+'[5]May 2020'!$F78,2)</f>
        <v>88530.09</v>
      </c>
      <c r="E29" s="127">
        <f>ROUND('[5]June 2020'!$F71+'[5]June 2020'!$F78,2)</f>
        <v>98861.16</v>
      </c>
      <c r="F29" s="127">
        <f>ROUND('[5]July 2020'!$F71+'[5]July 2020'!$F78,2)</f>
        <v>105592.49</v>
      </c>
      <c r="G29" s="207">
        <f>ROUND('[5]Aug 2020'!$F71+'[5]Aug 2020'!$F78,2)</f>
        <v>180750.97</v>
      </c>
      <c r="H29" s="68">
        <f>ROUND('[5]Sept 2020'!$F71+'[5]Sept 2020'!$F78,2)</f>
        <v>177444.1</v>
      </c>
      <c r="I29" s="199">
        <f>ROUND('[5]Oct 2020'!$F71+'[5]Oct 2020'!$F78,2)</f>
        <v>170398.41</v>
      </c>
      <c r="J29" s="141">
        <f t="shared" si="2"/>
        <v>169175.47</v>
      </c>
      <c r="K29" s="53">
        <f t="shared" si="2"/>
        <v>182764.5</v>
      </c>
      <c r="L29" s="74">
        <f t="shared" si="2"/>
        <v>202581.93</v>
      </c>
      <c r="M29" s="85">
        <v>2.5599999999999998E-3</v>
      </c>
    </row>
    <row r="30" spans="1:14" x14ac:dyDescent="0.35">
      <c r="C30" s="80"/>
      <c r="D30" s="18"/>
      <c r="E30" s="18"/>
      <c r="F30" s="18"/>
      <c r="G30" s="109"/>
      <c r="H30" s="18"/>
      <c r="I30" s="11"/>
      <c r="J30" s="69"/>
      <c r="K30" s="69"/>
      <c r="L30" s="13"/>
      <c r="M30" s="4"/>
    </row>
    <row r="31" spans="1:14" ht="15" thickBot="1" x14ac:dyDescent="0.4">
      <c r="A31" s="59" t="s">
        <v>16</v>
      </c>
      <c r="C31" s="121">
        <v>-5955.9299999999994</v>
      </c>
      <c r="D31" s="130">
        <v>1564.3700000000001</v>
      </c>
      <c r="E31" s="130">
        <v>1882.27</v>
      </c>
      <c r="F31" s="131">
        <v>1702.4999999999998</v>
      </c>
      <c r="G31" s="38">
        <v>1374.87</v>
      </c>
      <c r="H31" s="140">
        <v>1162.8899999999999</v>
      </c>
      <c r="I31" s="200">
        <v>1492.1</v>
      </c>
      <c r="J31" s="198">
        <v>1848.2</v>
      </c>
      <c r="K31" s="160">
        <v>1868.79</v>
      </c>
      <c r="L31" s="96"/>
    </row>
    <row r="32" spans="1:14" x14ac:dyDescent="0.35">
      <c r="C32" s="117"/>
      <c r="D32" s="43"/>
      <c r="E32" s="43"/>
      <c r="F32" s="43"/>
      <c r="G32" s="40"/>
      <c r="H32" s="43"/>
      <c r="I32" s="11"/>
      <c r="J32" s="17"/>
      <c r="K32" s="17"/>
      <c r="L32" s="11"/>
    </row>
    <row r="33" spans="1:13" x14ac:dyDescent="0.35">
      <c r="A33" s="59" t="s">
        <v>54</v>
      </c>
      <c r="C33" s="117"/>
      <c r="D33" s="43"/>
      <c r="E33" s="43"/>
      <c r="F33" s="43"/>
      <c r="G33" s="40"/>
      <c r="H33" s="43"/>
      <c r="I33" s="11"/>
      <c r="J33" s="17"/>
      <c r="K33" s="17"/>
      <c r="L33" s="11"/>
    </row>
    <row r="34" spans="1:13" x14ac:dyDescent="0.35">
      <c r="A34" s="59" t="s">
        <v>26</v>
      </c>
      <c r="C34" s="52">
        <f t="shared" ref="C34:L34" si="3">C14-C26</f>
        <v>-29974.179999999702</v>
      </c>
      <c r="D34" s="53">
        <f t="shared" si="3"/>
        <v>645902.87</v>
      </c>
      <c r="E34" s="53">
        <f t="shared" si="3"/>
        <v>-117160.5</v>
      </c>
      <c r="F34" s="126">
        <f t="shared" si="3"/>
        <v>-220341.68999999994</v>
      </c>
      <c r="G34" s="52">
        <f t="shared" si="3"/>
        <v>-295065.82999999996</v>
      </c>
      <c r="H34" s="53">
        <f t="shared" si="3"/>
        <v>-19236.619999999995</v>
      </c>
      <c r="I34" s="74">
        <f t="shared" si="3"/>
        <v>425060.6</v>
      </c>
      <c r="J34" s="141">
        <f t="shared" si="3"/>
        <v>-63793.04999999993</v>
      </c>
      <c r="K34" s="53">
        <f t="shared" si="3"/>
        <v>-43839.840000000084</v>
      </c>
      <c r="L34" s="62">
        <f t="shared" si="3"/>
        <v>-944173.64</v>
      </c>
    </row>
    <row r="35" spans="1:13" x14ac:dyDescent="0.35">
      <c r="A35" s="59" t="s">
        <v>120</v>
      </c>
      <c r="C35" s="52">
        <f t="shared" ref="C35:L35" si="4">C15-C27</f>
        <v>72933.69</v>
      </c>
      <c r="D35" s="53">
        <f t="shared" si="4"/>
        <v>-39294.829999999994</v>
      </c>
      <c r="E35" s="53">
        <f t="shared" si="4"/>
        <v>-7433.4700000000012</v>
      </c>
      <c r="F35" s="126">
        <f t="shared" si="4"/>
        <v>20557.99000000002</v>
      </c>
      <c r="G35" s="52">
        <f t="shared" si="4"/>
        <v>-39796.25</v>
      </c>
      <c r="H35" s="53">
        <f t="shared" si="4"/>
        <v>-31578.660000000003</v>
      </c>
      <c r="I35" s="74">
        <f t="shared" si="4"/>
        <v>-30204.709999999992</v>
      </c>
      <c r="J35" s="141">
        <f t="shared" si="4"/>
        <v>10515.449999999983</v>
      </c>
      <c r="K35" s="53">
        <f t="shared" si="4"/>
        <v>11833.880000000005</v>
      </c>
      <c r="L35" s="62">
        <f t="shared" si="4"/>
        <v>-182796.25</v>
      </c>
    </row>
    <row r="36" spans="1:13" x14ac:dyDescent="0.35">
      <c r="A36" s="59" t="s">
        <v>121</v>
      </c>
      <c r="C36" s="52">
        <f t="shared" ref="C36:L36" si="5">C16-C28</f>
        <v>154732.69999999995</v>
      </c>
      <c r="D36" s="53">
        <f t="shared" si="5"/>
        <v>-106.22000000000116</v>
      </c>
      <c r="E36" s="53">
        <f t="shared" si="5"/>
        <v>-41495.280000000013</v>
      </c>
      <c r="F36" s="126">
        <f t="shared" si="5"/>
        <v>22580.24000000002</v>
      </c>
      <c r="G36" s="52">
        <f t="shared" si="5"/>
        <v>68137.329999999987</v>
      </c>
      <c r="H36" s="53">
        <f t="shared" si="5"/>
        <v>68830.100000000006</v>
      </c>
      <c r="I36" s="74">
        <f t="shared" si="5"/>
        <v>-59665.290000000008</v>
      </c>
      <c r="J36" s="141">
        <f t="shared" si="5"/>
        <v>40371.670000000013</v>
      </c>
      <c r="K36" s="53">
        <f t="shared" si="5"/>
        <v>33257.549999999988</v>
      </c>
      <c r="L36" s="62">
        <f t="shared" si="5"/>
        <v>-262164.56</v>
      </c>
    </row>
    <row r="37" spans="1:13" x14ac:dyDescent="0.35">
      <c r="A37" s="59" t="s">
        <v>122</v>
      </c>
      <c r="C37" s="52">
        <f t="shared" ref="C37:L37" si="6">C17-C29</f>
        <v>-12869.609999999986</v>
      </c>
      <c r="D37" s="53">
        <f t="shared" si="6"/>
        <v>15062.240000000005</v>
      </c>
      <c r="E37" s="53">
        <f t="shared" si="6"/>
        <v>98929.19</v>
      </c>
      <c r="F37" s="126">
        <f t="shared" si="6"/>
        <v>-37394.53</v>
      </c>
      <c r="G37" s="52">
        <f t="shared" si="6"/>
        <v>-56889.770000000004</v>
      </c>
      <c r="H37" s="53">
        <f t="shared" si="6"/>
        <v>-44224.209999999992</v>
      </c>
      <c r="I37" s="74">
        <f t="shared" si="6"/>
        <v>262256.98</v>
      </c>
      <c r="J37" s="141">
        <f t="shared" si="6"/>
        <v>24485.299999999988</v>
      </c>
      <c r="K37" s="53">
        <f t="shared" si="6"/>
        <v>18850.200000000012</v>
      </c>
      <c r="L37" s="62">
        <f t="shared" si="6"/>
        <v>-202581.93</v>
      </c>
    </row>
    <row r="38" spans="1:13" x14ac:dyDescent="0.35">
      <c r="C38" s="117"/>
      <c r="D38" s="43"/>
      <c r="E38" s="43"/>
      <c r="F38" s="43"/>
      <c r="G38" s="40"/>
      <c r="H38" s="43"/>
      <c r="I38" s="11"/>
      <c r="J38" s="17"/>
      <c r="K38" s="17"/>
      <c r="L38" s="11"/>
    </row>
    <row r="39" spans="1:13" ht="15" thickBot="1" x14ac:dyDescent="0.4">
      <c r="A39" s="59" t="s">
        <v>55</v>
      </c>
      <c r="C39" s="122"/>
      <c r="D39" s="43"/>
      <c r="E39" s="43"/>
      <c r="F39" s="43"/>
      <c r="G39" s="40"/>
      <c r="H39" s="43"/>
      <c r="I39" s="11"/>
      <c r="J39" s="17"/>
      <c r="K39" s="17"/>
      <c r="L39" s="11"/>
    </row>
    <row r="40" spans="1:13" x14ac:dyDescent="0.35">
      <c r="A40" s="59" t="s">
        <v>26</v>
      </c>
      <c r="B40" s="134">
        <v>520384.56999999995</v>
      </c>
      <c r="C40" s="53">
        <f t="shared" ref="C40:L40" si="7">B40+C34+B47</f>
        <v>490410.39000000025</v>
      </c>
      <c r="D40" s="53">
        <f t="shared" si="7"/>
        <v>1132466.0000000002</v>
      </c>
      <c r="E40" s="53">
        <f t="shared" si="7"/>
        <v>1016282.2000000002</v>
      </c>
      <c r="F40" s="126">
        <f t="shared" si="7"/>
        <v>797224.78000000026</v>
      </c>
      <c r="G40" s="52">
        <f t="shared" si="7"/>
        <v>503234.47000000032</v>
      </c>
      <c r="H40" s="53">
        <f t="shared" si="7"/>
        <v>484763.24000000034</v>
      </c>
      <c r="I40" s="74">
        <f t="shared" si="7"/>
        <v>910401.40000000037</v>
      </c>
      <c r="J40" s="141">
        <f t="shared" si="7"/>
        <v>847420.46000000043</v>
      </c>
      <c r="K40" s="53">
        <f t="shared" si="7"/>
        <v>804603.88000000035</v>
      </c>
      <c r="L40" s="62">
        <f t="shared" si="7"/>
        <v>-138607.92999999967</v>
      </c>
    </row>
    <row r="41" spans="1:13" x14ac:dyDescent="0.35">
      <c r="A41" s="59" t="s">
        <v>120</v>
      </c>
      <c r="B41" s="270">
        <v>97876.19</v>
      </c>
      <c r="C41" s="53">
        <f t="shared" ref="C41:L41" si="8">B41+C35+B48</f>
        <v>170809.88</v>
      </c>
      <c r="D41" s="53">
        <f t="shared" si="8"/>
        <v>130838.36000000002</v>
      </c>
      <c r="E41" s="53">
        <f t="shared" si="8"/>
        <v>123586.45000000001</v>
      </c>
      <c r="F41" s="126">
        <f t="shared" si="8"/>
        <v>144296.54000000004</v>
      </c>
      <c r="G41" s="52">
        <f t="shared" si="8"/>
        <v>104659.14000000004</v>
      </c>
      <c r="H41" s="53">
        <f t="shared" si="8"/>
        <v>73226.98000000004</v>
      </c>
      <c r="I41" s="74">
        <f t="shared" si="8"/>
        <v>43126.260000000046</v>
      </c>
      <c r="J41" s="141">
        <f t="shared" si="8"/>
        <v>53709.47000000003</v>
      </c>
      <c r="K41" s="53">
        <f t="shared" si="8"/>
        <v>65599.73000000004</v>
      </c>
      <c r="L41" s="62">
        <f t="shared" si="8"/>
        <v>-117127.06999999996</v>
      </c>
    </row>
    <row r="42" spans="1:13" x14ac:dyDescent="0.35">
      <c r="A42" s="59" t="s">
        <v>121</v>
      </c>
      <c r="B42" s="270">
        <v>73593.270000000019</v>
      </c>
      <c r="C42" s="53">
        <f t="shared" ref="C42:L42" si="9">B42+C36+B49</f>
        <v>228325.96999999997</v>
      </c>
      <c r="D42" s="53">
        <f t="shared" si="9"/>
        <v>227349.16999999998</v>
      </c>
      <c r="E42" s="53">
        <f t="shared" si="9"/>
        <v>186128.25999999995</v>
      </c>
      <c r="F42" s="126">
        <f t="shared" si="9"/>
        <v>208955.67999999996</v>
      </c>
      <c r="G42" s="52">
        <f t="shared" si="9"/>
        <v>277327.29999999993</v>
      </c>
      <c r="H42" s="53">
        <f t="shared" si="9"/>
        <v>346443.50999999989</v>
      </c>
      <c r="I42" s="74">
        <f t="shared" si="9"/>
        <v>287142.73999999987</v>
      </c>
      <c r="J42" s="141">
        <f t="shared" si="9"/>
        <v>327883.2699999999</v>
      </c>
      <c r="K42" s="53">
        <f t="shared" si="9"/>
        <v>361498.8899999999</v>
      </c>
      <c r="L42" s="62">
        <f t="shared" si="9"/>
        <v>99735.659999999902</v>
      </c>
    </row>
    <row r="43" spans="1:13" ht="15" thickBot="1" x14ac:dyDescent="0.4">
      <c r="A43" s="59" t="s">
        <v>122</v>
      </c>
      <c r="B43" s="135">
        <v>115092.57999999999</v>
      </c>
      <c r="C43" s="53">
        <f t="shared" ref="C43:L43" si="10">B43+C37+B50</f>
        <v>102222.97</v>
      </c>
      <c r="D43" s="53">
        <f t="shared" si="10"/>
        <v>116723.81000000001</v>
      </c>
      <c r="E43" s="53">
        <f t="shared" si="10"/>
        <v>215784.74</v>
      </c>
      <c r="F43" s="126">
        <f t="shared" si="10"/>
        <v>178588.93</v>
      </c>
      <c r="G43" s="52">
        <f t="shared" si="10"/>
        <v>121932.99999999999</v>
      </c>
      <c r="H43" s="53">
        <f t="shared" si="10"/>
        <v>77885.659999999989</v>
      </c>
      <c r="I43" s="74">
        <f t="shared" si="10"/>
        <v>340259.45999999996</v>
      </c>
      <c r="J43" s="141">
        <f t="shared" si="10"/>
        <v>364988.12999999995</v>
      </c>
      <c r="K43" s="53">
        <f t="shared" si="10"/>
        <v>384248.81999999995</v>
      </c>
      <c r="L43" s="62">
        <f t="shared" si="10"/>
        <v>182103.06999999995</v>
      </c>
    </row>
    <row r="44" spans="1:13" x14ac:dyDescent="0.35">
      <c r="C44" s="117"/>
      <c r="D44" s="43"/>
      <c r="E44" s="43"/>
      <c r="F44" s="43"/>
      <c r="G44" s="40"/>
      <c r="H44" s="43"/>
      <c r="I44" s="11"/>
      <c r="J44" s="17"/>
      <c r="K44" s="17"/>
      <c r="L44" s="11"/>
    </row>
    <row r="45" spans="1:13" x14ac:dyDescent="0.35">
      <c r="A45" s="51" t="s">
        <v>51</v>
      </c>
      <c r="B45" s="51"/>
      <c r="C45" s="122"/>
      <c r="D45" s="98">
        <f>+'PCR Cycle 2'!D47</f>
        <v>1.20652E-3</v>
      </c>
      <c r="E45" s="98">
        <f>+'PCR Cycle 2'!E47</f>
        <v>1.1948200000000001E-3</v>
      </c>
      <c r="F45" s="98">
        <f>+'PCR Cycle 2'!F47</f>
        <v>1.1852799999999999E-3</v>
      </c>
      <c r="G45" s="99">
        <f>+'PCR Cycle 2'!G47</f>
        <v>1.17614E-3</v>
      </c>
      <c r="H45" s="98">
        <f>+'PCR Cycle 2'!H47</f>
        <v>1.1682400000000001E-3</v>
      </c>
      <c r="I45" s="110">
        <f>+'PCR Cycle 2'!I47</f>
        <v>1.1636999999999999E-3</v>
      </c>
      <c r="J45" s="98">
        <f>+'PCR Cycle 2'!J47</f>
        <v>1.1636999999999999E-3</v>
      </c>
      <c r="K45" s="98">
        <f>+'PCR Cycle 2'!K47</f>
        <v>1.1636999999999999E-3</v>
      </c>
      <c r="L45" s="110"/>
    </row>
    <row r="46" spans="1:13" x14ac:dyDescent="0.35">
      <c r="A46" s="51" t="s">
        <v>39</v>
      </c>
      <c r="B46" s="51"/>
      <c r="C46" s="117"/>
      <c r="D46" s="43"/>
      <c r="E46" s="43"/>
      <c r="F46" s="43"/>
      <c r="G46" s="40"/>
      <c r="H46" s="43"/>
      <c r="I46" s="11"/>
      <c r="J46" s="17"/>
      <c r="K46" s="17"/>
      <c r="L46" s="11"/>
      <c r="M46" s="84"/>
    </row>
    <row r="47" spans="1:13" x14ac:dyDescent="0.35">
      <c r="A47" s="59" t="s">
        <v>26</v>
      </c>
      <c r="C47" s="52">
        <v>-3847.26</v>
      </c>
      <c r="D47" s="53">
        <f t="shared" ref="D47:K50" si="11">ROUND((C40+C47+D34/2)*D$45,2)</f>
        <v>976.7</v>
      </c>
      <c r="E47" s="53">
        <f t="shared" si="11"/>
        <v>1284.27</v>
      </c>
      <c r="F47" s="126">
        <f t="shared" si="11"/>
        <v>1075.52</v>
      </c>
      <c r="G47" s="52">
        <f t="shared" si="11"/>
        <v>765.39</v>
      </c>
      <c r="H47" s="141">
        <f t="shared" si="11"/>
        <v>577.55999999999995</v>
      </c>
      <c r="I47" s="74">
        <f t="shared" si="11"/>
        <v>812.11</v>
      </c>
      <c r="J47" s="141">
        <f t="shared" si="11"/>
        <v>1023.26</v>
      </c>
      <c r="K47" s="141">
        <f t="shared" si="11"/>
        <v>961.83</v>
      </c>
      <c r="L47" s="62"/>
    </row>
    <row r="48" spans="1:13" x14ac:dyDescent="0.35">
      <c r="A48" s="59" t="s">
        <v>120</v>
      </c>
      <c r="C48" s="271">
        <v>-676.69</v>
      </c>
      <c r="D48" s="53">
        <f t="shared" si="11"/>
        <v>181.56</v>
      </c>
      <c r="E48" s="53">
        <f t="shared" si="11"/>
        <v>152.1</v>
      </c>
      <c r="F48" s="126">
        <f t="shared" si="11"/>
        <v>158.85</v>
      </c>
      <c r="G48" s="52">
        <f t="shared" si="11"/>
        <v>146.5</v>
      </c>
      <c r="H48" s="141">
        <f t="shared" si="11"/>
        <v>103.99</v>
      </c>
      <c r="I48" s="74">
        <f t="shared" si="11"/>
        <v>67.760000000000005</v>
      </c>
      <c r="J48" s="141">
        <f t="shared" si="11"/>
        <v>56.38</v>
      </c>
      <c r="K48" s="141">
        <f t="shared" si="11"/>
        <v>69.45</v>
      </c>
      <c r="L48" s="62"/>
    </row>
    <row r="49" spans="1:12" x14ac:dyDescent="0.35">
      <c r="A49" s="59" t="s">
        <v>121</v>
      </c>
      <c r="C49" s="271">
        <v>-870.57999999999993</v>
      </c>
      <c r="D49" s="53">
        <f t="shared" si="11"/>
        <v>274.37</v>
      </c>
      <c r="E49" s="53">
        <f t="shared" si="11"/>
        <v>247.18</v>
      </c>
      <c r="F49" s="126">
        <f t="shared" si="11"/>
        <v>234.29</v>
      </c>
      <c r="G49" s="52">
        <f t="shared" si="11"/>
        <v>286.11</v>
      </c>
      <c r="H49" s="141">
        <f t="shared" si="11"/>
        <v>364.52</v>
      </c>
      <c r="I49" s="74">
        <f t="shared" si="11"/>
        <v>368.86</v>
      </c>
      <c r="J49" s="141">
        <f t="shared" si="11"/>
        <v>358.07</v>
      </c>
      <c r="K49" s="141">
        <f t="shared" si="11"/>
        <v>401.33</v>
      </c>
      <c r="L49" s="62"/>
    </row>
    <row r="50" spans="1:12" ht="15" thickBot="1" x14ac:dyDescent="0.4">
      <c r="A50" s="59" t="s">
        <v>122</v>
      </c>
      <c r="C50" s="132">
        <v>-561.4</v>
      </c>
      <c r="D50" s="53">
        <f t="shared" si="11"/>
        <v>131.74</v>
      </c>
      <c r="E50" s="53">
        <f t="shared" si="11"/>
        <v>198.72</v>
      </c>
      <c r="F50" s="126">
        <f t="shared" si="11"/>
        <v>233.84</v>
      </c>
      <c r="G50" s="52">
        <f t="shared" si="11"/>
        <v>176.87</v>
      </c>
      <c r="H50" s="141">
        <f t="shared" si="11"/>
        <v>116.82</v>
      </c>
      <c r="I50" s="74">
        <f t="shared" si="11"/>
        <v>243.37</v>
      </c>
      <c r="J50" s="141">
        <f t="shared" si="11"/>
        <v>410.49</v>
      </c>
      <c r="K50" s="141">
        <f t="shared" si="11"/>
        <v>436.18</v>
      </c>
      <c r="L50" s="62"/>
    </row>
    <row r="51" spans="1:12" ht="15.5" thickTop="1" thickBot="1" x14ac:dyDescent="0.4">
      <c r="A51" s="67" t="s">
        <v>24</v>
      </c>
      <c r="B51" s="67"/>
      <c r="C51" s="133">
        <v>0</v>
      </c>
      <c r="D51" s="44">
        <f t="shared" ref="D51:L51" si="12">SUM(D47:D50)+SUM(D40:D43)-D54</f>
        <v>0</v>
      </c>
      <c r="E51" s="44">
        <f t="shared" si="12"/>
        <v>0</v>
      </c>
      <c r="F51" s="63">
        <f t="shared" si="12"/>
        <v>0</v>
      </c>
      <c r="G51" s="142">
        <f t="shared" si="12"/>
        <v>0</v>
      </c>
      <c r="H51" s="44">
        <f t="shared" si="12"/>
        <v>0</v>
      </c>
      <c r="I51" s="75">
        <f t="shared" si="12"/>
        <v>0</v>
      </c>
      <c r="J51" s="185">
        <f t="shared" si="12"/>
        <v>0</v>
      </c>
      <c r="K51" s="44">
        <f t="shared" si="12"/>
        <v>0</v>
      </c>
      <c r="L51" s="114">
        <f t="shared" si="12"/>
        <v>-4.6566128730773926E-10</v>
      </c>
    </row>
    <row r="52" spans="1:12" ht="15.5" thickTop="1" thickBot="1" x14ac:dyDescent="0.4">
      <c r="A52" s="67" t="s">
        <v>25</v>
      </c>
      <c r="B52" s="67"/>
      <c r="C52" s="125">
        <v>0</v>
      </c>
      <c r="D52" s="44">
        <f t="shared" ref="D52:L52" si="13">SUM(D47:D50)-D31</f>
        <v>0</v>
      </c>
      <c r="E52" s="44">
        <f t="shared" si="13"/>
        <v>0</v>
      </c>
      <c r="F52" s="63">
        <f t="shared" si="13"/>
        <v>0</v>
      </c>
      <c r="G52" s="64">
        <f t="shared" si="13"/>
        <v>0</v>
      </c>
      <c r="H52" s="44">
        <f t="shared" si="13"/>
        <v>0</v>
      </c>
      <c r="I52" s="75">
        <f t="shared" si="13"/>
        <v>0</v>
      </c>
      <c r="J52" s="185">
        <f t="shared" si="13"/>
        <v>0</v>
      </c>
      <c r="K52" s="44">
        <f t="shared" si="13"/>
        <v>0</v>
      </c>
      <c r="L52" s="114">
        <f t="shared" si="13"/>
        <v>0</v>
      </c>
    </row>
    <row r="53" spans="1:12" ht="15.5" thickTop="1" thickBot="1" x14ac:dyDescent="0.4">
      <c r="C53" s="117"/>
      <c r="D53" s="17"/>
      <c r="E53" s="17"/>
      <c r="F53" s="17"/>
      <c r="G53" s="10"/>
      <c r="H53" s="17"/>
      <c r="I53" s="11"/>
      <c r="J53" s="17"/>
      <c r="K53" s="17"/>
      <c r="L53" s="11"/>
    </row>
    <row r="54" spans="1:12" ht="15" thickBot="1" x14ac:dyDescent="0.4">
      <c r="A54" s="59" t="s">
        <v>38</v>
      </c>
      <c r="B54" s="137">
        <f>SUM(B40:B43)</f>
        <v>806946.61</v>
      </c>
      <c r="C54" s="52">
        <f t="shared" ref="C54:L54" si="14">(SUM(C14:C17)-SUM(C26:C29))+SUM(C47:C50)+B54</f>
        <v>985813.28000000049</v>
      </c>
      <c r="D54" s="53">
        <f t="shared" si="14"/>
        <v>1608941.7100000007</v>
      </c>
      <c r="E54" s="53">
        <f t="shared" si="14"/>
        <v>1543663.9200000009</v>
      </c>
      <c r="F54" s="126">
        <f t="shared" si="14"/>
        <v>1330768.4300000009</v>
      </c>
      <c r="G54" s="52">
        <f t="shared" si="14"/>
        <v>1008528.7800000008</v>
      </c>
      <c r="H54" s="53">
        <f t="shared" si="14"/>
        <v>983482.28000000073</v>
      </c>
      <c r="I54" s="74">
        <f t="shared" si="14"/>
        <v>1582421.9600000009</v>
      </c>
      <c r="J54" s="141">
        <f t="shared" si="14"/>
        <v>1595849.5300000007</v>
      </c>
      <c r="K54" s="53">
        <f t="shared" si="14"/>
        <v>1617820.1100000008</v>
      </c>
      <c r="L54" s="74">
        <f t="shared" si="14"/>
        <v>26103.73000000068</v>
      </c>
    </row>
    <row r="55" spans="1:12" x14ac:dyDescent="0.35">
      <c r="A55" s="59" t="s">
        <v>14</v>
      </c>
      <c r="C55" s="138"/>
      <c r="D55" s="69"/>
      <c r="E55" s="69"/>
      <c r="F55" s="69"/>
      <c r="G55" s="12"/>
      <c r="H55" s="69"/>
      <c r="I55" s="11"/>
      <c r="J55" s="17"/>
      <c r="K55" s="17"/>
      <c r="L55" s="11"/>
    </row>
    <row r="56" spans="1:12" ht="15" thickBot="1" x14ac:dyDescent="0.4">
      <c r="B56" s="17"/>
      <c r="C56" s="55"/>
      <c r="D56" s="56"/>
      <c r="E56" s="56"/>
      <c r="F56" s="56"/>
      <c r="G56" s="55"/>
      <c r="H56" s="56"/>
      <c r="I56" s="57"/>
      <c r="J56" s="56"/>
      <c r="K56" s="56"/>
      <c r="L56" s="57"/>
    </row>
    <row r="58" spans="1:12" x14ac:dyDescent="0.35">
      <c r="A58" s="82" t="s">
        <v>13</v>
      </c>
      <c r="B58" s="82"/>
      <c r="C58" s="82"/>
    </row>
    <row r="59" spans="1:12" ht="63" customHeight="1" x14ac:dyDescent="0.35">
      <c r="A59" s="306" t="s">
        <v>187</v>
      </c>
      <c r="B59" s="306"/>
      <c r="C59" s="306"/>
      <c r="D59" s="306"/>
      <c r="E59" s="306"/>
      <c r="F59" s="306"/>
      <c r="G59" s="306"/>
      <c r="H59" s="306"/>
      <c r="I59" s="306"/>
      <c r="J59" s="259"/>
      <c r="K59" s="259"/>
      <c r="L59" s="259"/>
    </row>
    <row r="60" spans="1:12" ht="33.75" customHeight="1" x14ac:dyDescent="0.35">
      <c r="A60" s="306" t="s">
        <v>180</v>
      </c>
      <c r="B60" s="306"/>
      <c r="C60" s="306"/>
      <c r="D60" s="306"/>
      <c r="E60" s="306"/>
      <c r="F60" s="306"/>
      <c r="G60" s="306"/>
      <c r="H60" s="306"/>
      <c r="I60" s="306"/>
      <c r="J60" s="259"/>
      <c r="K60" s="259"/>
      <c r="L60" s="259"/>
    </row>
    <row r="61" spans="1:12" ht="33.75" customHeight="1" x14ac:dyDescent="0.35">
      <c r="A61" s="306" t="s">
        <v>181</v>
      </c>
      <c r="B61" s="306"/>
      <c r="C61" s="306"/>
      <c r="D61" s="306"/>
      <c r="E61" s="306"/>
      <c r="F61" s="306"/>
      <c r="G61" s="306"/>
      <c r="H61" s="306"/>
      <c r="I61" s="306"/>
      <c r="J61" s="259"/>
      <c r="K61" s="259"/>
      <c r="L61" s="259"/>
    </row>
    <row r="62" spans="1:12" x14ac:dyDescent="0.35">
      <c r="A62" s="3" t="s">
        <v>33</v>
      </c>
      <c r="B62" s="3"/>
      <c r="C62" s="3"/>
      <c r="I62" s="4"/>
    </row>
    <row r="63" spans="1:12" x14ac:dyDescent="0.35">
      <c r="A63" s="76" t="s">
        <v>182</v>
      </c>
      <c r="B63" s="3"/>
      <c r="C63" s="3"/>
      <c r="I63" s="4"/>
    </row>
    <row r="64" spans="1:12" x14ac:dyDescent="0.35">
      <c r="A64" s="3" t="s">
        <v>53</v>
      </c>
      <c r="B64" s="3"/>
      <c r="C64" s="3"/>
      <c r="I64" s="4"/>
    </row>
    <row r="65" spans="1:13" x14ac:dyDescent="0.35">
      <c r="A65" s="3"/>
    </row>
    <row r="74" spans="1:13" x14ac:dyDescent="0.35">
      <c r="M74" s="8"/>
    </row>
  </sheetData>
  <mergeCells count="6">
    <mergeCell ref="A61:I61"/>
    <mergeCell ref="D10:F10"/>
    <mergeCell ref="G10:I10"/>
    <mergeCell ref="J10:L10"/>
    <mergeCell ref="A59:I59"/>
    <mergeCell ref="A60:I60"/>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election activeCell="C12" sqref="C12"/>
    </sheetView>
  </sheetViews>
  <sheetFormatPr defaultRowHeight="14.5" x14ac:dyDescent="0.35"/>
  <cols>
    <col min="1" max="1" width="24.7265625" customWidth="1"/>
    <col min="2" max="2" width="16.1796875" customWidth="1"/>
    <col min="3" max="3" width="15.1796875" customWidth="1"/>
  </cols>
  <sheetData>
    <row r="1" spans="1:23" s="59" customFormat="1" x14ac:dyDescent="0.35">
      <c r="A1" s="3" t="str">
        <f>+'PPC Cycle 2'!A1</f>
        <v>Evergy Missouri West, Inc. - DSIM Rider Update Filed 12/01/2020</v>
      </c>
    </row>
    <row r="2" spans="1:23" x14ac:dyDescent="0.35">
      <c r="A2" s="9" t="str">
        <f>+'PPC Cycle 3'!A2</f>
        <v>Projections for Cycle 2 November 2020 - December 2021 DSIM</v>
      </c>
    </row>
    <row r="3" spans="1:23" s="59" customFormat="1" x14ac:dyDescent="0.35">
      <c r="A3" s="9"/>
    </row>
    <row r="4" spans="1:23" ht="40.5" customHeight="1" x14ac:dyDescent="0.35">
      <c r="B4" s="297" t="s">
        <v>68</v>
      </c>
      <c r="C4" s="297"/>
    </row>
    <row r="5" spans="1:23" ht="29" x14ac:dyDescent="0.35">
      <c r="B5" s="170" t="s">
        <v>69</v>
      </c>
      <c r="C5" s="6" t="s">
        <v>31</v>
      </c>
    </row>
    <row r="6" spans="1:23" x14ac:dyDescent="0.35">
      <c r="A6" s="21" t="s">
        <v>26</v>
      </c>
      <c r="B6" s="33">
        <f>SUM('[2]Monthly TD Calc'!$BH$285:$BS$285)</f>
        <v>44002200.543749169</v>
      </c>
      <c r="C6" s="101">
        <f>SUM('[2]Monthly TD Calc'!$BH$326:$BS$326)</f>
        <v>2497785.25</v>
      </c>
    </row>
    <row r="7" spans="1:23" x14ac:dyDescent="0.35">
      <c r="A7" s="42" t="s">
        <v>27</v>
      </c>
      <c r="B7" s="33">
        <f>+B13</f>
        <v>68102749.181800038</v>
      </c>
      <c r="C7" s="101">
        <f>+C13</f>
        <v>2245119.4300000002</v>
      </c>
    </row>
    <row r="8" spans="1:23" x14ac:dyDescent="0.35">
      <c r="A8" s="21" t="s">
        <v>6</v>
      </c>
      <c r="B8" s="34">
        <f>SUM(B6:B7)</f>
        <v>112104949.72554921</v>
      </c>
      <c r="C8" s="23">
        <f>SUM(C6:C7)</f>
        <v>4742904.68</v>
      </c>
    </row>
    <row r="9" spans="1:23" s="59" customFormat="1" x14ac:dyDescent="0.35">
      <c r="A9" s="21"/>
    </row>
    <row r="10" spans="1:23" s="59" customFormat="1" x14ac:dyDescent="0.35">
      <c r="A10" s="21" t="s">
        <v>120</v>
      </c>
      <c r="B10" s="33">
        <f>SUM('[2]Monthly TD Calc'!$BH$286:$BS$286)</f>
        <v>22473018.076600101</v>
      </c>
      <c r="C10" s="101">
        <f>SUM('[2]Monthly TD Calc'!$BH$327:$BS$327)</f>
        <v>1085332.69</v>
      </c>
    </row>
    <row r="11" spans="1:23" s="59" customFormat="1" x14ac:dyDescent="0.35">
      <c r="A11" s="21" t="s">
        <v>121</v>
      </c>
      <c r="B11" s="33">
        <f>SUM('[2]Monthly TD Calc'!$BH$288:$BS$288)</f>
        <v>33628213.476099931</v>
      </c>
      <c r="C11" s="101">
        <f>SUM('[2]Monthly TD Calc'!$BH$329:$BS$329)</f>
        <v>982268.47000000009</v>
      </c>
    </row>
    <row r="12" spans="1:23" s="59" customFormat="1" x14ac:dyDescent="0.35">
      <c r="A12" s="21" t="s">
        <v>122</v>
      </c>
      <c r="B12" s="33">
        <f>SUM('[2]Monthly TD Calc'!$BH$289:$BS$289)</f>
        <v>12001517.629100012</v>
      </c>
      <c r="C12" s="101">
        <f>SUM('[2]Monthly TD Calc'!$BH$330:$BS$330)</f>
        <v>177518.27000000002</v>
      </c>
    </row>
    <row r="13" spans="1:23" x14ac:dyDescent="0.35">
      <c r="A13" s="42" t="s">
        <v>124</v>
      </c>
      <c r="B13" s="34">
        <f>SUM(B10:B12)</f>
        <v>68102749.181800038</v>
      </c>
      <c r="C13" s="23">
        <f>SUM(C10:C12)</f>
        <v>2245119.4300000002</v>
      </c>
    </row>
    <row r="14" spans="1:23" x14ac:dyDescent="0.35">
      <c r="A14" s="59"/>
      <c r="B14" s="59"/>
      <c r="C14" s="59"/>
    </row>
    <row r="15" spans="1:23" x14ac:dyDescent="0.35">
      <c r="A15" s="82" t="s">
        <v>32</v>
      </c>
      <c r="B15" s="21"/>
      <c r="C15" s="22"/>
      <c r="N15" s="1"/>
      <c r="O15" s="1"/>
      <c r="P15" s="1"/>
      <c r="Q15" s="1"/>
      <c r="R15" s="1"/>
      <c r="S15" s="1"/>
      <c r="T15" s="1"/>
      <c r="U15" s="1"/>
      <c r="V15" s="1"/>
      <c r="W15" s="1"/>
    </row>
    <row r="16" spans="1:23" s="51" customFormat="1" x14ac:dyDescent="0.35">
      <c r="A16" s="301" t="s">
        <v>198</v>
      </c>
      <c r="B16" s="301"/>
      <c r="C16" s="301"/>
      <c r="D16" s="301"/>
      <c r="E16" s="301"/>
      <c r="F16" s="301"/>
      <c r="G16" s="301"/>
      <c r="H16" s="301"/>
      <c r="I16" s="301"/>
      <c r="J16" s="301"/>
      <c r="K16" s="301"/>
      <c r="L16" s="301"/>
      <c r="M16" s="301"/>
    </row>
    <row r="17" spans="1:13" s="51" customFormat="1" x14ac:dyDescent="0.35">
      <c r="A17" s="301" t="s">
        <v>199</v>
      </c>
      <c r="B17" s="301"/>
      <c r="C17" s="301"/>
      <c r="D17" s="301"/>
      <c r="E17" s="301"/>
      <c r="F17" s="301"/>
      <c r="G17" s="301"/>
      <c r="H17" s="301"/>
      <c r="I17" s="301"/>
      <c r="J17" s="301"/>
      <c r="K17" s="301"/>
      <c r="L17" s="301"/>
      <c r="M17" s="301"/>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workbookViewId="0">
      <selection activeCell="G20" sqref="G20"/>
    </sheetView>
  </sheetViews>
  <sheetFormatPr defaultColWidth="9.1796875" defaultRowHeight="14.5" x14ac:dyDescent="0.35"/>
  <cols>
    <col min="1" max="1" width="24.7265625" style="59" customWidth="1"/>
    <col min="2" max="2" width="16.1796875" style="59" customWidth="1"/>
    <col min="3" max="3" width="15.1796875" style="59" customWidth="1"/>
    <col min="4" max="16384" width="9.1796875" style="59"/>
  </cols>
  <sheetData>
    <row r="1" spans="1:23" x14ac:dyDescent="0.35">
      <c r="A1" s="3" t="str">
        <f>+'PPC Cycle 2'!A1</f>
        <v>Evergy Missouri West, Inc. - DSIM Rider Update Filed 12/01/2020</v>
      </c>
    </row>
    <row r="2" spans="1:23" x14ac:dyDescent="0.35">
      <c r="A2" s="9" t="str">
        <f>+'PPC Cycle 3'!A2</f>
        <v>Projections for Cycle 2 November 2020 - December 2021 DSIM</v>
      </c>
    </row>
    <row r="3" spans="1:23" x14ac:dyDescent="0.35">
      <c r="A3" s="9"/>
    </row>
    <row r="4" spans="1:23" ht="40.5" customHeight="1" x14ac:dyDescent="0.35">
      <c r="B4" s="297" t="s">
        <v>126</v>
      </c>
      <c r="C4" s="297"/>
    </row>
    <row r="5" spans="1:23" ht="29" x14ac:dyDescent="0.35">
      <c r="B5" s="170" t="s">
        <v>69</v>
      </c>
      <c r="C5" s="61" t="s">
        <v>31</v>
      </c>
    </row>
    <row r="6" spans="1:23" x14ac:dyDescent="0.35">
      <c r="A6" s="21" t="s">
        <v>26</v>
      </c>
      <c r="B6" s="33">
        <f>SUM('[3]Monthly TD Calc'!$Q461:$AB461)</f>
        <v>59177761.249706313</v>
      </c>
      <c r="C6" s="101">
        <f>ROUND(SUM('[3]Monthly TD Calc'!Q428:AB428),2)</f>
        <v>3947774.1</v>
      </c>
    </row>
    <row r="7" spans="1:23" x14ac:dyDescent="0.35">
      <c r="A7" s="21" t="s">
        <v>120</v>
      </c>
      <c r="B7" s="33">
        <f>SUM('[3]Monthly TD Calc'!$Q462:$AB462)</f>
        <v>10439971.889913905</v>
      </c>
      <c r="C7" s="101">
        <f>ROUND(SUM('[3]Monthly TD Calc'!Q429:AB429),2)</f>
        <v>578826.44999999995</v>
      </c>
    </row>
    <row r="8" spans="1:23" x14ac:dyDescent="0.35">
      <c r="A8" s="21" t="s">
        <v>121</v>
      </c>
      <c r="B8" s="33">
        <f>SUM('[3]Monthly TD Calc'!$Q464:$AB464)</f>
        <v>13830569.504977046</v>
      </c>
      <c r="C8" s="101">
        <f>ROUND(SUM('[3]Monthly TD Calc'!Q431:AB431),2)</f>
        <v>460513.27</v>
      </c>
    </row>
    <row r="9" spans="1:23" x14ac:dyDescent="0.35">
      <c r="A9" s="21" t="s">
        <v>122</v>
      </c>
      <c r="B9" s="33">
        <f>SUM('[3]Monthly TD Calc'!$Q465:$AB465)</f>
        <v>12745835.537637629</v>
      </c>
      <c r="C9" s="101">
        <f>ROUND(SUM('[3]Monthly TD Calc'!Q432:AB432),2)</f>
        <v>179495.71</v>
      </c>
    </row>
    <row r="10" spans="1:23" x14ac:dyDescent="0.35">
      <c r="A10" s="42" t="s">
        <v>6</v>
      </c>
      <c r="B10" s="34">
        <f>SUM(B6:B9)</f>
        <v>96194138.182234883</v>
      </c>
      <c r="C10" s="34">
        <f>SUM(C6:C9)</f>
        <v>5166609.53</v>
      </c>
    </row>
    <row r="12" spans="1:23" x14ac:dyDescent="0.35">
      <c r="A12" s="82" t="s">
        <v>32</v>
      </c>
      <c r="B12" s="21"/>
      <c r="C12" s="22"/>
      <c r="N12" s="1"/>
      <c r="O12" s="1"/>
      <c r="P12" s="1"/>
      <c r="Q12" s="1"/>
      <c r="R12" s="1"/>
      <c r="S12" s="1"/>
      <c r="T12" s="1"/>
      <c r="U12" s="1"/>
      <c r="V12" s="1"/>
      <c r="W12" s="1"/>
    </row>
    <row r="13" spans="1:23" s="51" customFormat="1" x14ac:dyDescent="0.35">
      <c r="A13" s="301" t="s">
        <v>192</v>
      </c>
      <c r="B13" s="301"/>
      <c r="C13" s="301"/>
      <c r="D13" s="301"/>
      <c r="E13" s="301"/>
      <c r="F13" s="301"/>
      <c r="G13" s="301"/>
      <c r="H13" s="301"/>
      <c r="I13" s="301"/>
      <c r="J13" s="301"/>
      <c r="K13" s="301"/>
      <c r="L13" s="301"/>
      <c r="M13" s="301"/>
    </row>
    <row r="14" spans="1:23" s="51" customFormat="1" x14ac:dyDescent="0.35">
      <c r="A14" s="301" t="s">
        <v>193</v>
      </c>
      <c r="B14" s="301"/>
      <c r="C14" s="301"/>
      <c r="D14" s="301"/>
      <c r="E14" s="301"/>
      <c r="F14" s="301"/>
      <c r="G14" s="301"/>
      <c r="H14" s="301"/>
      <c r="I14" s="301"/>
      <c r="J14" s="301"/>
      <c r="K14" s="301"/>
      <c r="L14" s="301"/>
      <c r="M14" s="301"/>
    </row>
    <row r="34" spans="2:3" x14ac:dyDescent="0.35">
      <c r="B34" s="8"/>
      <c r="C34" s="8"/>
    </row>
    <row r="38" spans="2:3" x14ac:dyDescent="0.35">
      <c r="B38" s="8"/>
      <c r="C38" s="8"/>
    </row>
  </sheetData>
  <mergeCells count="3">
    <mergeCell ref="B4:C4"/>
    <mergeCell ref="A13:M13"/>
    <mergeCell ref="A14:M14"/>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1A6497F0A034408B121D2E9E1ADC67" ma:contentTypeVersion="" ma:contentTypeDescription="Create a new document." ma:contentTypeScope="" ma:versionID="33410187fa11445242c709c55f188682">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E36353-2D23-4413-BFF3-128FB6002D9C}"/>
</file>

<file path=customXml/itemProps2.xml><?xml version="1.0" encoding="utf-8"?>
<ds:datastoreItem xmlns:ds="http://schemas.openxmlformats.org/officeDocument/2006/customXml" ds:itemID="{BBE680F6-EEBC-41A4-AEB5-0B773B5EACA2}"/>
</file>

<file path=customXml/itemProps3.xml><?xml version="1.0" encoding="utf-8"?>
<ds:datastoreItem xmlns:ds="http://schemas.openxmlformats.org/officeDocument/2006/customXml" ds:itemID="{D646FAFD-8F0B-4D5C-B9A0-E79161D8A7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tariff tables</vt:lpstr>
      <vt:lpstr>tariff tables v. current tariff</vt:lpstr>
      <vt:lpstr>DSIM Cycle Tables</vt:lpstr>
      <vt:lpstr>PPC Cycle 2</vt:lpstr>
      <vt:lpstr>PPC Cycle 3</vt:lpstr>
      <vt:lpstr>PCR Cycle 2</vt:lpstr>
      <vt:lpstr>PCR Cycle 3</vt:lpstr>
      <vt:lpstr>PTD Cycle 2</vt:lpstr>
      <vt:lpstr>PTD Cycle 3</vt:lpstr>
      <vt:lpstr>TDR Cycle 2</vt:lpstr>
      <vt:lpstr>TDR Cycle 3</vt:lpstr>
      <vt:lpstr>EO Cycle 2</vt:lpstr>
      <vt:lpstr>EOR Cycle 1</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2020-11-24T22:14:23Z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0x010100011A6497F0A034408B121D2E9E1ADC67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iteId">
    <vt:lpwstr>9ef58ab0-3510-4d99-8d3e-3c9e02ebab7f</vt:lpwstr>
  </property>
  <property fmtid="{D5CDD505-2E9C-101B-9397-08002B2CF9AE}" pid="7" name="MSIP_Label_d275ac46-98b9-4d64-949f-e82ee8dc823c_Owner">
    <vt:lpwstr>Mark.Foltz@kcpl.com</vt:lpwstr>
  </property>
  <property fmtid="{D5CDD505-2E9C-101B-9397-08002B2CF9AE}" pid="8" name="MSIP_Label_d275ac46-98b9-4d64-949f-e82ee8dc823c_SetDate">
    <vt:lpwstr>2018-11-14T16:29:38.6736549Z</vt:lpwstr>
  </property>
  <property fmtid="{D5CDD505-2E9C-101B-9397-08002B2CF9AE}" pid="9" name="MSIP_Label_d275ac46-98b9-4d64-949f-e82ee8dc823c_Name">
    <vt:lpwstr>Internal Use Only</vt:lpwstr>
  </property>
  <property fmtid="{D5CDD505-2E9C-101B-9397-08002B2CF9AE}" pid="10" name="MSIP_Label_d275ac46-98b9-4d64-949f-e82ee8dc823c_Application">
    <vt:lpwstr>Microsoft Azure Information Protection</vt:lpwstr>
  </property>
  <property fmtid="{D5CDD505-2E9C-101B-9397-08002B2CF9AE}" pid="11" name="MSIP_Label_d275ac46-98b9-4d64-949f-e82ee8dc823c_Extended_MSFT_Method">
    <vt:lpwstr>Automatic</vt:lpwstr>
  </property>
  <property fmtid="{D5CDD505-2E9C-101B-9397-08002B2CF9AE}" pid="12" name="Sensitivity">
    <vt:lpwstr>Internal Use Only</vt:lpwstr>
  </property>
</Properties>
</file>