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rpAcctg\MEEIA\Metro MEEIA DSIM RIDER\20191201 Filing\"/>
    </mc:Choice>
  </mc:AlternateContent>
  <xr:revisionPtr revIDLastSave="0" documentId="13_ncr:1_{27A22613-BED7-42A6-B108-AD7668F4B5FE}" xr6:coauthVersionLast="36" xr6:coauthVersionMax="36" xr10:uidLastSave="{00000000-0000-0000-0000-000000000000}"/>
  <bookViews>
    <workbookView xWindow="120" yWindow="225" windowWidth="15240" windowHeight="5355" activeTab="10" xr2:uid="{00000000-000D-0000-FFFF-FFFF00000000}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3" l="1"/>
  <c r="D8" i="10" l="1"/>
  <c r="B9" i="8" l="1"/>
  <c r="B8" i="8"/>
  <c r="B10" i="8" l="1"/>
  <c r="B36" i="1" l="1"/>
  <c r="B34" i="11"/>
  <c r="B33" i="11"/>
  <c r="K13" i="15" l="1"/>
  <c r="J13" i="15"/>
  <c r="K12" i="15"/>
  <c r="J12" i="15"/>
  <c r="K11" i="15"/>
  <c r="J11" i="15"/>
  <c r="K10" i="15"/>
  <c r="J10" i="15"/>
  <c r="I8" i="4"/>
  <c r="H8" i="4"/>
  <c r="G8" i="4"/>
  <c r="F8" i="4"/>
  <c r="G20" i="13" l="1"/>
  <c r="G16" i="13" l="1"/>
  <c r="G15" i="13"/>
  <c r="I16" i="9"/>
  <c r="I15" i="9"/>
  <c r="H16" i="9"/>
  <c r="H15" i="9"/>
  <c r="G16" i="9"/>
  <c r="G15" i="9"/>
  <c r="F16" i="9"/>
  <c r="F15" i="9"/>
  <c r="E16" i="9"/>
  <c r="E15" i="9"/>
  <c r="D16" i="9"/>
  <c r="D15" i="9"/>
  <c r="H16" i="16" l="1"/>
  <c r="H15" i="16"/>
  <c r="J16" i="16"/>
  <c r="J15" i="16"/>
  <c r="I16" i="16"/>
  <c r="I15" i="16"/>
  <c r="G16" i="16"/>
  <c r="G15" i="16"/>
  <c r="F16" i="16"/>
  <c r="F15" i="16"/>
  <c r="E16" i="16"/>
  <c r="E15" i="16"/>
  <c r="I16" i="11"/>
  <c r="I15" i="11"/>
  <c r="H16" i="11"/>
  <c r="H15" i="11"/>
  <c r="G16" i="11"/>
  <c r="G15" i="11"/>
  <c r="F16" i="11"/>
  <c r="F15" i="11"/>
  <c r="E16" i="11"/>
  <c r="E15" i="11"/>
  <c r="D16" i="11"/>
  <c r="D15" i="11"/>
  <c r="I26" i="15"/>
  <c r="I25" i="15"/>
  <c r="H26" i="15"/>
  <c r="H25" i="15"/>
  <c r="G26" i="15"/>
  <c r="G25" i="15"/>
  <c r="F26" i="15"/>
  <c r="F25" i="15"/>
  <c r="E26" i="15"/>
  <c r="E25" i="15"/>
  <c r="D26" i="15"/>
  <c r="D25" i="15"/>
  <c r="G26" i="1"/>
  <c r="G25" i="1"/>
  <c r="F26" i="1"/>
  <c r="F25" i="1"/>
  <c r="E26" i="1"/>
  <c r="E25" i="1"/>
  <c r="D26" i="1"/>
  <c r="D25" i="1"/>
  <c r="B6" i="4"/>
  <c r="B5" i="4"/>
  <c r="L22" i="1"/>
  <c r="K22" i="1"/>
  <c r="L21" i="1"/>
  <c r="L15" i="9" s="1"/>
  <c r="K21" i="1"/>
  <c r="J22" i="1"/>
  <c r="J21" i="1"/>
  <c r="G22" i="15" l="1"/>
  <c r="G21" i="15"/>
  <c r="I22" i="15"/>
  <c r="I21" i="15"/>
  <c r="H22" i="15"/>
  <c r="H21" i="15"/>
  <c r="F22" i="15"/>
  <c r="F21" i="15"/>
  <c r="E22" i="15"/>
  <c r="E21" i="15"/>
  <c r="D22" i="15"/>
  <c r="D21" i="15"/>
  <c r="I26" i="1" l="1"/>
  <c r="I25" i="1"/>
  <c r="I22" i="1"/>
  <c r="I21" i="1"/>
  <c r="H22" i="1"/>
  <c r="H21" i="1"/>
  <c r="H26" i="1"/>
  <c r="H25" i="1"/>
  <c r="G22" i="1"/>
  <c r="G21" i="1"/>
  <c r="F22" i="1"/>
  <c r="F21" i="1"/>
  <c r="E22" i="1"/>
  <c r="E21" i="1"/>
  <c r="D22" i="1"/>
  <c r="D21" i="1"/>
  <c r="I13" i="15" l="1"/>
  <c r="H13" i="15"/>
  <c r="G13" i="15"/>
  <c r="F13" i="15"/>
  <c r="E13" i="15"/>
  <c r="I12" i="15"/>
  <c r="H12" i="15"/>
  <c r="G12" i="15"/>
  <c r="F12" i="15"/>
  <c r="E12" i="15"/>
  <c r="I11" i="15"/>
  <c r="H11" i="15"/>
  <c r="G11" i="15"/>
  <c r="F11" i="15"/>
  <c r="E11" i="15"/>
  <c r="I10" i="15"/>
  <c r="H10" i="15"/>
  <c r="G10" i="15"/>
  <c r="F10" i="15"/>
  <c r="E10" i="15"/>
  <c r="D13" i="15"/>
  <c r="D12" i="15"/>
  <c r="D11" i="15"/>
  <c r="D10" i="15"/>
  <c r="I38" i="1" l="1"/>
  <c r="H38" i="1"/>
  <c r="G38" i="1"/>
  <c r="F38" i="1"/>
  <c r="E38" i="1"/>
  <c r="D38" i="1"/>
  <c r="D5" i="10" l="1"/>
  <c r="D25" i="10"/>
  <c r="D26" i="10" l="1"/>
  <c r="D27" i="10" s="1"/>
  <c r="D28" i="10" l="1"/>
  <c r="D29" i="10" s="1"/>
  <c r="D30" i="10" l="1"/>
  <c r="D31" i="10" l="1"/>
  <c r="D32" i="10" s="1"/>
  <c r="D6" i="10" s="1"/>
  <c r="D30" i="16" l="1"/>
  <c r="D29" i="16"/>
  <c r="D12" i="16"/>
  <c r="F12" i="9" l="1"/>
  <c r="E12" i="9"/>
  <c r="D12" i="9"/>
  <c r="P26" i="1" l="1"/>
  <c r="P25" i="1"/>
  <c r="B45" i="1" l="1"/>
  <c r="B39" i="9" l="1"/>
  <c r="B43" i="16"/>
  <c r="B43" i="11"/>
  <c r="B45" i="15"/>
  <c r="E9" i="1" l="1"/>
  <c r="F9" i="1" s="1"/>
  <c r="G9" i="1" s="1"/>
  <c r="H9" i="1" s="1"/>
  <c r="I9" i="1" s="1"/>
  <c r="J9" i="1" s="1"/>
  <c r="K9" i="1" s="1"/>
  <c r="L9" i="1" s="1"/>
  <c r="A2" i="8" l="1"/>
  <c r="A1" i="8"/>
  <c r="C10" i="10" l="1"/>
  <c r="C39" i="13" l="1"/>
  <c r="F26" i="13"/>
  <c r="E26" i="13"/>
  <c r="D26" i="13"/>
  <c r="C26" i="13"/>
  <c r="C30" i="13" s="1"/>
  <c r="F25" i="13"/>
  <c r="E25" i="13"/>
  <c r="D25" i="13"/>
  <c r="C25" i="13"/>
  <c r="C29" i="13" s="1"/>
  <c r="H26" i="13"/>
  <c r="J12" i="13"/>
  <c r="I12" i="13"/>
  <c r="I25" i="13"/>
  <c r="H25" i="13"/>
  <c r="G25" i="13"/>
  <c r="K12" i="13"/>
  <c r="G12" i="13"/>
  <c r="F12" i="13"/>
  <c r="E12" i="13"/>
  <c r="D12" i="13"/>
  <c r="D11" i="13"/>
  <c r="E11" i="13" s="1"/>
  <c r="F11" i="13" s="1"/>
  <c r="G11" i="13" s="1"/>
  <c r="H11" i="13" s="1"/>
  <c r="I11" i="13" s="1"/>
  <c r="J11" i="13" s="1"/>
  <c r="K11" i="13" s="1"/>
  <c r="L11" i="13" s="1"/>
  <c r="C10" i="13"/>
  <c r="B10" i="13"/>
  <c r="G5" i="13"/>
  <c r="G4" i="13"/>
  <c r="A1" i="13"/>
  <c r="G6" i="13" l="1"/>
  <c r="D30" i="13"/>
  <c r="D29" i="13"/>
  <c r="I26" i="13"/>
  <c r="E5" i="13"/>
  <c r="E4" i="13"/>
  <c r="G26" i="13"/>
  <c r="H12" i="13"/>
  <c r="E6" i="13" l="1"/>
  <c r="C39" i="9" l="1"/>
  <c r="D26" i="9"/>
  <c r="C26" i="9"/>
  <c r="C30" i="9" s="1"/>
  <c r="C25" i="9"/>
  <c r="C29" i="9" s="1"/>
  <c r="I26" i="9"/>
  <c r="H26" i="9"/>
  <c r="G26" i="9"/>
  <c r="F26" i="9"/>
  <c r="E26" i="9"/>
  <c r="I25" i="9"/>
  <c r="H25" i="9"/>
  <c r="G25" i="9"/>
  <c r="F25" i="9"/>
  <c r="E25" i="9"/>
  <c r="D25" i="9"/>
  <c r="K12" i="9"/>
  <c r="J12" i="9"/>
  <c r="I12" i="9"/>
  <c r="H12" i="9"/>
  <c r="G12" i="9"/>
  <c r="D11" i="9"/>
  <c r="E11" i="9" s="1"/>
  <c r="F11" i="9" s="1"/>
  <c r="G11" i="9" s="1"/>
  <c r="H11" i="9" s="1"/>
  <c r="I11" i="9" s="1"/>
  <c r="J11" i="9" s="1"/>
  <c r="K11" i="9" s="1"/>
  <c r="L11" i="9" s="1"/>
  <c r="C10" i="9"/>
  <c r="B10" i="9"/>
  <c r="G5" i="9"/>
  <c r="E5" i="9"/>
  <c r="G4" i="9"/>
  <c r="E4" i="9"/>
  <c r="A1" i="9"/>
  <c r="A1" i="10"/>
  <c r="A2" i="10"/>
  <c r="E6" i="9" l="1"/>
  <c r="G6" i="9"/>
  <c r="D30" i="9"/>
  <c r="D29" i="9"/>
  <c r="L16" i="13" l="1"/>
  <c r="L26" i="13" s="1"/>
  <c r="L16" i="9"/>
  <c r="L26" i="9" s="1"/>
  <c r="J15" i="13"/>
  <c r="J15" i="9"/>
  <c r="L15" i="13"/>
  <c r="L25" i="13" s="1"/>
  <c r="L25" i="9"/>
  <c r="K15" i="13"/>
  <c r="K25" i="13" s="1"/>
  <c r="K15" i="9"/>
  <c r="K25" i="9" s="1"/>
  <c r="J16" i="13"/>
  <c r="J16" i="9"/>
  <c r="K16" i="13"/>
  <c r="K26" i="13" s="1"/>
  <c r="K16" i="9"/>
  <c r="K26" i="9" s="1"/>
  <c r="J25" i="13" l="1"/>
  <c r="D4" i="13"/>
  <c r="J25" i="9"/>
  <c r="D4" i="9"/>
  <c r="J26" i="9"/>
  <c r="D5" i="9"/>
  <c r="F5" i="9" s="1"/>
  <c r="J26" i="13"/>
  <c r="D5" i="13"/>
  <c r="F5" i="13" s="1"/>
  <c r="D6" i="13" l="1"/>
  <c r="F4" i="13"/>
  <c r="F4" i="9"/>
  <c r="D6" i="9"/>
  <c r="F6" i="13" l="1"/>
  <c r="F6" i="9"/>
  <c r="I32" i="13" l="1"/>
  <c r="I32" i="9"/>
  <c r="H32" i="13" l="1"/>
  <c r="H32" i="9"/>
  <c r="G32" i="13" l="1"/>
  <c r="G32" i="9"/>
  <c r="D32" i="13"/>
  <c r="D32" i="9"/>
  <c r="E32" i="13"/>
  <c r="E32" i="9"/>
  <c r="F32" i="13"/>
  <c r="F32" i="9"/>
  <c r="D35" i="13" l="1"/>
  <c r="D34" i="13"/>
  <c r="D34" i="9"/>
  <c r="D35" i="9"/>
  <c r="D37" i="9" l="1"/>
  <c r="E34" i="9"/>
  <c r="D39" i="9"/>
  <c r="E29" i="9"/>
  <c r="E30" i="9"/>
  <c r="E35" i="9"/>
  <c r="D37" i="13"/>
  <c r="D39" i="13"/>
  <c r="E34" i="13"/>
  <c r="E29" i="13"/>
  <c r="E35" i="13"/>
  <c r="E30" i="13"/>
  <c r="E37" i="13" l="1"/>
  <c r="F29" i="9"/>
  <c r="F34" i="9"/>
  <c r="F29" i="13"/>
  <c r="F34" i="13"/>
  <c r="E39" i="9"/>
  <c r="D36" i="9"/>
  <c r="F35" i="13"/>
  <c r="F30" i="13"/>
  <c r="F35" i="9"/>
  <c r="F30" i="9"/>
  <c r="E37" i="9"/>
  <c r="E39" i="13"/>
  <c r="D36" i="13"/>
  <c r="E36" i="13" l="1"/>
  <c r="F39" i="13"/>
  <c r="G29" i="13"/>
  <c r="G34" i="13"/>
  <c r="G35" i="13"/>
  <c r="G30" i="13"/>
  <c r="G35" i="9"/>
  <c r="G30" i="9"/>
  <c r="F37" i="9"/>
  <c r="F37" i="13"/>
  <c r="F39" i="9"/>
  <c r="E36" i="9"/>
  <c r="G29" i="9"/>
  <c r="G34" i="9"/>
  <c r="G37" i="13" l="1"/>
  <c r="H29" i="13"/>
  <c r="H34" i="13"/>
  <c r="F36" i="9"/>
  <c r="G39" i="9"/>
  <c r="H30" i="9"/>
  <c r="H35" i="9"/>
  <c r="G37" i="9"/>
  <c r="H34" i="9"/>
  <c r="H29" i="9"/>
  <c r="H30" i="13"/>
  <c r="H35" i="13"/>
  <c r="G39" i="13"/>
  <c r="F36" i="13"/>
  <c r="I30" i="13" l="1"/>
  <c r="I35" i="13"/>
  <c r="I29" i="9"/>
  <c r="I34" i="9"/>
  <c r="I35" i="9"/>
  <c r="I30" i="9"/>
  <c r="I29" i="13"/>
  <c r="I34" i="13"/>
  <c r="H37" i="9"/>
  <c r="H39" i="9"/>
  <c r="G36" i="9"/>
  <c r="G36" i="13"/>
  <c r="H39" i="13"/>
  <c r="H37" i="13"/>
  <c r="I39" i="9" l="1"/>
  <c r="I39" i="13"/>
  <c r="H36" i="13"/>
  <c r="H36" i="9"/>
  <c r="I37" i="13" l="1"/>
  <c r="I37" i="9"/>
  <c r="J30" i="9"/>
  <c r="J29" i="9"/>
  <c r="J29" i="13"/>
  <c r="J30" i="13"/>
  <c r="I36" i="9" l="1"/>
  <c r="I36" i="13"/>
  <c r="I18" i="15" l="1"/>
  <c r="I17" i="15"/>
  <c r="C18" i="15"/>
  <c r="C17" i="15"/>
  <c r="G18" i="15"/>
  <c r="C10" i="16"/>
  <c r="B10" i="16"/>
  <c r="C8" i="15"/>
  <c r="B8" i="15"/>
  <c r="G17" i="15" l="1"/>
  <c r="F18" i="15"/>
  <c r="E18" i="15"/>
  <c r="H18" i="15"/>
  <c r="H17" i="15"/>
  <c r="D17" i="15"/>
  <c r="E17" i="15"/>
  <c r="D18" i="15"/>
  <c r="F17" i="15"/>
  <c r="I36" i="16"/>
  <c r="H36" i="16"/>
  <c r="G36" i="16"/>
  <c r="F36" i="16"/>
  <c r="E36" i="16"/>
  <c r="H5" i="11"/>
  <c r="H4" i="11"/>
  <c r="C43" i="11"/>
  <c r="H38" i="15" l="1"/>
  <c r="G38" i="15"/>
  <c r="F38" i="15"/>
  <c r="E38" i="15"/>
  <c r="D38" i="15"/>
  <c r="J36" i="16" l="1"/>
  <c r="I38" i="15"/>
  <c r="C43" i="16" l="1"/>
  <c r="D43" i="16" s="1"/>
  <c r="L22" i="15" l="1"/>
  <c r="L26" i="15" s="1"/>
  <c r="K22" i="15"/>
  <c r="K26" i="15" s="1"/>
  <c r="J22" i="15"/>
  <c r="J26" i="15" s="1"/>
  <c r="L21" i="15"/>
  <c r="L25" i="15" s="1"/>
  <c r="K21" i="15"/>
  <c r="K25" i="15" s="1"/>
  <c r="J21" i="15"/>
  <c r="J25" i="15" s="1"/>
  <c r="D9" i="15"/>
  <c r="E9" i="15" s="1"/>
  <c r="F9" i="15" s="1"/>
  <c r="G9" i="15" s="1"/>
  <c r="H9" i="15" s="1"/>
  <c r="I9" i="15" s="1"/>
  <c r="J9" i="15" s="1"/>
  <c r="K9" i="15" s="1"/>
  <c r="L9" i="15" s="1"/>
  <c r="M19" i="11" l="1"/>
  <c r="C10" i="11" l="1"/>
  <c r="B10" i="11"/>
  <c r="J38" i="1" l="1"/>
  <c r="C18" i="1"/>
  <c r="C17" i="1"/>
  <c r="J32" i="13" l="1"/>
  <c r="J32" i="9"/>
  <c r="K36" i="16"/>
  <c r="J38" i="15"/>
  <c r="C30" i="16"/>
  <c r="C34" i="16" s="1"/>
  <c r="D34" i="16" s="1"/>
  <c r="C29" i="16"/>
  <c r="C33" i="16" s="1"/>
  <c r="D33" i="16" s="1"/>
  <c r="M16" i="16"/>
  <c r="M30" i="16" s="1"/>
  <c r="L16" i="16"/>
  <c r="K16" i="16"/>
  <c r="M15" i="16"/>
  <c r="M29" i="16" s="1"/>
  <c r="L15" i="16"/>
  <c r="K15" i="16"/>
  <c r="E11" i="16"/>
  <c r="F11" i="16" s="1"/>
  <c r="G11" i="16" s="1"/>
  <c r="H11" i="16" s="1"/>
  <c r="I11" i="16" s="1"/>
  <c r="J11" i="16" s="1"/>
  <c r="K11" i="16" s="1"/>
  <c r="L11" i="16" s="1"/>
  <c r="M11" i="16" s="1"/>
  <c r="I5" i="16"/>
  <c r="I4" i="16"/>
  <c r="A1" i="16"/>
  <c r="C45" i="15"/>
  <c r="L43" i="15"/>
  <c r="C32" i="15"/>
  <c r="C36" i="15" s="1"/>
  <c r="C31" i="15"/>
  <c r="C35" i="15" s="1"/>
  <c r="A26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H5" i="15"/>
  <c r="E5" i="15"/>
  <c r="H4" i="15"/>
  <c r="E4" i="15"/>
  <c r="A1" i="15"/>
  <c r="J34" i="9" l="1"/>
  <c r="J35" i="9"/>
  <c r="J35" i="13"/>
  <c r="J34" i="13"/>
  <c r="H6" i="15"/>
  <c r="D5" i="15"/>
  <c r="D36" i="15"/>
  <c r="D41" i="15"/>
  <c r="D40" i="15"/>
  <c r="D35" i="15"/>
  <c r="I6" i="16"/>
  <c r="E6" i="15"/>
  <c r="D4" i="15"/>
  <c r="L32" i="15"/>
  <c r="L31" i="15"/>
  <c r="E5" i="16"/>
  <c r="E4" i="16"/>
  <c r="G32" i="15"/>
  <c r="J37" i="13" l="1"/>
  <c r="K29" i="13"/>
  <c r="J39" i="13"/>
  <c r="K30" i="13"/>
  <c r="K30" i="9"/>
  <c r="J37" i="9"/>
  <c r="K29" i="9"/>
  <c r="J39" i="9"/>
  <c r="D6" i="15"/>
  <c r="E36" i="15"/>
  <c r="E41" i="15"/>
  <c r="E35" i="15"/>
  <c r="E40" i="15"/>
  <c r="E6" i="16"/>
  <c r="D43" i="15"/>
  <c r="D45" i="15"/>
  <c r="D42" i="15" s="1"/>
  <c r="J36" i="9" l="1"/>
  <c r="J36" i="13"/>
  <c r="F36" i="15"/>
  <c r="F41" i="15"/>
  <c r="F40" i="15"/>
  <c r="F35" i="15"/>
  <c r="E43" i="15"/>
  <c r="E45" i="15"/>
  <c r="E42" i="15" s="1"/>
  <c r="K16" i="11"/>
  <c r="J16" i="11"/>
  <c r="K15" i="11"/>
  <c r="J15" i="11"/>
  <c r="G41" i="15" l="1"/>
  <c r="G36" i="15"/>
  <c r="G35" i="15"/>
  <c r="G40" i="15"/>
  <c r="F45" i="15"/>
  <c r="F42" i="15" s="1"/>
  <c r="F43" i="15"/>
  <c r="F5" i="11"/>
  <c r="F4" i="11"/>
  <c r="G43" i="15" l="1"/>
  <c r="H35" i="15"/>
  <c r="H36" i="15"/>
  <c r="H41" i="15"/>
  <c r="H40" i="15"/>
  <c r="K38" i="1"/>
  <c r="J36" i="1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I36" i="15" l="1"/>
  <c r="I41" i="15"/>
  <c r="I35" i="15"/>
  <c r="I40" i="15"/>
  <c r="K32" i="13"/>
  <c r="K32" i="9"/>
  <c r="L36" i="16"/>
  <c r="K38" i="15"/>
  <c r="K36" i="11"/>
  <c r="H45" i="15"/>
  <c r="H42" i="15" s="1"/>
  <c r="H43" i="15"/>
  <c r="K31" i="1"/>
  <c r="J32" i="1"/>
  <c r="K32" i="1"/>
  <c r="J31" i="1"/>
  <c r="I45" i="15" l="1"/>
  <c r="K34" i="9"/>
  <c r="K35" i="9"/>
  <c r="K35" i="13"/>
  <c r="K34" i="13"/>
  <c r="H5" i="13" l="1"/>
  <c r="I5" i="13" s="1"/>
  <c r="F17" i="5" s="1"/>
  <c r="L30" i="13"/>
  <c r="L35" i="13"/>
  <c r="K37" i="13"/>
  <c r="H4" i="13"/>
  <c r="L29" i="13"/>
  <c r="L34" i="13"/>
  <c r="K39" i="13"/>
  <c r="H5" i="9"/>
  <c r="I5" i="9" s="1"/>
  <c r="L35" i="9"/>
  <c r="L30" i="9"/>
  <c r="K37" i="9"/>
  <c r="H4" i="9"/>
  <c r="L34" i="9"/>
  <c r="K39" i="9"/>
  <c r="L29" i="9"/>
  <c r="I42" i="15"/>
  <c r="I43" i="15"/>
  <c r="G36" i="11"/>
  <c r="H36" i="11"/>
  <c r="L37" i="13" l="1"/>
  <c r="E17" i="5"/>
  <c r="L37" i="9"/>
  <c r="J5" i="9"/>
  <c r="L39" i="9"/>
  <c r="L36" i="9" s="1"/>
  <c r="K36" i="9"/>
  <c r="J5" i="13"/>
  <c r="K36" i="13"/>
  <c r="L39" i="13"/>
  <c r="L36" i="13" s="1"/>
  <c r="H6" i="9"/>
  <c r="I4" i="9"/>
  <c r="I4" i="13"/>
  <c r="H6" i="13"/>
  <c r="H5" i="1"/>
  <c r="H4" i="1"/>
  <c r="I6" i="13" l="1"/>
  <c r="F16" i="5"/>
  <c r="J4" i="13"/>
  <c r="E16" i="5"/>
  <c r="J4" i="9"/>
  <c r="I6" i="9"/>
  <c r="H6" i="11"/>
  <c r="H6" i="1"/>
  <c r="C30" i="11"/>
  <c r="C34" i="11" s="1"/>
  <c r="C29" i="11"/>
  <c r="C33" i="11" s="1"/>
  <c r="I36" i="11" l="1"/>
  <c r="F36" i="11"/>
  <c r="E36" i="11"/>
  <c r="D36" i="11"/>
  <c r="C32" i="1" l="1"/>
  <c r="C36" i="1" s="1"/>
  <c r="C31" i="1"/>
  <c r="C35" i="1" s="1"/>
  <c r="I12" i="11" l="1"/>
  <c r="M20" i="11" l="1"/>
  <c r="E5" i="1"/>
  <c r="E4" i="1"/>
  <c r="C45" i="1" l="1"/>
  <c r="H12" i="11" l="1"/>
  <c r="G12" i="11"/>
  <c r="F12" i="11"/>
  <c r="E12" i="11"/>
  <c r="D12" i="11"/>
  <c r="H30" i="11" l="1"/>
  <c r="H29" i="11"/>
  <c r="G30" i="11"/>
  <c r="G29" i="11"/>
  <c r="F30" i="11"/>
  <c r="F29" i="11"/>
  <c r="H18" i="1"/>
  <c r="H32" i="1" s="1"/>
  <c r="H17" i="1"/>
  <c r="H31" i="1" s="1"/>
  <c r="G18" i="1"/>
  <c r="G17" i="1"/>
  <c r="F18" i="1"/>
  <c r="F32" i="1" s="1"/>
  <c r="F17" i="1"/>
  <c r="F31" i="1" s="1"/>
  <c r="G31" i="1" l="1"/>
  <c r="G32" i="1"/>
  <c r="L16" i="11" l="1"/>
  <c r="L15" i="11"/>
  <c r="L29" i="11" l="1"/>
  <c r="L30" i="11"/>
  <c r="L43" i="1"/>
  <c r="L26" i="1"/>
  <c r="L25" i="1"/>
  <c r="L32" i="1" l="1"/>
  <c r="L31" i="1"/>
  <c r="A1" i="5"/>
  <c r="A1" i="11"/>
  <c r="A1" i="12"/>
  <c r="A1" i="1"/>
  <c r="I18" i="1" l="1"/>
  <c r="E18" i="1"/>
  <c r="D18" i="1"/>
  <c r="F5" i="1" l="1"/>
  <c r="I17" i="1"/>
  <c r="D17" i="1"/>
  <c r="E17" i="1"/>
  <c r="F4" i="1" l="1"/>
  <c r="A2" i="12"/>
  <c r="D11" i="11" l="1"/>
  <c r="E11" i="11" s="1"/>
  <c r="F11" i="11" s="1"/>
  <c r="G11" i="11" s="1"/>
  <c r="H11" i="11" s="1"/>
  <c r="I11" i="11" s="1"/>
  <c r="J11" i="11" s="1"/>
  <c r="K11" i="11" s="1"/>
  <c r="L11" i="11" s="1"/>
  <c r="E6" i="1" l="1"/>
  <c r="E31" i="1" l="1"/>
  <c r="E32" i="1"/>
  <c r="D31" i="1" l="1"/>
  <c r="D32" i="1"/>
  <c r="D41" i="1" s="1"/>
  <c r="D40" i="1" l="1"/>
  <c r="D35" i="1"/>
  <c r="D36" i="1"/>
  <c r="E41" i="1" l="1"/>
  <c r="D45" i="1"/>
  <c r="E35" i="1"/>
  <c r="D43" i="1"/>
  <c r="E40" i="1"/>
  <c r="F40" i="1" l="1"/>
  <c r="D42" i="1"/>
  <c r="E43" i="1"/>
  <c r="F35" i="1"/>
  <c r="E30" i="11"/>
  <c r="E29" i="11"/>
  <c r="G40" i="1" l="1"/>
  <c r="G35" i="1"/>
  <c r="D30" i="11"/>
  <c r="D29" i="11"/>
  <c r="E4" i="11"/>
  <c r="H40" i="1" l="1"/>
  <c r="D34" i="11"/>
  <c r="D39" i="11"/>
  <c r="D33" i="11"/>
  <c r="D38" i="11"/>
  <c r="H35" i="1"/>
  <c r="E5" i="11"/>
  <c r="D43" i="11" l="1"/>
  <c r="E38" i="11"/>
  <c r="E33" i="11"/>
  <c r="F33" i="11" l="1"/>
  <c r="F38" i="11"/>
  <c r="D41" i="11"/>
  <c r="E39" i="11"/>
  <c r="E34" i="11"/>
  <c r="D40" i="11"/>
  <c r="G38" i="11" l="1"/>
  <c r="G33" i="11"/>
  <c r="F34" i="11"/>
  <c r="F39" i="11"/>
  <c r="F41" i="11" s="1"/>
  <c r="E43" i="11"/>
  <c r="E41" i="11"/>
  <c r="D5" i="11"/>
  <c r="G39" i="11" l="1"/>
  <c r="H33" i="11"/>
  <c r="H38" i="11"/>
  <c r="D4" i="11"/>
  <c r="E40" i="11"/>
  <c r="F43" i="11"/>
  <c r="G34" i="11"/>
  <c r="G41" i="11"/>
  <c r="F40" i="11" l="1"/>
  <c r="G43" i="11"/>
  <c r="H39" i="11"/>
  <c r="H41" i="11" s="1"/>
  <c r="H34" i="11"/>
  <c r="D6" i="11"/>
  <c r="F6" i="1"/>
  <c r="B7" i="4"/>
  <c r="F7" i="4"/>
  <c r="D4" i="1" l="1"/>
  <c r="D5" i="1"/>
  <c r="G40" i="11"/>
  <c r="H43" i="11"/>
  <c r="I32" i="1"/>
  <c r="I31" i="1"/>
  <c r="I35" i="1" l="1"/>
  <c r="I40" i="1"/>
  <c r="H40" i="11"/>
  <c r="D6" i="1"/>
  <c r="G4" i="1"/>
  <c r="G5" i="5" l="1"/>
  <c r="G4" i="5"/>
  <c r="A26" i="1"/>
  <c r="H7" i="4" l="1"/>
  <c r="G7" i="4"/>
  <c r="I7" i="4" l="1"/>
  <c r="G5" i="1"/>
  <c r="G6" i="1" l="1"/>
  <c r="E36" i="1" l="1"/>
  <c r="F41" i="1" s="1"/>
  <c r="F36" i="1" l="1"/>
  <c r="G41" i="1" s="1"/>
  <c r="F43" i="1"/>
  <c r="E45" i="1"/>
  <c r="G43" i="1" l="1"/>
  <c r="J40" i="1"/>
  <c r="J35" i="1"/>
  <c r="E42" i="1"/>
  <c r="F45" i="1"/>
  <c r="G36" i="1"/>
  <c r="K40" i="1" l="1"/>
  <c r="F42" i="1"/>
  <c r="G45" i="1"/>
  <c r="H36" i="1"/>
  <c r="H41" i="1"/>
  <c r="H43" i="1" s="1"/>
  <c r="I36" i="1" l="1"/>
  <c r="I41" i="1"/>
  <c r="G42" i="1"/>
  <c r="H45" i="1"/>
  <c r="I45" i="1" l="1"/>
  <c r="H42" i="1"/>
  <c r="J41" i="1" l="1"/>
  <c r="J36" i="1"/>
  <c r="K41" i="1" l="1"/>
  <c r="J45" i="1"/>
  <c r="I42" i="1"/>
  <c r="I43" i="1"/>
  <c r="K35" i="1" l="1"/>
  <c r="L35" i="1" l="1"/>
  <c r="I4" i="1"/>
  <c r="J4" i="1" s="1"/>
  <c r="K4" i="1" l="1"/>
  <c r="J43" i="1" l="1"/>
  <c r="K36" i="1" l="1"/>
  <c r="J42" i="1" l="1"/>
  <c r="K45" i="1"/>
  <c r="I5" i="1"/>
  <c r="K43" i="1"/>
  <c r="L36" i="1"/>
  <c r="I30" i="11"/>
  <c r="I29" i="11"/>
  <c r="I39" i="11" l="1"/>
  <c r="I34" i="11"/>
  <c r="I38" i="11"/>
  <c r="I33" i="11"/>
  <c r="J5" i="1"/>
  <c r="I6" i="1"/>
  <c r="K42" i="1"/>
  <c r="L45" i="1"/>
  <c r="L42" i="1" s="1"/>
  <c r="F6" i="11"/>
  <c r="E6" i="11"/>
  <c r="G5" i="11"/>
  <c r="G4" i="11"/>
  <c r="I43" i="11" l="1"/>
  <c r="I40" i="11" s="1"/>
  <c r="J38" i="11"/>
  <c r="J33" i="11"/>
  <c r="J34" i="11"/>
  <c r="J39" i="11"/>
  <c r="K5" i="1"/>
  <c r="J6" i="1"/>
  <c r="G6" i="11"/>
  <c r="I41" i="11"/>
  <c r="K34" i="11" l="1"/>
  <c r="K33" i="11"/>
  <c r="J43" i="11"/>
  <c r="K39" i="11" l="1"/>
  <c r="J41" i="11"/>
  <c r="J40" i="11"/>
  <c r="K38" i="11"/>
  <c r="I5" i="11" l="1"/>
  <c r="J5" i="11" s="1"/>
  <c r="L34" i="11"/>
  <c r="I4" i="11"/>
  <c r="J4" i="11" s="1"/>
  <c r="L33" i="11"/>
  <c r="L39" i="11"/>
  <c r="K43" i="11"/>
  <c r="K40" i="11" s="1"/>
  <c r="K41" i="11"/>
  <c r="L38" i="11"/>
  <c r="K5" i="11" l="1"/>
  <c r="I6" i="11"/>
  <c r="K4" i="11"/>
  <c r="J6" i="11"/>
  <c r="L41" i="11"/>
  <c r="L43" i="11"/>
  <c r="L40" i="11" s="1"/>
  <c r="I9" i="4" l="1"/>
  <c r="I10" i="4"/>
  <c r="D9" i="10" l="1"/>
  <c r="F11" i="5" l="1"/>
  <c r="F10" i="5"/>
  <c r="D10" i="10"/>
  <c r="D11" i="10" s="1"/>
  <c r="F5" i="5"/>
  <c r="M5" i="5"/>
  <c r="F4" i="5" l="1"/>
  <c r="M4" i="5"/>
  <c r="K18" i="15" l="1"/>
  <c r="K32" i="15" s="1"/>
  <c r="H10" i="4" l="1"/>
  <c r="H9" i="4"/>
  <c r="G10" i="4" l="1"/>
  <c r="G9" i="4"/>
  <c r="J17" i="15" l="1"/>
  <c r="J31" i="15" l="1"/>
  <c r="J35" i="15" l="1"/>
  <c r="J40" i="15"/>
  <c r="K17" i="15"/>
  <c r="K31" i="15" l="1"/>
  <c r="K35" i="15" s="1"/>
  <c r="F4" i="15"/>
  <c r="K40" i="15" l="1"/>
  <c r="L35" i="15" s="1"/>
  <c r="G4" i="15"/>
  <c r="I4" i="15" l="1"/>
  <c r="J4" i="15" s="1"/>
  <c r="C16" i="5" l="1"/>
  <c r="K4" i="15"/>
  <c r="F9" i="4" l="1"/>
  <c r="C5" i="4" s="1"/>
  <c r="F10" i="4"/>
  <c r="C6" i="4" s="1"/>
  <c r="C11" i="5" l="1"/>
  <c r="C10" i="5"/>
  <c r="C7" i="4"/>
  <c r="C8" i="4" s="1"/>
  <c r="C4" i="5" l="1"/>
  <c r="J4" i="5"/>
  <c r="J18" i="15" l="1"/>
  <c r="J32" i="15" l="1"/>
  <c r="F5" i="15"/>
  <c r="G5" i="15" l="1"/>
  <c r="G6" i="15" s="1"/>
  <c r="F6" i="15"/>
  <c r="J36" i="15"/>
  <c r="J41" i="15"/>
  <c r="J43" i="15" l="1"/>
  <c r="J45" i="15"/>
  <c r="J42" i="15" s="1"/>
  <c r="K41" i="15"/>
  <c r="K36" i="15"/>
  <c r="L36" i="15" l="1"/>
  <c r="K43" i="15"/>
  <c r="K45" i="15"/>
  <c r="L45" i="15" s="1"/>
  <c r="L42" i="15" s="1"/>
  <c r="I5" i="15"/>
  <c r="J5" i="15" l="1"/>
  <c r="I6" i="15"/>
  <c r="K42" i="15"/>
  <c r="J6" i="15" l="1"/>
  <c r="C17" i="5"/>
  <c r="K5" i="15"/>
  <c r="J5" i="5" l="1"/>
  <c r="C5" i="5"/>
  <c r="K23" i="16" l="1"/>
  <c r="K19" i="16"/>
  <c r="K29" i="16" l="1"/>
  <c r="L23" i="16"/>
  <c r="L19" i="16"/>
  <c r="L29" i="16" l="1"/>
  <c r="K20" i="16"/>
  <c r="K24" i="16"/>
  <c r="K30" i="16" l="1"/>
  <c r="K12" i="16"/>
  <c r="L20" i="16"/>
  <c r="L24" i="16"/>
  <c r="L30" i="16" l="1"/>
  <c r="L12" i="16"/>
  <c r="B6" i="12" l="1"/>
  <c r="C6" i="12" l="1"/>
  <c r="D10" i="5" l="1"/>
  <c r="C7" i="12" l="1"/>
  <c r="B7" i="12"/>
  <c r="B8" i="12" s="1"/>
  <c r="D11" i="5" l="1"/>
  <c r="C8" i="12"/>
  <c r="E20" i="16" l="1"/>
  <c r="E19" i="16"/>
  <c r="E23" i="16" l="1"/>
  <c r="F20" i="16"/>
  <c r="F19" i="16"/>
  <c r="E29" i="16" l="1"/>
  <c r="F23" i="16"/>
  <c r="G19" i="16"/>
  <c r="G20" i="16"/>
  <c r="E24" i="16"/>
  <c r="F29" i="16" l="1"/>
  <c r="E30" i="16"/>
  <c r="E38" i="16"/>
  <c r="E33" i="16"/>
  <c r="E12" i="16"/>
  <c r="G23" i="16"/>
  <c r="H19" i="16"/>
  <c r="H20" i="16"/>
  <c r="F24" i="16"/>
  <c r="F30" i="16" s="1"/>
  <c r="F38" i="16" l="1"/>
  <c r="F33" i="16"/>
  <c r="G29" i="16"/>
  <c r="E39" i="16"/>
  <c r="E43" i="16" s="1"/>
  <c r="E34" i="16"/>
  <c r="F12" i="16"/>
  <c r="H23" i="16"/>
  <c r="I20" i="16"/>
  <c r="I19" i="16"/>
  <c r="G24" i="16"/>
  <c r="G30" i="16" s="1"/>
  <c r="E40" i="16" l="1"/>
  <c r="G12" i="16"/>
  <c r="E41" i="16"/>
  <c r="H29" i="16"/>
  <c r="G33" i="16"/>
  <c r="G38" i="16"/>
  <c r="F39" i="16"/>
  <c r="F43" i="16" s="1"/>
  <c r="F34" i="16"/>
  <c r="I23" i="16"/>
  <c r="J19" i="16"/>
  <c r="N19" i="16" s="1"/>
  <c r="F4" i="16" s="1"/>
  <c r="J20" i="16"/>
  <c r="N20" i="16" s="1"/>
  <c r="F5" i="16" s="1"/>
  <c r="H24" i="16"/>
  <c r="H30" i="16" s="1"/>
  <c r="F40" i="16" l="1"/>
  <c r="H38" i="16"/>
  <c r="H33" i="16"/>
  <c r="F6" i="16"/>
  <c r="H12" i="16"/>
  <c r="I29" i="16"/>
  <c r="F41" i="16"/>
  <c r="G39" i="16"/>
  <c r="G41" i="16" s="1"/>
  <c r="G34" i="16"/>
  <c r="J23" i="16"/>
  <c r="I24" i="16"/>
  <c r="I30" i="16" s="1"/>
  <c r="G43" i="16" l="1"/>
  <c r="G40" i="16" s="1"/>
  <c r="I12" i="16"/>
  <c r="H34" i="16"/>
  <c r="H39" i="16"/>
  <c r="H41" i="16" s="1"/>
  <c r="J29" i="16"/>
  <c r="I38" i="16"/>
  <c r="I33" i="16"/>
  <c r="G4" i="16"/>
  <c r="E8" i="8"/>
  <c r="J24" i="16"/>
  <c r="J30" i="16" s="1"/>
  <c r="J12" i="16" l="1"/>
  <c r="H4" i="16"/>
  <c r="I39" i="16"/>
  <c r="I41" i="16" s="1"/>
  <c r="I34" i="16"/>
  <c r="H43" i="16"/>
  <c r="H40" i="16" s="1"/>
  <c r="G5" i="16"/>
  <c r="H5" i="16" s="1"/>
  <c r="J33" i="16"/>
  <c r="J38" i="16"/>
  <c r="G6" i="16" l="1"/>
  <c r="J34" i="16"/>
  <c r="J39" i="16"/>
  <c r="J41" i="16" s="1"/>
  <c r="I43" i="16"/>
  <c r="I40" i="16" s="1"/>
  <c r="K38" i="16"/>
  <c r="K33" i="16"/>
  <c r="H6" i="16"/>
  <c r="J43" i="16" l="1"/>
  <c r="J40" i="16" s="1"/>
  <c r="L33" i="16"/>
  <c r="L38" i="16"/>
  <c r="J4" i="16" s="1"/>
  <c r="K34" i="16"/>
  <c r="K39" i="16"/>
  <c r="K43" i="16" l="1"/>
  <c r="L39" i="16"/>
  <c r="J5" i="16" s="1"/>
  <c r="K5" i="16" s="1"/>
  <c r="L34" i="16"/>
  <c r="K4" i="16"/>
  <c r="K41" i="16"/>
  <c r="M38" i="16"/>
  <c r="M33" i="16"/>
  <c r="L4" i="16" l="1"/>
  <c r="D16" i="5"/>
  <c r="K4" i="5" s="1"/>
  <c r="K6" i="16"/>
  <c r="J6" i="16"/>
  <c r="M34" i="16"/>
  <c r="L5" i="16" s="1"/>
  <c r="M39" i="16"/>
  <c r="D17" i="5"/>
  <c r="K40" i="16"/>
  <c r="L43" i="16"/>
  <c r="L41" i="16"/>
  <c r="L40" i="16" l="1"/>
  <c r="M43" i="16"/>
  <c r="M40" i="16" s="1"/>
  <c r="M41" i="16"/>
  <c r="D5" i="5"/>
  <c r="K5" i="5"/>
  <c r="D4" i="5"/>
  <c r="D8" i="8"/>
  <c r="E9" i="8" l="1"/>
  <c r="E10" i="8" s="1"/>
  <c r="D9" i="8" l="1"/>
  <c r="D10" i="8" s="1"/>
  <c r="C8" i="8" l="1"/>
  <c r="F8" i="8" l="1"/>
  <c r="G8" i="8" l="1"/>
  <c r="C9" i="8"/>
  <c r="F9" i="8" l="1"/>
  <c r="C10" i="8"/>
  <c r="E10" i="5"/>
  <c r="L4" i="5" s="1"/>
  <c r="G9" i="8" l="1"/>
  <c r="F10" i="8"/>
  <c r="E4" i="5"/>
  <c r="E11" i="5" l="1"/>
  <c r="G10" i="8"/>
  <c r="H4" i="5"/>
  <c r="L5" i="5" l="1"/>
  <c r="E5" i="5"/>
  <c r="H5" i="5" l="1"/>
</calcChain>
</file>

<file path=xl/sharedStrings.xml><?xml version="1.0" encoding="utf-8"?>
<sst xmlns="http://schemas.openxmlformats.org/spreadsheetml/2006/main" count="388" uniqueCount="159">
  <si>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</si>
  <si>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</si>
  <si>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</si>
  <si>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</si>
  <si>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</si>
  <si>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</si>
  <si>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</si>
  <si>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</si>
  <si>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</si>
  <si>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</si>
  <si>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</si>
  <si>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</si>
  <si>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</si>
  <si>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</si>
  <si>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</si>
  <si>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</si>
  <si>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</si>
  <si>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</si>
  <si>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</si>
  <si>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</si>
  <si>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</si>
  <si>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</si>
  <si>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</si>
  <si>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</si>
  <si>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</si>
  <si>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</si>
  <si>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</si>
  <si>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</si>
  <si>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</si>
  <si>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</si>
  <si>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</si>
  <si>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</si>
  <si>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</si>
  <si>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</si>
  <si>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</si>
  <si>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</si>
  <si>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</si>
  <si>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</si>
  <si>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</si>
  <si>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</si>
  <si>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</si>
  <si>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</si>
  <si>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</si>
  <si>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</si>
  <si>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</si>
  <si>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</si>
  <si>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</si>
  <si>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</si>
  <si>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</si>
  <si>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</si>
  <si>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</si>
  <si>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</si>
  <si>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</si>
  <si>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</si>
  <si>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</si>
  <si>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</si>
  <si>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</si>
  <si>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</si>
  <si>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</si>
  <si>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</si>
  <si>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</si>
  <si>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</si>
  <si>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</si>
  <si>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</si>
  <si>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</si>
  <si>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</si>
  <si>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</si>
  <si>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</si>
  <si>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</si>
  <si>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</si>
  <si>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TD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</si>
  <si>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</si>
  <si>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</si>
  <si>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</si>
  <si>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</si>
  <si>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</si>
  <si>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</si>
  <si>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</si>
  <si>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</si>
  <si>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</si>
  <si>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</si>
  <si>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</si>
  <si>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</si>
  <si>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</si>
  <si>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</si>
  <si>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Program Costs (PPC) Calculation</t>
  </si>
  <si>
    <t>Cycle 1 Throughput Disincentive TD-NSB Reconciliation (TDR) Calculation</t>
  </si>
  <si>
    <t>Cycle 2 Projected Throughput Disincentive (PTD) TD Calculation</t>
  </si>
  <si>
    <t>1. Forecasted kWh Sales Impact</t>
  </si>
  <si>
    <t>3. kWh Sales Impact</t>
  </si>
  <si>
    <t>4. Actual/Forecasted TD-NSB</t>
  </si>
  <si>
    <t>5. Total monthly interest - Source: calculated</t>
  </si>
  <si>
    <t>7. Actual TD-NSB rate component of the tariff rate</t>
  </si>
  <si>
    <t>7. Current Tariff Rate</t>
  </si>
  <si>
    <t>4. Actual/Forecasted TD</t>
  </si>
  <si>
    <t>7. Actual TD rate component of the tariff rate</t>
  </si>
  <si>
    <t>Cumulative kWh Sales Impact</t>
  </si>
  <si>
    <t>EO Rate</t>
  </si>
  <si>
    <t>OA Rate</t>
  </si>
  <si>
    <t>1. Ordered Adjustment</t>
  </si>
  <si>
    <t>2. Carrying Costs on OA</t>
  </si>
  <si>
    <t>Cycle 1 Earnings Opportunity Reconciliation (EOR) Calculation</t>
  </si>
  <si>
    <t>1. Actual/Forecasted Earnings Opportunity</t>
  </si>
  <si>
    <t>2. Actual Revenues - EO Only</t>
  </si>
  <si>
    <t>4. Short-Term Interest Rate</t>
  </si>
  <si>
    <t>3. Actual/Forecasted EO Amortization</t>
  </si>
  <si>
    <t>2. Actual Revenues - OA Only</t>
  </si>
  <si>
    <t>1. Actual/Forecasted Ordered Adjustments</t>
  </si>
  <si>
    <t>3. Actual/Forecasted Ordered Adjustments</t>
  </si>
  <si>
    <t>1. &amp; 4. Actual monthly TD-NSB - Source: None
    Forecasted monthly TD-NSB - Source: None</t>
  </si>
  <si>
    <t>3. Energy Savings (kWh) - Source: none</t>
  </si>
  <si>
    <t>CONFIDENTIAL</t>
  </si>
  <si>
    <t>1. Actual monthly program costs by allocation bucket Residential, Non-Residential, Low Income, Common/General, Programmable Thermostat) - Source: None</t>
  </si>
  <si>
    <t>3. Actual/Forecasted EO Amortization - Source:  None</t>
  </si>
  <si>
    <t>Correction of Reported Results for April - October 2018</t>
  </si>
  <si>
    <t>Res/Non-Res Allocation</t>
  </si>
  <si>
    <t>2. Carrying Costs on OA - Source: Calculated</t>
  </si>
  <si>
    <t>3. Monthly Short-Term Interest Rate</t>
  </si>
  <si>
    <t>1.  Actual monthly EO - Source: None
    Forecasted monthly EO - Source: None</t>
  </si>
  <si>
    <t>6. Actual EO rate component of the tariff rate</t>
  </si>
  <si>
    <t>Cycle 2 Ordered Adjustments Reconciliation (OAR) Calculation</t>
  </si>
  <si>
    <t>Cycle 2 Ordered Adjustment (OA) Calculation</t>
  </si>
  <si>
    <t>Projections for Cycle 2 January 2020 - June 2020 DSIM</t>
  </si>
  <si>
    <t>Cumulative Over/Under Carryover From 06/01/2019 Filing</t>
  </si>
  <si>
    <t>Reverse May-19 - October-19  Forecast From 06/01/2019 Filing</t>
  </si>
  <si>
    <t>1. Ordered Adjustment - None</t>
  </si>
  <si>
    <t>1. Ordered Adjustment - Source: None</t>
  </si>
  <si>
    <t>3. Monthly Short-Term Borrowing Rate - Source: None</t>
  </si>
  <si>
    <t>Evergy Metro, Inc. - DSIM Rider Update Filed 12/02/2019</t>
  </si>
  <si>
    <t>Cycle 2 Earnings Opportunity (EO) Calculation</t>
  </si>
  <si>
    <t>5. Total Earnings Opportunity plus Carrying Costs</t>
  </si>
  <si>
    <t>1. Total Earnings Opportunity</t>
  </si>
  <si>
    <t>2. EO TD Ex Post Gross Adjustment</t>
  </si>
  <si>
    <t>4. Carrying Costs @ AFUDC Rate</t>
  </si>
  <si>
    <t>3. EO TD NTG Adjustment</t>
  </si>
  <si>
    <t>6. Amortization Over 24 Month Recovery Period</t>
  </si>
  <si>
    <t>5. Total Earnings Opportunity plus Carrying Costs - Source: Sum of Lines 1. through 4.</t>
  </si>
  <si>
    <t>6. Amortization Over 24 Month Recovery Period - Source: Line 5 divided by 4 (six month recovery periods)</t>
  </si>
  <si>
    <t>1. Total Earnings Opportunity - Source: Metro EO Calculation PY1-PY3.xlsx</t>
  </si>
  <si>
    <t>2. EO TD Ex Post Gross Adjustment -  Source: TD Model Metro 102019 11202019.xlsx</t>
  </si>
  <si>
    <t>3. EO TD NTG Adjustment -  Source: TD Model Metro 102019 11202019.xlsx</t>
  </si>
  <si>
    <t>4. Carrying Costs @ AFUDC Rate -  Source: TD Model Metro 102019 11202019.xlsx</t>
  </si>
  <si>
    <t>2. Actual monthly billed revenues by Residential/Non-Residential (TD revenues only) - Metro MEEIA 2019 Revenue Analysis.xlsx
Forecasted monthly billed revenues by Residential/Non-Residential (TD revenues only) - Source: calculated = Forecasted billed kWh sales X tariff rate</t>
  </si>
  <si>
    <t>5. Monthly Short-Term Borrowing Rate - Source: Metro Short-Term Borrowing Rate May 2019 - October 2019.xlsx</t>
  </si>
  <si>
    <t>2. Actual monthly billed revenues by Residential/Non-Residential (EO revenues only) - Metro MEEIA 2019 Revenue Analysis.xlsx
Forecasted monthly billed revenues by Residential/Non-Residential (EO revenues only) - Source: calculated = Forecasted billed kWh sales X tariff rate</t>
  </si>
  <si>
    <t>3. Total monthly interest - Source: calculated</t>
  </si>
  <si>
    <t>5. Actual OA rate component of the tariff rate</t>
  </si>
  <si>
    <t>2. Actual monthly billed revenues by Residential/Non-Residential (program cost revenues only) - Metro MEEIA 2019 Revenue Analysis.xlsx
Forecasted monthly billed revenues by Residential/Non-Residential (program cost revenues only) - Source: calculated = Forecasted billed kWh sales X tariff rate</t>
  </si>
  <si>
    <t>2. Actual monthly billed revenues by Residential/Non-Residential (TD-NSB revenues only) - Metro MEEIA 2019 Revenue Analysis.xlsx
Forecasted monthly billed revenues by Residential/Non-Residential (TD-NSB revenues only) - Source: calculated = Forecasted billed kWh sales X tariff rate</t>
  </si>
  <si>
    <t>2. Actual monthly kWh billed sales by Residential/Non-Residential (reduced for opt-out) - Source: Metro MEEIA 2019 Revenue Analysis.xlsx
    Forecasted monthly kWh billed sales by Residential/Non-Residential (reduced for opt-out) - Source: Billed kWh Budget Metro 2019-2020.xlsx</t>
  </si>
  <si>
    <t>3. Actual monthly billed revenues by Residential/Non-Residential (program cost revenues only) - Metro MEEIA 2019 Revenue Analysis.xlsx
    Forecasted monthly billed revenues by Residential/Non-Residential (program cost revenues only) - Source: calculated = Forecasted billed kWh sales X tariff rate</t>
  </si>
  <si>
    <t>1. Forecasted kWh by Residential/Non-Residential (Reduced for Opt-Out) - Source: Billed kWh Budget Metro 2019-2020.xlsx</t>
  </si>
  <si>
    <t>2. Forecasted program costs by allocation bucket (Residential, Non-Residential, Income-Eligible, Common/General) - Source: Metro MEEIA Cycle 2 Forecast 2017-2020 102019 actuals 11222019.xlsx</t>
  </si>
  <si>
    <t>1. Actual monthly program costs by allocation bucket Residential, Non-Residential, Income-Eligible, Common/General) - Source: SI Projects 052019-102019 Metro.xlsx
    Forecasted monthly program costs by allocation bucket - Source: Metro MEEIA Cycle 2 Forecast 2017-2020 102019 actuals 11222019.xlsx</t>
  </si>
  <si>
    <t>1. Forecasted Residential/Non-Residential kWh savings  - Source: Metro MEEIA Cycle 2 Forecast 2017-2020 102019 actuals 11222019.xlsx</t>
  </si>
  <si>
    <t>2. Forecasted Throughput Disincentive - Source: Metro MEEIA Cycle 2 Forecast 2017-2020 102019 actuals 11222019.xlsx</t>
  </si>
  <si>
    <t>1. &amp; 4. Actual monthly TD - Source: TD Model Metro 102019 11202019.xlsx
    Forecasted monthly TD - Source: Metro MEEIA Cycle 2 Forecast 2017-2020 102019 actuals 11222019.xlsx</t>
  </si>
  <si>
    <t>3. Actual kWh Sales Impact - Source:  TD Model Metro 102019 11202019
    Forecasted kWh Sales Impact - Source: Metro MEEIA Cycle 2 Forecast 2017-2020 102019 actuals 11222019.xlsx</t>
  </si>
  <si>
    <t>1. Actual monthly Ordered Adjustments - Source: OA Adjustment Cycle 2 Metro.xlsx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</si>
</sst>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%"/>
    <numFmt numFmtId="169" formatCode="0.0000%"/>
    <numFmt numFmtId="170" formatCode="_(&quot;$&quot;* #,##0.00000_);_(&quot;$&quot;* \(#,##0.00000\);_(&quot;$&quot;* &quot;-&quot;?????_);_(@_)"/>
    <numFmt numFmtId="171" formatCode="0.000000%"/>
    <numFmt numFmtId="173" formatCode="_(&quot;$&quot;* #,##0.0_);_(&quot;$&quot;* \(#,##0.0\);_(&quot;$&quot;* &quot;-&quot;??_);_(@_)"/>
    <numFmt numFmtId="174" formatCode="mm/dd/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FF"/>
      <name val="Courier New"/>
      <family val="3"/>
    </font>
    <font>
      <u val="singleAccounting"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7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81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168" fontId="0" fillId="0" borderId="0" xfId="2" applyNumberFormat="1" applyFont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9" fontId="0" fillId="0" borderId="9" xfId="0" applyNumberFormat="1" applyBorder="1"/>
    <xf numFmtId="170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171" fontId="0" fillId="0" borderId="0" xfId="2" applyNumberFormat="1" applyFont="1" applyBorder="1"/>
    <xf numFmtId="171" fontId="0" fillId="0" borderId="9" xfId="2" applyNumberFormat="1" applyFont="1" applyBorder="1"/>
    <xf numFmtId="171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0" fontId="30" fillId="0" borderId="3" xfId="0" applyFont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1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1" fontId="0" fillId="0" borderId="9" xfId="0" applyNumberFormat="1" applyFill="1" applyBorder="1"/>
    <xf numFmtId="164" fontId="0" fillId="0" borderId="7" xfId="0" applyNumberFormat="1" applyFill="1" applyBorder="1"/>
    <xf numFmtId="171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1" fontId="10" fillId="0" borderId="6" xfId="0" applyNumberFormat="1" applyFont="1" applyBorder="1" applyAlignment="1">
      <alignment vertical="center"/>
    </xf>
    <xf numFmtId="170" fontId="10" fillId="0" borderId="6" xfId="0" applyNumberFormat="1" applyFont="1" applyFill="1" applyBorder="1" applyAlignment="1">
      <alignment vertical="center"/>
    </xf>
    <xf numFmtId="170" fontId="0" fillId="0" borderId="0" xfId="0" applyNumberFormat="1" applyFill="1" applyAlignment="1"/>
    <xf numFmtId="170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0" fontId="8" fillId="0" borderId="0" xfId="0" applyFont="1" applyAlignment="1">
      <alignment horizontal="left" vertical="center" wrapText="1"/>
    </xf>
    <xf numFmtId="42" fontId="5" fillId="5" borderId="1" xfId="6" applyNumberFormat="1" applyBorder="1"/>
    <xf numFmtId="44" fontId="6" fillId="6" borderId="54" xfId="7" applyNumberFormat="1" applyBorder="1"/>
    <xf numFmtId="165" fontId="5" fillId="0" borderId="11" xfId="6" applyNumberFormat="1" applyFill="1" applyBorder="1"/>
    <xf numFmtId="43" fontId="5" fillId="0" borderId="12" xfId="1" applyFont="1" applyFill="1" applyBorder="1"/>
    <xf numFmtId="43" fontId="5" fillId="0" borderId="0" xfId="1" applyFont="1" applyFill="1" applyBorder="1"/>
    <xf numFmtId="0" fontId="0" fillId="0" borderId="0" xfId="0" applyFill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0" fillId="39" borderId="19" xfId="0" applyFill="1" applyBorder="1" applyAlignment="1">
      <alignment horizontal="center" wrapText="1"/>
    </xf>
    <xf numFmtId="43" fontId="8" fillId="0" borderId="0" xfId="1" applyNumberFormat="1" applyFont="1" applyAlignment="1">
      <alignment horizontal="center"/>
    </xf>
    <xf numFmtId="42" fontId="8" fillId="0" borderId="0" xfId="1" applyNumberFormat="1" applyFont="1" applyAlignment="1">
      <alignment horizontal="center"/>
    </xf>
    <xf numFmtId="42" fontId="11" fillId="0" borderId="0" xfId="0" applyNumberFormat="1" applyFont="1" applyBorder="1" applyAlignment="1">
      <alignment horizontal="right" wrapText="1"/>
    </xf>
    <xf numFmtId="170" fontId="0" fillId="0" borderId="0" xfId="0" applyNumberFormat="1"/>
    <xf numFmtId="0" fontId="32" fillId="3" borderId="20" xfId="4" applyFont="1" applyBorder="1" applyAlignment="1"/>
    <xf numFmtId="0" fontId="32" fillId="3" borderId="4" xfId="4" applyFont="1" applyBorder="1" applyAlignment="1"/>
    <xf numFmtId="165" fontId="4" fillId="4" borderId="55" xfId="5" applyNumberFormat="1" applyBorder="1"/>
    <xf numFmtId="41" fontId="4" fillId="4" borderId="56" xfId="5" applyNumberFormat="1" applyBorder="1"/>
    <xf numFmtId="165" fontId="4" fillId="4" borderId="56" xfId="5" applyNumberFormat="1" applyBorder="1"/>
    <xf numFmtId="165" fontId="4" fillId="4" borderId="57" xfId="11" applyNumberFormat="1" applyFont="1" applyFill="1" applyBorder="1"/>
    <xf numFmtId="165" fontId="14" fillId="7" borderId="52" xfId="13" applyNumberFormat="1" applyBorder="1"/>
    <xf numFmtId="44" fontId="6" fillId="6" borderId="58" xfId="7" applyNumberFormat="1" applyBorder="1"/>
    <xf numFmtId="44" fontId="6" fillId="6" borderId="59" xfId="7" applyNumberFormat="1" applyBorder="1"/>
    <xf numFmtId="165" fontId="5" fillId="5" borderId="14" xfId="6" applyNumberFormat="1" applyBorder="1"/>
    <xf numFmtId="0" fontId="7" fillId="0" borderId="10" xfId="8" applyBorder="1"/>
    <xf numFmtId="165" fontId="5" fillId="5" borderId="33" xfId="6" applyNumberFormat="1" applyBorder="1"/>
    <xf numFmtId="44" fontId="0" fillId="0" borderId="10" xfId="0" applyNumberFormat="1" applyFill="1" applyBorder="1"/>
    <xf numFmtId="44" fontId="7" fillId="0" borderId="10" xfId="8" applyNumberFormat="1" applyFill="1" applyBorder="1"/>
    <xf numFmtId="41" fontId="5" fillId="5" borderId="14" xfId="6" applyNumberFormat="1" applyBorder="1"/>
    <xf numFmtId="165" fontId="5" fillId="0" borderId="10" xfId="6" applyNumberFormat="1" applyFill="1" applyBorder="1"/>
    <xf numFmtId="165" fontId="5" fillId="5" borderId="60" xfId="11" applyNumberFormat="1" applyFont="1" applyFill="1" applyBorder="1"/>
    <xf numFmtId="165" fontId="5" fillId="0" borderId="10" xfId="11" applyNumberFormat="1" applyFont="1" applyFill="1" applyBorder="1"/>
    <xf numFmtId="10" fontId="5" fillId="0" borderId="10" xfId="2" applyNumberFormat="1" applyFont="1" applyFill="1" applyBorder="1"/>
    <xf numFmtId="0" fontId="8" fillId="0" borderId="19" xfId="0" applyFont="1" applyBorder="1" applyAlignment="1"/>
    <xf numFmtId="0" fontId="8" fillId="0" borderId="20" xfId="0" applyFont="1" applyBorder="1" applyAlignment="1"/>
    <xf numFmtId="0" fontId="8" fillId="0" borderId="4" xfId="0" applyFont="1" applyBorder="1" applyAlignment="1"/>
    <xf numFmtId="165" fontId="4" fillId="4" borderId="56" xfId="11" applyNumberFormat="1" applyFont="1" applyFill="1" applyBorder="1"/>
    <xf numFmtId="3" fontId="4" fillId="4" borderId="56" xfId="5" applyNumberFormat="1" applyBorder="1"/>
    <xf numFmtId="165" fontId="4" fillId="4" borderId="57" xfId="5" applyNumberFormat="1" applyBorder="1"/>
    <xf numFmtId="42" fontId="5" fillId="5" borderId="14" xfId="1" applyNumberFormat="1" applyFont="1" applyFill="1" applyBorder="1"/>
    <xf numFmtId="165" fontId="5" fillId="5" borderId="21" xfId="11" applyNumberFormat="1" applyFont="1" applyFill="1" applyBorder="1"/>
    <xf numFmtId="42" fontId="5" fillId="5" borderId="14" xfId="6" applyNumberFormat="1" applyBorder="1"/>
    <xf numFmtId="41" fontId="5" fillId="5" borderId="33" xfId="6" applyNumberFormat="1" applyBorder="1"/>
    <xf numFmtId="0" fontId="8" fillId="0" borderId="0" xfId="0" applyFont="1" applyAlignment="1">
      <alignment horizontal="left" vertical="center" wrapText="1"/>
    </xf>
    <xf numFmtId="41" fontId="5" fillId="5" borderId="61" xfId="6" applyNumberFormat="1" applyBorder="1"/>
    <xf numFmtId="42" fontId="5" fillId="5" borderId="13" xfId="6" applyNumberFormat="1" applyBorder="1"/>
    <xf numFmtId="42" fontId="5" fillId="37" borderId="22" xfId="6" applyNumberFormat="1" applyFill="1" applyBorder="1"/>
    <xf numFmtId="41" fontId="5" fillId="5" borderId="62" xfId="6" applyNumberFormat="1" applyBorder="1"/>
    <xf numFmtId="10" fontId="8" fillId="0" borderId="0" xfId="0" applyNumberFormat="1" applyFont="1" applyAlignment="1">
      <alignment horizontal="center" wrapText="1"/>
    </xf>
    <xf numFmtId="44" fontId="33" fillId="0" borderId="0" xfId="1" applyNumberFormat="1" applyFont="1" applyAlignment="1">
      <alignment horizontal="right"/>
    </xf>
    <xf numFmtId="173" fontId="14" fillId="7" borderId="13" xfId="13" applyNumberFormat="1" applyBorder="1"/>
    <xf numFmtId="43" fontId="0" fillId="0" borderId="0" xfId="1" applyFont="1"/>
    <xf numFmtId="171" fontId="0" fillId="0" borderId="0" xfId="0" applyNumberFormat="1"/>
    <xf numFmtId="171" fontId="0" fillId="0" borderId="0" xfId="2" applyNumberFormat="1" applyFont="1" applyFill="1" applyBorder="1"/>
    <xf numFmtId="0" fontId="8" fillId="0" borderId="0" xfId="0" applyFont="1" applyFill="1" applyAlignment="1">
      <alignment horizontal="left" vertical="center" wrapText="1"/>
    </xf>
    <xf numFmtId="170" fontId="10" fillId="0" borderId="3" xfId="0" applyNumberFormat="1" applyFont="1" applyFill="1" applyBorder="1" applyAlignment="1">
      <alignment vertical="center"/>
    </xf>
    <xf numFmtId="170" fontId="10" fillId="0" borderId="5" xfId="0" applyNumberFormat="1" applyFont="1" applyFill="1" applyBorder="1" applyAlignment="1">
      <alignment vertical="center"/>
    </xf>
    <xf numFmtId="165" fontId="5" fillId="0" borderId="61" xfId="6" applyNumberFormat="1" applyFill="1" applyBorder="1"/>
    <xf numFmtId="41" fontId="5" fillId="0" borderId="61" xfId="6" applyNumberFormat="1" applyFill="1" applyBorder="1"/>
    <xf numFmtId="165" fontId="5" fillId="0" borderId="63" xfId="11" applyNumberFormat="1" applyFont="1" applyFill="1" applyBorder="1"/>
    <xf numFmtId="165" fontId="5" fillId="0" borderId="64" xfId="6" applyNumberFormat="1" applyFill="1" applyBorder="1"/>
    <xf numFmtId="0" fontId="0" fillId="0" borderId="65" xfId="0" applyFill="1" applyBorder="1"/>
    <xf numFmtId="44" fontId="0" fillId="0" borderId="65" xfId="0" applyNumberFormat="1" applyFill="1" applyBorder="1"/>
    <xf numFmtId="41" fontId="5" fillId="0" borderId="64" xfId="6" applyNumberFormat="1" applyFill="1" applyBorder="1"/>
    <xf numFmtId="165" fontId="5" fillId="0" borderId="65" xfId="6" applyNumberFormat="1" applyFill="1" applyBorder="1"/>
    <xf numFmtId="165" fontId="5" fillId="0" borderId="66" xfId="11" applyNumberFormat="1" applyFont="1" applyFill="1" applyBorder="1"/>
    <xf numFmtId="165" fontId="14" fillId="0" borderId="61" xfId="13" applyNumberFormat="1" applyFill="1" applyBorder="1"/>
    <xf numFmtId="44" fontId="6" fillId="0" borderId="68" xfId="7" applyNumberFormat="1" applyFill="1" applyBorder="1"/>
    <xf numFmtId="165" fontId="5" fillId="0" borderId="69" xfId="11" applyNumberFormat="1" applyFont="1" applyFill="1" applyBorder="1"/>
    <xf numFmtId="10" fontId="5" fillId="0" borderId="65" xfId="2" applyNumberFormat="1" applyFont="1" applyFill="1" applyBorder="1"/>
    <xf numFmtId="165" fontId="14" fillId="0" borderId="64" xfId="13" applyNumberFormat="1" applyFill="1" applyBorder="1"/>
    <xf numFmtId="171" fontId="0" fillId="0" borderId="65" xfId="0" applyNumberFormat="1" applyFill="1" applyBorder="1"/>
    <xf numFmtId="171" fontId="0" fillId="0" borderId="65" xfId="2" applyNumberFormat="1" applyFont="1" applyFill="1" applyBorder="1"/>
    <xf numFmtId="44" fontId="6" fillId="0" borderId="70" xfId="7" applyNumberFormat="1" applyFill="1" applyBorder="1"/>
    <xf numFmtId="0" fontId="0" fillId="0" borderId="65" xfId="0" applyBorder="1"/>
    <xf numFmtId="165" fontId="5" fillId="0" borderId="71" xfId="6" applyNumberFormat="1" applyFill="1" applyBorder="1"/>
    <xf numFmtId="0" fontId="0" fillId="39" borderId="67" xfId="0" applyFill="1" applyBorder="1" applyAlignment="1">
      <alignment horizontal="center" wrapText="1"/>
    </xf>
    <xf numFmtId="164" fontId="0" fillId="0" borderId="72" xfId="0" applyNumberFormat="1" applyFill="1" applyBorder="1"/>
    <xf numFmtId="174" fontId="0" fillId="0" borderId="0" xfId="0" applyNumberFormat="1"/>
    <xf numFmtId="171" fontId="0" fillId="0" borderId="0" xfId="2" applyNumberFormat="1" applyFont="1"/>
    <xf numFmtId="43" fontId="35" fillId="0" borderId="0" xfId="1" applyFont="1"/>
    <xf numFmtId="44" fontId="13" fillId="7" borderId="17" xfId="12" applyNumberFormat="1"/>
    <xf numFmtId="44" fontId="14" fillId="7" borderId="1" xfId="13" applyNumberFormat="1"/>
    <xf numFmtId="44" fontId="6" fillId="6" borderId="2" xfId="1" applyNumberFormat="1" applyFont="1" applyFill="1" applyBorder="1"/>
    <xf numFmtId="42" fontId="14" fillId="7" borderId="1" xfId="13" applyNumberFormat="1"/>
    <xf numFmtId="41" fontId="5" fillId="0" borderId="0" xfId="6" applyNumberFormat="1" applyFill="1" applyBorder="1"/>
    <xf numFmtId="165" fontId="13" fillId="0" borderId="0" xfId="12" applyNumberFormat="1" applyFill="1" applyBorder="1"/>
    <xf numFmtId="167" fontId="14" fillId="0" borderId="0" xfId="13" applyNumberFormat="1" applyFill="1" applyBorder="1"/>
    <xf numFmtId="10" fontId="14" fillId="0" borderId="0" xfId="2" applyNumberFormat="1" applyFont="1" applyFill="1" applyBorder="1"/>
    <xf numFmtId="165" fontId="14" fillId="0" borderId="0" xfId="13" applyNumberFormat="1" applyFill="1" applyBorder="1"/>
    <xf numFmtId="0" fontId="7" fillId="0" borderId="0" xfId="8" applyFill="1" applyBorder="1" applyAlignment="1">
      <alignment horizontal="right"/>
    </xf>
    <xf numFmtId="43" fontId="6" fillId="0" borderId="0" xfId="1" applyFont="1" applyFill="1" applyBorder="1"/>
    <xf numFmtId="42" fontId="14" fillId="7" borderId="23" xfId="13" applyNumberFormat="1" applyBorder="1"/>
    <xf numFmtId="165" fontId="13" fillId="7" borderId="74" xfId="12" applyNumberFormat="1" applyBorder="1"/>
    <xf numFmtId="42" fontId="14" fillId="7" borderId="73" xfId="13" applyNumberFormat="1" applyBorder="1"/>
    <xf numFmtId="170" fontId="34" fillId="0" borderId="4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 xr:uid="{00000000-0005-0000-0000-000001000000}"/>
    <cellStyle name="20% - Accent2" xfId="28" builtinId="34" customBuiltin="1"/>
    <cellStyle name="20% - Accent2 2" xfId="56" xr:uid="{00000000-0005-0000-0000-000003000000}"/>
    <cellStyle name="20% - Accent3" xfId="32" builtinId="38" customBuiltin="1"/>
    <cellStyle name="20% - Accent3 2" xfId="58" xr:uid="{00000000-0005-0000-0000-000005000000}"/>
    <cellStyle name="20% - Accent4" xfId="36" builtinId="42" customBuiltin="1"/>
    <cellStyle name="20% - Accent4 2" xfId="60" xr:uid="{00000000-0005-0000-0000-000007000000}"/>
    <cellStyle name="20% - Accent5" xfId="40" builtinId="46" customBuiltin="1"/>
    <cellStyle name="20% - Accent5 2" xfId="62" xr:uid="{00000000-0005-0000-0000-000009000000}"/>
    <cellStyle name="20% - Accent6" xfId="44" builtinId="50" customBuiltin="1"/>
    <cellStyle name="20% - Accent6 2" xfId="64" xr:uid="{00000000-0005-0000-0000-00000B000000}"/>
    <cellStyle name="40% - Accent1" xfId="25" builtinId="31" customBuiltin="1"/>
    <cellStyle name="40% - Accent1 2" xfId="55" xr:uid="{00000000-0005-0000-0000-00000D000000}"/>
    <cellStyle name="40% - Accent2" xfId="29" builtinId="35" customBuiltin="1"/>
    <cellStyle name="40% - Accent2 2" xfId="57" xr:uid="{00000000-0005-0000-0000-00000F000000}"/>
    <cellStyle name="40% - Accent3" xfId="33" builtinId="39" customBuiltin="1"/>
    <cellStyle name="40% - Accent3 2" xfId="59" xr:uid="{00000000-0005-0000-0000-000011000000}"/>
    <cellStyle name="40% - Accent4" xfId="37" builtinId="43" customBuiltin="1"/>
    <cellStyle name="40% - Accent4 2" xfId="61" xr:uid="{00000000-0005-0000-0000-000013000000}"/>
    <cellStyle name="40% - Accent5" xfId="41" builtinId="47" customBuiltin="1"/>
    <cellStyle name="40% - Accent5 2" xfId="63" xr:uid="{00000000-0005-0000-0000-000015000000}"/>
    <cellStyle name="40% - Accent6" xfId="45" builtinId="51" customBuiltin="1"/>
    <cellStyle name="40% - Accent6 2" xfId="65" xr:uid="{00000000-0005-0000-0000-000017000000}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 xr:uid="{00000000-0005-0000-0000-000028000000}"/>
    <cellStyle name="Comma 2 2" xfId="282" xr:uid="{00000000-0005-0000-0000-000029000000}"/>
    <cellStyle name="Comma 3" xfId="66" xr:uid="{00000000-0005-0000-0000-00002A000000}"/>
    <cellStyle name="Comma 3 2" xfId="9" xr:uid="{00000000-0005-0000-0000-00002B000000}"/>
    <cellStyle name="Comma 4" xfId="192" xr:uid="{00000000-0005-0000-0000-00002C000000}"/>
    <cellStyle name="Comma 5" xfId="52" xr:uid="{00000000-0005-0000-0000-00002D000000}"/>
    <cellStyle name="Currency" xfId="11" builtinId="4"/>
    <cellStyle name="Currency [0] 2" xfId="114" xr:uid="{00000000-0005-0000-0000-00002F000000}"/>
    <cellStyle name="Currency [0] 2 2" xfId="203" xr:uid="{00000000-0005-0000-0000-000030000000}"/>
    <cellStyle name="Currency 10" xfId="193" xr:uid="{00000000-0005-0000-0000-000031000000}"/>
    <cellStyle name="Currency 11" xfId="112" xr:uid="{00000000-0005-0000-0000-000032000000}"/>
    <cellStyle name="Currency 12" xfId="197" xr:uid="{00000000-0005-0000-0000-000033000000}"/>
    <cellStyle name="Currency 13" xfId="50" xr:uid="{00000000-0005-0000-0000-000034000000}"/>
    <cellStyle name="Currency 13 2" xfId="288" xr:uid="{00000000-0005-0000-0000-000035000000}"/>
    <cellStyle name="Currency 14" xfId="285" xr:uid="{00000000-0005-0000-0000-000036000000}"/>
    <cellStyle name="Currency 15" xfId="289" xr:uid="{00000000-0005-0000-0000-000037000000}"/>
    <cellStyle name="Currency 16" xfId="291" xr:uid="{00000000-0005-0000-0000-000038000000}"/>
    <cellStyle name="Currency 17" xfId="292" xr:uid="{00000000-0005-0000-0000-000039000000}"/>
    <cellStyle name="Currency 18" xfId="293" xr:uid="{00000000-0005-0000-0000-00003A000000}"/>
    <cellStyle name="Currency 19" xfId="294" xr:uid="{00000000-0005-0000-0000-00003B000000}"/>
    <cellStyle name="Currency 2" xfId="69" xr:uid="{00000000-0005-0000-0000-00003C000000}"/>
    <cellStyle name="Currency 2 2" xfId="111" xr:uid="{00000000-0005-0000-0000-00003D000000}"/>
    <cellStyle name="Currency 2 2 2" xfId="202" xr:uid="{00000000-0005-0000-0000-00003E000000}"/>
    <cellStyle name="Currency 2 3" xfId="280" xr:uid="{00000000-0005-0000-0000-00003F000000}"/>
    <cellStyle name="Currency 20" xfId="295" xr:uid="{00000000-0005-0000-0000-000040000000}"/>
    <cellStyle name="Currency 21" xfId="296" xr:uid="{00000000-0005-0000-0000-000041000000}"/>
    <cellStyle name="Currency 22" xfId="297" xr:uid="{00000000-0005-0000-0000-000042000000}"/>
    <cellStyle name="Currency 3" xfId="67" xr:uid="{00000000-0005-0000-0000-000043000000}"/>
    <cellStyle name="Currency 3 2" xfId="279" xr:uid="{00000000-0005-0000-0000-000044000000}"/>
    <cellStyle name="Currency 4" xfId="115" xr:uid="{00000000-0005-0000-0000-000045000000}"/>
    <cellStyle name="Currency 4 2" xfId="204" xr:uid="{00000000-0005-0000-0000-000046000000}"/>
    <cellStyle name="Currency 4 3" xfId="281" xr:uid="{00000000-0005-0000-0000-000047000000}"/>
    <cellStyle name="Currency 5" xfId="116" xr:uid="{00000000-0005-0000-0000-000048000000}"/>
    <cellStyle name="Currency 5 2" xfId="205" xr:uid="{00000000-0005-0000-0000-000049000000}"/>
    <cellStyle name="Currency 6" xfId="117" xr:uid="{00000000-0005-0000-0000-00004A000000}"/>
    <cellStyle name="Currency 6 2" xfId="206" xr:uid="{00000000-0005-0000-0000-00004B000000}"/>
    <cellStyle name="Currency 7" xfId="118" xr:uid="{00000000-0005-0000-0000-00004C000000}"/>
    <cellStyle name="Currency 7 2" xfId="207" xr:uid="{00000000-0005-0000-0000-00004D000000}"/>
    <cellStyle name="Currency 8" xfId="194" xr:uid="{00000000-0005-0000-0000-00004E000000}"/>
    <cellStyle name="Currency 9" xfId="195" xr:uid="{00000000-0005-0000-0000-00004F000000}"/>
    <cellStyle name="Data Field" xfId="119" xr:uid="{00000000-0005-0000-0000-000050000000}"/>
    <cellStyle name="Data Field 2" xfId="208" xr:uid="{00000000-0005-0000-0000-000051000000}"/>
    <cellStyle name="Data Name" xfId="120" xr:uid="{00000000-0005-0000-0000-000052000000}"/>
    <cellStyle name="Data Name 2" xfId="209" xr:uid="{00000000-0005-0000-0000-000053000000}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 xr:uid="{00000000-0005-0000-0000-00005C000000}"/>
    <cellStyle name="Hyperlink 3" xfId="122" xr:uid="{00000000-0005-0000-0000-00005D000000}"/>
    <cellStyle name="Hyperlink 4" xfId="300" xr:uid="{00000000-0005-0000-0000-00005E000000}"/>
    <cellStyle name="Hyperlink 5" xfId="298" xr:uid="{00000000-0005-0000-0000-00005F000000}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 xr:uid="{00000000-0005-0000-0000-000064000000}"/>
    <cellStyle name="Normal 10 2" xfId="124" xr:uid="{00000000-0005-0000-0000-000065000000}"/>
    <cellStyle name="Normal 10 2 2" xfId="211" xr:uid="{00000000-0005-0000-0000-000066000000}"/>
    <cellStyle name="Normal 10 3" xfId="210" xr:uid="{00000000-0005-0000-0000-000067000000}"/>
    <cellStyle name="Normal 11" xfId="125" xr:uid="{00000000-0005-0000-0000-000068000000}"/>
    <cellStyle name="Normal 11 2" xfId="212" xr:uid="{00000000-0005-0000-0000-000069000000}"/>
    <cellStyle name="Normal 12" xfId="126" xr:uid="{00000000-0005-0000-0000-00006A000000}"/>
    <cellStyle name="Normal 12 2" xfId="213" xr:uid="{00000000-0005-0000-0000-00006B000000}"/>
    <cellStyle name="Normal 13" xfId="127" xr:uid="{00000000-0005-0000-0000-00006C000000}"/>
    <cellStyle name="Normal 13 2" xfId="214" xr:uid="{00000000-0005-0000-0000-00006D000000}"/>
    <cellStyle name="Normal 14" xfId="128" xr:uid="{00000000-0005-0000-0000-00006E000000}"/>
    <cellStyle name="Normal 14 2" xfId="215" xr:uid="{00000000-0005-0000-0000-00006F000000}"/>
    <cellStyle name="Normal 15" xfId="129" xr:uid="{00000000-0005-0000-0000-000070000000}"/>
    <cellStyle name="Normal 16" xfId="130" xr:uid="{00000000-0005-0000-0000-000071000000}"/>
    <cellStyle name="Normal 16 2" xfId="216" xr:uid="{00000000-0005-0000-0000-000072000000}"/>
    <cellStyle name="Normal 17" xfId="48" xr:uid="{00000000-0005-0000-0000-000073000000}"/>
    <cellStyle name="Normal 18" xfId="131" xr:uid="{00000000-0005-0000-0000-000074000000}"/>
    <cellStyle name="Normal 18 2" xfId="217" xr:uid="{00000000-0005-0000-0000-000075000000}"/>
    <cellStyle name="Normal 19" xfId="132" xr:uid="{00000000-0005-0000-0000-000076000000}"/>
    <cellStyle name="Normal 19 2" xfId="218" xr:uid="{00000000-0005-0000-0000-000077000000}"/>
    <cellStyle name="Normal 2" xfId="51" xr:uid="{00000000-0005-0000-0000-000078000000}"/>
    <cellStyle name="Normal 2 2" xfId="71" xr:uid="{00000000-0005-0000-0000-000079000000}"/>
    <cellStyle name="Normal 2 2 2" xfId="72" xr:uid="{00000000-0005-0000-0000-00007A000000}"/>
    <cellStyle name="Normal 2 2 3" xfId="73" xr:uid="{00000000-0005-0000-0000-00007B000000}"/>
    <cellStyle name="Normal 2 2 4" xfId="74" xr:uid="{00000000-0005-0000-0000-00007C000000}"/>
    <cellStyle name="Normal 2 2 5" xfId="75" xr:uid="{00000000-0005-0000-0000-00007D000000}"/>
    <cellStyle name="Normal 2 2 6" xfId="76" xr:uid="{00000000-0005-0000-0000-00007E000000}"/>
    <cellStyle name="Normal 2 2 7" xfId="77" xr:uid="{00000000-0005-0000-0000-00007F000000}"/>
    <cellStyle name="Normal 2 2 8" xfId="78" xr:uid="{00000000-0005-0000-0000-000080000000}"/>
    <cellStyle name="Normal 2 2 9" xfId="79" xr:uid="{00000000-0005-0000-0000-000081000000}"/>
    <cellStyle name="Normal 2 3" xfId="80" xr:uid="{00000000-0005-0000-0000-000082000000}"/>
    <cellStyle name="Normal 2 4" xfId="81" xr:uid="{00000000-0005-0000-0000-000083000000}"/>
    <cellStyle name="Normal 2 4 2" xfId="82" xr:uid="{00000000-0005-0000-0000-000084000000}"/>
    <cellStyle name="Normal 2 5" xfId="110" xr:uid="{00000000-0005-0000-0000-000085000000}"/>
    <cellStyle name="Normal 2 5 2" xfId="201" xr:uid="{00000000-0005-0000-0000-000086000000}"/>
    <cellStyle name="Normal 2 6" xfId="47" xr:uid="{00000000-0005-0000-0000-000087000000}"/>
    <cellStyle name="Normal 2 6 2" xfId="70" xr:uid="{00000000-0005-0000-0000-000088000000}"/>
    <cellStyle name="Normal 2 7" xfId="299" xr:uid="{00000000-0005-0000-0000-000089000000}"/>
    <cellStyle name="Normal 26" xfId="106" xr:uid="{00000000-0005-0000-0000-00008A000000}"/>
    <cellStyle name="Normal 26 2" xfId="199" xr:uid="{00000000-0005-0000-0000-00008B000000}"/>
    <cellStyle name="Normal 27" xfId="107" xr:uid="{00000000-0005-0000-0000-00008C000000}"/>
    <cellStyle name="Normal 27 2" xfId="200" xr:uid="{00000000-0005-0000-0000-00008D000000}"/>
    <cellStyle name="Normal 28" xfId="133" xr:uid="{00000000-0005-0000-0000-00008E000000}"/>
    <cellStyle name="Normal 28 2" xfId="219" xr:uid="{00000000-0005-0000-0000-00008F000000}"/>
    <cellStyle name="Normal 3" xfId="83" xr:uid="{00000000-0005-0000-0000-000090000000}"/>
    <cellStyle name="Normal 3 2" xfId="84" xr:uid="{00000000-0005-0000-0000-000091000000}"/>
    <cellStyle name="Normal 3 2 2" xfId="85" xr:uid="{00000000-0005-0000-0000-000092000000}"/>
    <cellStyle name="Normal 3 2 3" xfId="86" xr:uid="{00000000-0005-0000-0000-000093000000}"/>
    <cellStyle name="Normal 3 2 4" xfId="87" xr:uid="{00000000-0005-0000-0000-000094000000}"/>
    <cellStyle name="Normal 3 2 5" xfId="88" xr:uid="{00000000-0005-0000-0000-000095000000}"/>
    <cellStyle name="Normal 3 2 6" xfId="89" xr:uid="{00000000-0005-0000-0000-000096000000}"/>
    <cellStyle name="Normal 3 2 7" xfId="90" xr:uid="{00000000-0005-0000-0000-000097000000}"/>
    <cellStyle name="Normal 3 2 8" xfId="91" xr:uid="{00000000-0005-0000-0000-000098000000}"/>
    <cellStyle name="Normal 3 2 9" xfId="92" xr:uid="{00000000-0005-0000-0000-000099000000}"/>
    <cellStyle name="Normal 3 3" xfId="108" xr:uid="{00000000-0005-0000-0000-00009A000000}"/>
    <cellStyle name="Normal 3 40" xfId="109" xr:uid="{00000000-0005-0000-0000-00009B000000}"/>
    <cellStyle name="Normal 33" xfId="277" xr:uid="{00000000-0005-0000-0000-00009C000000}"/>
    <cellStyle name="Normal 35" xfId="301" xr:uid="{00000000-0005-0000-0000-00009D000000}"/>
    <cellStyle name="Normal 36" xfId="134" xr:uid="{00000000-0005-0000-0000-00009E000000}"/>
    <cellStyle name="Normal 36 2" xfId="220" xr:uid="{00000000-0005-0000-0000-00009F000000}"/>
    <cellStyle name="Normal 37" xfId="135" xr:uid="{00000000-0005-0000-0000-0000A0000000}"/>
    <cellStyle name="Normal 37 2" xfId="221" xr:uid="{00000000-0005-0000-0000-0000A1000000}"/>
    <cellStyle name="Normal 38" xfId="136" xr:uid="{00000000-0005-0000-0000-0000A2000000}"/>
    <cellStyle name="Normal 38 2" xfId="222" xr:uid="{00000000-0005-0000-0000-0000A3000000}"/>
    <cellStyle name="Normal 39" xfId="137" xr:uid="{00000000-0005-0000-0000-0000A4000000}"/>
    <cellStyle name="Normal 39 2" xfId="223" xr:uid="{00000000-0005-0000-0000-0000A5000000}"/>
    <cellStyle name="Normal 4" xfId="10" xr:uid="{00000000-0005-0000-0000-0000A6000000}"/>
    <cellStyle name="Normal 4 2" xfId="94" xr:uid="{00000000-0005-0000-0000-0000A7000000}"/>
    <cellStyle name="Normal 4 3" xfId="93" xr:uid="{00000000-0005-0000-0000-0000A8000000}"/>
    <cellStyle name="Normal 4 4" xfId="278" xr:uid="{00000000-0005-0000-0000-0000A9000000}"/>
    <cellStyle name="Normal 40" xfId="138" xr:uid="{00000000-0005-0000-0000-0000AA000000}"/>
    <cellStyle name="Normal 40 2" xfId="224" xr:uid="{00000000-0005-0000-0000-0000AB000000}"/>
    <cellStyle name="Normal 41" xfId="139" xr:uid="{00000000-0005-0000-0000-0000AC000000}"/>
    <cellStyle name="Normal 41 2" xfId="225" xr:uid="{00000000-0005-0000-0000-0000AD000000}"/>
    <cellStyle name="Normal 42" xfId="140" xr:uid="{00000000-0005-0000-0000-0000AE000000}"/>
    <cellStyle name="Normal 42 2" xfId="226" xr:uid="{00000000-0005-0000-0000-0000AF000000}"/>
    <cellStyle name="Normal 43" xfId="141" xr:uid="{00000000-0005-0000-0000-0000B0000000}"/>
    <cellStyle name="Normal 43 2" xfId="227" xr:uid="{00000000-0005-0000-0000-0000B1000000}"/>
    <cellStyle name="Normal 44" xfId="142" xr:uid="{00000000-0005-0000-0000-0000B2000000}"/>
    <cellStyle name="Normal 44 2" xfId="228" xr:uid="{00000000-0005-0000-0000-0000B3000000}"/>
    <cellStyle name="Normal 45" xfId="143" xr:uid="{00000000-0005-0000-0000-0000B4000000}"/>
    <cellStyle name="Normal 45 2" xfId="229" xr:uid="{00000000-0005-0000-0000-0000B5000000}"/>
    <cellStyle name="Normal 46" xfId="144" xr:uid="{00000000-0005-0000-0000-0000B6000000}"/>
    <cellStyle name="Normal 46 2" xfId="230" xr:uid="{00000000-0005-0000-0000-0000B7000000}"/>
    <cellStyle name="Normal 47" xfId="145" xr:uid="{00000000-0005-0000-0000-0000B8000000}"/>
    <cellStyle name="Normal 47 2" xfId="231" xr:uid="{00000000-0005-0000-0000-0000B9000000}"/>
    <cellStyle name="Normal 48" xfId="146" xr:uid="{00000000-0005-0000-0000-0000BA000000}"/>
    <cellStyle name="Normal 48 2" xfId="232" xr:uid="{00000000-0005-0000-0000-0000BB000000}"/>
    <cellStyle name="Normal 49" xfId="147" xr:uid="{00000000-0005-0000-0000-0000BC000000}"/>
    <cellStyle name="Normal 49 2" xfId="233" xr:uid="{00000000-0005-0000-0000-0000BD000000}"/>
    <cellStyle name="Normal 5" xfId="95" xr:uid="{00000000-0005-0000-0000-0000BE000000}"/>
    <cellStyle name="Normal 5 2" xfId="96" xr:uid="{00000000-0005-0000-0000-0000BF000000}"/>
    <cellStyle name="Normal 5 3" xfId="97" xr:uid="{00000000-0005-0000-0000-0000C0000000}"/>
    <cellStyle name="Normal 5 4" xfId="98" xr:uid="{00000000-0005-0000-0000-0000C1000000}"/>
    <cellStyle name="Normal 50" xfId="148" xr:uid="{00000000-0005-0000-0000-0000C2000000}"/>
    <cellStyle name="Normal 50 2" xfId="234" xr:uid="{00000000-0005-0000-0000-0000C3000000}"/>
    <cellStyle name="Normal 51" xfId="149" xr:uid="{00000000-0005-0000-0000-0000C4000000}"/>
    <cellStyle name="Normal 51 2" xfId="235" xr:uid="{00000000-0005-0000-0000-0000C5000000}"/>
    <cellStyle name="Normal 52" xfId="150" xr:uid="{00000000-0005-0000-0000-0000C6000000}"/>
    <cellStyle name="Normal 52 2" xfId="236" xr:uid="{00000000-0005-0000-0000-0000C7000000}"/>
    <cellStyle name="Normal 53" xfId="151" xr:uid="{00000000-0005-0000-0000-0000C8000000}"/>
    <cellStyle name="Normal 53 2" xfId="237" xr:uid="{00000000-0005-0000-0000-0000C9000000}"/>
    <cellStyle name="Normal 54" xfId="152" xr:uid="{00000000-0005-0000-0000-0000CA000000}"/>
    <cellStyle name="Normal 54 2" xfId="238" xr:uid="{00000000-0005-0000-0000-0000CB000000}"/>
    <cellStyle name="Normal 55" xfId="153" xr:uid="{00000000-0005-0000-0000-0000CC000000}"/>
    <cellStyle name="Normal 55 2" xfId="239" xr:uid="{00000000-0005-0000-0000-0000CD000000}"/>
    <cellStyle name="Normal 56" xfId="154" xr:uid="{00000000-0005-0000-0000-0000CE000000}"/>
    <cellStyle name="Normal 56 2" xfId="240" xr:uid="{00000000-0005-0000-0000-0000CF000000}"/>
    <cellStyle name="Normal 57" xfId="155" xr:uid="{00000000-0005-0000-0000-0000D0000000}"/>
    <cellStyle name="Normal 57 2" xfId="241" xr:uid="{00000000-0005-0000-0000-0000D1000000}"/>
    <cellStyle name="Normal 58" xfId="156" xr:uid="{00000000-0005-0000-0000-0000D2000000}"/>
    <cellStyle name="Normal 58 2" xfId="242" xr:uid="{00000000-0005-0000-0000-0000D3000000}"/>
    <cellStyle name="Normal 59" xfId="157" xr:uid="{00000000-0005-0000-0000-0000D4000000}"/>
    <cellStyle name="Normal 59 2" xfId="243" xr:uid="{00000000-0005-0000-0000-0000D5000000}"/>
    <cellStyle name="Normal 6" xfId="99" xr:uid="{00000000-0005-0000-0000-0000D6000000}"/>
    <cellStyle name="Normal 6 2" xfId="100" xr:uid="{00000000-0005-0000-0000-0000D7000000}"/>
    <cellStyle name="Normal 6 3" xfId="101" xr:uid="{00000000-0005-0000-0000-0000D8000000}"/>
    <cellStyle name="Normal 60" xfId="158" xr:uid="{00000000-0005-0000-0000-0000D9000000}"/>
    <cellStyle name="Normal 60 2" xfId="244" xr:uid="{00000000-0005-0000-0000-0000DA000000}"/>
    <cellStyle name="Normal 61" xfId="159" xr:uid="{00000000-0005-0000-0000-0000DB000000}"/>
    <cellStyle name="Normal 61 2" xfId="245" xr:uid="{00000000-0005-0000-0000-0000DC000000}"/>
    <cellStyle name="Normal 62" xfId="160" xr:uid="{00000000-0005-0000-0000-0000DD000000}"/>
    <cellStyle name="Normal 62 2" xfId="246" xr:uid="{00000000-0005-0000-0000-0000DE000000}"/>
    <cellStyle name="Normal 63" xfId="161" xr:uid="{00000000-0005-0000-0000-0000DF000000}"/>
    <cellStyle name="Normal 63 2" xfId="247" xr:uid="{00000000-0005-0000-0000-0000E0000000}"/>
    <cellStyle name="Normal 64" xfId="162" xr:uid="{00000000-0005-0000-0000-0000E1000000}"/>
    <cellStyle name="Normal 64 2" xfId="248" xr:uid="{00000000-0005-0000-0000-0000E2000000}"/>
    <cellStyle name="Normal 65" xfId="163" xr:uid="{00000000-0005-0000-0000-0000E3000000}"/>
    <cellStyle name="Normal 65 2" xfId="249" xr:uid="{00000000-0005-0000-0000-0000E4000000}"/>
    <cellStyle name="Normal 66" xfId="164" xr:uid="{00000000-0005-0000-0000-0000E5000000}"/>
    <cellStyle name="Normal 66 2" xfId="250" xr:uid="{00000000-0005-0000-0000-0000E6000000}"/>
    <cellStyle name="Normal 67" xfId="165" xr:uid="{00000000-0005-0000-0000-0000E7000000}"/>
    <cellStyle name="Normal 67 2" xfId="251" xr:uid="{00000000-0005-0000-0000-0000E8000000}"/>
    <cellStyle name="Normal 69" xfId="166" xr:uid="{00000000-0005-0000-0000-0000E9000000}"/>
    <cellStyle name="Normal 69 2" xfId="252" xr:uid="{00000000-0005-0000-0000-0000EA000000}"/>
    <cellStyle name="Normal 7" xfId="102" xr:uid="{00000000-0005-0000-0000-0000EB000000}"/>
    <cellStyle name="Normal 70" xfId="167" xr:uid="{00000000-0005-0000-0000-0000EC000000}"/>
    <cellStyle name="Normal 70 2" xfId="253" xr:uid="{00000000-0005-0000-0000-0000ED000000}"/>
    <cellStyle name="Normal 71" xfId="168" xr:uid="{00000000-0005-0000-0000-0000EE000000}"/>
    <cellStyle name="Normal 71 2" xfId="254" xr:uid="{00000000-0005-0000-0000-0000EF000000}"/>
    <cellStyle name="Normal 72" xfId="169" xr:uid="{00000000-0005-0000-0000-0000F0000000}"/>
    <cellStyle name="Normal 72 2" xfId="255" xr:uid="{00000000-0005-0000-0000-0000F1000000}"/>
    <cellStyle name="Normal 73" xfId="170" xr:uid="{00000000-0005-0000-0000-0000F2000000}"/>
    <cellStyle name="Normal 73 2" xfId="256" xr:uid="{00000000-0005-0000-0000-0000F3000000}"/>
    <cellStyle name="Normal 74" xfId="171" xr:uid="{00000000-0005-0000-0000-0000F4000000}"/>
    <cellStyle name="Normal 74 2" xfId="257" xr:uid="{00000000-0005-0000-0000-0000F5000000}"/>
    <cellStyle name="Normal 75" xfId="172" xr:uid="{00000000-0005-0000-0000-0000F6000000}"/>
    <cellStyle name="Normal 75 2" xfId="258" xr:uid="{00000000-0005-0000-0000-0000F7000000}"/>
    <cellStyle name="Normal 76" xfId="173" xr:uid="{00000000-0005-0000-0000-0000F8000000}"/>
    <cellStyle name="Normal 76 2" xfId="259" xr:uid="{00000000-0005-0000-0000-0000F9000000}"/>
    <cellStyle name="Normal 77" xfId="174" xr:uid="{00000000-0005-0000-0000-0000FA000000}"/>
    <cellStyle name="Normal 77 2" xfId="260" xr:uid="{00000000-0005-0000-0000-0000FB000000}"/>
    <cellStyle name="Normal 78" xfId="175" xr:uid="{00000000-0005-0000-0000-0000FC000000}"/>
    <cellStyle name="Normal 78 2" xfId="261" xr:uid="{00000000-0005-0000-0000-0000FD000000}"/>
    <cellStyle name="Normal 79" xfId="176" xr:uid="{00000000-0005-0000-0000-0000FE000000}"/>
    <cellStyle name="Normal 79 2" xfId="262" xr:uid="{00000000-0005-0000-0000-0000FF000000}"/>
    <cellStyle name="Normal 8" xfId="103" xr:uid="{00000000-0005-0000-0000-000000010000}"/>
    <cellStyle name="Normal 80" xfId="177" xr:uid="{00000000-0005-0000-0000-000001010000}"/>
    <cellStyle name="Normal 80 2" xfId="263" xr:uid="{00000000-0005-0000-0000-000002010000}"/>
    <cellStyle name="Normal 81" xfId="178" xr:uid="{00000000-0005-0000-0000-000003010000}"/>
    <cellStyle name="Normal 81 2" xfId="264" xr:uid="{00000000-0005-0000-0000-000004010000}"/>
    <cellStyle name="Normal 82" xfId="179" xr:uid="{00000000-0005-0000-0000-000005010000}"/>
    <cellStyle name="Normal 82 2" xfId="265" xr:uid="{00000000-0005-0000-0000-000006010000}"/>
    <cellStyle name="Normal 83" xfId="180" xr:uid="{00000000-0005-0000-0000-000007010000}"/>
    <cellStyle name="Normal 83 2" xfId="266" xr:uid="{00000000-0005-0000-0000-000008010000}"/>
    <cellStyle name="Normal 84" xfId="181" xr:uid="{00000000-0005-0000-0000-000009010000}"/>
    <cellStyle name="Normal 84 2" xfId="267" xr:uid="{00000000-0005-0000-0000-00000A010000}"/>
    <cellStyle name="Normal 85" xfId="182" xr:uid="{00000000-0005-0000-0000-00000B010000}"/>
    <cellStyle name="Normal 85 2" xfId="268" xr:uid="{00000000-0005-0000-0000-00000C010000}"/>
    <cellStyle name="Normal 86" xfId="183" xr:uid="{00000000-0005-0000-0000-00000D010000}"/>
    <cellStyle name="Normal 86 2" xfId="269" xr:uid="{00000000-0005-0000-0000-00000E010000}"/>
    <cellStyle name="Normal 87" xfId="184" xr:uid="{00000000-0005-0000-0000-00000F010000}"/>
    <cellStyle name="Normal 87 2" xfId="270" xr:uid="{00000000-0005-0000-0000-000010010000}"/>
    <cellStyle name="Normal 9" xfId="104" xr:uid="{00000000-0005-0000-0000-000011010000}"/>
    <cellStyle name="Normal 9 2" xfId="105" xr:uid="{00000000-0005-0000-0000-000012010000}"/>
    <cellStyle name="Normal 9 2 2" xfId="198" xr:uid="{00000000-0005-0000-0000-000013010000}"/>
    <cellStyle name="Note" xfId="14" builtinId="10" customBuiltin="1"/>
    <cellStyle name="Note 2" xfId="53" xr:uid="{00000000-0005-0000-0000-000015010000}"/>
    <cellStyle name="Output" xfId="12" builtinId="21" customBuiltin="1"/>
    <cellStyle name="Percent" xfId="2" builtinId="5"/>
    <cellStyle name="Percent 10" xfId="113" xr:uid="{00000000-0005-0000-0000-000018010000}"/>
    <cellStyle name="Percent 11" xfId="49" xr:uid="{00000000-0005-0000-0000-000019010000}"/>
    <cellStyle name="Percent 11 2" xfId="290" xr:uid="{00000000-0005-0000-0000-00001A010000}"/>
    <cellStyle name="Percent 2" xfId="185" xr:uid="{00000000-0005-0000-0000-00001B010000}"/>
    <cellStyle name="Percent 2 2" xfId="271" xr:uid="{00000000-0005-0000-0000-00001C010000}"/>
    <cellStyle name="Percent 3" xfId="186" xr:uid="{00000000-0005-0000-0000-00001D010000}"/>
    <cellStyle name="Percent 3 2" xfId="272" xr:uid="{00000000-0005-0000-0000-00001E010000}"/>
    <cellStyle name="Percent 3 3" xfId="283" xr:uid="{00000000-0005-0000-0000-00001F010000}"/>
    <cellStyle name="Percent 4" xfId="187" xr:uid="{00000000-0005-0000-0000-000020010000}"/>
    <cellStyle name="Percent 4 2" xfId="273" xr:uid="{00000000-0005-0000-0000-000021010000}"/>
    <cellStyle name="Percent 4 3" xfId="284" xr:uid="{00000000-0005-0000-0000-000022010000}"/>
    <cellStyle name="Percent 5" xfId="188" xr:uid="{00000000-0005-0000-0000-000023010000}"/>
    <cellStyle name="Percent 5 2" xfId="274" xr:uid="{00000000-0005-0000-0000-000024010000}"/>
    <cellStyle name="Percent 6" xfId="189" xr:uid="{00000000-0005-0000-0000-000025010000}"/>
    <cellStyle name="Percent 6 2" xfId="275" xr:uid="{00000000-0005-0000-0000-000026010000}"/>
    <cellStyle name="Percent 7" xfId="190" xr:uid="{00000000-0005-0000-0000-000027010000}"/>
    <cellStyle name="Percent 8" xfId="191" xr:uid="{00000000-0005-0000-0000-000028010000}"/>
    <cellStyle name="Percent 8 2" xfId="276" xr:uid="{00000000-0005-0000-0000-000029010000}"/>
    <cellStyle name="Percent 9" xfId="196" xr:uid="{00000000-0005-0000-0000-00002A010000}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00FF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lled%20kWh%20Budget%20Metro%20Missouri%202019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etro%20MEEIA%20Cycle%202%20Forecast%20Model%202017-2020%20102019%20actuals%201122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etro%20MEEIA%202019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etro%20Short-Term%20Borrowing%20Rate%20May%202019%20-%20October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SI%20Projects%20052019-102019%20Metr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TD%20Model%20Metro%20102019%2011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Metro%20EO%20Calculation%20PY1-PY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OA%20Adjustment%20Cycle%202%20Met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20">
          <cell r="M20">
            <v>156952287</v>
          </cell>
          <cell r="N20">
            <v>233503187</v>
          </cell>
          <cell r="O20">
            <v>262459710</v>
          </cell>
        </row>
        <row r="21">
          <cell r="M21">
            <v>330088492</v>
          </cell>
          <cell r="N21">
            <v>364323104</v>
          </cell>
          <cell r="O21">
            <v>371412362</v>
          </cell>
        </row>
        <row r="29">
          <cell r="E29">
            <v>1200789259</v>
          </cell>
        </row>
        <row r="30">
          <cell r="E30">
            <v>2109672601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Metro Monthly TD Calc"/>
      <sheetName val="Program Costs - Metro"/>
    </sheetNames>
    <sheetDataSet>
      <sheetData sheetId="0" refreshError="1"/>
      <sheetData sheetId="1" refreshError="1"/>
      <sheetData sheetId="2" refreshError="1"/>
      <sheetData sheetId="3">
        <row r="317">
          <cell r="AT317">
            <v>139647.91</v>
          </cell>
          <cell r="AU317">
            <v>180308.45</v>
          </cell>
        </row>
        <row r="318">
          <cell r="AT318">
            <v>164395.65</v>
          </cell>
          <cell r="AU318">
            <v>173763.89</v>
          </cell>
        </row>
        <row r="321">
          <cell r="BA321">
            <v>1205634.6299999999</v>
          </cell>
        </row>
        <row r="322">
          <cell r="BA322">
            <v>1292402.6800000002</v>
          </cell>
        </row>
        <row r="338">
          <cell r="AT338">
            <v>2247983.6198608307</v>
          </cell>
          <cell r="AU338">
            <v>3070205.9843533784</v>
          </cell>
        </row>
        <row r="339">
          <cell r="AT339">
            <v>4346128.6482501319</v>
          </cell>
          <cell r="AU339">
            <v>5034486.1133234836</v>
          </cell>
        </row>
        <row r="343">
          <cell r="BA343">
            <v>18450195.638451312</v>
          </cell>
        </row>
        <row r="344">
          <cell r="BA344">
            <v>34037630.162411675</v>
          </cell>
        </row>
      </sheetData>
      <sheetData sheetId="4">
        <row r="153">
          <cell r="BF153">
            <v>495028.32999999996</v>
          </cell>
          <cell r="BG153">
            <v>1299872.56</v>
          </cell>
        </row>
        <row r="154">
          <cell r="BF154">
            <v>1036009.3400000001</v>
          </cell>
          <cell r="BG154">
            <v>1467077.62</v>
          </cell>
        </row>
        <row r="155">
          <cell r="BF155">
            <v>141925.27000000005</v>
          </cell>
          <cell r="BG155">
            <v>167562.72000000003</v>
          </cell>
        </row>
        <row r="159">
          <cell r="BM159">
            <v>120394.55999999998</v>
          </cell>
        </row>
        <row r="160">
          <cell r="BM160">
            <v>163279.5</v>
          </cell>
        </row>
        <row r="161">
          <cell r="BM161">
            <v>27858.3</v>
          </cell>
        </row>
        <row r="162">
          <cell r="BM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ro Revenue Adjmt"/>
      <sheetName val="January 2019 Combined"/>
      <sheetName val="February 2019 Combined"/>
      <sheetName val="March 2019 Combined"/>
      <sheetName val="April 2019 Combined"/>
      <sheetName val="May 2019 Combined"/>
      <sheetName val="June 2019 Combined"/>
      <sheetName val="July 2019 Combined"/>
      <sheetName val="August 2019 Combined"/>
      <sheetName val="September 2019 Combined"/>
      <sheetName val="October 2019 Combined"/>
      <sheetName val="November 2019 Combined"/>
      <sheetName val="December 2019 Combined"/>
      <sheetName val="KCP&amp;L MO DSIM Rate Table"/>
      <sheetName val="DSIM Rates - Initial RP"/>
      <sheetName val="DSIM Rates - 2nd RP"/>
      <sheetName val="DSIM Rates - 3rd RP"/>
      <sheetName val="DSIM Rates - 4th RP"/>
      <sheetName val="DSIM Rates - 4th RP Cycle 2"/>
      <sheetName val="DSIM Rates 5th RP"/>
      <sheetName val="DSIM Rates 6th RP"/>
      <sheetName val="DSIM Rates 7th RP"/>
      <sheetName val="DSIM Rates 8th RP"/>
      <sheetName val="DSIM Rates 9th RP"/>
      <sheetName val="DSIM Rates 10th RP"/>
      <sheetName val="DSIM Rates 11th 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6318.8</v>
          </cell>
        </row>
        <row r="19">
          <cell r="F19">
            <v>0.15</v>
          </cell>
        </row>
        <row r="20">
          <cell r="F20">
            <v>3159.33</v>
          </cell>
        </row>
        <row r="24">
          <cell r="F24">
            <v>-9900.24</v>
          </cell>
        </row>
        <row r="25">
          <cell r="F25">
            <v>22085.280000000002</v>
          </cell>
        </row>
        <row r="34">
          <cell r="F34">
            <v>110700.98999999999</v>
          </cell>
        </row>
        <row r="35">
          <cell r="F35">
            <v>677783.76</v>
          </cell>
        </row>
        <row r="39">
          <cell r="F39">
            <v>-141529.07</v>
          </cell>
        </row>
        <row r="40">
          <cell r="F40">
            <v>-6382.7300000000005</v>
          </cell>
        </row>
        <row r="44">
          <cell r="F44">
            <v>65376.61</v>
          </cell>
        </row>
        <row r="45">
          <cell r="F45">
            <v>161379.33000000002</v>
          </cell>
        </row>
        <row r="55">
          <cell r="F55">
            <v>141611603.10630003</v>
          </cell>
        </row>
        <row r="56">
          <cell r="F56">
            <v>315314577.79310006</v>
          </cell>
        </row>
        <row r="61">
          <cell r="C61">
            <v>141611603.10630003</v>
          </cell>
        </row>
        <row r="62">
          <cell r="C62">
            <v>315314577.79310006</v>
          </cell>
        </row>
      </sheetData>
      <sheetData sheetId="6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6725.5</v>
          </cell>
        </row>
        <row r="19">
          <cell r="F19">
            <v>-0.25</v>
          </cell>
        </row>
        <row r="20">
          <cell r="F20">
            <v>3362.7999999999997</v>
          </cell>
        </row>
        <row r="24">
          <cell r="F24">
            <v>-13371.25</v>
          </cell>
        </row>
        <row r="25">
          <cell r="F25">
            <v>23503.57</v>
          </cell>
        </row>
        <row r="34">
          <cell r="F34">
            <v>149233.06</v>
          </cell>
        </row>
        <row r="35">
          <cell r="F35">
            <v>722236.11</v>
          </cell>
        </row>
        <row r="39">
          <cell r="F39">
            <v>-191007.8</v>
          </cell>
        </row>
        <row r="40">
          <cell r="F40">
            <v>-6775.24</v>
          </cell>
        </row>
        <row r="44">
          <cell r="F44">
            <v>88090.329999999987</v>
          </cell>
        </row>
        <row r="45">
          <cell r="F45">
            <v>171567.6</v>
          </cell>
        </row>
        <row r="55">
          <cell r="F55">
            <v>191066375.41019997</v>
          </cell>
        </row>
        <row r="56">
          <cell r="F56">
            <v>335591914.8994</v>
          </cell>
        </row>
        <row r="61">
          <cell r="C61">
            <v>191066375.41019997</v>
          </cell>
        </row>
        <row r="62">
          <cell r="C62">
            <v>335591914.8994</v>
          </cell>
        </row>
      </sheetData>
      <sheetData sheetId="7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7698.3</v>
          </cell>
        </row>
        <row r="19">
          <cell r="F19">
            <v>0.8</v>
          </cell>
        </row>
        <row r="20">
          <cell r="F20">
            <v>3849.15</v>
          </cell>
        </row>
        <row r="24">
          <cell r="F24">
            <v>-19184.37</v>
          </cell>
        </row>
        <row r="25">
          <cell r="F25">
            <v>26938.510000000002</v>
          </cell>
        </row>
        <row r="34">
          <cell r="F34">
            <v>214677.47</v>
          </cell>
        </row>
        <row r="35">
          <cell r="F35">
            <v>827458.19000000006</v>
          </cell>
        </row>
        <row r="39">
          <cell r="F39">
            <v>-274625.20999999996</v>
          </cell>
        </row>
        <row r="40">
          <cell r="F40">
            <v>-7705.84</v>
          </cell>
        </row>
        <row r="44">
          <cell r="F44">
            <v>126662.92</v>
          </cell>
        </row>
        <row r="45">
          <cell r="F45">
            <v>196314.18999999997</v>
          </cell>
        </row>
        <row r="55">
          <cell r="F55">
            <v>274853973.83500004</v>
          </cell>
        </row>
        <row r="56">
          <cell r="F56">
            <v>384867228.13210005</v>
          </cell>
        </row>
        <row r="61">
          <cell r="C61">
            <v>274853973.83500004</v>
          </cell>
        </row>
        <row r="62">
          <cell r="C62">
            <v>384867228.13210005</v>
          </cell>
        </row>
      </sheetData>
      <sheetData sheetId="8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-5519.3300000000008</v>
          </cell>
        </row>
        <row r="19">
          <cell r="F19">
            <v>-828.01</v>
          </cell>
        </row>
        <row r="20">
          <cell r="F20">
            <v>-9517.6900000000023</v>
          </cell>
        </row>
        <row r="24">
          <cell r="F24">
            <v>-12540.779999999999</v>
          </cell>
        </row>
        <row r="25">
          <cell r="F25">
            <v>16974.14</v>
          </cell>
        </row>
        <row r="34">
          <cell r="F34">
            <v>438425.44999999995</v>
          </cell>
        </row>
        <row r="35">
          <cell r="F35">
            <v>854846.11</v>
          </cell>
        </row>
        <row r="39">
          <cell r="F39">
            <v>-83580.509999999995</v>
          </cell>
        </row>
        <row r="40">
          <cell r="F40">
            <v>2900.4000000000015</v>
          </cell>
        </row>
        <row r="44">
          <cell r="F44">
            <v>-4342.5</v>
          </cell>
        </row>
        <row r="45">
          <cell r="F45">
            <v>-4342.51</v>
          </cell>
        </row>
        <row r="49">
          <cell r="F49">
            <v>154490.88</v>
          </cell>
        </row>
        <row r="50">
          <cell r="F50">
            <v>165246.85999999999</v>
          </cell>
        </row>
        <row r="60">
          <cell r="F60">
            <v>289178916.20470035</v>
          </cell>
        </row>
        <row r="61">
          <cell r="F61">
            <v>385816525.63920003</v>
          </cell>
        </row>
        <row r="66">
          <cell r="C66">
            <v>289178916.20470035</v>
          </cell>
        </row>
        <row r="67">
          <cell r="C67">
            <v>385816525.63920003</v>
          </cell>
        </row>
      </sheetData>
      <sheetData sheetId="9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0</v>
          </cell>
        </row>
        <row r="19">
          <cell r="F19">
            <v>0</v>
          </cell>
        </row>
        <row r="20">
          <cell r="F20">
            <v>0</v>
          </cell>
        </row>
        <row r="24">
          <cell r="F24">
            <v>-2522.31</v>
          </cell>
        </row>
        <row r="25">
          <cell r="F25">
            <v>1633.1399999999999</v>
          </cell>
        </row>
        <row r="34">
          <cell r="F34">
            <v>613345.84</v>
          </cell>
        </row>
        <row r="35">
          <cell r="F35">
            <v>955512.72000000009</v>
          </cell>
        </row>
        <row r="39">
          <cell r="F39">
            <v>143035.07999999999</v>
          </cell>
        </row>
        <row r="40">
          <cell r="F40">
            <v>-25225.43</v>
          </cell>
        </row>
        <row r="44">
          <cell r="F44">
            <v>155965.00999999998</v>
          </cell>
        </row>
        <row r="45">
          <cell r="F45">
            <v>133546.79</v>
          </cell>
        </row>
        <row r="55">
          <cell r="F55">
            <v>251510125.52000004</v>
          </cell>
        </row>
        <row r="56">
          <cell r="F56">
            <v>417726543.09179997</v>
          </cell>
        </row>
        <row r="61">
          <cell r="C61">
            <v>251510125.52000004</v>
          </cell>
        </row>
        <row r="62">
          <cell r="C62">
            <v>417726543.09179997</v>
          </cell>
        </row>
      </sheetData>
      <sheetData sheetId="10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0</v>
          </cell>
        </row>
        <row r="19">
          <cell r="F19">
            <v>0</v>
          </cell>
        </row>
        <row r="20">
          <cell r="F20">
            <v>0</v>
          </cell>
        </row>
        <row r="24">
          <cell r="F24">
            <v>-1990.07</v>
          </cell>
        </row>
        <row r="25">
          <cell r="F25">
            <v>-9.75</v>
          </cell>
        </row>
        <row r="34">
          <cell r="F34">
            <v>483512</v>
          </cell>
        </row>
        <row r="35">
          <cell r="F35">
            <v>842882.85</v>
          </cell>
        </row>
        <row r="39">
          <cell r="F39">
            <v>112841.62</v>
          </cell>
        </row>
        <row r="40">
          <cell r="F40">
            <v>-21991.64</v>
          </cell>
        </row>
        <row r="44">
          <cell r="F44">
            <v>122909.21</v>
          </cell>
        </row>
        <row r="45">
          <cell r="F45">
            <v>102545.06999999999</v>
          </cell>
        </row>
        <row r="55">
          <cell r="F55">
            <v>198213542.11300012</v>
          </cell>
        </row>
        <row r="56">
          <cell r="F56">
            <v>366459490.79399991</v>
          </cell>
        </row>
        <row r="61">
          <cell r="C61">
            <v>198213542.11300012</v>
          </cell>
        </row>
        <row r="62">
          <cell r="C62">
            <v>366459490.79399991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9"/>
      <sheetName val="June 2019"/>
      <sheetName val="July 2019"/>
      <sheetName val="Aug 2019"/>
      <sheetName val="Sept 2019"/>
      <sheetName val="Oct 2019"/>
    </sheetNames>
    <sheetDataSet>
      <sheetData sheetId="0">
        <row r="43">
          <cell r="F43">
            <v>3.0790499999999998E-3</v>
          </cell>
        </row>
      </sheetData>
      <sheetData sheetId="1">
        <row r="43">
          <cell r="F43">
            <v>3.0450199999999998E-3</v>
          </cell>
        </row>
      </sheetData>
      <sheetData sheetId="2">
        <row r="43">
          <cell r="F43">
            <v>2.9619300000000002E-3</v>
          </cell>
        </row>
      </sheetData>
      <sheetData sheetId="3">
        <row r="43">
          <cell r="F43">
            <v>2.8524499999999999E-3</v>
          </cell>
        </row>
      </sheetData>
      <sheetData sheetId="4">
        <row r="43">
          <cell r="F43">
            <v>2.7438599999999999E-3</v>
          </cell>
        </row>
      </sheetData>
      <sheetData sheetId="5">
        <row r="43">
          <cell r="F43">
            <v>2.60867E-3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52019-102019"/>
    </sheetNames>
    <sheetDataSet>
      <sheetData sheetId="0">
        <row r="26">
          <cell r="C26">
            <v>314376.19000000006</v>
          </cell>
          <cell r="D26">
            <v>810750.20000000007</v>
          </cell>
          <cell r="E26">
            <v>897022.06999999983</v>
          </cell>
          <cell r="F26">
            <v>-125930.97000000007</v>
          </cell>
          <cell r="G26">
            <v>514194.92</v>
          </cell>
          <cell r="H26">
            <v>739913.82000000007</v>
          </cell>
        </row>
        <row r="27">
          <cell r="C27">
            <v>690123.45</v>
          </cell>
          <cell r="D27">
            <v>311753.83999999997</v>
          </cell>
          <cell r="E27">
            <v>398742.61</v>
          </cell>
          <cell r="F27">
            <v>649363.11</v>
          </cell>
          <cell r="G27">
            <v>744000.62999999989</v>
          </cell>
          <cell r="H27">
            <v>523246.82999999996</v>
          </cell>
        </row>
        <row r="28">
          <cell r="C28">
            <v>60190.990000000005</v>
          </cell>
          <cell r="D28">
            <v>171495.04999999993</v>
          </cell>
          <cell r="E28">
            <v>266684.48000000004</v>
          </cell>
          <cell r="F28">
            <v>97935.900000000067</v>
          </cell>
          <cell r="G28">
            <v>152685.31999999995</v>
          </cell>
          <cell r="H28">
            <v>142319.79000000012</v>
          </cell>
        </row>
        <row r="29">
          <cell r="C29">
            <v>55576.239999999991</v>
          </cell>
          <cell r="D29">
            <v>35511.339999999997</v>
          </cell>
          <cell r="E29">
            <v>95051.58</v>
          </cell>
          <cell r="F29">
            <v>14865.35</v>
          </cell>
          <cell r="G29">
            <v>39381.14</v>
          </cell>
          <cell r="H29">
            <v>56098.51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  <sheetName val="TD EO Ex Post Gross Adj"/>
      <sheetName val="TD EO NTG Adj"/>
      <sheetName val="EO TD Carrying Costs"/>
      <sheetName val="EM&amp;V Inputs"/>
      <sheetName val="kW Actuals (Gross)"/>
    </sheetNames>
    <sheetDataSet>
      <sheetData sheetId="0" refreshError="1"/>
      <sheetData sheetId="1">
        <row r="285">
          <cell r="AN285">
            <v>1905075.120396107</v>
          </cell>
          <cell r="AO285">
            <v>2344550.5987205859</v>
          </cell>
          <cell r="AP285">
            <v>3114470.6319201724</v>
          </cell>
          <cell r="AQ285">
            <v>3439521.9753904017</v>
          </cell>
          <cell r="AR285">
            <v>3297099.524945932</v>
          </cell>
          <cell r="AS285">
            <v>3534138.4194082278</v>
          </cell>
        </row>
        <row r="286">
          <cell r="AN286">
            <v>3556084.3845155714</v>
          </cell>
          <cell r="AO286">
            <v>3632905.5034914077</v>
          </cell>
          <cell r="AP286">
            <v>3797043.102911015</v>
          </cell>
          <cell r="AQ286">
            <v>4002247.7226888952</v>
          </cell>
          <cell r="AR286">
            <v>3844357.4120946513</v>
          </cell>
          <cell r="AS286">
            <v>4225710.795167882</v>
          </cell>
        </row>
        <row r="318">
          <cell r="AN318">
            <v>118374.82</v>
          </cell>
          <cell r="AO318">
            <v>220770.4</v>
          </cell>
          <cell r="AP318">
            <v>302603.44</v>
          </cell>
          <cell r="AQ318">
            <v>333733.05</v>
          </cell>
          <cell r="AR318">
            <v>312883.67</v>
          </cell>
          <cell r="AS318">
            <v>203322.69</v>
          </cell>
        </row>
        <row r="319">
          <cell r="AN319">
            <v>137434.47</v>
          </cell>
          <cell r="AO319">
            <v>184106.81</v>
          </cell>
          <cell r="AP319">
            <v>186490.64</v>
          </cell>
          <cell r="AQ319">
            <v>201473.35</v>
          </cell>
          <cell r="AR319">
            <v>193563.74</v>
          </cell>
          <cell r="AS319">
            <v>152023.01999999999</v>
          </cell>
        </row>
      </sheetData>
      <sheetData sheetId="2">
        <row r="363">
          <cell r="DD363">
            <v>-1041427.6034010575</v>
          </cell>
        </row>
        <row r="364">
          <cell r="DD364">
            <v>-37272.289999999964</v>
          </cell>
        </row>
        <row r="365">
          <cell r="DD365">
            <v>122147.32999999997</v>
          </cell>
        </row>
        <row r="366">
          <cell r="DD366">
            <v>169641.44</v>
          </cell>
        </row>
        <row r="367">
          <cell r="DD367">
            <v>34067.5</v>
          </cell>
        </row>
      </sheetData>
      <sheetData sheetId="3">
        <row r="370">
          <cell r="DD370">
            <v>537465.77340105735</v>
          </cell>
        </row>
        <row r="371">
          <cell r="DD371">
            <v>101225.01999999996</v>
          </cell>
        </row>
        <row r="372">
          <cell r="DD372">
            <v>340699.47000000009</v>
          </cell>
        </row>
        <row r="373">
          <cell r="DD373">
            <v>191871.41999999998</v>
          </cell>
        </row>
        <row r="374">
          <cell r="DD374">
            <v>28892.499999999993</v>
          </cell>
        </row>
      </sheetData>
      <sheetData sheetId="4">
        <row r="48">
          <cell r="AN48">
            <v>11386.110000000004</v>
          </cell>
        </row>
        <row r="49">
          <cell r="AN49">
            <v>4637.5600000000004</v>
          </cell>
        </row>
        <row r="50">
          <cell r="AN50">
            <v>19663.030000000002</v>
          </cell>
        </row>
        <row r="51">
          <cell r="AN51">
            <v>15454.890000000001</v>
          </cell>
        </row>
        <row r="52">
          <cell r="AN52">
            <v>1656.59</v>
          </cell>
        </row>
      </sheetData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 Matrix @Meter"/>
      <sheetName val="PY1-PY3 Final EM&amp;V"/>
    </sheetNames>
    <sheetDataSet>
      <sheetData sheetId="0">
        <row r="18">
          <cell r="S18">
            <v>3528190.0700000003</v>
          </cell>
          <cell r="T18">
            <v>4826270.37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A"/>
    </sheetNames>
    <sheetDataSet>
      <sheetData sheetId="0">
        <row r="8">
          <cell r="D8">
            <v>-4342.5</v>
          </cell>
        </row>
        <row r="9">
          <cell r="D9">
            <v>-4342.51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"/>
  <sheetViews>
    <sheetView workbookViewId="0">
      <pane xSplit="2" ySplit="3" topLeftCell="M4" activePane="bottomRight" state="frozen"/>
      <selection pane="topRight" activeCell="C1" sqref="C1"/>
      <selection pane="bottomLeft" activeCell="A4" sqref="A4"/>
      <selection pane="bottomRight" activeCell="O1" sqref="O1:W1048576"/>
    </sheetView>
  </sheetViews>
  <sheetFormatPr defaultRowHeight="15" x14ac:dyDescent="0.25"/>
  <cols>
    <col min="2" max="2" width="18.7109375" customWidth="1"/>
    <col min="3" max="3" width="16" bestFit="1" customWidth="1"/>
    <col min="4" max="4" width="15.5703125" customWidth="1"/>
    <col min="5" max="5" width="14.85546875" bestFit="1" customWidth="1"/>
    <col min="6" max="6" width="11.28515625" bestFit="1" customWidth="1"/>
    <col min="7" max="7" width="18.42578125" bestFit="1" customWidth="1"/>
    <col min="8" max="8" width="13.42578125" customWidth="1"/>
    <col min="9" max="9" width="3.5703125" customWidth="1"/>
    <col min="10" max="10" width="13.7109375" bestFit="1" customWidth="1"/>
    <col min="11" max="11" width="12.42578125" bestFit="1" customWidth="1"/>
    <col min="12" max="13" width="13.7109375" bestFit="1" customWidth="1"/>
  </cols>
  <sheetData>
    <row r="1" spans="1:13" x14ac:dyDescent="0.25">
      <c r="A1" s="3" t="str">
        <f>+PPC!A1</f>
        <v>Evergy Metro, Inc. - DSIM Rider Update Filed 12/02/2019</v>
      </c>
    </row>
    <row r="2" spans="1:13" ht="15.75" thickBot="1" x14ac:dyDescent="0.3">
      <c r="H2" s="62"/>
      <c r="I2" s="62"/>
      <c r="J2" s="64"/>
      <c r="K2" s="64"/>
    </row>
    <row r="3" spans="1:13" ht="27.75" thickBot="1" x14ac:dyDescent="0.3">
      <c r="B3" s="109" t="s">
        <v>8</v>
      </c>
      <c r="C3" s="153" t="s">
        <v>22</v>
      </c>
      <c r="D3" s="153" t="s">
        <v>23</v>
      </c>
      <c r="E3" s="153" t="s">
        <v>76</v>
      </c>
      <c r="F3" s="153" t="s">
        <v>24</v>
      </c>
      <c r="G3" s="153" t="s">
        <v>47</v>
      </c>
      <c r="H3" s="111" t="s">
        <v>33</v>
      </c>
      <c r="I3" s="53"/>
      <c r="J3" s="110" t="s">
        <v>15</v>
      </c>
      <c r="K3" s="111" t="s">
        <v>75</v>
      </c>
      <c r="L3" s="111" t="s">
        <v>97</v>
      </c>
      <c r="M3" s="111" t="s">
        <v>98</v>
      </c>
    </row>
    <row r="4" spans="1:13" ht="15.75" thickBot="1" x14ac:dyDescent="0.3">
      <c r="B4" s="112" t="s">
        <v>29</v>
      </c>
      <c r="C4" s="151">
        <f t="shared" ref="C4:F5" si="0">C10+C16</f>
        <v>1918459.075</v>
      </c>
      <c r="D4" s="152">
        <f t="shared" si="0"/>
        <v>1955508.0459199992</v>
      </c>
      <c r="E4" s="152">
        <f t="shared" si="0"/>
        <v>764098.88473999989</v>
      </c>
      <c r="F4" s="152">
        <f t="shared" si="0"/>
        <v>0</v>
      </c>
      <c r="G4" s="155">
        <f>PPC!B5</f>
        <v>1200789259</v>
      </c>
      <c r="H4" s="156">
        <f>ROUND(SUM(C4:F4)/G4,5)</f>
        <v>3.8600000000000001E-3</v>
      </c>
      <c r="I4" s="157"/>
      <c r="J4" s="225">
        <f>ROUND((C10+C16)/G4,5)</f>
        <v>1.6000000000000001E-3</v>
      </c>
      <c r="K4" s="265">
        <f>ROUND((D10+D16)/G4,5)-0.00001</f>
        <v>1.6199999999999999E-3</v>
      </c>
      <c r="L4" s="158">
        <f>ROUND((E10+E16)/G4,5)</f>
        <v>6.4000000000000005E-4</v>
      </c>
      <c r="M4" s="158">
        <f>ROUND((F10+F16)/G4,5)</f>
        <v>0</v>
      </c>
    </row>
    <row r="5" spans="1:13" ht="15.75" thickBot="1" x14ac:dyDescent="0.3">
      <c r="B5" s="112" t="s">
        <v>30</v>
      </c>
      <c r="C5" s="151">
        <f t="shared" si="0"/>
        <v>29045.052119999687</v>
      </c>
      <c r="D5" s="152">
        <f t="shared" si="0"/>
        <v>1051187.0470399996</v>
      </c>
      <c r="E5" s="152">
        <f t="shared" si="0"/>
        <v>1438651.3599999996</v>
      </c>
      <c r="F5" s="152">
        <f t="shared" si="0"/>
        <v>0</v>
      </c>
      <c r="G5" s="155">
        <f>PPC!B6</f>
        <v>2109672601</v>
      </c>
      <c r="H5" s="156">
        <f>ROUND(SUM(C5:F5)/G5,5)</f>
        <v>1.1900000000000001E-3</v>
      </c>
      <c r="I5" s="157"/>
      <c r="J5" s="226">
        <f>ROUND((C11+C17)/G5,5)</f>
        <v>1.0000000000000001E-5</v>
      </c>
      <c r="K5" s="158">
        <f>ROUND((D11+D17)/G5,5)</f>
        <v>5.0000000000000001E-4</v>
      </c>
      <c r="L5" s="158">
        <f>ROUND((E11+E17)/G5,5)</f>
        <v>6.8000000000000005E-4</v>
      </c>
      <c r="M5" s="158">
        <f>ROUND((F11+F17)/G5,5)</f>
        <v>0</v>
      </c>
    </row>
    <row r="6" spans="1:13" x14ac:dyDescent="0.25">
      <c r="C6" s="150"/>
      <c r="D6" s="150"/>
      <c r="E6" s="150"/>
      <c r="F6" s="150"/>
      <c r="G6" s="149"/>
    </row>
    <row r="7" spans="1:13" x14ac:dyDescent="0.25">
      <c r="C7" s="150"/>
      <c r="D7" s="150"/>
      <c r="E7" s="150"/>
      <c r="F7" s="150"/>
      <c r="G7" s="149"/>
    </row>
    <row r="8" spans="1:13" ht="15.75" thickBot="1" x14ac:dyDescent="0.3">
      <c r="C8" s="150"/>
      <c r="D8" s="150"/>
      <c r="E8" s="150"/>
      <c r="F8" s="150"/>
      <c r="G8" s="149"/>
    </row>
    <row r="9" spans="1:13" ht="15.75" thickBot="1" x14ac:dyDescent="0.3">
      <c r="B9" s="109" t="s">
        <v>8</v>
      </c>
      <c r="C9" s="154" t="s">
        <v>7</v>
      </c>
      <c r="D9" s="154" t="s">
        <v>19</v>
      </c>
      <c r="E9" s="154" t="s">
        <v>77</v>
      </c>
      <c r="F9" s="154" t="s">
        <v>20</v>
      </c>
      <c r="G9" s="149"/>
      <c r="J9" s="17"/>
      <c r="K9" s="17"/>
    </row>
    <row r="10" spans="1:13" ht="15.75" thickBot="1" x14ac:dyDescent="0.3">
      <c r="B10" s="112" t="s">
        <v>29</v>
      </c>
      <c r="C10" s="152">
        <f>PPC!C5</f>
        <v>134323.71</v>
      </c>
      <c r="D10" s="152">
        <f>PTD!C6</f>
        <v>1205634.6299999999</v>
      </c>
      <c r="E10" s="152">
        <f>+EO!G8</f>
        <v>758903.59</v>
      </c>
      <c r="F10" s="151">
        <f>+OA!D8</f>
        <v>0</v>
      </c>
      <c r="G10" s="149"/>
      <c r="J10" s="182"/>
      <c r="K10" s="17"/>
    </row>
    <row r="11" spans="1:13" ht="15.75" thickBot="1" x14ac:dyDescent="0.3">
      <c r="B11" s="112" t="s">
        <v>30</v>
      </c>
      <c r="C11" s="152">
        <f>PPC!C6</f>
        <v>177208.65</v>
      </c>
      <c r="D11" s="152">
        <f>PTD!C7</f>
        <v>1292402.68</v>
      </c>
      <c r="E11" s="152">
        <f>+EO!G9</f>
        <v>1454738.71</v>
      </c>
      <c r="F11" s="151">
        <f>+OA!D9</f>
        <v>0</v>
      </c>
      <c r="G11" s="149"/>
      <c r="J11" s="182"/>
      <c r="K11" s="17"/>
    </row>
    <row r="12" spans="1:13" x14ac:dyDescent="0.25">
      <c r="C12" s="150"/>
      <c r="D12" s="150"/>
      <c r="E12" s="150"/>
      <c r="F12" s="150"/>
      <c r="G12" s="149"/>
      <c r="J12" s="17"/>
      <c r="K12" s="17"/>
    </row>
    <row r="13" spans="1:13" x14ac:dyDescent="0.25">
      <c r="C13" s="150"/>
      <c r="D13" s="150"/>
      <c r="E13" s="150"/>
      <c r="F13" s="150"/>
      <c r="G13" s="149"/>
      <c r="J13" s="17"/>
      <c r="K13" s="17"/>
    </row>
    <row r="14" spans="1:13" ht="15.75" thickBot="1" x14ac:dyDescent="0.3">
      <c r="C14" s="150"/>
      <c r="D14" s="150"/>
      <c r="E14" s="150"/>
      <c r="F14" s="150"/>
      <c r="G14" s="149"/>
      <c r="J14" s="17"/>
      <c r="K14" s="17"/>
    </row>
    <row r="15" spans="1:13" ht="15.75" thickBot="1" x14ac:dyDescent="0.3">
      <c r="B15" s="109" t="s">
        <v>8</v>
      </c>
      <c r="C15" s="154" t="s">
        <v>4</v>
      </c>
      <c r="D15" s="154" t="s">
        <v>10</v>
      </c>
      <c r="E15" s="154" t="s">
        <v>78</v>
      </c>
      <c r="F15" s="154" t="s">
        <v>21</v>
      </c>
      <c r="G15" s="149"/>
    </row>
    <row r="16" spans="1:13" ht="15.75" thickBot="1" x14ac:dyDescent="0.3">
      <c r="B16" s="112" t="s">
        <v>29</v>
      </c>
      <c r="C16" s="152">
        <f>+'PCR Cycle 1'!J4+'PCR Cycle 2'!J4</f>
        <v>1784135.365</v>
      </c>
      <c r="D16" s="152">
        <f>+'TDR Cycle 1'!J4+'TDR Cycle 2'!K4</f>
        <v>749873.41591999936</v>
      </c>
      <c r="E16" s="152">
        <f>+EOR!I4</f>
        <v>5195.2947399999721</v>
      </c>
      <c r="F16" s="151">
        <f>+OAR!I4</f>
        <v>0</v>
      </c>
      <c r="G16" s="149"/>
    </row>
    <row r="17" spans="2:7" ht="15.75" thickBot="1" x14ac:dyDescent="0.3">
      <c r="B17" s="112" t="s">
        <v>30</v>
      </c>
      <c r="C17" s="152">
        <f>+'PCR Cycle 1'!J5+'PCR Cycle 2'!J5</f>
        <v>-148163.59788000031</v>
      </c>
      <c r="D17" s="152">
        <f>+'TDR Cycle 1'!J5+'TDR Cycle 2'!K5</f>
        <v>-241215.63296000019</v>
      </c>
      <c r="E17" s="152">
        <f>+EOR!I5</f>
        <v>-16087.350000000219</v>
      </c>
      <c r="F17" s="151">
        <f>+OAR!I5</f>
        <v>0</v>
      </c>
      <c r="G17" s="149"/>
    </row>
    <row r="19" spans="2:7" x14ac:dyDescent="0.25">
      <c r="B19" s="116" t="s">
        <v>48</v>
      </c>
    </row>
    <row r="20" spans="2:7" x14ac:dyDescent="0.25">
      <c r="B20" s="117" t="s">
        <v>49</v>
      </c>
    </row>
    <row r="21" spans="2:7" x14ac:dyDescent="0.25">
      <c r="B21" s="117" t="s">
        <v>59</v>
      </c>
    </row>
    <row r="22" spans="2:7" x14ac:dyDescent="0.25">
      <c r="B22" s="117" t="s">
        <v>50</v>
      </c>
    </row>
    <row r="23" spans="2:7" x14ac:dyDescent="0.25">
      <c r="B23" s="117" t="s">
        <v>51</v>
      </c>
    </row>
    <row r="24" spans="2:7" x14ac:dyDescent="0.25">
      <c r="B24" s="117" t="s">
        <v>52</v>
      </c>
    </row>
    <row r="25" spans="2:7" x14ac:dyDescent="0.25">
      <c r="B25" s="117" t="s">
        <v>53</v>
      </c>
    </row>
    <row r="26" spans="2:7" x14ac:dyDescent="0.25">
      <c r="B26" s="117" t="s">
        <v>64</v>
      </c>
    </row>
    <row r="27" spans="2:7" x14ac:dyDescent="0.25">
      <c r="B27" s="117" t="s">
        <v>54</v>
      </c>
    </row>
    <row r="28" spans="2:7" x14ac:dyDescent="0.25">
      <c r="B28" s="117" t="s">
        <v>72</v>
      </c>
    </row>
    <row r="29" spans="2:7" x14ac:dyDescent="0.25">
      <c r="B29" s="117" t="s">
        <v>74</v>
      </c>
    </row>
    <row r="30" spans="2:7" x14ac:dyDescent="0.25">
      <c r="B30" s="117" t="s">
        <v>73</v>
      </c>
    </row>
    <row r="31" spans="2:7" x14ac:dyDescent="0.25">
      <c r="B31" s="117" t="s">
        <v>55</v>
      </c>
    </row>
    <row r="32" spans="2:7" x14ac:dyDescent="0.25">
      <c r="B32" s="117" t="s">
        <v>56</v>
      </c>
    </row>
    <row r="33" spans="2:2" x14ac:dyDescent="0.25">
      <c r="B33" s="117" t="s">
        <v>57</v>
      </c>
    </row>
    <row r="34" spans="2:2" x14ac:dyDescent="0.25">
      <c r="B34" s="117" t="s">
        <v>58</v>
      </c>
    </row>
  </sheetData>
  <pageMargins left="0.2" right="0.2" top="0.75" bottom="0.25" header="0.3" footer="0.3"/>
  <pageSetup scale="43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32"/>
  <sheetViews>
    <sheetView topLeftCell="A7" workbookViewId="0">
      <selection activeCell="F18" sqref="F18"/>
    </sheetView>
  </sheetViews>
  <sheetFormatPr defaultRowHeight="15" x14ac:dyDescent="0.25"/>
  <cols>
    <col min="1" max="1" width="43.140625" style="62" customWidth="1"/>
    <col min="2" max="2" width="14.28515625" style="62" bestFit="1" customWidth="1"/>
    <col min="3" max="3" width="14.28515625" style="62" customWidth="1"/>
    <col min="4" max="4" width="13.28515625" style="62" bestFit="1" customWidth="1"/>
    <col min="5" max="16384" width="9.140625" style="62"/>
  </cols>
  <sheetData>
    <row r="1" spans="1:8" x14ac:dyDescent="0.25">
      <c r="A1" s="79" t="str">
        <f>+PPC!A1</f>
        <v>Evergy Metro, Inc. - DSIM Rider Update Filed 12/02/2019</v>
      </c>
      <c r="H1" s="62" t="s">
        <v>111</v>
      </c>
    </row>
    <row r="2" spans="1:8" x14ac:dyDescent="0.25">
      <c r="A2" s="9" t="str">
        <f>+PPC!A2</f>
        <v>Projections for Cycle 2 January 2020 - June 2020 DSIM</v>
      </c>
    </row>
    <row r="3" spans="1:8" ht="45.75" customHeight="1" x14ac:dyDescent="0.25">
      <c r="B3" s="266" t="s">
        <v>121</v>
      </c>
      <c r="C3" s="266"/>
      <c r="D3" s="266"/>
    </row>
    <row r="4" spans="1:8" x14ac:dyDescent="0.25">
      <c r="B4" s="86"/>
      <c r="C4" s="86"/>
      <c r="D4" s="64" t="s">
        <v>20</v>
      </c>
    </row>
    <row r="5" spans="1:8" x14ac:dyDescent="0.25">
      <c r="A5" s="22" t="s">
        <v>99</v>
      </c>
      <c r="B5" s="86"/>
      <c r="C5" s="86"/>
      <c r="D5" s="219">
        <f>+D22</f>
        <v>0</v>
      </c>
    </row>
    <row r="6" spans="1:8" x14ac:dyDescent="0.25">
      <c r="A6" s="22" t="s">
        <v>100</v>
      </c>
      <c r="B6" s="86"/>
      <c r="C6" s="86"/>
      <c r="D6" s="219">
        <f>+D32</f>
        <v>0</v>
      </c>
    </row>
    <row r="7" spans="1:8" ht="30" x14ac:dyDescent="0.25">
      <c r="A7" s="22"/>
      <c r="B7" s="86"/>
      <c r="C7" s="86" t="s">
        <v>115</v>
      </c>
      <c r="D7" s="180"/>
    </row>
    <row r="8" spans="1:8" x14ac:dyDescent="0.25">
      <c r="A8" s="22" t="s">
        <v>29</v>
      </c>
      <c r="B8" s="86"/>
      <c r="C8" s="218">
        <v>0.5</v>
      </c>
      <c r="D8" s="251">
        <f>ROUND(SUM(D5:D6)*C8,2)</f>
        <v>0</v>
      </c>
      <c r="E8" s="4"/>
    </row>
    <row r="9" spans="1:8" x14ac:dyDescent="0.25">
      <c r="A9" s="22" t="s">
        <v>30</v>
      </c>
      <c r="B9" s="86"/>
      <c r="C9" s="218">
        <v>0.5</v>
      </c>
      <c r="D9" s="251">
        <f>ROUND(SUM(D5:D6)*C9,2)</f>
        <v>0</v>
      </c>
      <c r="E9" s="4"/>
    </row>
    <row r="10" spans="1:8" ht="15.75" thickBot="1" x14ac:dyDescent="0.3">
      <c r="A10" s="22" t="s">
        <v>6</v>
      </c>
      <c r="B10" s="86"/>
      <c r="C10" s="218">
        <f>SUM(C8:C9)</f>
        <v>1</v>
      </c>
      <c r="D10" s="252">
        <f>SUM(D8:D9)</f>
        <v>0</v>
      </c>
      <c r="E10" s="4"/>
    </row>
    <row r="11" spans="1:8" ht="16.5" thickTop="1" thickBot="1" x14ac:dyDescent="0.3">
      <c r="B11" s="33"/>
      <c r="C11" s="33"/>
      <c r="D11" s="253">
        <f>ROUND(D5+D6,2)-D10</f>
        <v>0</v>
      </c>
      <c r="E11" s="2"/>
    </row>
    <row r="12" spans="1:8" ht="15.75" thickTop="1" x14ac:dyDescent="0.25">
      <c r="E12" s="4"/>
    </row>
    <row r="13" spans="1:8" x14ac:dyDescent="0.25">
      <c r="E13" s="4"/>
    </row>
    <row r="17" spans="1:4" x14ac:dyDescent="0.25">
      <c r="A17" s="69" t="s">
        <v>13</v>
      </c>
    </row>
    <row r="18" spans="1:4" s="53" customFormat="1" x14ac:dyDescent="0.25">
      <c r="A18" s="3" t="s">
        <v>126</v>
      </c>
      <c r="B18" s="62"/>
      <c r="C18" s="62"/>
      <c r="D18" s="62"/>
    </row>
    <row r="19" spans="1:4" s="53" customFormat="1" x14ac:dyDescent="0.25">
      <c r="A19" s="3" t="s">
        <v>116</v>
      </c>
      <c r="B19" s="62"/>
      <c r="C19" s="62"/>
      <c r="D19" s="62"/>
    </row>
    <row r="20" spans="1:4" s="53" customFormat="1" x14ac:dyDescent="0.25">
      <c r="A20" s="3" t="s">
        <v>127</v>
      </c>
      <c r="B20" s="62"/>
      <c r="C20" s="62"/>
      <c r="D20" s="62"/>
    </row>
    <row r="22" spans="1:4" x14ac:dyDescent="0.25">
      <c r="A22" s="3" t="s">
        <v>125</v>
      </c>
      <c r="D22" s="221">
        <v>0</v>
      </c>
    </row>
    <row r="23" spans="1:4" x14ac:dyDescent="0.25">
      <c r="D23" s="221"/>
    </row>
    <row r="24" spans="1:4" ht="45" x14ac:dyDescent="0.25">
      <c r="B24" s="86" t="s">
        <v>117</v>
      </c>
      <c r="D24" s="221"/>
    </row>
    <row r="25" spans="1:4" x14ac:dyDescent="0.25">
      <c r="A25" s="248"/>
      <c r="B25" s="249"/>
      <c r="D25" s="221">
        <f>ROUND(SUM(D$22:D24)*B25,2)</f>
        <v>0</v>
      </c>
    </row>
    <row r="26" spans="1:4" x14ac:dyDescent="0.25">
      <c r="A26" s="248"/>
      <c r="B26" s="249"/>
      <c r="D26" s="221">
        <f>ROUND(SUM(D$22:D25)*B26,2)</f>
        <v>0</v>
      </c>
    </row>
    <row r="27" spans="1:4" x14ac:dyDescent="0.25">
      <c r="A27" s="248"/>
      <c r="B27" s="249"/>
      <c r="D27" s="221">
        <f>ROUND(SUM(D$22:D26)*B27,2)</f>
        <v>0</v>
      </c>
    </row>
    <row r="28" spans="1:4" x14ac:dyDescent="0.25">
      <c r="A28" s="248"/>
      <c r="B28" s="249"/>
      <c r="D28" s="221">
        <f>ROUND(SUM(D$22:D27)*B28,2)</f>
        <v>0</v>
      </c>
    </row>
    <row r="29" spans="1:4" x14ac:dyDescent="0.25">
      <c r="A29" s="248"/>
      <c r="B29" s="222"/>
      <c r="D29" s="221">
        <f>ROUND(SUM(D$22:D28)*B29,2)</f>
        <v>0</v>
      </c>
    </row>
    <row r="30" spans="1:4" x14ac:dyDescent="0.25">
      <c r="A30" s="248"/>
      <c r="B30" s="222"/>
      <c r="D30" s="221">
        <f>ROUND(SUM(D$22:D29)*B30,2)</f>
        <v>0</v>
      </c>
    </row>
    <row r="31" spans="1:4" ht="17.25" x14ac:dyDescent="0.4">
      <c r="A31" s="248"/>
      <c r="B31" s="222"/>
      <c r="D31" s="250">
        <f>ROUND(SUM(D$22:D30)*B31,2)</f>
        <v>0</v>
      </c>
    </row>
    <row r="32" spans="1:4" x14ac:dyDescent="0.25">
      <c r="A32" s="248"/>
      <c r="D32" s="221">
        <f>SUM(D25:D31)</f>
        <v>0</v>
      </c>
    </row>
  </sheetData>
  <mergeCells count="1">
    <mergeCell ref="B3:D3"/>
  </mergeCells>
  <pageMargins left="0.2" right="0.2" top="0.75" bottom="0.25" header="0.3" footer="0.3"/>
  <pageSetup scale="99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I50"/>
  <sheetViews>
    <sheetView tabSelected="1" topLeftCell="C1" workbookViewId="0">
      <selection activeCell="A9" sqref="A9"/>
    </sheetView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7.85546875" style="62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+PPC!A1</f>
        <v>Evergy Metro, Inc. - DSIM Rider Update Filed 12/02/2019</v>
      </c>
      <c r="B1" s="3"/>
      <c r="C1" s="3"/>
    </row>
    <row r="2" spans="1:35" x14ac:dyDescent="0.25">
      <c r="D2" s="3" t="s">
        <v>120</v>
      </c>
    </row>
    <row r="3" spans="1:35" ht="30" x14ac:dyDescent="0.25">
      <c r="D3" s="64" t="s">
        <v>62</v>
      </c>
      <c r="E3" s="86" t="s">
        <v>20</v>
      </c>
      <c r="F3" s="64" t="s">
        <v>3</v>
      </c>
      <c r="G3" s="86" t="s">
        <v>71</v>
      </c>
      <c r="H3" s="64" t="s">
        <v>11</v>
      </c>
      <c r="I3" s="64" t="s">
        <v>21</v>
      </c>
      <c r="S3" s="64"/>
    </row>
    <row r="4" spans="1:35" x14ac:dyDescent="0.25">
      <c r="A4" s="22" t="s">
        <v>29</v>
      </c>
      <c r="B4" s="22"/>
      <c r="C4" s="22"/>
      <c r="D4" s="24">
        <f>SUM(C15:L15)</f>
        <v>-4342.5</v>
      </c>
      <c r="E4" s="24">
        <f>SUM(C19:K19)</f>
        <v>-4342.5</v>
      </c>
      <c r="F4" s="24">
        <f>E4-D4</f>
        <v>0</v>
      </c>
      <c r="G4" s="24">
        <f>+B29</f>
        <v>0</v>
      </c>
      <c r="H4" s="24">
        <f>SUM(C34:K34)</f>
        <v>0</v>
      </c>
      <c r="I4" s="36">
        <f>SUM(F4:H4)</f>
        <v>0</v>
      </c>
      <c r="J4" s="63">
        <f>+I4-L29</f>
        <v>0</v>
      </c>
      <c r="M4" s="63"/>
    </row>
    <row r="5" spans="1:35" ht="15.75" thickBot="1" x14ac:dyDescent="0.3">
      <c r="A5" s="22" t="s">
        <v>30</v>
      </c>
      <c r="B5" s="22"/>
      <c r="C5" s="22"/>
      <c r="D5" s="24">
        <f>SUM(C16:L16)</f>
        <v>-4342.51</v>
      </c>
      <c r="E5" s="24">
        <f>SUM(C20:K20)</f>
        <v>-4342.51</v>
      </c>
      <c r="F5" s="24">
        <f>E5-D5</f>
        <v>0</v>
      </c>
      <c r="G5" s="24">
        <f>+B30</f>
        <v>0</v>
      </c>
      <c r="H5" s="24">
        <f>SUM(C35:K35)</f>
        <v>0</v>
      </c>
      <c r="I5" s="36">
        <f>SUM(F5:H5)</f>
        <v>0</v>
      </c>
      <c r="J5" s="63">
        <f>+I5-L30</f>
        <v>0</v>
      </c>
      <c r="M5" s="63"/>
    </row>
    <row r="6" spans="1:35" ht="16.5" thickTop="1" thickBot="1" x14ac:dyDescent="0.3">
      <c r="D6" s="40">
        <f t="shared" ref="D6" si="0">SUM(D4:D5)</f>
        <v>-8685.01</v>
      </c>
      <c r="E6" s="40">
        <f>SUM(E4:E5)</f>
        <v>-8685.01</v>
      </c>
      <c r="F6" s="40">
        <f>SUM(F4:F5)</f>
        <v>0</v>
      </c>
      <c r="G6" s="40">
        <f>SUM(G4:G5)</f>
        <v>0</v>
      </c>
      <c r="H6" s="40">
        <f>SUM(H4:H5)</f>
        <v>0</v>
      </c>
      <c r="I6" s="40">
        <f>SUM(I4:I5)</f>
        <v>0</v>
      </c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1" t="str">
        <f>+'PCR Cycle 1'!B8</f>
        <v>Cumulative Over/Under Carryover From 06/01/2019 Filing</v>
      </c>
      <c r="C10" s="179" t="str">
        <f>+'PCR Cycle 1'!C8</f>
        <v>Reverse May-19 - October-19  Forecast From 06/01/2019 Filing</v>
      </c>
      <c r="D10" s="272" t="s">
        <v>39</v>
      </c>
      <c r="E10" s="272"/>
      <c r="F10" s="273"/>
      <c r="G10" s="278" t="s">
        <v>39</v>
      </c>
      <c r="H10" s="279"/>
      <c r="I10" s="280"/>
      <c r="J10" s="274" t="s">
        <v>9</v>
      </c>
      <c r="K10" s="275"/>
      <c r="L10" s="276"/>
    </row>
    <row r="11" spans="1:35" x14ac:dyDescent="0.25">
      <c r="A11" s="62" t="s">
        <v>107</v>
      </c>
      <c r="C11" s="128"/>
      <c r="D11" s="20">
        <f>+'PCR Cycle 1'!D9</f>
        <v>43616</v>
      </c>
      <c r="E11" s="20">
        <f t="shared" ref="E11:L11" si="1">EOMONTH(D11,1)</f>
        <v>43646</v>
      </c>
      <c r="F11" s="20">
        <f t="shared" si="1"/>
        <v>43677</v>
      </c>
      <c r="G11" s="14">
        <f t="shared" si="1"/>
        <v>43708</v>
      </c>
      <c r="H11" s="20">
        <f t="shared" si="1"/>
        <v>43738</v>
      </c>
      <c r="I11" s="15">
        <f t="shared" si="1"/>
        <v>43769</v>
      </c>
      <c r="J11" s="20">
        <f t="shared" si="1"/>
        <v>43799</v>
      </c>
      <c r="K11" s="20">
        <f t="shared" si="1"/>
        <v>43830</v>
      </c>
      <c r="L11" s="15">
        <f t="shared" si="1"/>
        <v>43861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2" t="s">
        <v>6</v>
      </c>
      <c r="C12" s="120">
        <v>0</v>
      </c>
      <c r="D12" s="132">
        <f>SUM(D19:D20)</f>
        <v>0</v>
      </c>
      <c r="E12" s="132">
        <f t="shared" ref="E12:H12" si="2">SUM(E19:E20)</f>
        <v>0</v>
      </c>
      <c r="F12" s="133">
        <f t="shared" si="2"/>
        <v>0</v>
      </c>
      <c r="G12" s="16">
        <f t="shared" si="2"/>
        <v>-8685.01</v>
      </c>
      <c r="H12" s="71">
        <f t="shared" si="2"/>
        <v>0</v>
      </c>
      <c r="I12" s="193">
        <f>+I19+I20</f>
        <v>0</v>
      </c>
      <c r="J12" s="186">
        <f t="shared" ref="J12:K12" si="3">+J19+J20</f>
        <v>0</v>
      </c>
      <c r="K12" s="97">
        <f t="shared" si="3"/>
        <v>0</v>
      </c>
      <c r="L12" s="98"/>
    </row>
    <row r="13" spans="1:35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5" x14ac:dyDescent="0.25">
      <c r="A14" s="62" t="s">
        <v>106</v>
      </c>
      <c r="C14" s="122"/>
      <c r="D14" s="18"/>
      <c r="E14" s="18"/>
      <c r="F14" s="18"/>
      <c r="G14" s="114"/>
      <c r="H14" s="18"/>
      <c r="I14" s="194"/>
      <c r="J14" s="44"/>
      <c r="K14" s="44"/>
      <c r="L14" s="42"/>
      <c r="M14" s="3" t="s">
        <v>93</v>
      </c>
      <c r="N14" s="53"/>
    </row>
    <row r="15" spans="1:35" x14ac:dyDescent="0.25">
      <c r="A15" s="62" t="s">
        <v>29</v>
      </c>
      <c r="C15" s="120">
        <v>0</v>
      </c>
      <c r="D15" s="159">
        <v>0</v>
      </c>
      <c r="E15" s="159">
        <v>0</v>
      </c>
      <c r="F15" s="216">
        <v>0</v>
      </c>
      <c r="G15" s="16">
        <f>ROUND('[3]August 2019 Combined'!$F$44,2)</f>
        <v>-4342.5</v>
      </c>
      <c r="H15" s="144">
        <v>0</v>
      </c>
      <c r="I15" s="195">
        <v>0</v>
      </c>
      <c r="J15" s="146">
        <f>'PCR Cycle 1'!J21*$M15</f>
        <v>0</v>
      </c>
      <c r="K15" s="55">
        <f>'PCR Cycle 1'!K21*$M15</f>
        <v>0</v>
      </c>
      <c r="L15" s="77">
        <f>'PCR Cycle 1'!L21*$M15</f>
        <v>0</v>
      </c>
      <c r="M15" s="88">
        <v>0</v>
      </c>
      <c r="N15" s="4"/>
    </row>
    <row r="16" spans="1:35" x14ac:dyDescent="0.25">
      <c r="A16" s="62" t="s">
        <v>30</v>
      </c>
      <c r="C16" s="120">
        <v>0</v>
      </c>
      <c r="D16" s="159">
        <v>0</v>
      </c>
      <c r="E16" s="159">
        <v>0</v>
      </c>
      <c r="F16" s="216">
        <v>0</v>
      </c>
      <c r="G16" s="16">
        <f>ROUND('[3]August 2019 Combined'!$F$45,2)</f>
        <v>-4342.51</v>
      </c>
      <c r="H16" s="144">
        <v>0</v>
      </c>
      <c r="I16" s="195">
        <v>0</v>
      </c>
      <c r="J16" s="146">
        <f>'PCR Cycle 1'!J22*$M16</f>
        <v>0</v>
      </c>
      <c r="K16" s="55">
        <f>'PCR Cycle 1'!K22*$M16</f>
        <v>0</v>
      </c>
      <c r="L16" s="77">
        <f>'PCR Cycle 1'!L22*$M16</f>
        <v>0</v>
      </c>
      <c r="M16" s="88">
        <v>0</v>
      </c>
      <c r="N16" s="4"/>
    </row>
    <row r="17" spans="1:14" x14ac:dyDescent="0.25">
      <c r="C17" s="83"/>
      <c r="D17" s="84"/>
      <c r="E17" s="84"/>
      <c r="F17" s="84"/>
      <c r="G17" s="121"/>
      <c r="H17" s="84"/>
      <c r="I17" s="196"/>
      <c r="J17" s="72"/>
      <c r="K17" s="72"/>
      <c r="L17" s="13"/>
      <c r="N17" s="4"/>
    </row>
    <row r="18" spans="1:14" x14ac:dyDescent="0.25">
      <c r="A18" s="62" t="s">
        <v>108</v>
      </c>
      <c r="C18" s="50"/>
      <c r="D18" s="51"/>
      <c r="E18" s="51"/>
      <c r="F18" s="51"/>
      <c r="G18" s="50"/>
      <c r="H18" s="51"/>
      <c r="I18" s="199"/>
      <c r="J18" s="68"/>
      <c r="K18" s="68"/>
      <c r="L18" s="52"/>
    </row>
    <row r="19" spans="1:14" x14ac:dyDescent="0.25">
      <c r="A19" s="62" t="s">
        <v>29</v>
      </c>
      <c r="C19" s="120">
        <v>0</v>
      </c>
      <c r="D19" s="132">
        <v>0</v>
      </c>
      <c r="E19" s="132">
        <v>0</v>
      </c>
      <c r="F19" s="133">
        <v>0</v>
      </c>
      <c r="G19" s="16">
        <f>+[8]OA!D8</f>
        <v>-4342.5</v>
      </c>
      <c r="H19" s="71">
        <v>0</v>
      </c>
      <c r="I19" s="193">
        <v>0</v>
      </c>
      <c r="J19" s="188">
        <v>0</v>
      </c>
      <c r="K19" s="167">
        <v>0</v>
      </c>
      <c r="L19" s="98"/>
    </row>
    <row r="20" spans="1:14" x14ac:dyDescent="0.25">
      <c r="A20" s="62" t="s">
        <v>30</v>
      </c>
      <c r="C20" s="120">
        <v>0</v>
      </c>
      <c r="D20" s="132">
        <v>0</v>
      </c>
      <c r="E20" s="132">
        <v>0</v>
      </c>
      <c r="F20" s="133">
        <v>0</v>
      </c>
      <c r="G20" s="16">
        <f>+[8]OA!D9</f>
        <v>-4342.51</v>
      </c>
      <c r="H20" s="71">
        <v>0</v>
      </c>
      <c r="I20" s="193">
        <v>0</v>
      </c>
      <c r="J20" s="188">
        <v>0</v>
      </c>
      <c r="K20" s="167">
        <v>0</v>
      </c>
      <c r="L20" s="98"/>
      <c r="N20" s="63"/>
    </row>
    <row r="21" spans="1:14" x14ac:dyDescent="0.25">
      <c r="C21" s="122"/>
      <c r="D21" s="18"/>
      <c r="E21" s="18"/>
      <c r="F21" s="18"/>
      <c r="G21" s="114"/>
      <c r="H21" s="18"/>
      <c r="I21" s="194"/>
      <c r="J21" s="72"/>
      <c r="K21" s="72"/>
      <c r="L21" s="13"/>
    </row>
    <row r="22" spans="1:14" ht="15.75" thickBot="1" x14ac:dyDescent="0.3">
      <c r="A22" s="3" t="s">
        <v>16</v>
      </c>
      <c r="B22" s="3"/>
      <c r="C22" s="126">
        <v>0</v>
      </c>
      <c r="D22" s="159">
        <v>0</v>
      </c>
      <c r="E22" s="159">
        <v>0</v>
      </c>
      <c r="F22" s="160">
        <v>0</v>
      </c>
      <c r="G22" s="39">
        <v>0</v>
      </c>
      <c r="H22" s="145">
        <v>0</v>
      </c>
      <c r="I22" s="200">
        <v>0</v>
      </c>
      <c r="J22" s="189"/>
      <c r="K22" s="169"/>
      <c r="L22" s="101"/>
    </row>
    <row r="23" spans="1:14" x14ac:dyDescent="0.25">
      <c r="C23" s="80"/>
      <c r="D23" s="174"/>
      <c r="E23" s="174"/>
      <c r="F23" s="175"/>
      <c r="G23" s="80"/>
      <c r="H23" s="47"/>
      <c r="I23" s="201"/>
      <c r="J23" s="48"/>
      <c r="K23" s="48"/>
      <c r="L23" s="76"/>
    </row>
    <row r="24" spans="1:14" x14ac:dyDescent="0.25">
      <c r="A24" s="62" t="s">
        <v>68</v>
      </c>
      <c r="C24" s="81"/>
      <c r="D24" s="175"/>
      <c r="E24" s="175"/>
      <c r="F24" s="175"/>
      <c r="G24" s="81"/>
      <c r="H24" s="49"/>
      <c r="I24" s="202"/>
      <c r="J24" s="48"/>
      <c r="K24" s="48"/>
      <c r="L24" s="76"/>
    </row>
    <row r="25" spans="1:14" x14ac:dyDescent="0.25">
      <c r="A25" s="62" t="s">
        <v>29</v>
      </c>
      <c r="C25" s="123">
        <f t="shared" ref="C25:L25" si="4">C19-C15</f>
        <v>0</v>
      </c>
      <c r="D25" s="55">
        <f t="shared" si="4"/>
        <v>0</v>
      </c>
      <c r="E25" s="55">
        <f t="shared" si="4"/>
        <v>0</v>
      </c>
      <c r="F25" s="131">
        <f t="shared" si="4"/>
        <v>0</v>
      </c>
      <c r="G25" s="54">
        <f t="shared" si="4"/>
        <v>0</v>
      </c>
      <c r="H25" s="55">
        <f t="shared" si="4"/>
        <v>0</v>
      </c>
      <c r="I25" s="77">
        <f t="shared" si="4"/>
        <v>0</v>
      </c>
      <c r="J25" s="146">
        <f t="shared" si="4"/>
        <v>0</v>
      </c>
      <c r="K25" s="55">
        <f t="shared" si="4"/>
        <v>0</v>
      </c>
      <c r="L25" s="77">
        <f t="shared" si="4"/>
        <v>0</v>
      </c>
    </row>
    <row r="26" spans="1:14" x14ac:dyDescent="0.25">
      <c r="A26" s="62" t="s">
        <v>30</v>
      </c>
      <c r="C26" s="123">
        <f t="shared" ref="C26:L26" si="5">C20-C16</f>
        <v>0</v>
      </c>
      <c r="D26" s="55">
        <f t="shared" si="5"/>
        <v>0</v>
      </c>
      <c r="E26" s="55">
        <f t="shared" si="5"/>
        <v>0</v>
      </c>
      <c r="F26" s="131">
        <f t="shared" si="5"/>
        <v>0</v>
      </c>
      <c r="G26" s="54">
        <f t="shared" si="5"/>
        <v>0</v>
      </c>
      <c r="H26" s="55">
        <f t="shared" si="5"/>
        <v>0</v>
      </c>
      <c r="I26" s="77">
        <f t="shared" si="5"/>
        <v>0</v>
      </c>
      <c r="J26" s="146">
        <f t="shared" si="5"/>
        <v>0</v>
      </c>
      <c r="K26" s="55">
        <f t="shared" si="5"/>
        <v>0</v>
      </c>
      <c r="L26" s="77">
        <f t="shared" si="5"/>
        <v>0</v>
      </c>
    </row>
    <row r="27" spans="1:14" x14ac:dyDescent="0.25">
      <c r="C27" s="122"/>
      <c r="D27" s="17"/>
      <c r="E27" s="17"/>
      <c r="F27" s="17"/>
      <c r="G27" s="10"/>
      <c r="H27" s="17"/>
      <c r="I27" s="11"/>
      <c r="J27" s="17"/>
      <c r="K27" s="17"/>
      <c r="L27" s="11"/>
    </row>
    <row r="28" spans="1:14" ht="15.75" thickBot="1" x14ac:dyDescent="0.3">
      <c r="A28" s="62" t="s">
        <v>69</v>
      </c>
      <c r="C28" s="122"/>
      <c r="D28" s="17"/>
      <c r="E28" s="17"/>
      <c r="F28" s="17"/>
      <c r="G28" s="10"/>
      <c r="H28" s="17"/>
      <c r="I28" s="11"/>
      <c r="J28" s="17"/>
      <c r="K28" s="17"/>
      <c r="L28" s="11"/>
    </row>
    <row r="29" spans="1:14" x14ac:dyDescent="0.25">
      <c r="A29" s="62" t="s">
        <v>29</v>
      </c>
      <c r="B29" s="139">
        <v>0</v>
      </c>
      <c r="C29" s="123">
        <f>B29+C25+B34</f>
        <v>0</v>
      </c>
      <c r="D29" s="55">
        <f t="shared" ref="D29:L30" si="6">C29+D25+C34</f>
        <v>0</v>
      </c>
      <c r="E29" s="55">
        <f t="shared" si="6"/>
        <v>0</v>
      </c>
      <c r="F29" s="131">
        <f t="shared" si="6"/>
        <v>0</v>
      </c>
      <c r="G29" s="54">
        <f t="shared" si="6"/>
        <v>0</v>
      </c>
      <c r="H29" s="55">
        <f t="shared" si="6"/>
        <v>0</v>
      </c>
      <c r="I29" s="77">
        <f t="shared" si="6"/>
        <v>0</v>
      </c>
      <c r="J29" s="146">
        <f t="shared" si="6"/>
        <v>0</v>
      </c>
      <c r="K29" s="55">
        <f t="shared" si="6"/>
        <v>0</v>
      </c>
      <c r="L29" s="77">
        <f t="shared" si="6"/>
        <v>0</v>
      </c>
    </row>
    <row r="30" spans="1:14" ht="15.75" thickBot="1" x14ac:dyDescent="0.3">
      <c r="A30" s="62" t="s">
        <v>30</v>
      </c>
      <c r="B30" s="140">
        <v>0</v>
      </c>
      <c r="C30" s="123">
        <f>B30+C26+B35</f>
        <v>0</v>
      </c>
      <c r="D30" s="55">
        <f t="shared" si="6"/>
        <v>0</v>
      </c>
      <c r="E30" s="55">
        <f t="shared" si="6"/>
        <v>0</v>
      </c>
      <c r="F30" s="131">
        <f t="shared" si="6"/>
        <v>0</v>
      </c>
      <c r="G30" s="54">
        <f t="shared" si="6"/>
        <v>0</v>
      </c>
      <c r="H30" s="55">
        <f t="shared" si="6"/>
        <v>0</v>
      </c>
      <c r="I30" s="77">
        <f t="shared" si="6"/>
        <v>0</v>
      </c>
      <c r="J30" s="146">
        <f t="shared" si="6"/>
        <v>0</v>
      </c>
      <c r="K30" s="55">
        <f t="shared" si="6"/>
        <v>0</v>
      </c>
      <c r="L30" s="77">
        <f t="shared" si="6"/>
        <v>0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x14ac:dyDescent="0.25">
      <c r="A32" s="53" t="s">
        <v>104</v>
      </c>
      <c r="B32" s="53"/>
      <c r="C32" s="127"/>
      <c r="D32" s="102">
        <f>+'PCR Cycle 1'!D38</f>
        <v>3.0790499999999998E-3</v>
      </c>
      <c r="E32" s="102">
        <f>+'PCR Cycle 1'!E38</f>
        <v>3.0450199999999998E-3</v>
      </c>
      <c r="F32" s="102">
        <f>+'PCR Cycle 1'!F38</f>
        <v>2.9619300000000002E-3</v>
      </c>
      <c r="G32" s="103">
        <f>+'PCR Cycle 1'!G38</f>
        <v>2.8524499999999999E-3</v>
      </c>
      <c r="H32" s="102">
        <f>+'PCR Cycle 1'!H38</f>
        <v>2.7438599999999999E-3</v>
      </c>
      <c r="I32" s="115">
        <f>+'PCR Cycle 1'!I38</f>
        <v>2.60867E-3</v>
      </c>
      <c r="J32" s="102">
        <f>+'PCR Cycle 1'!J38</f>
        <v>2.60867E-3</v>
      </c>
      <c r="K32" s="102">
        <f>+'PCR Cycle 1'!K38</f>
        <v>2.60867E-3</v>
      </c>
      <c r="L32" s="104"/>
    </row>
    <row r="33" spans="1:12" x14ac:dyDescent="0.25">
      <c r="A33" s="53" t="s">
        <v>44</v>
      </c>
      <c r="B33" s="53"/>
      <c r="C33" s="129"/>
      <c r="D33" s="102"/>
      <c r="E33" s="102"/>
      <c r="F33" s="102"/>
      <c r="G33" s="103"/>
      <c r="H33" s="102"/>
      <c r="I33" s="104"/>
      <c r="J33" s="102"/>
      <c r="K33" s="102"/>
      <c r="L33" s="104"/>
    </row>
    <row r="34" spans="1:12" x14ac:dyDescent="0.25">
      <c r="A34" s="62" t="s">
        <v>29</v>
      </c>
      <c r="C34" s="123">
        <v>0</v>
      </c>
      <c r="D34" s="55">
        <f t="shared" ref="D34:L35" si="7">ROUND((C29+C34+D25/2)*D$32,2)</f>
        <v>0</v>
      </c>
      <c r="E34" s="55">
        <f t="shared" si="7"/>
        <v>0</v>
      </c>
      <c r="F34" s="131">
        <f t="shared" si="7"/>
        <v>0</v>
      </c>
      <c r="G34" s="54">
        <f t="shared" si="7"/>
        <v>0</v>
      </c>
      <c r="H34" s="146">
        <f t="shared" si="7"/>
        <v>0</v>
      </c>
      <c r="I34" s="65">
        <f t="shared" si="7"/>
        <v>0</v>
      </c>
      <c r="J34" s="190">
        <f t="shared" si="7"/>
        <v>0</v>
      </c>
      <c r="K34" s="131">
        <f t="shared" si="7"/>
        <v>0</v>
      </c>
      <c r="L34" s="77">
        <f t="shared" si="7"/>
        <v>0</v>
      </c>
    </row>
    <row r="35" spans="1:12" ht="15.75" thickBot="1" x14ac:dyDescent="0.3">
      <c r="A35" s="62" t="s">
        <v>30</v>
      </c>
      <c r="C35" s="123">
        <v>0</v>
      </c>
      <c r="D35" s="55">
        <f t="shared" si="7"/>
        <v>0</v>
      </c>
      <c r="E35" s="55">
        <f t="shared" si="7"/>
        <v>0</v>
      </c>
      <c r="F35" s="131">
        <f t="shared" si="7"/>
        <v>0</v>
      </c>
      <c r="G35" s="54">
        <f t="shared" si="7"/>
        <v>0</v>
      </c>
      <c r="H35" s="146">
        <f t="shared" si="7"/>
        <v>0</v>
      </c>
      <c r="I35" s="65">
        <f t="shared" si="7"/>
        <v>0</v>
      </c>
      <c r="J35" s="190">
        <f t="shared" si="7"/>
        <v>0</v>
      </c>
      <c r="K35" s="131">
        <f t="shared" si="7"/>
        <v>0</v>
      </c>
      <c r="L35" s="77">
        <f t="shared" si="7"/>
        <v>0</v>
      </c>
    </row>
    <row r="36" spans="1:12" ht="16.5" thickTop="1" thickBot="1" x14ac:dyDescent="0.3">
      <c r="A36" s="70" t="s">
        <v>25</v>
      </c>
      <c r="B36" s="70"/>
      <c r="C36" s="130">
        <v>0</v>
      </c>
      <c r="D36" s="56">
        <f t="shared" ref="D36:I36" si="8">SUM(D34:D35)+SUM(D29:D30)-D39</f>
        <v>0</v>
      </c>
      <c r="E36" s="56">
        <f t="shared" si="8"/>
        <v>0</v>
      </c>
      <c r="F36" s="66">
        <f t="shared" ref="F36:H36" si="9">SUM(F34:F35)+SUM(F29:F30)-F39</f>
        <v>0</v>
      </c>
      <c r="G36" s="172">
        <f t="shared" si="9"/>
        <v>0</v>
      </c>
      <c r="H36" s="66">
        <f t="shared" si="9"/>
        <v>0</v>
      </c>
      <c r="I36" s="78">
        <f t="shared" si="8"/>
        <v>0</v>
      </c>
      <c r="J36" s="191">
        <f t="shared" ref="J36:L36" si="10">SUM(J34:J35)+SUM(J29:J30)-J39</f>
        <v>0</v>
      </c>
      <c r="K36" s="66">
        <f t="shared" si="10"/>
        <v>0</v>
      </c>
      <c r="L36" s="78">
        <f t="shared" si="10"/>
        <v>0</v>
      </c>
    </row>
    <row r="37" spans="1:12" ht="16.5" thickTop="1" thickBot="1" x14ac:dyDescent="0.3">
      <c r="A37" s="70" t="s">
        <v>26</v>
      </c>
      <c r="B37" s="70"/>
      <c r="C37" s="130">
        <v>0</v>
      </c>
      <c r="D37" s="56">
        <f t="shared" ref="D37:I37" si="11">SUM(D34:D35)-D22</f>
        <v>0</v>
      </c>
      <c r="E37" s="56">
        <f t="shared" si="11"/>
        <v>0</v>
      </c>
      <c r="F37" s="66">
        <f t="shared" ref="F37:H37" si="12">SUM(F34:F35)-F22</f>
        <v>0</v>
      </c>
      <c r="G37" s="172">
        <f t="shared" si="12"/>
        <v>0</v>
      </c>
      <c r="H37" s="66">
        <f t="shared" si="12"/>
        <v>0</v>
      </c>
      <c r="I37" s="78">
        <f t="shared" si="11"/>
        <v>0</v>
      </c>
      <c r="J37" s="192">
        <f t="shared" ref="J37:L37" si="13">SUM(J34:J35)-J22</f>
        <v>0</v>
      </c>
      <c r="K37" s="56">
        <f t="shared" si="13"/>
        <v>0</v>
      </c>
      <c r="L37" s="56">
        <f t="shared" si="13"/>
        <v>0</v>
      </c>
    </row>
    <row r="38" spans="1:12" ht="16.5" thickTop="1" thickBot="1" x14ac:dyDescent="0.3">
      <c r="C38" s="122"/>
      <c r="D38" s="17"/>
      <c r="E38" s="17"/>
      <c r="F38" s="17"/>
      <c r="G38" s="10"/>
      <c r="H38" s="17"/>
      <c r="I38" s="11"/>
      <c r="J38" s="17"/>
      <c r="K38" s="17"/>
      <c r="L38" s="11"/>
    </row>
    <row r="39" spans="1:12" ht="15.75" thickBot="1" x14ac:dyDescent="0.3">
      <c r="A39" s="62" t="s">
        <v>42</v>
      </c>
      <c r="B39" s="142">
        <v>0</v>
      </c>
      <c r="C39" s="123">
        <f t="shared" ref="C39:L39" si="14">(C12-SUM(C15:C16))+SUM(C34:C35)+B39</f>
        <v>0</v>
      </c>
      <c r="D39" s="55">
        <f t="shared" si="14"/>
        <v>0</v>
      </c>
      <c r="E39" s="55">
        <f t="shared" si="14"/>
        <v>0</v>
      </c>
      <c r="F39" s="131">
        <f t="shared" si="14"/>
        <v>0</v>
      </c>
      <c r="G39" s="54">
        <f t="shared" si="14"/>
        <v>0</v>
      </c>
      <c r="H39" s="55">
        <f t="shared" si="14"/>
        <v>0</v>
      </c>
      <c r="I39" s="77">
        <f t="shared" si="14"/>
        <v>0</v>
      </c>
      <c r="J39" s="190">
        <f t="shared" si="14"/>
        <v>0</v>
      </c>
      <c r="K39" s="131">
        <f t="shared" si="14"/>
        <v>0</v>
      </c>
      <c r="L39" s="77">
        <f t="shared" si="14"/>
        <v>0</v>
      </c>
    </row>
    <row r="40" spans="1:12" x14ac:dyDescent="0.25">
      <c r="A40" s="62" t="s">
        <v>14</v>
      </c>
      <c r="C40" s="143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1"/>
      <c r="B41" s="51"/>
      <c r="C41" s="173"/>
      <c r="D41" s="58"/>
      <c r="E41" s="58"/>
      <c r="F41" s="58"/>
      <c r="G41" s="57"/>
      <c r="H41" s="58"/>
      <c r="I41" s="59"/>
      <c r="J41" s="58"/>
      <c r="K41" s="58"/>
      <c r="L41" s="59"/>
    </row>
    <row r="43" spans="1:12" x14ac:dyDescent="0.25">
      <c r="A43" s="85" t="s">
        <v>13</v>
      </c>
      <c r="B43" s="85"/>
      <c r="C43" s="85"/>
    </row>
    <row r="44" spans="1:12" x14ac:dyDescent="0.25">
      <c r="A44" s="277" t="s">
        <v>158</v>
      </c>
      <c r="B44" s="277"/>
      <c r="C44" s="277"/>
      <c r="D44" s="277"/>
      <c r="E44" s="277"/>
      <c r="F44" s="277"/>
      <c r="G44" s="277"/>
      <c r="H44" s="277"/>
      <c r="I44" s="277"/>
      <c r="J44" s="213"/>
      <c r="K44" s="213"/>
      <c r="L44" s="213"/>
    </row>
    <row r="45" spans="1:12" ht="32.25" customHeight="1" x14ac:dyDescent="0.25">
      <c r="A45" s="277" t="s">
        <v>147</v>
      </c>
      <c r="B45" s="277"/>
      <c r="C45" s="277"/>
      <c r="D45" s="277"/>
      <c r="E45" s="277"/>
      <c r="F45" s="277"/>
      <c r="G45" s="277"/>
      <c r="H45" s="277"/>
      <c r="I45" s="277"/>
      <c r="J45" s="213"/>
      <c r="K45" s="213"/>
    </row>
    <row r="46" spans="1:12" ht="18.75" customHeight="1" x14ac:dyDescent="0.25">
      <c r="A46" s="3" t="s">
        <v>145</v>
      </c>
      <c r="B46" s="3"/>
      <c r="C46" s="3"/>
      <c r="I46" s="4"/>
      <c r="J46" s="213"/>
      <c r="K46" s="213"/>
      <c r="L46" s="213"/>
    </row>
    <row r="47" spans="1:12" x14ac:dyDescent="0.25">
      <c r="A47" s="3" t="s">
        <v>143</v>
      </c>
      <c r="B47" s="3"/>
      <c r="C47" s="3"/>
      <c r="I47" s="4"/>
    </row>
    <row r="48" spans="1:12" x14ac:dyDescent="0.25">
      <c r="A48" s="3" t="s">
        <v>146</v>
      </c>
      <c r="B48" s="3"/>
      <c r="C48" s="3"/>
      <c r="I48" s="4"/>
    </row>
    <row r="49" spans="1:9" x14ac:dyDescent="0.25">
      <c r="A49" s="79"/>
      <c r="B49" s="79"/>
      <c r="C49" s="79"/>
      <c r="D49" s="53"/>
      <c r="E49" s="53"/>
      <c r="F49" s="53"/>
      <c r="G49" s="53"/>
      <c r="H49" s="53"/>
      <c r="I49" s="53"/>
    </row>
    <row r="50" spans="1:9" x14ac:dyDescent="0.25">
      <c r="A50" s="3"/>
      <c r="B50" s="3"/>
      <c r="C50" s="3"/>
    </row>
  </sheetData>
  <mergeCells count="5">
    <mergeCell ref="D10:F10"/>
    <mergeCell ref="G10:I10"/>
    <mergeCell ref="J10:L10"/>
    <mergeCell ref="A44:I44"/>
    <mergeCell ref="A45:I45"/>
  </mergeCells>
  <pageMargins left="0.2" right="0.2" top="0.75" bottom="0.25" header="0.3" footer="0.3"/>
  <pageSetup scale="62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2"/>
  <sheetViews>
    <sheetView workbookViewId="0">
      <selection activeCell="F9" sqref="F9"/>
    </sheetView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9" width="17.7109375" customWidth="1"/>
  </cols>
  <sheetData>
    <row r="1" spans="1:32" s="62" customFormat="1" x14ac:dyDescent="0.25">
      <c r="A1" s="79" t="s">
        <v>128</v>
      </c>
    </row>
    <row r="2" spans="1:32" ht="15.75" thickBot="1" x14ac:dyDescent="0.3">
      <c r="A2" s="9" t="s">
        <v>122</v>
      </c>
    </row>
    <row r="3" spans="1:32" ht="35.25" customHeight="1" thickBot="1" x14ac:dyDescent="0.3">
      <c r="B3" s="266" t="s">
        <v>85</v>
      </c>
      <c r="C3" s="266"/>
      <c r="E3" s="267" t="s">
        <v>5</v>
      </c>
      <c r="F3" s="268"/>
      <c r="G3" s="268"/>
      <c r="H3" s="268"/>
      <c r="I3" s="269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80</v>
      </c>
      <c r="I4" s="91" t="s">
        <v>1</v>
      </c>
    </row>
    <row r="5" spans="1:32" x14ac:dyDescent="0.25">
      <c r="A5" s="22" t="s">
        <v>29</v>
      </c>
      <c r="B5" s="93">
        <f>+'[1]Billed kWh Sales'!E29</f>
        <v>1200789259</v>
      </c>
      <c r="C5" s="36">
        <f>SUM(F9:I9)</f>
        <v>134323.71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+'[1]Billed kWh Sales'!E30</f>
        <v>2109672601</v>
      </c>
      <c r="C6" s="36">
        <f>SUM(F10:I10)</f>
        <v>177208.65</v>
      </c>
      <c r="D6" s="4"/>
      <c r="E6" s="25"/>
      <c r="F6" s="27">
        <v>0</v>
      </c>
      <c r="G6" s="27"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3310461860</v>
      </c>
      <c r="C7" s="24">
        <f>SUM(C5:C6)</f>
        <v>311532.36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+'[2]Program Costs - Metro'!$BM$159</f>
        <v>120394.55999999998</v>
      </c>
      <c r="G8" s="37">
        <f>+'[2]Program Costs - Metro'!$BM$160</f>
        <v>163279.5</v>
      </c>
      <c r="H8" s="37">
        <f>+'[2]Program Costs - Metro'!$BM$161</f>
        <v>27858.3</v>
      </c>
      <c r="I8" s="38">
        <f>+'[2]Program Costs - Metro'!$BM$162</f>
        <v>0</v>
      </c>
    </row>
    <row r="9" spans="1:32" ht="15.75" thickTop="1" x14ac:dyDescent="0.25">
      <c r="D9" s="4"/>
      <c r="E9" s="106" t="s">
        <v>29</v>
      </c>
      <c r="F9" s="107">
        <f t="shared" ref="F9:I10" si="0">F5*F$8</f>
        <v>120394.55999999998</v>
      </c>
      <c r="G9" s="107">
        <f t="shared" si="0"/>
        <v>0</v>
      </c>
      <c r="H9" s="107">
        <f t="shared" si="0"/>
        <v>13929.15</v>
      </c>
      <c r="I9" s="108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163279.5</v>
      </c>
      <c r="H10" s="29">
        <f t="shared" si="0"/>
        <v>13929.15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9" t="s">
        <v>13</v>
      </c>
      <c r="F14" s="61"/>
      <c r="G14" s="61"/>
      <c r="H14" s="61"/>
      <c r="I14" s="176"/>
      <c r="J14" s="61"/>
    </row>
    <row r="15" spans="1:32" x14ac:dyDescent="0.25">
      <c r="A15" s="270" t="s">
        <v>151</v>
      </c>
      <c r="B15" s="270"/>
      <c r="C15" s="270"/>
      <c r="D15" s="270"/>
      <c r="E15" s="270"/>
      <c r="F15" s="270"/>
      <c r="G15" s="270"/>
      <c r="H15" s="270"/>
      <c r="I15" s="270"/>
    </row>
    <row r="16" spans="1:32" x14ac:dyDescent="0.25">
      <c r="A16" s="270" t="s">
        <v>152</v>
      </c>
      <c r="B16" s="270"/>
      <c r="C16" s="270"/>
      <c r="D16" s="270"/>
      <c r="E16" s="270"/>
      <c r="F16" s="270"/>
      <c r="G16" s="270"/>
      <c r="H16" s="270"/>
      <c r="I16" s="270"/>
    </row>
    <row r="17" spans="1:10" x14ac:dyDescent="0.25">
      <c r="I17" s="176"/>
    </row>
    <row r="18" spans="1:10" x14ac:dyDescent="0.25">
      <c r="I18" s="176"/>
    </row>
    <row r="19" spans="1:10" x14ac:dyDescent="0.25">
      <c r="I19" s="176"/>
    </row>
    <row r="26" spans="1:10" x14ac:dyDescent="0.25">
      <c r="C26" s="2"/>
    </row>
    <row r="28" spans="1:10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x14ac:dyDescent="0.25">
      <c r="A29" s="62"/>
      <c r="B29" s="62"/>
      <c r="C29" s="62"/>
      <c r="E29" s="62"/>
      <c r="F29" s="62"/>
      <c r="G29" s="62"/>
      <c r="H29" s="62"/>
      <c r="I29" s="62"/>
      <c r="J29" s="62"/>
    </row>
    <row r="30" spans="1:10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</row>
    <row r="42" spans="1:10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80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65"/>
  <sheetViews>
    <sheetView workbookViewId="0">
      <pane xSplit="3" ySplit="9" topLeftCell="L40" activePane="bottomRight" state="frozen"/>
      <selection activeCell="J18" sqref="J18"/>
      <selection pane="topRight" activeCell="J18" sqref="J18"/>
      <selection pane="bottomLeft" activeCell="J18" sqref="J18"/>
      <selection pane="bottomRight" activeCell="O1" sqref="O1:O1048576"/>
    </sheetView>
  </sheetViews>
  <sheetFormatPr defaultRowHeight="15" x14ac:dyDescent="0.25"/>
  <cols>
    <col min="1" max="1" width="54.5703125" customWidth="1"/>
    <col min="2" max="2" width="14.7109375" style="62" bestFit="1" customWidth="1"/>
    <col min="3" max="3" width="15" style="62" bestFit="1" customWidth="1"/>
    <col min="4" max="4" width="15.140625" customWidth="1"/>
    <col min="5" max="5" width="15.85546875" bestFit="1" customWidth="1"/>
    <col min="6" max="6" width="17.5703125" style="62" bestFit="1" customWidth="1"/>
    <col min="7" max="8" width="13.28515625" style="62" bestFit="1" customWidth="1"/>
    <col min="9" max="9" width="12.5703125" bestFit="1" customWidth="1"/>
    <col min="10" max="11" width="12.5703125" style="62" bestFit="1" customWidth="1"/>
    <col min="12" max="12" width="12.28515625" style="62" bestFit="1" customWidth="1"/>
    <col min="13" max="13" width="15" bestFit="1" customWidth="1"/>
    <col min="14" max="14" width="16.28515625" bestFit="1" customWidth="1"/>
    <col min="15" max="15" width="16.140625" customWidth="1"/>
    <col min="16" max="16" width="17.28515625" bestFit="1" customWidth="1"/>
    <col min="17" max="17" width="17.42578125" customWidth="1"/>
    <col min="18" max="18" width="15.5703125" customWidth="1"/>
    <col min="19" max="19" width="13" customWidth="1"/>
    <col min="21" max="21" width="14.28515625" bestFit="1" customWidth="1"/>
  </cols>
  <sheetData>
    <row r="1" spans="1:34" x14ac:dyDescent="0.25">
      <c r="A1" s="3" t="str">
        <f>+PPC!A1</f>
        <v>Evergy Metro, Inc. - DSIM Rider Update Filed 12/02/2019</v>
      </c>
      <c r="B1" s="3"/>
      <c r="C1" s="3"/>
    </row>
    <row r="2" spans="1:34" x14ac:dyDescent="0.25">
      <c r="D2" s="3" t="s">
        <v>79</v>
      </c>
    </row>
    <row r="3" spans="1:34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71</v>
      </c>
      <c r="I3" s="6" t="s">
        <v>11</v>
      </c>
      <c r="J3" s="6" t="s">
        <v>4</v>
      </c>
    </row>
    <row r="4" spans="1:34" x14ac:dyDescent="0.25">
      <c r="A4" s="62" t="s">
        <v>29</v>
      </c>
      <c r="D4" s="24">
        <f>SUM(C25:L25)</f>
        <v>0</v>
      </c>
      <c r="E4" s="161">
        <f>SUM(C21:L21)</f>
        <v>1380664357.1892004</v>
      </c>
      <c r="F4" s="24">
        <f>SUM(C17:K17)</f>
        <v>0</v>
      </c>
      <c r="G4" s="24">
        <f>F4-D4</f>
        <v>0</v>
      </c>
      <c r="H4" s="24">
        <f>+B35</f>
        <v>0</v>
      </c>
      <c r="I4" s="24">
        <f>SUM(C40:K40)</f>
        <v>0</v>
      </c>
      <c r="J4" s="36">
        <f>SUM(G4:I4)</f>
        <v>0</v>
      </c>
      <c r="K4" s="63">
        <f>+J4-L35</f>
        <v>0</v>
      </c>
      <c r="M4" s="45"/>
    </row>
    <row r="5" spans="1:34" ht="15.75" thickBot="1" x14ac:dyDescent="0.3">
      <c r="A5" t="s">
        <v>30</v>
      </c>
      <c r="D5" s="24">
        <f>SUM(C26:L26)</f>
        <v>-7456.3871200000003</v>
      </c>
      <c r="E5" s="161">
        <f>SUM(C22:L22)</f>
        <v>2137617382.3496001</v>
      </c>
      <c r="F5" s="24">
        <f>SUM(C18:K18)</f>
        <v>0</v>
      </c>
      <c r="G5" s="24">
        <f>F5-D5</f>
        <v>7456.3871200000003</v>
      </c>
      <c r="H5" s="24">
        <f>+B36</f>
        <v>-7430.9199999999992</v>
      </c>
      <c r="I5" s="24">
        <f>SUM(C41:K41)</f>
        <v>-25.470000000000002</v>
      </c>
      <c r="J5" s="36">
        <f>SUM(G5:I5)</f>
        <v>-2.8799999988429192E-3</v>
      </c>
      <c r="K5" s="63">
        <f>+J5-L36</f>
        <v>-3.907985046680551E-14</v>
      </c>
      <c r="M5" s="45"/>
    </row>
    <row r="6" spans="1:34" ht="16.5" thickTop="1" thickBot="1" x14ac:dyDescent="0.3">
      <c r="D6" s="40">
        <f t="shared" ref="D6" si="0">SUM(D4:D5)</f>
        <v>-7456.3871200000003</v>
      </c>
      <c r="E6" s="162">
        <f t="shared" ref="E6:H6" si="1">SUM(E4:E5)</f>
        <v>3518281739.5388002</v>
      </c>
      <c r="F6" s="40">
        <f t="shared" si="1"/>
        <v>0</v>
      </c>
      <c r="G6" s="40">
        <f t="shared" si="1"/>
        <v>7456.3871200000003</v>
      </c>
      <c r="H6" s="40">
        <f t="shared" si="1"/>
        <v>-7430.9199999999992</v>
      </c>
      <c r="I6" s="94">
        <f>SUM(I4:I5)</f>
        <v>-25.470000000000002</v>
      </c>
      <c r="J6" s="40">
        <f>SUM(J4:J5)</f>
        <v>-2.8799999988429192E-3</v>
      </c>
    </row>
    <row r="7" spans="1:34" ht="16.5" thickTop="1" thickBot="1" x14ac:dyDescent="0.3"/>
    <row r="8" spans="1:34" ht="75.75" thickBot="1" x14ac:dyDescent="0.3">
      <c r="B8" s="141" t="s">
        <v>123</v>
      </c>
      <c r="C8" s="179" t="s">
        <v>124</v>
      </c>
      <c r="D8" s="272" t="s">
        <v>39</v>
      </c>
      <c r="E8" s="272"/>
      <c r="F8" s="273"/>
      <c r="G8" s="203" t="s">
        <v>39</v>
      </c>
      <c r="H8" s="204"/>
      <c r="I8" s="205"/>
      <c r="J8" s="184" t="s">
        <v>9</v>
      </c>
      <c r="K8" s="184"/>
      <c r="L8" s="185"/>
    </row>
    <row r="9" spans="1:34" x14ac:dyDescent="0.25">
      <c r="A9" t="s">
        <v>38</v>
      </c>
      <c r="C9" s="14"/>
      <c r="D9" s="20">
        <v>43616</v>
      </c>
      <c r="E9" s="20">
        <f>EOMONTH(D9,1)</f>
        <v>43646</v>
      </c>
      <c r="F9" s="20">
        <f t="shared" ref="F9:L9" si="2">EOMONTH(E9,1)</f>
        <v>43677</v>
      </c>
      <c r="G9" s="14">
        <f t="shared" si="2"/>
        <v>43708</v>
      </c>
      <c r="H9" s="20">
        <f t="shared" si="2"/>
        <v>43738</v>
      </c>
      <c r="I9" s="15">
        <f t="shared" si="2"/>
        <v>43769</v>
      </c>
      <c r="J9" s="20">
        <f t="shared" si="2"/>
        <v>43799</v>
      </c>
      <c r="K9" s="20">
        <f t="shared" si="2"/>
        <v>43830</v>
      </c>
      <c r="L9" s="118">
        <f t="shared" si="2"/>
        <v>43861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t="s">
        <v>29</v>
      </c>
      <c r="C10" s="120">
        <v>0</v>
      </c>
      <c r="D10" s="132">
        <v>0</v>
      </c>
      <c r="E10" s="132">
        <v>0</v>
      </c>
      <c r="F10" s="133">
        <v>0</v>
      </c>
      <c r="G10" s="16">
        <v>0</v>
      </c>
      <c r="H10" s="71">
        <v>0</v>
      </c>
      <c r="I10" s="193">
        <v>0</v>
      </c>
      <c r="J10" s="206">
        <v>0</v>
      </c>
      <c r="K10" s="164">
        <v>0</v>
      </c>
      <c r="L10" s="95"/>
    </row>
    <row r="11" spans="1:34" x14ac:dyDescent="0.25">
      <c r="A11" t="s">
        <v>30</v>
      </c>
      <c r="C11" s="120">
        <v>0</v>
      </c>
      <c r="D11" s="132">
        <v>0</v>
      </c>
      <c r="E11" s="132">
        <v>0</v>
      </c>
      <c r="F11" s="133">
        <v>0</v>
      </c>
      <c r="G11" s="16">
        <v>0</v>
      </c>
      <c r="H11" s="71">
        <v>0</v>
      </c>
      <c r="I11" s="193">
        <v>0</v>
      </c>
      <c r="J11" s="206">
        <v>0</v>
      </c>
      <c r="K11" s="164">
        <v>0</v>
      </c>
      <c r="L11" s="95"/>
      <c r="M11" s="79" t="s">
        <v>32</v>
      </c>
    </row>
    <row r="12" spans="1:34" x14ac:dyDescent="0.25">
      <c r="A12" t="s">
        <v>0</v>
      </c>
      <c r="C12" s="120">
        <v>0</v>
      </c>
      <c r="D12" s="132">
        <v>0</v>
      </c>
      <c r="E12" s="132">
        <v>0</v>
      </c>
      <c r="F12" s="133">
        <v>0</v>
      </c>
      <c r="G12" s="16">
        <v>0</v>
      </c>
      <c r="H12" s="71">
        <v>0</v>
      </c>
      <c r="I12" s="193">
        <v>0</v>
      </c>
      <c r="J12" s="206">
        <v>0</v>
      </c>
      <c r="K12" s="164">
        <v>0</v>
      </c>
      <c r="L12" s="95"/>
      <c r="M12" s="89">
        <v>0.5</v>
      </c>
    </row>
    <row r="13" spans="1:34" x14ac:dyDescent="0.25">
      <c r="A13" t="s">
        <v>1</v>
      </c>
      <c r="C13" s="120">
        <v>0</v>
      </c>
      <c r="D13" s="132">
        <v>0</v>
      </c>
      <c r="E13" s="132">
        <v>0</v>
      </c>
      <c r="F13" s="133">
        <v>0</v>
      </c>
      <c r="G13" s="16">
        <v>0</v>
      </c>
      <c r="H13" s="71">
        <v>0</v>
      </c>
      <c r="I13" s="193">
        <v>0</v>
      </c>
      <c r="J13" s="206">
        <v>0</v>
      </c>
      <c r="K13" s="164">
        <v>0</v>
      </c>
      <c r="L13" s="95"/>
      <c r="M13" s="79" t="s">
        <v>28</v>
      </c>
    </row>
    <row r="14" spans="1:34" s="62" customFormat="1" x14ac:dyDescent="0.25">
      <c r="A14" s="62" t="s">
        <v>27</v>
      </c>
      <c r="C14" s="120">
        <v>0</v>
      </c>
      <c r="D14" s="132">
        <v>0</v>
      </c>
      <c r="E14" s="132">
        <v>0</v>
      </c>
      <c r="F14" s="133">
        <v>0</v>
      </c>
      <c r="G14" s="16">
        <v>0</v>
      </c>
      <c r="H14" s="71">
        <v>0</v>
      </c>
      <c r="I14" s="193">
        <v>0</v>
      </c>
      <c r="J14" s="206">
        <v>0</v>
      </c>
      <c r="K14" s="164">
        <v>0</v>
      </c>
      <c r="L14" s="95"/>
      <c r="M14" s="89">
        <v>2.4400000000000002E-2</v>
      </c>
    </row>
    <row r="15" spans="1:34" x14ac:dyDescent="0.25">
      <c r="C15" s="121"/>
      <c r="D15" s="44"/>
      <c r="E15" s="44"/>
      <c r="F15" s="44"/>
      <c r="G15" s="41"/>
      <c r="H15" s="44"/>
      <c r="I15" s="11"/>
      <c r="J15" s="44"/>
      <c r="K15" s="44"/>
      <c r="L15" s="42"/>
    </row>
    <row r="16" spans="1:34" x14ac:dyDescent="0.25">
      <c r="A16" t="s">
        <v>41</v>
      </c>
      <c r="C16" s="122"/>
      <c r="D16" s="44"/>
      <c r="E16" s="44"/>
      <c r="F16" s="44"/>
      <c r="G16" s="41"/>
      <c r="H16" s="44"/>
      <c r="I16" s="194"/>
      <c r="J16" s="17"/>
      <c r="K16" s="17"/>
      <c r="L16" s="11"/>
    </row>
    <row r="17" spans="1:16" x14ac:dyDescent="0.25">
      <c r="A17" s="62" t="s">
        <v>29</v>
      </c>
      <c r="C17" s="54">
        <f t="shared" ref="C17:I17" si="3">C10+($M$12*C$12)+($M$12*C$13)+C$14*(1-$M$14)</f>
        <v>0</v>
      </c>
      <c r="D17" s="55">
        <f t="shared" si="3"/>
        <v>0</v>
      </c>
      <c r="E17" s="55">
        <f t="shared" si="3"/>
        <v>0</v>
      </c>
      <c r="F17" s="131">
        <f t="shared" si="3"/>
        <v>0</v>
      </c>
      <c r="G17" s="54">
        <f t="shared" si="3"/>
        <v>0</v>
      </c>
      <c r="H17" s="55">
        <f t="shared" si="3"/>
        <v>0</v>
      </c>
      <c r="I17" s="77">
        <f t="shared" si="3"/>
        <v>0</v>
      </c>
      <c r="J17" s="146">
        <f t="shared" ref="J17:L17" si="4">J10+($M$12*J$12)+($M$12*J$13)+J$14*(1-$M$14)</f>
        <v>0</v>
      </c>
      <c r="K17" s="55">
        <f t="shared" si="4"/>
        <v>0</v>
      </c>
      <c r="L17" s="77">
        <f t="shared" si="4"/>
        <v>0</v>
      </c>
    </row>
    <row r="18" spans="1:16" x14ac:dyDescent="0.25">
      <c r="A18" t="s">
        <v>30</v>
      </c>
      <c r="C18" s="54">
        <f t="shared" ref="C18:I18" si="5">(C$11+$M$12*C$12+C$14*$M$14)+C$13*$M$12</f>
        <v>0</v>
      </c>
      <c r="D18" s="55">
        <f t="shared" si="5"/>
        <v>0</v>
      </c>
      <c r="E18" s="55">
        <f t="shared" si="5"/>
        <v>0</v>
      </c>
      <c r="F18" s="131">
        <f t="shared" si="5"/>
        <v>0</v>
      </c>
      <c r="G18" s="54">
        <f t="shared" si="5"/>
        <v>0</v>
      </c>
      <c r="H18" s="55">
        <f t="shared" si="5"/>
        <v>0</v>
      </c>
      <c r="I18" s="77">
        <f t="shared" si="5"/>
        <v>0</v>
      </c>
      <c r="J18" s="146">
        <f t="shared" ref="J18:L18" si="6">(J$11+$M$12*J$12+J$14*$M$14)+J$13*$M$12</f>
        <v>0</v>
      </c>
      <c r="K18" s="55">
        <f t="shared" si="6"/>
        <v>0</v>
      </c>
      <c r="L18" s="77">
        <f t="shared" si="6"/>
        <v>0</v>
      </c>
    </row>
    <row r="19" spans="1:16" x14ac:dyDescent="0.25">
      <c r="C19" s="122"/>
      <c r="D19" s="44"/>
      <c r="E19" s="44"/>
      <c r="F19" s="44"/>
      <c r="G19" s="41"/>
      <c r="H19" s="44"/>
      <c r="I19" s="11"/>
      <c r="J19" s="17"/>
      <c r="K19" s="17"/>
      <c r="L19" s="11"/>
    </row>
    <row r="20" spans="1:16" x14ac:dyDescent="0.25">
      <c r="A20" s="53" t="s">
        <v>63</v>
      </c>
      <c r="B20" s="53"/>
      <c r="C20" s="124"/>
      <c r="D20" s="44"/>
      <c r="E20" s="44"/>
      <c r="F20" s="44"/>
      <c r="G20" s="41"/>
      <c r="H20" s="44"/>
      <c r="I20" s="11"/>
      <c r="J20" s="17"/>
      <c r="K20" s="17"/>
      <c r="L20" s="11"/>
    </row>
    <row r="21" spans="1:16" x14ac:dyDescent="0.25">
      <c r="A21" s="62" t="s">
        <v>29</v>
      </c>
      <c r="C21" s="125">
        <v>-618685363</v>
      </c>
      <c r="D21" s="134">
        <f>+'[3]May 2019 Combined'!$F$55</f>
        <v>141611603.10630003</v>
      </c>
      <c r="E21" s="134">
        <f>+'[3]June 2019 Combined'!$F$55</f>
        <v>191066375.41019997</v>
      </c>
      <c r="F21" s="134">
        <f>+'[3]July 2019 Combined'!$F$55</f>
        <v>274853973.83500004</v>
      </c>
      <c r="G21" s="214">
        <f>+'[3]August 2019 Combined'!$F$60</f>
        <v>289178916.20470035</v>
      </c>
      <c r="H21" s="93">
        <f>+'[3]September 2019 Combined'!$F$55</f>
        <v>251510125.52000004</v>
      </c>
      <c r="I21" s="212">
        <f>+'[3]October 2019 Combined'!$F$55</f>
        <v>198213542.11300012</v>
      </c>
      <c r="J21" s="207">
        <f>+'[1]Billed kWh Sales'!M20</f>
        <v>156952287</v>
      </c>
      <c r="K21" s="165">
        <f>+'[1]Billed kWh Sales'!N20</f>
        <v>233503187</v>
      </c>
      <c r="L21" s="96">
        <f>+'[1]Billed kWh Sales'!O20</f>
        <v>262459710</v>
      </c>
    </row>
    <row r="22" spans="1:16" x14ac:dyDescent="0.25">
      <c r="A22" s="62" t="s">
        <v>30</v>
      </c>
      <c r="C22" s="125">
        <v>-1133982856</v>
      </c>
      <c r="D22" s="134">
        <f>+'[3]May 2019 Combined'!$F$56</f>
        <v>315314577.79310006</v>
      </c>
      <c r="E22" s="134">
        <f>+'[3]June 2019 Combined'!$F$56</f>
        <v>335591914.8994</v>
      </c>
      <c r="F22" s="134">
        <f>+'[3]July 2019 Combined'!$F$56</f>
        <v>384867228.13210005</v>
      </c>
      <c r="G22" s="214">
        <f>+'[3]August 2019 Combined'!$F$61</f>
        <v>385816525.63920003</v>
      </c>
      <c r="H22" s="93">
        <f>+'[3]September 2019 Combined'!$F$56</f>
        <v>417726543.09179997</v>
      </c>
      <c r="I22" s="212">
        <f>+'[3]October 2019 Combined'!$F$56</f>
        <v>366459490.79399991</v>
      </c>
      <c r="J22" s="207">
        <f>+'[1]Billed kWh Sales'!M21</f>
        <v>330088492</v>
      </c>
      <c r="K22" s="165">
        <f>+'[1]Billed kWh Sales'!N21</f>
        <v>364323104</v>
      </c>
      <c r="L22" s="96">
        <f>+'[1]Billed kWh Sales'!O21</f>
        <v>371412362</v>
      </c>
    </row>
    <row r="23" spans="1:16" x14ac:dyDescent="0.25">
      <c r="C23" s="122"/>
      <c r="D23" s="44"/>
      <c r="E23" s="44"/>
      <c r="F23" s="44"/>
      <c r="G23" s="41"/>
      <c r="H23" s="44"/>
      <c r="I23" s="11"/>
      <c r="J23" s="17"/>
      <c r="K23" s="17"/>
      <c r="L23" s="11"/>
    </row>
    <row r="24" spans="1:16" x14ac:dyDescent="0.25">
      <c r="A24" t="s">
        <v>40</v>
      </c>
      <c r="C24" s="122"/>
      <c r="D24" s="18"/>
      <c r="E24" s="18"/>
      <c r="F24" s="18"/>
      <c r="G24" s="114"/>
      <c r="H24" s="18"/>
      <c r="I24" s="11"/>
      <c r="J24" s="73"/>
      <c r="K24" s="73"/>
      <c r="L24" s="74"/>
      <c r="M24" s="79" t="s">
        <v>66</v>
      </c>
      <c r="N24" s="53"/>
    </row>
    <row r="25" spans="1:16" x14ac:dyDescent="0.25">
      <c r="A25" s="62" t="s">
        <v>29</v>
      </c>
      <c r="C25" s="120">
        <v>0</v>
      </c>
      <c r="D25" s="132">
        <f>ROUND(+'[3]May 2019 Combined'!$F$9+'[3]May 2019 Combined'!$F$14,2)</f>
        <v>0</v>
      </c>
      <c r="E25" s="132">
        <f>ROUND(+'[3]June 2019 Combined'!$F$9+'[3]June 2019 Combined'!$F$14,2)</f>
        <v>0</v>
      </c>
      <c r="F25" s="132">
        <f>ROUND(+'[3]July 2019 Combined'!$F$9+'[3]July 2019 Combined'!$F$14,2)</f>
        <v>0</v>
      </c>
      <c r="G25" s="215">
        <f>ROUND(+'[3]August 2019 Combined'!$F$9+'[3]August 2019 Combined'!$F$14,2)</f>
        <v>0</v>
      </c>
      <c r="H25" s="171">
        <f>+'[3]September 2019 Combined'!$F$9+'[3]September 2019 Combined'!$F$14</f>
        <v>0</v>
      </c>
      <c r="I25" s="211">
        <f>+'[3]October 2019 Combined'!$F$9+'[3]October 2019 Combined'!$F$14</f>
        <v>0</v>
      </c>
      <c r="J25" s="146">
        <f t="shared" ref="J25:L26" si="7">J21*$M25</f>
        <v>0</v>
      </c>
      <c r="K25" s="55">
        <f t="shared" si="7"/>
        <v>0</v>
      </c>
      <c r="L25" s="77">
        <f t="shared" si="7"/>
        <v>0</v>
      </c>
      <c r="M25" s="88">
        <v>0</v>
      </c>
      <c r="P25" s="183">
        <f>+M25+'PCR Cycle 2'!M25+'TDR Cycle 1'!M15+'TDR Cycle 2'!N15+EOR!M15</f>
        <v>3.6199999999999995E-3</v>
      </c>
    </row>
    <row r="26" spans="1:16" x14ac:dyDescent="0.25">
      <c r="A26" t="str">
        <f>A22</f>
        <v>Non-Residential</v>
      </c>
      <c r="C26" s="120">
        <v>-22679.65712</v>
      </c>
      <c r="D26" s="132">
        <f>ROUND(+'[3]May 2019 Combined'!$F$10+'[3]May 2019 Combined'!$F$15,2)</f>
        <v>6318.8</v>
      </c>
      <c r="E26" s="132">
        <f>ROUND(+'[3]June 2019 Combined'!$F$10+'[3]June 2019 Combined'!$F$15,2)</f>
        <v>6725.5</v>
      </c>
      <c r="F26" s="132">
        <f>ROUND(+'[3]July 2019 Combined'!$F$10+'[3]July 2019 Combined'!$F$15,2)</f>
        <v>7698.3</v>
      </c>
      <c r="G26" s="215">
        <f>ROUND(+'[3]August 2019 Combined'!$F$10+'[3]August 2019 Combined'!$F$15,2)</f>
        <v>-5519.33</v>
      </c>
      <c r="H26" s="171">
        <f>+'[3]September 2019 Combined'!$F$10+'[3]September 2019 Combined'!$F$15</f>
        <v>0</v>
      </c>
      <c r="I26" s="211">
        <f>+'[3]October 2019 Combined'!$F$10+'[3]October 2019 Combined'!$F$15</f>
        <v>0</v>
      </c>
      <c r="J26" s="146">
        <f t="shared" si="7"/>
        <v>0</v>
      </c>
      <c r="K26" s="55">
        <f t="shared" si="7"/>
        <v>0</v>
      </c>
      <c r="L26" s="77">
        <f t="shared" si="7"/>
        <v>0</v>
      </c>
      <c r="M26" s="88">
        <v>0</v>
      </c>
      <c r="P26" s="183">
        <f>+M26+'PCR Cycle 2'!M26+'TDR Cycle 1'!M16+'TDR Cycle 2'!N16+EOR!M16</f>
        <v>2.5199999999999997E-3</v>
      </c>
    </row>
    <row r="27" spans="1:16" x14ac:dyDescent="0.25">
      <c r="C27" s="83"/>
      <c r="D27" s="18"/>
      <c r="E27" s="18"/>
      <c r="F27" s="18"/>
      <c r="G27" s="114"/>
      <c r="H27" s="18"/>
      <c r="I27" s="11"/>
      <c r="J27" s="72"/>
      <c r="K27" s="72"/>
      <c r="L27" s="13"/>
      <c r="M27" s="4"/>
    </row>
    <row r="28" spans="1:16" ht="15.75" thickBot="1" x14ac:dyDescent="0.3">
      <c r="A28" t="s">
        <v>16</v>
      </c>
      <c r="C28" s="126">
        <v>-74.37</v>
      </c>
      <c r="D28" s="135">
        <v>36.99</v>
      </c>
      <c r="E28" s="135">
        <v>16.84</v>
      </c>
      <c r="F28" s="136">
        <v>-4.93</v>
      </c>
      <c r="G28" s="39">
        <v>0</v>
      </c>
      <c r="H28" s="145">
        <v>0</v>
      </c>
      <c r="I28" s="210">
        <v>0</v>
      </c>
      <c r="J28" s="208"/>
      <c r="K28" s="166"/>
      <c r="L28" s="100"/>
    </row>
    <row r="29" spans="1:16" x14ac:dyDescent="0.25">
      <c r="C29" s="122"/>
      <c r="D29" s="44"/>
      <c r="E29" s="44"/>
      <c r="F29" s="44"/>
      <c r="G29" s="41"/>
      <c r="H29" s="44"/>
      <c r="I29" s="11"/>
      <c r="J29" s="17"/>
      <c r="K29" s="17"/>
      <c r="L29" s="11"/>
    </row>
    <row r="30" spans="1:16" x14ac:dyDescent="0.25">
      <c r="A30" t="s">
        <v>68</v>
      </c>
      <c r="C30" s="122"/>
      <c r="D30" s="44"/>
      <c r="E30" s="44"/>
      <c r="F30" s="44"/>
      <c r="G30" s="41"/>
      <c r="H30" s="44"/>
      <c r="I30" s="11"/>
      <c r="J30" s="17"/>
      <c r="K30" s="17"/>
      <c r="L30" s="11"/>
    </row>
    <row r="31" spans="1:16" x14ac:dyDescent="0.25">
      <c r="A31" s="62" t="s">
        <v>29</v>
      </c>
      <c r="C31" s="54">
        <f t="shared" ref="C31:C32" si="8">C17-C25</f>
        <v>0</v>
      </c>
      <c r="D31" s="55">
        <f t="shared" ref="D31:I32" si="9">D17-D25</f>
        <v>0</v>
      </c>
      <c r="E31" s="55">
        <f t="shared" si="9"/>
        <v>0</v>
      </c>
      <c r="F31" s="131">
        <f t="shared" ref="F31:H31" si="10">F17-F25</f>
        <v>0</v>
      </c>
      <c r="G31" s="54">
        <f t="shared" si="10"/>
        <v>0</v>
      </c>
      <c r="H31" s="55">
        <f t="shared" si="10"/>
        <v>0</v>
      </c>
      <c r="I31" s="77">
        <f t="shared" si="9"/>
        <v>0</v>
      </c>
      <c r="J31" s="146">
        <f t="shared" ref="J31:K31" si="11">J17-J25</f>
        <v>0</v>
      </c>
      <c r="K31" s="55">
        <f t="shared" si="11"/>
        <v>0</v>
      </c>
      <c r="L31" s="65">
        <f t="shared" ref="L31" si="12">L17-L25</f>
        <v>0</v>
      </c>
    </row>
    <row r="32" spans="1:16" x14ac:dyDescent="0.25">
      <c r="A32" t="s">
        <v>30</v>
      </c>
      <c r="C32" s="54">
        <f t="shared" si="8"/>
        <v>22679.65712</v>
      </c>
      <c r="D32" s="55">
        <f t="shared" si="9"/>
        <v>-6318.8</v>
      </c>
      <c r="E32" s="55">
        <f t="shared" si="9"/>
        <v>-6725.5</v>
      </c>
      <c r="F32" s="131">
        <f t="shared" ref="F32:H32" si="13">F18-F26</f>
        <v>-7698.3</v>
      </c>
      <c r="G32" s="54">
        <f t="shared" si="13"/>
        <v>5519.33</v>
      </c>
      <c r="H32" s="55">
        <f t="shared" si="13"/>
        <v>0</v>
      </c>
      <c r="I32" s="77">
        <f t="shared" si="9"/>
        <v>0</v>
      </c>
      <c r="J32" s="146">
        <f t="shared" ref="J32:K32" si="14">J18-J26</f>
        <v>0</v>
      </c>
      <c r="K32" s="55">
        <f t="shared" si="14"/>
        <v>0</v>
      </c>
      <c r="L32" s="65">
        <f t="shared" ref="L32" si="15">L18-L26</f>
        <v>0</v>
      </c>
    </row>
    <row r="33" spans="1:13" x14ac:dyDescent="0.25">
      <c r="A33" s="62"/>
      <c r="C33" s="122"/>
      <c r="D33" s="44"/>
      <c r="E33" s="44"/>
      <c r="F33" s="44"/>
      <c r="G33" s="41"/>
      <c r="H33" s="44"/>
      <c r="I33" s="11"/>
      <c r="J33" s="17"/>
      <c r="K33" s="17"/>
      <c r="L33" s="11"/>
    </row>
    <row r="34" spans="1:13" ht="15.75" thickBot="1" x14ac:dyDescent="0.3">
      <c r="A34" s="62" t="s">
        <v>69</v>
      </c>
      <c r="C34" s="127"/>
      <c r="D34" s="44"/>
      <c r="E34" s="44"/>
      <c r="F34" s="44"/>
      <c r="G34" s="41"/>
      <c r="H34" s="44"/>
      <c r="I34" s="11"/>
      <c r="J34" s="17"/>
      <c r="K34" s="17"/>
      <c r="L34" s="11"/>
    </row>
    <row r="35" spans="1:13" x14ac:dyDescent="0.25">
      <c r="A35" s="62" t="s">
        <v>29</v>
      </c>
      <c r="B35" s="139">
        <v>0</v>
      </c>
      <c r="C35" s="55">
        <f>B35+C31+B40</f>
        <v>0</v>
      </c>
      <c r="D35" s="55">
        <f t="shared" ref="D35" si="16">C35+D31+C40</f>
        <v>0</v>
      </c>
      <c r="E35" s="55">
        <f t="shared" ref="E35:I36" si="17">D35+E31+D40</f>
        <v>0</v>
      </c>
      <c r="F35" s="131">
        <f t="shared" si="17"/>
        <v>0</v>
      </c>
      <c r="G35" s="54">
        <f t="shared" si="17"/>
        <v>0</v>
      </c>
      <c r="H35" s="55">
        <f t="shared" si="17"/>
        <v>0</v>
      </c>
      <c r="I35" s="77">
        <f t="shared" si="17"/>
        <v>0</v>
      </c>
      <c r="J35" s="146">
        <f t="shared" ref="J35:J36" si="18">I35+J31+I40</f>
        <v>0</v>
      </c>
      <c r="K35" s="55">
        <f t="shared" ref="K35:L36" si="19">J35+K31+J40</f>
        <v>0</v>
      </c>
      <c r="L35" s="65">
        <f t="shared" si="19"/>
        <v>0</v>
      </c>
    </row>
    <row r="36" spans="1:13" ht="15.75" thickBot="1" x14ac:dyDescent="0.3">
      <c r="A36" s="62" t="s">
        <v>30</v>
      </c>
      <c r="B36" s="140">
        <f>-7430.94+0.02</f>
        <v>-7430.9199999999992</v>
      </c>
      <c r="C36" s="55">
        <f>B36+C32+B41</f>
        <v>15248.737120000002</v>
      </c>
      <c r="D36" s="55">
        <f t="shared" ref="D36" si="20">C36+D32+C41</f>
        <v>8855.5671200000015</v>
      </c>
      <c r="E36" s="55">
        <f t="shared" si="17"/>
        <v>2167.0571200000013</v>
      </c>
      <c r="F36" s="131">
        <f t="shared" si="17"/>
        <v>-5514.4028799999987</v>
      </c>
      <c r="G36" s="54">
        <f t="shared" si="17"/>
        <v>-2.8799999988038394E-3</v>
      </c>
      <c r="H36" s="55">
        <f t="shared" si="17"/>
        <v>-2.8799999988038394E-3</v>
      </c>
      <c r="I36" s="77">
        <f t="shared" si="17"/>
        <v>-2.8799999988038394E-3</v>
      </c>
      <c r="J36" s="146">
        <f t="shared" si="18"/>
        <v>-2.8799999988038394E-3</v>
      </c>
      <c r="K36" s="55">
        <f t="shared" si="19"/>
        <v>-2.8799999988038394E-3</v>
      </c>
      <c r="L36" s="65">
        <f t="shared" si="19"/>
        <v>-2.8799999988038394E-3</v>
      </c>
    </row>
    <row r="37" spans="1:13" x14ac:dyDescent="0.25">
      <c r="C37" s="122"/>
      <c r="D37" s="44"/>
      <c r="E37" s="44"/>
      <c r="F37" s="44"/>
      <c r="G37" s="41"/>
      <c r="H37" s="44"/>
      <c r="I37" s="11"/>
      <c r="J37" s="17"/>
      <c r="K37" s="17"/>
      <c r="L37" s="11"/>
    </row>
    <row r="38" spans="1:13" s="62" customFormat="1" x14ac:dyDescent="0.25">
      <c r="A38" s="53" t="s">
        <v>65</v>
      </c>
      <c r="B38" s="53"/>
      <c r="C38" s="127"/>
      <c r="D38" s="223">
        <f>+'[4]May 2019'!$F$43</f>
        <v>3.0790499999999998E-3</v>
      </c>
      <c r="E38" s="102">
        <f>+'[4]June 2019'!$F$43</f>
        <v>3.0450199999999998E-3</v>
      </c>
      <c r="F38" s="102">
        <f>+'[4]July 2019'!$F$43</f>
        <v>2.9619300000000002E-3</v>
      </c>
      <c r="G38" s="103">
        <f>+'[4]Aug 2019'!$F$43</f>
        <v>2.8524499999999999E-3</v>
      </c>
      <c r="H38" s="102">
        <f>+'[4]Sept 2019'!$F$43</f>
        <v>2.7438599999999999E-3</v>
      </c>
      <c r="I38" s="115">
        <f>+'[4]Oct 2019'!$F$43</f>
        <v>2.60867E-3</v>
      </c>
      <c r="J38" s="102">
        <f>+I38</f>
        <v>2.60867E-3</v>
      </c>
      <c r="K38" s="102">
        <f>+J38</f>
        <v>2.60867E-3</v>
      </c>
      <c r="L38" s="115"/>
    </row>
    <row r="39" spans="1:13" x14ac:dyDescent="0.25">
      <c r="A39" s="53" t="s">
        <v>44</v>
      </c>
      <c r="B39" s="53"/>
      <c r="C39" s="122"/>
      <c r="D39" s="44"/>
      <c r="E39" s="44"/>
      <c r="F39" s="44"/>
      <c r="G39" s="41"/>
      <c r="H39" s="44"/>
      <c r="I39" s="11"/>
      <c r="J39" s="17"/>
      <c r="K39" s="17"/>
      <c r="L39" s="11"/>
      <c r="M39" s="87"/>
    </row>
    <row r="40" spans="1:13" x14ac:dyDescent="0.25">
      <c r="A40" s="62" t="s">
        <v>29</v>
      </c>
      <c r="C40" s="54">
        <v>0</v>
      </c>
      <c r="D40" s="55">
        <f t="shared" ref="D40" si="21">ROUND((C35+C40+D31/2)*D$38,2)</f>
        <v>0</v>
      </c>
      <c r="E40" s="55">
        <f t="shared" ref="E40:I41" si="22">ROUND((D35+D40+E31/2)*E$38,2)</f>
        <v>0</v>
      </c>
      <c r="F40" s="131">
        <f t="shared" si="22"/>
        <v>0</v>
      </c>
      <c r="G40" s="220">
        <f>ROUND((F35+F40+G31/2)*G$38,2)*0</f>
        <v>0</v>
      </c>
      <c r="H40" s="146">
        <f t="shared" si="22"/>
        <v>0</v>
      </c>
      <c r="I40" s="65">
        <f t="shared" si="22"/>
        <v>0</v>
      </c>
      <c r="J40" s="146">
        <f t="shared" ref="J40:J41" si="23">ROUND((I35+I40+J31/2)*J$38,2)</f>
        <v>0</v>
      </c>
      <c r="K40" s="146">
        <f>ROUND((J35+J40+K31/2)*K$38,2)</f>
        <v>0</v>
      </c>
      <c r="L40" s="65"/>
    </row>
    <row r="41" spans="1:13" ht="15.75" thickBot="1" x14ac:dyDescent="0.3">
      <c r="A41" t="s">
        <v>30</v>
      </c>
      <c r="C41" s="137">
        <v>-74.37</v>
      </c>
      <c r="D41" s="55">
        <f>ROUND((C36+C41+D32/2)*D$38,2)</f>
        <v>36.99</v>
      </c>
      <c r="E41" s="55">
        <f t="shared" si="22"/>
        <v>16.84</v>
      </c>
      <c r="F41" s="131">
        <f t="shared" si="22"/>
        <v>-4.93</v>
      </c>
      <c r="G41" s="54">
        <f>ROUND((F36+F41+G32/2)*G$38,2)*0</f>
        <v>0</v>
      </c>
      <c r="H41" s="146">
        <f t="shared" si="22"/>
        <v>0</v>
      </c>
      <c r="I41" s="65">
        <f t="shared" si="22"/>
        <v>0</v>
      </c>
      <c r="J41" s="146">
        <f t="shared" si="23"/>
        <v>0</v>
      </c>
      <c r="K41" s="146">
        <f>ROUND((J36+J41+K32/2)*K$38,2)</f>
        <v>0</v>
      </c>
      <c r="L41" s="65"/>
    </row>
    <row r="42" spans="1:13" ht="16.5" thickTop="1" thickBot="1" x14ac:dyDescent="0.3">
      <c r="A42" s="70" t="s">
        <v>25</v>
      </c>
      <c r="B42" s="70"/>
      <c r="C42" s="138">
        <v>0</v>
      </c>
      <c r="D42" s="46">
        <f t="shared" ref="D42:I42" si="24">SUM(D40:D41)+SUM(D35:D36)-D45</f>
        <v>0</v>
      </c>
      <c r="E42" s="46">
        <f t="shared" si="24"/>
        <v>0</v>
      </c>
      <c r="F42" s="66">
        <f t="shared" ref="F42:H42" si="25">SUM(F40:F41)+SUM(F35:F36)-F45</f>
        <v>0</v>
      </c>
      <c r="G42" s="147">
        <f t="shared" si="25"/>
        <v>2.9132252166164108E-13</v>
      </c>
      <c r="H42" s="46">
        <f t="shared" si="25"/>
        <v>2.9132252166164108E-13</v>
      </c>
      <c r="I42" s="78">
        <f t="shared" si="24"/>
        <v>2.9132252166164108E-13</v>
      </c>
      <c r="J42" s="192">
        <f t="shared" ref="J42:K42" si="26">SUM(J40:J41)+SUM(J35:J36)-J45</f>
        <v>2.9132252166164108E-13</v>
      </c>
      <c r="K42" s="46">
        <f t="shared" si="26"/>
        <v>2.9132252166164108E-13</v>
      </c>
      <c r="L42" s="119">
        <f t="shared" ref="L42" si="27">SUM(L40:L41)+SUM(L35:L36)-L45</f>
        <v>2.9132252166164108E-13</v>
      </c>
    </row>
    <row r="43" spans="1:13" ht="16.5" thickTop="1" thickBot="1" x14ac:dyDescent="0.3">
      <c r="A43" s="70" t="s">
        <v>26</v>
      </c>
      <c r="B43" s="70"/>
      <c r="C43" s="130">
        <v>0</v>
      </c>
      <c r="D43" s="46">
        <f t="shared" ref="D43:I43" si="28">SUM(D40:D41)-D28</f>
        <v>0</v>
      </c>
      <c r="E43" s="46">
        <f t="shared" si="28"/>
        <v>0</v>
      </c>
      <c r="F43" s="66">
        <f t="shared" ref="F43:H43" si="29">SUM(F40:F41)-F28</f>
        <v>0</v>
      </c>
      <c r="G43" s="67">
        <f t="shared" si="29"/>
        <v>0</v>
      </c>
      <c r="H43" s="46">
        <f t="shared" si="29"/>
        <v>0</v>
      </c>
      <c r="I43" s="78">
        <f t="shared" si="28"/>
        <v>0</v>
      </c>
      <c r="J43" s="192">
        <f t="shared" ref="J43:K43" si="30">SUM(J40:J41)-J28</f>
        <v>0</v>
      </c>
      <c r="K43" s="46">
        <f t="shared" si="30"/>
        <v>0</v>
      </c>
      <c r="L43" s="119">
        <f t="shared" ref="L43" si="31">SUM(L40:L41)-L28</f>
        <v>0</v>
      </c>
    </row>
    <row r="44" spans="1:13" ht="16.5" thickTop="1" thickBot="1" x14ac:dyDescent="0.3">
      <c r="C44" s="122"/>
      <c r="D44" s="17"/>
      <c r="E44" s="17"/>
      <c r="F44" s="17"/>
      <c r="G44" s="10"/>
      <c r="H44" s="17"/>
      <c r="I44" s="11"/>
      <c r="J44" s="17"/>
      <c r="K44" s="17"/>
      <c r="L44" s="11"/>
    </row>
    <row r="45" spans="1:13" ht="15.75" thickBot="1" x14ac:dyDescent="0.3">
      <c r="A45" t="s">
        <v>42</v>
      </c>
      <c r="B45" s="142">
        <f>+B35+B36</f>
        <v>-7430.9199999999992</v>
      </c>
      <c r="C45" s="54">
        <f t="shared" ref="C45:I45" si="32">(SUM(C10:C14)-SUM(C25:C26))+SUM(C40:C41)+B45</f>
        <v>15174.367120000003</v>
      </c>
      <c r="D45" s="55">
        <f t="shared" si="32"/>
        <v>8892.5571200000013</v>
      </c>
      <c r="E45" s="55">
        <f t="shared" si="32"/>
        <v>2183.8971200000015</v>
      </c>
      <c r="F45" s="131">
        <f t="shared" si="32"/>
        <v>-5519.332879999999</v>
      </c>
      <c r="G45" s="54">
        <f t="shared" si="32"/>
        <v>-2.8799999990951619E-3</v>
      </c>
      <c r="H45" s="55">
        <f t="shared" si="32"/>
        <v>-2.8799999990951619E-3</v>
      </c>
      <c r="I45" s="77">
        <f t="shared" si="32"/>
        <v>-2.8799999990951619E-3</v>
      </c>
      <c r="J45" s="146">
        <f t="shared" ref="J45" si="33">(SUM(J10:J14)-SUM(J25:J26))+SUM(J40:J41)+I45</f>
        <v>-2.8799999990951619E-3</v>
      </c>
      <c r="K45" s="55">
        <f t="shared" ref="K45:L45" si="34">(SUM(K10:K14)-SUM(K25:K26))+SUM(K40:K41)+J45</f>
        <v>-2.8799999990951619E-3</v>
      </c>
      <c r="L45" s="77">
        <f t="shared" si="34"/>
        <v>-2.8799999990951619E-3</v>
      </c>
    </row>
    <row r="46" spans="1:13" x14ac:dyDescent="0.25">
      <c r="C46" s="143"/>
      <c r="D46" s="72"/>
      <c r="E46" s="19"/>
      <c r="F46" s="72"/>
      <c r="G46" s="12"/>
      <c r="H46" s="72"/>
      <c r="I46" s="11"/>
      <c r="J46" s="17"/>
      <c r="K46" s="17"/>
      <c r="L46" s="11"/>
    </row>
    <row r="47" spans="1:13" ht="15.75" thickBot="1" x14ac:dyDescent="0.3">
      <c r="A47" s="62"/>
      <c r="B47" s="17"/>
      <c r="C47" s="57"/>
      <c r="D47" s="58"/>
      <c r="E47" s="58"/>
      <c r="F47" s="58"/>
      <c r="G47" s="57"/>
      <c r="H47" s="58"/>
      <c r="I47" s="59"/>
      <c r="J47" s="58"/>
      <c r="K47" s="58"/>
      <c r="L47" s="59"/>
    </row>
    <row r="49" spans="1:14" x14ac:dyDescent="0.25">
      <c r="A49" s="85" t="s">
        <v>13</v>
      </c>
      <c r="B49" s="85"/>
      <c r="C49" s="85"/>
      <c r="D49" s="60"/>
      <c r="E49" s="60"/>
      <c r="I49" s="60"/>
      <c r="M49" s="60"/>
      <c r="N49" s="60"/>
    </row>
    <row r="50" spans="1:14" x14ac:dyDescent="0.25">
      <c r="A50" s="271" t="s">
        <v>112</v>
      </c>
      <c r="B50" s="271"/>
      <c r="C50" s="271"/>
      <c r="D50" s="271"/>
      <c r="E50" s="271"/>
      <c r="F50" s="271"/>
      <c r="G50" s="271"/>
      <c r="H50" s="271"/>
      <c r="I50" s="271"/>
      <c r="J50" s="163"/>
      <c r="K50" s="163"/>
      <c r="L50" s="113"/>
      <c r="M50" s="60"/>
      <c r="N50" s="60"/>
    </row>
    <row r="51" spans="1:14" ht="27" customHeight="1" x14ac:dyDescent="0.25">
      <c r="A51" s="271" t="s">
        <v>149</v>
      </c>
      <c r="B51" s="271"/>
      <c r="C51" s="271"/>
      <c r="D51" s="271"/>
      <c r="E51" s="271"/>
      <c r="F51" s="271"/>
      <c r="G51" s="271"/>
      <c r="H51" s="271"/>
      <c r="I51" s="271"/>
      <c r="J51" s="163"/>
      <c r="K51" s="163"/>
      <c r="L51" s="113"/>
      <c r="M51" s="60"/>
      <c r="N51" s="60"/>
    </row>
    <row r="52" spans="1:14" ht="31.5" customHeight="1" x14ac:dyDescent="0.25">
      <c r="A52" s="271" t="s">
        <v>150</v>
      </c>
      <c r="B52" s="271"/>
      <c r="C52" s="271"/>
      <c r="D52" s="271"/>
      <c r="E52" s="271"/>
      <c r="F52" s="271"/>
      <c r="G52" s="271"/>
      <c r="H52" s="271"/>
      <c r="I52" s="271"/>
      <c r="J52" s="163"/>
      <c r="K52" s="163"/>
      <c r="L52" s="113"/>
      <c r="M52" s="60"/>
      <c r="N52" s="60"/>
    </row>
    <row r="53" spans="1:14" x14ac:dyDescent="0.25">
      <c r="A53" s="3" t="s">
        <v>37</v>
      </c>
      <c r="B53" s="3"/>
      <c r="C53" s="3"/>
      <c r="D53" s="60"/>
      <c r="E53" s="60"/>
      <c r="I53" s="4"/>
      <c r="M53" s="60"/>
      <c r="N53" s="60"/>
    </row>
    <row r="54" spans="1:14" s="62" customFormat="1" x14ac:dyDescent="0.25">
      <c r="A54" s="79" t="s">
        <v>143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60"/>
      <c r="E55" s="60"/>
      <c r="I55" s="4"/>
      <c r="M55" s="60"/>
      <c r="N55" s="60"/>
    </row>
    <row r="56" spans="1:14" x14ac:dyDescent="0.25">
      <c r="C56" s="63"/>
      <c r="D56" s="60"/>
      <c r="E56" s="60"/>
      <c r="I56" s="60"/>
      <c r="M56" s="60"/>
      <c r="N56" s="60"/>
    </row>
    <row r="57" spans="1:14" x14ac:dyDescent="0.25">
      <c r="C57" s="63"/>
      <c r="D57" s="60"/>
      <c r="E57" s="60"/>
      <c r="I57" s="60"/>
      <c r="M57" s="60"/>
      <c r="N57" s="60"/>
    </row>
    <row r="58" spans="1:14" x14ac:dyDescent="0.25">
      <c r="C58" s="63"/>
      <c r="D58" s="60"/>
      <c r="E58" s="60"/>
      <c r="G58" s="60"/>
      <c r="I58" s="62"/>
      <c r="M58" s="60"/>
      <c r="N58" s="60"/>
    </row>
    <row r="59" spans="1:14" x14ac:dyDescent="0.25">
      <c r="D59" s="222"/>
      <c r="E59" s="222"/>
      <c r="F59" s="222"/>
      <c r="G59" s="222"/>
      <c r="H59" s="222"/>
      <c r="I59" s="222"/>
      <c r="M59" s="60"/>
      <c r="N59" s="60"/>
    </row>
    <row r="60" spans="1:14" x14ac:dyDescent="0.25">
      <c r="D60" s="60"/>
      <c r="E60" s="60"/>
      <c r="I60" s="60"/>
      <c r="M60" s="60"/>
      <c r="N60" s="60"/>
    </row>
    <row r="61" spans="1:14" x14ac:dyDescent="0.25">
      <c r="D61" s="60"/>
      <c r="E61" s="60"/>
      <c r="I61" s="60"/>
      <c r="M61" s="60"/>
      <c r="N61" s="60"/>
    </row>
    <row r="62" spans="1:14" x14ac:dyDescent="0.25">
      <c r="D62" s="60"/>
      <c r="E62" s="60"/>
      <c r="I62" s="60"/>
      <c r="M62" s="60"/>
      <c r="N62" s="60"/>
    </row>
    <row r="63" spans="1:14" x14ac:dyDescent="0.25">
      <c r="D63" s="60"/>
      <c r="E63" s="60"/>
      <c r="I63" s="60"/>
      <c r="M63" s="60"/>
      <c r="N63" s="60"/>
    </row>
    <row r="65" spans="13:13" x14ac:dyDescent="0.25">
      <c r="M65" s="8"/>
    </row>
  </sheetData>
  <mergeCells count="4">
    <mergeCell ref="A50:I50"/>
    <mergeCell ref="A51:I51"/>
    <mergeCell ref="A52:I52"/>
    <mergeCell ref="D8:F8"/>
  </mergeCells>
  <pageMargins left="0.2" right="0.2" top="0.75" bottom="0.25" header="0.3" footer="0.3"/>
  <pageSetup scale="56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65"/>
  <sheetViews>
    <sheetView workbookViewId="0">
      <pane xSplit="2" ySplit="9" topLeftCell="L34" activePane="bottomRight" state="frozen"/>
      <selection activeCell="J18" sqref="J18"/>
      <selection pane="topRight" activeCell="J18" sqref="J18"/>
      <selection pane="bottomLeft" activeCell="J18" sqref="J18"/>
      <selection pane="bottomRight" activeCell="O1" sqref="O1:O1048576"/>
    </sheetView>
  </sheetViews>
  <sheetFormatPr defaultRowHeight="15" x14ac:dyDescent="0.25"/>
  <cols>
    <col min="1" max="1" width="54.5703125" style="62" customWidth="1"/>
    <col min="2" max="2" width="14.7109375" style="62" customWidth="1"/>
    <col min="3" max="3" width="15" style="62" customWidth="1"/>
    <col min="4" max="4" width="15.28515625" style="62" customWidth="1"/>
    <col min="5" max="5" width="15.85546875" style="62" customWidth="1"/>
    <col min="6" max="6" width="17.5703125" style="62" customWidth="1"/>
    <col min="7" max="8" width="13.28515625" style="62" customWidth="1"/>
    <col min="9" max="9" width="15.7109375" style="62" customWidth="1"/>
    <col min="10" max="11" width="12.5703125" style="62" bestFit="1" customWidth="1"/>
    <col min="12" max="12" width="14.42578125" style="62" customWidth="1"/>
    <col min="13" max="13" width="15" style="62" bestFit="1" customWidth="1"/>
    <col min="14" max="14" width="16.28515625" style="62" bestFit="1" customWidth="1"/>
    <col min="15" max="15" width="16.140625" style="62" customWidth="1"/>
    <col min="16" max="16" width="17.28515625" style="62" bestFit="1" customWidth="1"/>
    <col min="17" max="17" width="17.42578125" style="62" customWidth="1"/>
    <col min="18" max="18" width="15.5703125" style="62" customWidth="1"/>
    <col min="19" max="19" width="13" style="62" customWidth="1"/>
    <col min="20" max="20" width="9.140625" style="62"/>
    <col min="21" max="21" width="14.28515625" style="62" bestFit="1" customWidth="1"/>
    <col min="22" max="16384" width="9.140625" style="62"/>
  </cols>
  <sheetData>
    <row r="1" spans="1:34" x14ac:dyDescent="0.25">
      <c r="A1" s="3" t="str">
        <f>+PPC!A1</f>
        <v>Evergy Metro, Inc. - DSIM Rider Update Filed 12/02/2019</v>
      </c>
      <c r="B1" s="3"/>
      <c r="C1" s="3"/>
    </row>
    <row r="2" spans="1:34" x14ac:dyDescent="0.25">
      <c r="D2" s="3" t="s">
        <v>81</v>
      </c>
    </row>
    <row r="3" spans="1:34" ht="30" x14ac:dyDescent="0.25">
      <c r="D3" s="64" t="s">
        <v>62</v>
      </c>
      <c r="E3" s="64" t="s">
        <v>61</v>
      </c>
      <c r="F3" s="86" t="s">
        <v>2</v>
      </c>
      <c r="G3" s="64" t="s">
        <v>3</v>
      </c>
      <c r="H3" s="86" t="s">
        <v>71</v>
      </c>
      <c r="I3" s="64" t="s">
        <v>11</v>
      </c>
      <c r="J3" s="64" t="s">
        <v>4</v>
      </c>
    </row>
    <row r="4" spans="1:34" x14ac:dyDescent="0.25">
      <c r="A4" s="62" t="s">
        <v>29</v>
      </c>
      <c r="D4" s="24">
        <f>SUM(C25:L25)</f>
        <v>3676414.3998599998</v>
      </c>
      <c r="E4" s="161">
        <f>SUM(C21:L21)</f>
        <v>1380664357.1892004</v>
      </c>
      <c r="F4" s="24">
        <f>SUM(C17:K17)</f>
        <v>4652955.835</v>
      </c>
      <c r="G4" s="24">
        <f>F4-D4</f>
        <v>976541.43514000019</v>
      </c>
      <c r="H4" s="24">
        <f>+B35</f>
        <v>778269.76985999977</v>
      </c>
      <c r="I4" s="24">
        <f>SUM(C40:K40)</f>
        <v>29324.16</v>
      </c>
      <c r="J4" s="36">
        <f>SUM(G4:I4)</f>
        <v>1784135.365</v>
      </c>
      <c r="K4" s="63">
        <f>+J4-L35</f>
        <v>0</v>
      </c>
    </row>
    <row r="5" spans="1:34" ht="15.75" thickBot="1" x14ac:dyDescent="0.3">
      <c r="A5" s="62" t="s">
        <v>30</v>
      </c>
      <c r="D5" s="24">
        <f>SUM(C26:L26)</f>
        <v>4787601.4367200006</v>
      </c>
      <c r="E5" s="161">
        <f>SUM(C22:L22)</f>
        <v>2137617382.3496001</v>
      </c>
      <c r="F5" s="24">
        <f>SUM(C18:K18)</f>
        <v>4758588.3650000002</v>
      </c>
      <c r="G5" s="24">
        <f>F5-D5</f>
        <v>-29013.071720000356</v>
      </c>
      <c r="H5" s="24">
        <f>+B36</f>
        <v>-117276.03327999997</v>
      </c>
      <c r="I5" s="24">
        <f>SUM(C41:K41)</f>
        <v>-1874.4900000000002</v>
      </c>
      <c r="J5" s="36">
        <f>SUM(G5:I5)</f>
        <v>-148163.59500000032</v>
      </c>
      <c r="K5" s="63">
        <f>+J5-L36</f>
        <v>-3.2014213502407074E-10</v>
      </c>
    </row>
    <row r="6" spans="1:34" ht="16.5" thickTop="1" thickBot="1" x14ac:dyDescent="0.3">
      <c r="D6" s="40">
        <f t="shared" ref="D6" si="0">SUM(D4:D5)</f>
        <v>8464015.8365800008</v>
      </c>
      <c r="E6" s="162">
        <f t="shared" ref="E6:H6" si="1">SUM(E4:E5)</f>
        <v>3518281739.5388002</v>
      </c>
      <c r="F6" s="40">
        <f t="shared" si="1"/>
        <v>9411544.1999999993</v>
      </c>
      <c r="G6" s="40">
        <f t="shared" si="1"/>
        <v>947528.36341999983</v>
      </c>
      <c r="H6" s="40">
        <f t="shared" si="1"/>
        <v>660993.73657999979</v>
      </c>
      <c r="I6" s="94">
        <f>SUM(I4:I5)</f>
        <v>27449.67</v>
      </c>
      <c r="J6" s="40">
        <f>SUM(J4:J5)</f>
        <v>1635971.7699999996</v>
      </c>
    </row>
    <row r="7" spans="1:34" ht="16.5" thickTop="1" thickBot="1" x14ac:dyDescent="0.3"/>
    <row r="8" spans="1:34" ht="75.75" thickBot="1" x14ac:dyDescent="0.3">
      <c r="B8" s="141" t="str">
        <f>+'PCR Cycle 1'!B8</f>
        <v>Cumulative Over/Under Carryover From 06/01/2019 Filing</v>
      </c>
      <c r="C8" s="179" t="str">
        <f>+'PCR Cycle 1'!C8</f>
        <v>Reverse May-19 - October-19  Forecast From 06/01/2019 Filing</v>
      </c>
      <c r="D8" s="272" t="s">
        <v>39</v>
      </c>
      <c r="E8" s="272"/>
      <c r="F8" s="273"/>
      <c r="G8" s="267" t="s">
        <v>39</v>
      </c>
      <c r="H8" s="268"/>
      <c r="I8" s="269"/>
      <c r="J8" s="274" t="s">
        <v>9</v>
      </c>
      <c r="K8" s="275"/>
      <c r="L8" s="276"/>
    </row>
    <row r="9" spans="1:34" x14ac:dyDescent="0.25">
      <c r="A9" s="62" t="s">
        <v>38</v>
      </c>
      <c r="C9" s="14"/>
      <c r="D9" s="20">
        <f>+'PCR Cycle 1'!D9</f>
        <v>43616</v>
      </c>
      <c r="E9" s="20">
        <f t="shared" ref="E9:L9" si="2">EOMONTH(D9,1)</f>
        <v>43646</v>
      </c>
      <c r="F9" s="20">
        <f t="shared" si="2"/>
        <v>43677</v>
      </c>
      <c r="G9" s="14">
        <f t="shared" si="2"/>
        <v>43708</v>
      </c>
      <c r="H9" s="20">
        <f t="shared" si="2"/>
        <v>43738</v>
      </c>
      <c r="I9" s="15">
        <f t="shared" si="2"/>
        <v>43769</v>
      </c>
      <c r="J9" s="20">
        <f t="shared" si="2"/>
        <v>43799</v>
      </c>
      <c r="K9" s="20">
        <f t="shared" si="2"/>
        <v>43830</v>
      </c>
      <c r="L9" s="118">
        <f t="shared" si="2"/>
        <v>43861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62" t="s">
        <v>29</v>
      </c>
      <c r="C10" s="120">
        <v>-949185.87000000011</v>
      </c>
      <c r="D10" s="132">
        <f>ROUND([5]Pivot!C26,2)</f>
        <v>314376.19</v>
      </c>
      <c r="E10" s="132">
        <f>ROUND([5]Pivot!D26,2)</f>
        <v>810750.2</v>
      </c>
      <c r="F10" s="133">
        <f>ROUND([5]Pivot!E26,2)</f>
        <v>897022.07</v>
      </c>
      <c r="G10" s="16">
        <f>ROUND([5]Pivot!F26,2)</f>
        <v>-125930.97</v>
      </c>
      <c r="H10" s="71">
        <f>ROUND([5]Pivot!G26,2)</f>
        <v>514194.92</v>
      </c>
      <c r="I10" s="193">
        <f>ROUND([5]Pivot!H26,2)</f>
        <v>739913.82</v>
      </c>
      <c r="J10" s="206">
        <f>ROUND('[2]Program Costs - Metro'!BF153,2)</f>
        <v>495028.33</v>
      </c>
      <c r="K10" s="164">
        <f>ROUND('[2]Program Costs - Metro'!BG153,2)</f>
        <v>1299872.56</v>
      </c>
      <c r="L10" s="95"/>
    </row>
    <row r="11" spans="1:34" x14ac:dyDescent="0.25">
      <c r="A11" s="62" t="s">
        <v>30</v>
      </c>
      <c r="C11" s="120">
        <v>-1718643.65</v>
      </c>
      <c r="D11" s="132">
        <f>ROUND([5]Pivot!C27,2)</f>
        <v>690123.45</v>
      </c>
      <c r="E11" s="132">
        <f>ROUND([5]Pivot!D27,2)</f>
        <v>311753.84000000003</v>
      </c>
      <c r="F11" s="133">
        <f>ROUND([5]Pivot!E27,2)</f>
        <v>398742.61</v>
      </c>
      <c r="G11" s="16">
        <f>ROUND([5]Pivot!F27,2)</f>
        <v>649363.11</v>
      </c>
      <c r="H11" s="71">
        <f>ROUND([5]Pivot!G27,2)</f>
        <v>744000.63</v>
      </c>
      <c r="I11" s="193">
        <f>ROUND([5]Pivot!H27,2)</f>
        <v>523246.83</v>
      </c>
      <c r="J11" s="206">
        <f>ROUND('[2]Program Costs - Metro'!BF154,2)</f>
        <v>1036009.34</v>
      </c>
      <c r="K11" s="164">
        <f>ROUND('[2]Program Costs - Metro'!BG154,2)</f>
        <v>1467077.62</v>
      </c>
      <c r="L11" s="95"/>
      <c r="M11" s="79" t="s">
        <v>32</v>
      </c>
    </row>
    <row r="12" spans="1:34" x14ac:dyDescent="0.25">
      <c r="A12" s="62" t="s">
        <v>0</v>
      </c>
      <c r="C12" s="120">
        <v>-183454.51</v>
      </c>
      <c r="D12" s="132">
        <f>ROUND([5]Pivot!C28,2)</f>
        <v>60190.99</v>
      </c>
      <c r="E12" s="132">
        <f>ROUND([5]Pivot!D28,2)</f>
        <v>171495.05</v>
      </c>
      <c r="F12" s="133">
        <f>ROUND([5]Pivot!E28,2)</f>
        <v>266684.48</v>
      </c>
      <c r="G12" s="16">
        <f>ROUND([5]Pivot!F28,2)</f>
        <v>97935.9</v>
      </c>
      <c r="H12" s="71">
        <f>ROUND([5]Pivot!G28,2)</f>
        <v>152685.32</v>
      </c>
      <c r="I12" s="193">
        <f>ROUND([5]Pivot!H28,2)</f>
        <v>142319.79</v>
      </c>
      <c r="J12" s="206">
        <f>ROUND('[2]Program Costs - Metro'!BF155,2)</f>
        <v>141925.26999999999</v>
      </c>
      <c r="K12" s="164">
        <f>ROUND('[2]Program Costs - Metro'!BG155,2)</f>
        <v>167562.72</v>
      </c>
      <c r="L12" s="95"/>
      <c r="M12" s="89">
        <v>0.5</v>
      </c>
    </row>
    <row r="13" spans="1:34" x14ac:dyDescent="0.25">
      <c r="A13" s="62" t="s">
        <v>1</v>
      </c>
      <c r="C13" s="120">
        <v>0</v>
      </c>
      <c r="D13" s="132">
        <f>ROUND([5]Pivot!C29,2)</f>
        <v>55576.24</v>
      </c>
      <c r="E13" s="132">
        <f>ROUND([5]Pivot!D29,2)</f>
        <v>35511.339999999997</v>
      </c>
      <c r="F13" s="133">
        <f>ROUND([5]Pivot!E29,2)</f>
        <v>95051.58</v>
      </c>
      <c r="G13" s="16">
        <f>ROUND([5]Pivot!F29,2)</f>
        <v>14865.35</v>
      </c>
      <c r="H13" s="71">
        <f>ROUND([5]Pivot!G29,2)</f>
        <v>39381.14</v>
      </c>
      <c r="I13" s="193">
        <f>ROUND([5]Pivot!H29,2)</f>
        <v>56098.51</v>
      </c>
      <c r="J13" s="206">
        <f>ROUND('[2]Program Costs - Metro'!BF156,2)</f>
        <v>0</v>
      </c>
      <c r="K13" s="164">
        <f>ROUND('[2]Program Costs - Metro'!BG156,2)</f>
        <v>0</v>
      </c>
      <c r="L13" s="95"/>
      <c r="M13" s="79"/>
    </row>
    <row r="14" spans="1:34" x14ac:dyDescent="0.25">
      <c r="C14" s="121"/>
      <c r="D14" s="44"/>
      <c r="E14" s="44"/>
      <c r="F14" s="44"/>
      <c r="G14" s="41"/>
      <c r="H14" s="44"/>
      <c r="I14" s="11"/>
      <c r="J14" s="44"/>
      <c r="K14" s="44"/>
      <c r="L14" s="42"/>
    </row>
    <row r="15" spans="1:34" x14ac:dyDescent="0.25">
      <c r="C15" s="121"/>
      <c r="D15" s="44"/>
      <c r="E15" s="44"/>
      <c r="F15" s="44"/>
      <c r="G15" s="41"/>
      <c r="H15" s="44"/>
      <c r="I15" s="11"/>
      <c r="J15" s="44"/>
      <c r="K15" s="44"/>
      <c r="L15" s="42"/>
    </row>
    <row r="16" spans="1:34" x14ac:dyDescent="0.25">
      <c r="A16" s="62" t="s">
        <v>41</v>
      </c>
      <c r="C16" s="122"/>
      <c r="D16" s="44"/>
      <c r="E16" s="44"/>
      <c r="F16" s="44"/>
      <c r="G16" s="41"/>
      <c r="H16" s="44"/>
      <c r="I16" s="194"/>
      <c r="J16" s="17"/>
      <c r="K16" s="17"/>
      <c r="L16" s="11"/>
    </row>
    <row r="17" spans="1:14" x14ac:dyDescent="0.25">
      <c r="A17" s="62" t="s">
        <v>29</v>
      </c>
      <c r="C17" s="54">
        <f t="shared" ref="C17:K17" si="3">C10+($M$12*C$12)+($M$12*C$13)</f>
        <v>-1040913.1250000001</v>
      </c>
      <c r="D17" s="55">
        <f t="shared" si="3"/>
        <v>372259.80499999999</v>
      </c>
      <c r="E17" s="55">
        <f t="shared" si="3"/>
        <v>914253.39500000002</v>
      </c>
      <c r="F17" s="131">
        <f t="shared" si="3"/>
        <v>1077890.0999999999</v>
      </c>
      <c r="G17" s="54">
        <f t="shared" si="3"/>
        <v>-69530.345000000001</v>
      </c>
      <c r="H17" s="55">
        <f t="shared" si="3"/>
        <v>610228.14999999991</v>
      </c>
      <c r="I17" s="77">
        <f t="shared" si="3"/>
        <v>839122.97</v>
      </c>
      <c r="J17" s="146">
        <f t="shared" si="3"/>
        <v>565990.96499999997</v>
      </c>
      <c r="K17" s="55">
        <f t="shared" si="3"/>
        <v>1383653.9200000002</v>
      </c>
      <c r="L17" s="77">
        <f t="shared" ref="L17" si="4">L10+($M$12*L$12)+($M$12*L$13)+L$14*(1-$M$14)</f>
        <v>0</v>
      </c>
    </row>
    <row r="18" spans="1:14" x14ac:dyDescent="0.25">
      <c r="A18" s="62" t="s">
        <v>30</v>
      </c>
      <c r="C18" s="54">
        <f t="shared" ref="C18:K18" si="5">(C$11+$M$12*C$12)+C$13*$M$12</f>
        <v>-1810370.9049999998</v>
      </c>
      <c r="D18" s="55">
        <f t="shared" si="5"/>
        <v>748007.06499999994</v>
      </c>
      <c r="E18" s="55">
        <f t="shared" si="5"/>
        <v>415257.03499999997</v>
      </c>
      <c r="F18" s="131">
        <f t="shared" si="5"/>
        <v>579610.64</v>
      </c>
      <c r="G18" s="54">
        <f t="shared" si="5"/>
        <v>705763.73499999999</v>
      </c>
      <c r="H18" s="55">
        <f t="shared" si="5"/>
        <v>840033.86</v>
      </c>
      <c r="I18" s="77">
        <f t="shared" si="5"/>
        <v>622455.98</v>
      </c>
      <c r="J18" s="146">
        <f t="shared" si="5"/>
        <v>1106971.9749999999</v>
      </c>
      <c r="K18" s="55">
        <f t="shared" si="5"/>
        <v>1550858.9800000002</v>
      </c>
      <c r="L18" s="77">
        <f t="shared" ref="L18" si="6">(L$11+$M$12*L$12+L$14*$M$14)+L$13*$M$12</f>
        <v>0</v>
      </c>
    </row>
    <row r="19" spans="1:14" x14ac:dyDescent="0.25">
      <c r="C19" s="122"/>
      <c r="D19" s="44"/>
      <c r="E19" s="44"/>
      <c r="F19" s="44"/>
      <c r="G19" s="41"/>
      <c r="H19" s="44"/>
      <c r="I19" s="11"/>
      <c r="J19" s="17"/>
      <c r="K19" s="17"/>
      <c r="L19" s="11"/>
    </row>
    <row r="20" spans="1:14" x14ac:dyDescent="0.25">
      <c r="A20" s="53" t="s">
        <v>63</v>
      </c>
      <c r="B20" s="53"/>
      <c r="C20" s="124"/>
      <c r="D20" s="44"/>
      <c r="E20" s="44"/>
      <c r="F20" s="44"/>
      <c r="G20" s="41"/>
      <c r="H20" s="44"/>
      <c r="I20" s="11"/>
      <c r="J20" s="17"/>
      <c r="K20" s="17"/>
      <c r="L20" s="11"/>
    </row>
    <row r="21" spans="1:14" x14ac:dyDescent="0.25">
      <c r="A21" s="62" t="s">
        <v>29</v>
      </c>
      <c r="C21" s="125">
        <v>-618685363</v>
      </c>
      <c r="D21" s="134">
        <f>+'[3]May 2019 Combined'!$C$61</f>
        <v>141611603.10630003</v>
      </c>
      <c r="E21" s="134">
        <f>+'[3]June 2019 Combined'!$C$61</f>
        <v>191066375.41019997</v>
      </c>
      <c r="F21" s="134">
        <f>+'[3]July 2019 Combined'!$C$61</f>
        <v>274853973.83500004</v>
      </c>
      <c r="G21" s="214">
        <f>+'[3]August 2019 Combined'!$C$66</f>
        <v>289178916.20470035</v>
      </c>
      <c r="H21" s="217">
        <f>+'[3]September 2019 Combined'!$C$61</f>
        <v>251510125.52000004</v>
      </c>
      <c r="I21" s="212">
        <f>+'[3]October 2019 Combined'!$C$61</f>
        <v>198213542.11300012</v>
      </c>
      <c r="J21" s="207">
        <f>+'PCR Cycle 1'!J21</f>
        <v>156952287</v>
      </c>
      <c r="K21" s="165">
        <f>+'PCR Cycle 1'!K21</f>
        <v>233503187</v>
      </c>
      <c r="L21" s="96">
        <f>+'PCR Cycle 1'!L21</f>
        <v>262459710</v>
      </c>
    </row>
    <row r="22" spans="1:14" x14ac:dyDescent="0.25">
      <c r="A22" s="62" t="s">
        <v>30</v>
      </c>
      <c r="C22" s="125">
        <v>-1133982856</v>
      </c>
      <c r="D22" s="134">
        <f>+'[3]May 2019 Combined'!$C$62</f>
        <v>315314577.79310006</v>
      </c>
      <c r="E22" s="134">
        <f>+'[3]June 2019 Combined'!$C$62</f>
        <v>335591914.8994</v>
      </c>
      <c r="F22" s="134">
        <f>+'[3]July 2019 Combined'!$C$62</f>
        <v>384867228.13210005</v>
      </c>
      <c r="G22" s="214">
        <f>+'[3]August 2019 Combined'!$C$67</f>
        <v>385816525.63920003</v>
      </c>
      <c r="H22" s="217">
        <f>+'[3]September 2019 Combined'!$C$62</f>
        <v>417726543.09179997</v>
      </c>
      <c r="I22" s="212">
        <f>+'[3]October 2019 Combined'!$C$62</f>
        <v>366459490.79399991</v>
      </c>
      <c r="J22" s="207">
        <f>+'PCR Cycle 1'!J22</f>
        <v>330088492</v>
      </c>
      <c r="K22" s="165">
        <f>+'PCR Cycle 1'!K22</f>
        <v>364323104</v>
      </c>
      <c r="L22" s="96">
        <f>+'PCR Cycle 1'!L22</f>
        <v>371412362</v>
      </c>
    </row>
    <row r="23" spans="1:14" x14ac:dyDescent="0.25">
      <c r="C23" s="122"/>
      <c r="D23" s="44"/>
      <c r="E23" s="44"/>
      <c r="F23" s="44"/>
      <c r="G23" s="41"/>
      <c r="H23" s="44"/>
      <c r="I23" s="11"/>
      <c r="J23" s="17"/>
      <c r="K23" s="17"/>
      <c r="L23" s="11"/>
    </row>
    <row r="24" spans="1:14" x14ac:dyDescent="0.25">
      <c r="A24" s="62" t="s">
        <v>40</v>
      </c>
      <c r="C24" s="122"/>
      <c r="D24" s="18"/>
      <c r="E24" s="18"/>
      <c r="F24" s="18"/>
      <c r="G24" s="114"/>
      <c r="H24" s="18"/>
      <c r="I24" s="11"/>
      <c r="J24" s="73"/>
      <c r="K24" s="73"/>
      <c r="L24" s="74"/>
      <c r="M24" s="79" t="s">
        <v>66</v>
      </c>
      <c r="N24" s="53"/>
    </row>
    <row r="25" spans="1:14" x14ac:dyDescent="0.25">
      <c r="A25" s="62" t="s">
        <v>29</v>
      </c>
      <c r="C25" s="120">
        <v>136110.77986000001</v>
      </c>
      <c r="D25" s="132">
        <f>ROUND(+'[3]May 2019 Combined'!$F$34+'[3]May 2019 Combined'!$F$39,2)</f>
        <v>-30828.080000000002</v>
      </c>
      <c r="E25" s="132">
        <f>ROUND(+'[3]June 2019 Combined'!$F$34+'[3]June 2019 Combined'!$F$39,2)</f>
        <v>-41774.74</v>
      </c>
      <c r="F25" s="134">
        <f>ROUND(+'[3]July 2019 Combined'!$F$34+'[3]July 2019 Combined'!$F$39,2)</f>
        <v>-59947.74</v>
      </c>
      <c r="G25" s="215">
        <f>ROUND(+'[3]August 2019 Combined'!$F$34+'[3]August 2019 Combined'!$F$39,2)</f>
        <v>354844.94</v>
      </c>
      <c r="H25" s="71">
        <f>ROUND(+'[3]September 2019 Combined'!$F$34+'[3]September 2019 Combined'!$F$39,2)</f>
        <v>756380.92</v>
      </c>
      <c r="I25" s="209">
        <f>ROUND(+'[3]October 2019 Combined'!$F$34+'[3]October 2019 Combined'!$F$39,2)</f>
        <v>596353.62</v>
      </c>
      <c r="J25" s="146">
        <f>ROUND(J21*$M25,2)</f>
        <v>472426.38</v>
      </c>
      <c r="K25" s="55">
        <f t="shared" ref="K25:L25" si="7">ROUND(K21*$M25,2)</f>
        <v>702844.59</v>
      </c>
      <c r="L25" s="77">
        <f t="shared" si="7"/>
        <v>790003.73</v>
      </c>
      <c r="M25" s="88">
        <v>3.0099999999999997E-3</v>
      </c>
    </row>
    <row r="26" spans="1:14" x14ac:dyDescent="0.25">
      <c r="A26" s="62" t="str">
        <f>A22</f>
        <v>Non-Residential</v>
      </c>
      <c r="C26" s="120">
        <v>-2415383.4832799998</v>
      </c>
      <c r="D26" s="132">
        <f>ROUND(+'[3]May 2019 Combined'!$F$35+'[3]May 2019 Combined'!$F$40,2)</f>
        <v>671401.03</v>
      </c>
      <c r="E26" s="132">
        <f>ROUND(+'[3]June 2019 Combined'!$F$35+'[3]June 2019 Combined'!$F$40,2)</f>
        <v>715460.87</v>
      </c>
      <c r="F26" s="134">
        <f>ROUND(+'[3]July 2019 Combined'!$F$35+'[3]July 2019 Combined'!$F$40,2)</f>
        <v>819752.35</v>
      </c>
      <c r="G26" s="215">
        <f>ROUND(+'[3]August 2019 Combined'!$F$35+'[3]August 2019 Combined'!$F$40,2)</f>
        <v>857746.51</v>
      </c>
      <c r="H26" s="71">
        <f>ROUND(+'[3]September 2019 Combined'!$F$35+'[3]September 2019 Combined'!$F$40,2)</f>
        <v>930287.29</v>
      </c>
      <c r="I26" s="209">
        <f>ROUND(+'[3]October 2019 Combined'!$F$35+'[3]October 2019 Combined'!$F$40,2)</f>
        <v>820891.21</v>
      </c>
      <c r="J26" s="146">
        <f>ROUND(J22*$M26,2)</f>
        <v>739398.22</v>
      </c>
      <c r="K26" s="55">
        <f t="shared" ref="K26:L26" si="8">ROUND(K22*$M26,2)</f>
        <v>816083.75</v>
      </c>
      <c r="L26" s="77">
        <f t="shared" si="8"/>
        <v>831963.69</v>
      </c>
      <c r="M26" s="88">
        <v>2.2399999999999998E-3</v>
      </c>
    </row>
    <row r="27" spans="1:14" x14ac:dyDescent="0.25">
      <c r="C27" s="83"/>
      <c r="D27" s="18"/>
      <c r="E27" s="18"/>
      <c r="F27" s="18"/>
      <c r="G27" s="114"/>
      <c r="H27" s="18"/>
      <c r="I27" s="11"/>
      <c r="J27" s="72"/>
      <c r="K27" s="72"/>
      <c r="L27" s="13"/>
      <c r="M27" s="4"/>
    </row>
    <row r="28" spans="1:14" ht="15.75" thickBot="1" x14ac:dyDescent="0.3">
      <c r="A28" s="62" t="s">
        <v>16</v>
      </c>
      <c r="C28" s="126">
        <v>-4725.1000000000004</v>
      </c>
      <c r="D28" s="135">
        <v>997.93</v>
      </c>
      <c r="E28" s="135">
        <v>2718.7799999999997</v>
      </c>
      <c r="F28" s="136">
        <v>4953.3599999999997</v>
      </c>
      <c r="G28" s="39">
        <v>5242.7</v>
      </c>
      <c r="H28" s="145">
        <v>3942.45</v>
      </c>
      <c r="I28" s="210">
        <v>3507.95</v>
      </c>
      <c r="J28" s="208">
        <v>4176.41</v>
      </c>
      <c r="K28" s="166">
        <v>6635.18</v>
      </c>
      <c r="L28" s="100"/>
    </row>
    <row r="29" spans="1:14" x14ac:dyDescent="0.25">
      <c r="C29" s="122"/>
      <c r="D29" s="44"/>
      <c r="E29" s="44"/>
      <c r="F29" s="44"/>
      <c r="G29" s="41"/>
      <c r="H29" s="44"/>
      <c r="I29" s="11"/>
      <c r="J29" s="17"/>
      <c r="K29" s="17"/>
      <c r="L29" s="11"/>
    </row>
    <row r="30" spans="1:14" x14ac:dyDescent="0.25">
      <c r="A30" s="62" t="s">
        <v>68</v>
      </c>
      <c r="C30" s="122"/>
      <c r="D30" s="44"/>
      <c r="E30" s="44"/>
      <c r="F30" s="44"/>
      <c r="G30" s="41"/>
      <c r="H30" s="44"/>
      <c r="I30" s="11"/>
      <c r="J30" s="17"/>
      <c r="K30" s="17"/>
      <c r="L30" s="11"/>
    </row>
    <row r="31" spans="1:14" x14ac:dyDescent="0.25">
      <c r="A31" s="62" t="s">
        <v>29</v>
      </c>
      <c r="C31" s="54">
        <f t="shared" ref="C31:L32" si="9">C17-C25</f>
        <v>-1177023.9048600001</v>
      </c>
      <c r="D31" s="55">
        <f t="shared" si="9"/>
        <v>403087.88500000001</v>
      </c>
      <c r="E31" s="55">
        <f t="shared" si="9"/>
        <v>956028.13500000001</v>
      </c>
      <c r="F31" s="131">
        <f t="shared" si="9"/>
        <v>1137837.8399999999</v>
      </c>
      <c r="G31" s="54">
        <f t="shared" si="9"/>
        <v>-424375.28500000003</v>
      </c>
      <c r="H31" s="55">
        <f t="shared" si="9"/>
        <v>-146152.77000000014</v>
      </c>
      <c r="I31" s="77">
        <f t="shared" si="9"/>
        <v>242769.34999999998</v>
      </c>
      <c r="J31" s="146">
        <f t="shared" si="9"/>
        <v>93564.584999999963</v>
      </c>
      <c r="K31" s="55">
        <f t="shared" si="9"/>
        <v>680809.33000000019</v>
      </c>
      <c r="L31" s="65">
        <f t="shared" si="9"/>
        <v>-790003.73</v>
      </c>
    </row>
    <row r="32" spans="1:14" x14ac:dyDescent="0.25">
      <c r="A32" s="62" t="s">
        <v>30</v>
      </c>
      <c r="C32" s="54">
        <f t="shared" si="9"/>
        <v>605012.57828000002</v>
      </c>
      <c r="D32" s="55">
        <f t="shared" si="9"/>
        <v>76606.034999999916</v>
      </c>
      <c r="E32" s="55">
        <f t="shared" si="9"/>
        <v>-300203.83500000002</v>
      </c>
      <c r="F32" s="131">
        <f t="shared" si="9"/>
        <v>-240141.70999999996</v>
      </c>
      <c r="G32" s="54">
        <f t="shared" si="9"/>
        <v>-151982.77500000002</v>
      </c>
      <c r="H32" s="55">
        <f t="shared" si="9"/>
        <v>-90253.430000000051</v>
      </c>
      <c r="I32" s="77">
        <f t="shared" si="9"/>
        <v>-198435.22999999998</v>
      </c>
      <c r="J32" s="146">
        <f t="shared" si="9"/>
        <v>367573.75499999989</v>
      </c>
      <c r="K32" s="55">
        <f t="shared" si="9"/>
        <v>734775.23000000021</v>
      </c>
      <c r="L32" s="65">
        <f t="shared" si="9"/>
        <v>-831963.69</v>
      </c>
    </row>
    <row r="33" spans="1:13" x14ac:dyDescent="0.25">
      <c r="C33" s="122"/>
      <c r="D33" s="44"/>
      <c r="E33" s="44"/>
      <c r="F33" s="44"/>
      <c r="G33" s="41"/>
      <c r="H33" s="44"/>
      <c r="I33" s="11"/>
      <c r="J33" s="17"/>
      <c r="K33" s="17"/>
      <c r="L33" s="11"/>
    </row>
    <row r="34" spans="1:13" ht="15.75" thickBot="1" x14ac:dyDescent="0.3">
      <c r="A34" s="62" t="s">
        <v>69</v>
      </c>
      <c r="C34" s="127"/>
      <c r="D34" s="44"/>
      <c r="E34" s="44"/>
      <c r="F34" s="44"/>
      <c r="G34" s="41"/>
      <c r="H34" s="44"/>
      <c r="I34" s="11"/>
      <c r="J34" s="17"/>
      <c r="K34" s="17"/>
      <c r="L34" s="11"/>
    </row>
    <row r="35" spans="1:13" x14ac:dyDescent="0.25">
      <c r="A35" s="62" t="s">
        <v>29</v>
      </c>
      <c r="B35" s="139">
        <v>778269.76985999977</v>
      </c>
      <c r="C35" s="55">
        <f>B35+C31+B40</f>
        <v>-398754.13500000036</v>
      </c>
      <c r="D35" s="55">
        <f t="shared" ref="D35:L35" si="10">C35+D31+C40</f>
        <v>3520.4299999996506</v>
      </c>
      <c r="E35" s="55">
        <f t="shared" si="10"/>
        <v>958938.84499999974</v>
      </c>
      <c r="F35" s="131">
        <f t="shared" si="10"/>
        <v>2098241.1149999998</v>
      </c>
      <c r="G35" s="54">
        <f t="shared" si="10"/>
        <v>1678395.5799999996</v>
      </c>
      <c r="H35" s="55">
        <f t="shared" si="10"/>
        <v>1537635.5999999996</v>
      </c>
      <c r="I35" s="77">
        <f t="shared" si="10"/>
        <v>1784824.5199999998</v>
      </c>
      <c r="J35" s="146">
        <f t="shared" si="10"/>
        <v>1882728.4749999999</v>
      </c>
      <c r="K35" s="55">
        <f t="shared" si="10"/>
        <v>2568327.1850000001</v>
      </c>
      <c r="L35" s="65">
        <f t="shared" si="10"/>
        <v>1784135.365</v>
      </c>
    </row>
    <row r="36" spans="1:13" ht="15.75" thickBot="1" x14ac:dyDescent="0.3">
      <c r="A36" s="62" t="s">
        <v>30</v>
      </c>
      <c r="B36" s="140">
        <v>-117276.03327999997</v>
      </c>
      <c r="C36" s="55">
        <f>B36+C32+B41</f>
        <v>487736.54500000004</v>
      </c>
      <c r="D36" s="55">
        <f t="shared" ref="D36:L36" si="11">C36+D32+C41</f>
        <v>560430.79999999993</v>
      </c>
      <c r="E36" s="55">
        <f t="shared" si="11"/>
        <v>261834.62499999991</v>
      </c>
      <c r="F36" s="131">
        <f t="shared" si="11"/>
        <v>22947.274999999951</v>
      </c>
      <c r="G36" s="54">
        <f t="shared" si="11"/>
        <v>-128611.89000000007</v>
      </c>
      <c r="H36" s="55">
        <f t="shared" si="11"/>
        <v>-219015.42000000013</v>
      </c>
      <c r="I36" s="77">
        <f t="shared" si="11"/>
        <v>-417927.78000000014</v>
      </c>
      <c r="J36" s="146">
        <f t="shared" si="11"/>
        <v>-51185.43500000026</v>
      </c>
      <c r="K36" s="55">
        <f t="shared" si="11"/>
        <v>682976.82499999995</v>
      </c>
      <c r="L36" s="65">
        <f t="shared" si="11"/>
        <v>-148163.595</v>
      </c>
    </row>
    <row r="37" spans="1:13" x14ac:dyDescent="0.25">
      <c r="C37" s="122"/>
      <c r="D37" s="44"/>
      <c r="E37" s="44"/>
      <c r="F37" s="44"/>
      <c r="G37" s="41"/>
      <c r="H37" s="44"/>
      <c r="I37" s="11"/>
      <c r="J37" s="17"/>
      <c r="K37" s="17"/>
      <c r="L37" s="11"/>
    </row>
    <row r="38" spans="1:13" x14ac:dyDescent="0.25">
      <c r="A38" s="53" t="s">
        <v>65</v>
      </c>
      <c r="B38" s="53"/>
      <c r="C38" s="127"/>
      <c r="D38" s="102">
        <f>+'PCR Cycle 1'!D38</f>
        <v>3.0790499999999998E-3</v>
      </c>
      <c r="E38" s="102">
        <f>+'PCR Cycle 1'!E38</f>
        <v>3.0450199999999998E-3</v>
      </c>
      <c r="F38" s="102">
        <f>+'PCR Cycle 1'!F38</f>
        <v>2.9619300000000002E-3</v>
      </c>
      <c r="G38" s="103">
        <f>+'PCR Cycle 1'!G38</f>
        <v>2.8524499999999999E-3</v>
      </c>
      <c r="H38" s="102">
        <f>+'PCR Cycle 1'!H38</f>
        <v>2.7438599999999999E-3</v>
      </c>
      <c r="I38" s="115">
        <f>+'PCR Cycle 1'!I38</f>
        <v>2.60867E-3</v>
      </c>
      <c r="J38" s="102">
        <f>+'PCR Cycle 1'!J38</f>
        <v>2.60867E-3</v>
      </c>
      <c r="K38" s="102">
        <f>+'PCR Cycle 1'!K38</f>
        <v>2.60867E-3</v>
      </c>
      <c r="L38" s="115"/>
    </row>
    <row r="39" spans="1:13" x14ac:dyDescent="0.25">
      <c r="A39" s="53" t="s">
        <v>44</v>
      </c>
      <c r="B39" s="53"/>
      <c r="C39" s="122"/>
      <c r="D39" s="44"/>
      <c r="E39" s="44"/>
      <c r="F39" s="44"/>
      <c r="G39" s="41"/>
      <c r="H39" s="44"/>
      <c r="I39" s="11"/>
      <c r="J39" s="17"/>
      <c r="K39" s="17"/>
      <c r="L39" s="11"/>
      <c r="M39" s="87"/>
    </row>
    <row r="40" spans="1:13" x14ac:dyDescent="0.25">
      <c r="A40" s="62" t="s">
        <v>29</v>
      </c>
      <c r="C40" s="54">
        <v>-813.32</v>
      </c>
      <c r="D40" s="55">
        <f t="shared" ref="D40" si="12">ROUND((C35+C40+D31/2)*D$38,2)</f>
        <v>-609.72</v>
      </c>
      <c r="E40" s="55">
        <f t="shared" ref="E40:E41" si="13">ROUND((D35+D40+E31/2)*E$38,2)</f>
        <v>1464.43</v>
      </c>
      <c r="F40" s="131">
        <f t="shared" ref="F40:F41" si="14">ROUND((E35+E40+F31/2)*F$38,2)</f>
        <v>4529.75</v>
      </c>
      <c r="G40" s="54">
        <f t="shared" ref="G40:G41" si="15">ROUND((F35+F40+G31/2)*G$38,2)</f>
        <v>5392.79</v>
      </c>
      <c r="H40" s="146">
        <f t="shared" ref="H40:I41" si="16">ROUND((G35+G40+H31/2)*H$38,2)</f>
        <v>4419.57</v>
      </c>
      <c r="I40" s="77">
        <f t="shared" si="16"/>
        <v>4339.37</v>
      </c>
      <c r="J40" s="146">
        <f t="shared" ref="J40:J41" si="17">ROUND((I35+I40+J31/2)*J$38,2)</f>
        <v>4789.38</v>
      </c>
      <c r="K40" s="146">
        <f t="shared" ref="K40:K41" si="18">ROUND((J35+J40+K31/2)*K$38,2)</f>
        <v>5811.91</v>
      </c>
      <c r="L40" s="65"/>
    </row>
    <row r="41" spans="1:13" ht="15.75" thickBot="1" x14ac:dyDescent="0.3">
      <c r="A41" s="62" t="s">
        <v>30</v>
      </c>
      <c r="C41" s="137">
        <v>-3911.7799999999997</v>
      </c>
      <c r="D41" s="55">
        <f>ROUND((C36+C41+D32/2)*D$38,2)</f>
        <v>1607.66</v>
      </c>
      <c r="E41" s="55">
        <f t="shared" si="13"/>
        <v>1254.3599999999999</v>
      </c>
      <c r="F41" s="131">
        <f t="shared" si="14"/>
        <v>423.61</v>
      </c>
      <c r="G41" s="54">
        <f t="shared" si="15"/>
        <v>-150.1</v>
      </c>
      <c r="H41" s="146">
        <f t="shared" si="16"/>
        <v>-477.13</v>
      </c>
      <c r="I41" s="77">
        <f t="shared" si="16"/>
        <v>-831.41</v>
      </c>
      <c r="J41" s="146">
        <f t="shared" si="17"/>
        <v>-612.97</v>
      </c>
      <c r="K41" s="146">
        <f t="shared" si="18"/>
        <v>823.27</v>
      </c>
      <c r="L41" s="65"/>
    </row>
    <row r="42" spans="1:13" ht="16.5" thickTop="1" thickBot="1" x14ac:dyDescent="0.3">
      <c r="A42" s="70" t="s">
        <v>25</v>
      </c>
      <c r="B42" s="70"/>
      <c r="C42" s="138">
        <v>0</v>
      </c>
      <c r="D42" s="46">
        <f t="shared" ref="D42:L42" si="19">SUM(D40:D41)+SUM(D35:D36)-D45</f>
        <v>0</v>
      </c>
      <c r="E42" s="46">
        <f t="shared" si="19"/>
        <v>0</v>
      </c>
      <c r="F42" s="66">
        <f t="shared" si="19"/>
        <v>0</v>
      </c>
      <c r="G42" s="147">
        <f t="shared" si="19"/>
        <v>0</v>
      </c>
      <c r="H42" s="46">
        <f t="shared" si="19"/>
        <v>0</v>
      </c>
      <c r="I42" s="78">
        <f t="shared" si="19"/>
        <v>0</v>
      </c>
      <c r="J42" s="192">
        <f t="shared" si="19"/>
        <v>0</v>
      </c>
      <c r="K42" s="46">
        <f t="shared" si="19"/>
        <v>0</v>
      </c>
      <c r="L42" s="119">
        <f t="shared" si="19"/>
        <v>0</v>
      </c>
    </row>
    <row r="43" spans="1:13" ht="16.5" thickTop="1" thickBot="1" x14ac:dyDescent="0.3">
      <c r="A43" s="70" t="s">
        <v>26</v>
      </c>
      <c r="B43" s="70"/>
      <c r="C43" s="130">
        <v>0</v>
      </c>
      <c r="D43" s="46">
        <f t="shared" ref="D43:I43" si="20">SUM(D40:D41)-D28</f>
        <v>1.0000000000104592E-2</v>
      </c>
      <c r="E43" s="46">
        <f t="shared" si="20"/>
        <v>1.0000000000218279E-2</v>
      </c>
      <c r="F43" s="66">
        <f t="shared" ref="F43:H43" si="21">SUM(F40:F41)-F28</f>
        <v>0</v>
      </c>
      <c r="G43" s="67">
        <f t="shared" si="21"/>
        <v>-1.0000000000218279E-2</v>
      </c>
      <c r="H43" s="46">
        <f t="shared" si="21"/>
        <v>-1.0000000000218279E-2</v>
      </c>
      <c r="I43" s="78">
        <f t="shared" si="20"/>
        <v>1.0000000000218279E-2</v>
      </c>
      <c r="J43" s="192">
        <f t="shared" ref="J43:L43" si="22">SUM(J40:J41)-J28</f>
        <v>0</v>
      </c>
      <c r="K43" s="46">
        <f t="shared" si="22"/>
        <v>0</v>
      </c>
      <c r="L43" s="119">
        <f t="shared" si="22"/>
        <v>0</v>
      </c>
    </row>
    <row r="44" spans="1:13" ht="16.5" thickTop="1" thickBot="1" x14ac:dyDescent="0.3">
      <c r="C44" s="122"/>
      <c r="D44" s="17"/>
      <c r="E44" s="17"/>
      <c r="F44" s="17"/>
      <c r="G44" s="10"/>
      <c r="H44" s="17"/>
      <c r="I44" s="11"/>
      <c r="J44" s="17"/>
      <c r="K44" s="17"/>
      <c r="L44" s="11"/>
    </row>
    <row r="45" spans="1:13" ht="15.75" thickBot="1" x14ac:dyDescent="0.3">
      <c r="A45" s="62" t="s">
        <v>42</v>
      </c>
      <c r="B45" s="142">
        <f>+B35+B36</f>
        <v>660993.73657999979</v>
      </c>
      <c r="C45" s="54">
        <f t="shared" ref="C45:I45" si="23">(SUM(C10:C14)-SUM(C25:C26))+SUM(C40:C41)+B45</f>
        <v>84257.309999999241</v>
      </c>
      <c r="D45" s="55">
        <f t="shared" si="23"/>
        <v>564949.16999999899</v>
      </c>
      <c r="E45" s="55">
        <f t="shared" si="23"/>
        <v>1223492.2599999993</v>
      </c>
      <c r="F45" s="131">
        <f t="shared" si="23"/>
        <v>2126141.7499999991</v>
      </c>
      <c r="G45" s="54">
        <f t="shared" si="23"/>
        <v>1555026.379999999</v>
      </c>
      <c r="H45" s="55">
        <f t="shared" si="23"/>
        <v>1322562.6199999989</v>
      </c>
      <c r="I45" s="77">
        <f t="shared" si="23"/>
        <v>1370404.6999999988</v>
      </c>
      <c r="J45" s="146">
        <f t="shared" ref="J45" si="24">(SUM(J10:J14)-SUM(J25:J26))+SUM(J40:J41)+I45</f>
        <v>1835719.4499999986</v>
      </c>
      <c r="K45" s="55">
        <f t="shared" ref="K45:L45" si="25">(SUM(K10:K14)-SUM(K25:K26))+SUM(K40:K41)+J45</f>
        <v>3257939.189999999</v>
      </c>
      <c r="L45" s="77">
        <f t="shared" si="25"/>
        <v>1635971.7699999991</v>
      </c>
    </row>
    <row r="46" spans="1:13" x14ac:dyDescent="0.25">
      <c r="A46" s="62" t="s">
        <v>14</v>
      </c>
      <c r="C46" s="143"/>
      <c r="D46" s="72"/>
      <c r="E46" s="72"/>
      <c r="F46" s="72"/>
      <c r="G46" s="12"/>
      <c r="H46" s="72"/>
      <c r="I46" s="11"/>
      <c r="J46" s="17"/>
      <c r="K46" s="17"/>
      <c r="L46" s="11"/>
    </row>
    <row r="47" spans="1:13" ht="15.75" thickBot="1" x14ac:dyDescent="0.3">
      <c r="B47" s="17"/>
      <c r="C47" s="57"/>
      <c r="D47" s="58"/>
      <c r="E47" s="58"/>
      <c r="F47" s="58"/>
      <c r="G47" s="57"/>
      <c r="H47" s="58"/>
      <c r="I47" s="59"/>
      <c r="J47" s="58"/>
      <c r="K47" s="58"/>
      <c r="L47" s="59"/>
    </row>
    <row r="49" spans="1:12" x14ac:dyDescent="0.25">
      <c r="A49" s="85" t="s">
        <v>13</v>
      </c>
      <c r="B49" s="85"/>
      <c r="C49" s="85"/>
    </row>
    <row r="50" spans="1:12" ht="42.75" customHeight="1" x14ac:dyDescent="0.25">
      <c r="A50" s="271" t="s">
        <v>153</v>
      </c>
      <c r="B50" s="271"/>
      <c r="C50" s="271"/>
      <c r="D50" s="271"/>
      <c r="E50" s="271"/>
      <c r="F50" s="271"/>
      <c r="G50" s="271"/>
      <c r="H50" s="271"/>
      <c r="I50" s="271"/>
      <c r="J50" s="170"/>
      <c r="K50" s="170"/>
      <c r="L50" s="170"/>
    </row>
    <row r="51" spans="1:12" ht="33.75" customHeight="1" x14ac:dyDescent="0.25">
      <c r="A51" s="271" t="s">
        <v>149</v>
      </c>
      <c r="B51" s="271"/>
      <c r="C51" s="271"/>
      <c r="D51" s="271"/>
      <c r="E51" s="271"/>
      <c r="F51" s="271"/>
      <c r="G51" s="271"/>
      <c r="H51" s="271"/>
      <c r="I51" s="271"/>
      <c r="J51" s="170"/>
      <c r="K51" s="170"/>
      <c r="L51" s="170"/>
    </row>
    <row r="52" spans="1:12" ht="33.75" customHeight="1" x14ac:dyDescent="0.25">
      <c r="A52" s="271" t="s">
        <v>150</v>
      </c>
      <c r="B52" s="271"/>
      <c r="C52" s="271"/>
      <c r="D52" s="271"/>
      <c r="E52" s="271"/>
      <c r="F52" s="271"/>
      <c r="G52" s="271"/>
      <c r="H52" s="271"/>
      <c r="I52" s="271"/>
      <c r="J52" s="170"/>
      <c r="K52" s="170"/>
      <c r="L52" s="170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79" t="s">
        <v>143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65" spans="13:13" x14ac:dyDescent="0.25">
      <c r="M65" s="8"/>
    </row>
  </sheetData>
  <mergeCells count="6">
    <mergeCell ref="J8:L8"/>
    <mergeCell ref="A52:I52"/>
    <mergeCell ref="D8:F8"/>
    <mergeCell ref="A50:I50"/>
    <mergeCell ref="A51:I51"/>
    <mergeCell ref="G8:I8"/>
  </mergeCells>
  <pageMargins left="0.2" right="0.2" top="0.75" bottom="0.25" header="0.3" footer="0.3"/>
  <pageSetup scale="54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7"/>
  <sheetViews>
    <sheetView workbookViewId="0">
      <selection activeCell="A14" sqref="A14"/>
    </sheetView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2" customFormat="1" x14ac:dyDescent="0.25">
      <c r="A1" s="3" t="str">
        <f>+PPC!A1</f>
        <v>Evergy Metro, Inc. - DSIM Rider Update Filed 12/02/2019</v>
      </c>
    </row>
    <row r="2" spans="1:23" x14ac:dyDescent="0.25">
      <c r="A2" s="9" t="str">
        <f>+PPC!A2</f>
        <v>Projections for Cycle 2 January 2020 - June 2020 DSIM</v>
      </c>
    </row>
    <row r="3" spans="1:23" s="62" customFormat="1" x14ac:dyDescent="0.25">
      <c r="A3" s="9"/>
    </row>
    <row r="4" spans="1:23" ht="40.5" customHeight="1" x14ac:dyDescent="0.25">
      <c r="B4" s="266" t="s">
        <v>87</v>
      </c>
      <c r="C4" s="266"/>
    </row>
    <row r="5" spans="1:23" ht="45" x14ac:dyDescent="0.25">
      <c r="B5" s="178" t="s">
        <v>88</v>
      </c>
      <c r="C5" s="6" t="s">
        <v>34</v>
      </c>
    </row>
    <row r="6" spans="1:23" x14ac:dyDescent="0.25">
      <c r="A6" s="22" t="s">
        <v>29</v>
      </c>
      <c r="B6" s="34">
        <f>+'[2]Metro Monthly TD Calc'!BA343</f>
        <v>18450195.638451312</v>
      </c>
      <c r="C6" s="105">
        <f>ROUND('[2]Metro Monthly TD Calc'!BA321,2)</f>
        <v>1205634.6299999999</v>
      </c>
    </row>
    <row r="7" spans="1:23" x14ac:dyDescent="0.25">
      <c r="A7" s="43" t="s">
        <v>30</v>
      </c>
      <c r="B7" s="34">
        <f>+'[2]Metro Monthly TD Calc'!BA344</f>
        <v>34037630.162411675</v>
      </c>
      <c r="C7" s="105">
        <f>ROUND('[2]Metro Monthly TD Calc'!BA322,2)</f>
        <v>1292402.68</v>
      </c>
    </row>
    <row r="8" spans="1:23" x14ac:dyDescent="0.25">
      <c r="A8" s="22" t="s">
        <v>6</v>
      </c>
      <c r="B8" s="35">
        <f>SUM(B6:B7)</f>
        <v>52487825.800862983</v>
      </c>
      <c r="C8" s="24">
        <f>SUM(C6:C7)</f>
        <v>2498037.3099999996</v>
      </c>
    </row>
    <row r="9" spans="1:23" x14ac:dyDescent="0.25">
      <c r="B9" s="33"/>
      <c r="C9" s="62"/>
    </row>
    <row r="10" spans="1:23" x14ac:dyDescent="0.25">
      <c r="A10" s="62"/>
      <c r="B10" s="62"/>
      <c r="C10" s="62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53" customFormat="1" x14ac:dyDescent="0.25">
      <c r="A12" s="270" t="s">
        <v>154</v>
      </c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1:23" s="53" customFormat="1" x14ac:dyDescent="0.25">
      <c r="A13" s="270" t="s">
        <v>155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M12"/>
    <mergeCell ref="A13:M13"/>
  </mergeCells>
  <pageMargins left="0.2" right="0.2" top="0.75" bottom="0.25" header="0.3" footer="0.3"/>
  <pageSetup scale="96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54"/>
  <sheetViews>
    <sheetView zoomScaleNormal="100" workbookViewId="0">
      <pane xSplit="3" ySplit="11" topLeftCell="H51" activePane="bottomRight" state="frozen"/>
      <selection activeCell="J18" sqref="J18"/>
      <selection pane="topRight" activeCell="J18" sqref="J18"/>
      <selection pane="bottomLeft" activeCell="J18" sqref="J18"/>
      <selection pane="bottomRight" activeCell="O1" sqref="O1:O1048576"/>
    </sheetView>
  </sheetViews>
  <sheetFormatPr defaultRowHeight="15" x14ac:dyDescent="0.25"/>
  <cols>
    <col min="1" max="1" width="37.7109375" customWidth="1"/>
    <col min="2" max="2" width="12.28515625" style="62" bestFit="1" customWidth="1"/>
    <col min="3" max="3" width="12.42578125" style="62" bestFit="1" customWidth="1"/>
    <col min="4" max="4" width="15.42578125" customWidth="1"/>
    <col min="5" max="5" width="15.85546875" bestFit="1" customWidth="1"/>
    <col min="6" max="6" width="12.28515625" style="62" bestFit="1" customWidth="1"/>
    <col min="7" max="8" width="13.28515625" style="62" bestFit="1" customWidth="1"/>
    <col min="9" max="9" width="12.28515625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bestFit="1" customWidth="1"/>
    <col min="14" max="14" width="16" bestFit="1" customWidth="1"/>
    <col min="15" max="15" width="15.28515625" bestFit="1" customWidth="1"/>
    <col min="16" max="16" width="17.42578125" bestFit="1" customWidth="1"/>
    <col min="17" max="17" width="16.28515625" bestFit="1" customWidth="1"/>
    <col min="18" max="18" width="15.28515625" bestFit="1" customWidth="1"/>
    <col min="19" max="19" width="12.42578125" customWidth="1"/>
    <col min="20" max="21" width="14.28515625" bestFit="1" customWidth="1"/>
  </cols>
  <sheetData>
    <row r="1" spans="1:34" x14ac:dyDescent="0.25">
      <c r="A1" s="3" t="str">
        <f>+PPC!A1</f>
        <v>Evergy Metro, Inc. - DSIM Rider Update Filed 12/02/2019</v>
      </c>
      <c r="B1" s="3"/>
      <c r="C1" s="3"/>
    </row>
    <row r="2" spans="1:34" x14ac:dyDescent="0.25">
      <c r="D2" s="3" t="s">
        <v>86</v>
      </c>
    </row>
    <row r="3" spans="1:34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71</v>
      </c>
      <c r="I3" s="6" t="s">
        <v>11</v>
      </c>
      <c r="J3" s="6" t="s">
        <v>10</v>
      </c>
      <c r="R3" s="6"/>
    </row>
    <row r="4" spans="1:34" x14ac:dyDescent="0.25">
      <c r="A4" s="22" t="s">
        <v>29</v>
      </c>
      <c r="B4" s="22"/>
      <c r="C4" s="22"/>
      <c r="D4" s="24">
        <f>SUM(C15:L15)</f>
        <v>-827.31</v>
      </c>
      <c r="E4" s="161">
        <f>M19</f>
        <v>0</v>
      </c>
      <c r="F4" s="24">
        <f>SUM(C23:K23)</f>
        <v>0</v>
      </c>
      <c r="G4" s="24">
        <f>F4-D4</f>
        <v>827.31</v>
      </c>
      <c r="H4" s="24">
        <f>+B33</f>
        <v>-824.96</v>
      </c>
      <c r="I4" s="24">
        <f>SUM(C38:K38)</f>
        <v>-2.3500000000000005</v>
      </c>
      <c r="J4" s="36">
        <f>SUM(G4:I4)</f>
        <v>-9.1482377229112899E-14</v>
      </c>
      <c r="K4" s="63">
        <f>+J4-L33</f>
        <v>-1.461053500406706E-13</v>
      </c>
      <c r="M4" s="63"/>
    </row>
    <row r="5" spans="1:34" ht="15.75" thickBot="1" x14ac:dyDescent="0.3">
      <c r="A5" s="22" t="s">
        <v>30</v>
      </c>
      <c r="B5" s="22"/>
      <c r="C5" s="22"/>
      <c r="D5" s="24">
        <f>SUM(C16:L16)</f>
        <v>-10486.23856</v>
      </c>
      <c r="E5" s="161">
        <f>M20</f>
        <v>0</v>
      </c>
      <c r="F5" s="24">
        <f>SUM(C24:K24)</f>
        <v>0</v>
      </c>
      <c r="G5" s="24">
        <f>F5-D5</f>
        <v>10486.23856</v>
      </c>
      <c r="H5" s="24">
        <f>+B34</f>
        <v>-10465.93</v>
      </c>
      <c r="I5" s="24">
        <f>SUM(C39:K39)</f>
        <v>-20.310000000000002</v>
      </c>
      <c r="J5" s="36">
        <f>SUM(G5:I5)</f>
        <v>-1.4400000005139191E-3</v>
      </c>
      <c r="K5" s="63">
        <f>+J5-L34</f>
        <v>1.2363443602225743E-12</v>
      </c>
      <c r="M5" s="63"/>
    </row>
    <row r="6" spans="1:34" ht="16.5" thickTop="1" thickBot="1" x14ac:dyDescent="0.3">
      <c r="D6" s="40">
        <f t="shared" ref="D6" si="0">SUM(D4:D5)</f>
        <v>-11313.548559999999</v>
      </c>
      <c r="E6" s="162">
        <f t="shared" ref="E6:H6" si="1">SUM(E4:E5)</f>
        <v>0</v>
      </c>
      <c r="F6" s="40">
        <f t="shared" si="1"/>
        <v>0</v>
      </c>
      <c r="G6" s="40">
        <f t="shared" si="1"/>
        <v>11313.548559999999</v>
      </c>
      <c r="H6" s="40">
        <f t="shared" si="1"/>
        <v>-11290.89</v>
      </c>
      <c r="I6" s="40">
        <f>SUM(I4:I5)</f>
        <v>-22.660000000000004</v>
      </c>
      <c r="J6" s="40">
        <f>SUM(J4:J5)</f>
        <v>-1.4400000006054015E-3</v>
      </c>
      <c r="K6"/>
      <c r="M6" s="62"/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1" t="str">
        <f>+'PCR Cycle 1'!B8</f>
        <v>Cumulative Over/Under Carryover From 06/01/2019 Filing</v>
      </c>
      <c r="C10" s="179" t="str">
        <f>+'PCR Cycle 1'!C8</f>
        <v>Reverse May-19 - October-19  Forecast From 06/01/2019 Filing</v>
      </c>
      <c r="D10" s="272" t="s">
        <v>39</v>
      </c>
      <c r="E10" s="272"/>
      <c r="F10" s="273"/>
      <c r="G10" s="278" t="s">
        <v>39</v>
      </c>
      <c r="H10" s="279"/>
      <c r="I10" s="280"/>
      <c r="J10" s="274" t="s">
        <v>9</v>
      </c>
      <c r="K10" s="275"/>
      <c r="L10" s="276"/>
    </row>
    <row r="11" spans="1:34" x14ac:dyDescent="0.25">
      <c r="A11" t="s">
        <v>43</v>
      </c>
      <c r="C11" s="128"/>
      <c r="D11" s="20">
        <f>+'PCR Cycle 1'!D9</f>
        <v>43616</v>
      </c>
      <c r="E11" s="20">
        <f t="shared" ref="E11:L11" si="2">EOMONTH(D11,1)</f>
        <v>43646</v>
      </c>
      <c r="F11" s="20">
        <f t="shared" si="2"/>
        <v>43677</v>
      </c>
      <c r="G11" s="14">
        <f t="shared" si="2"/>
        <v>43708</v>
      </c>
      <c r="H11" s="20">
        <f t="shared" si="2"/>
        <v>43738</v>
      </c>
      <c r="I11" s="15">
        <f t="shared" si="2"/>
        <v>43769</v>
      </c>
      <c r="J11" s="20">
        <f t="shared" si="2"/>
        <v>43799</v>
      </c>
      <c r="K11" s="20">
        <f t="shared" si="2"/>
        <v>43830</v>
      </c>
      <c r="L11" s="15">
        <f t="shared" si="2"/>
        <v>43861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t="s">
        <v>6</v>
      </c>
      <c r="C12" s="120">
        <v>0</v>
      </c>
      <c r="D12" s="132">
        <f>SUM(D23:D24)</f>
        <v>0</v>
      </c>
      <c r="E12" s="132">
        <f t="shared" ref="E12:H12" si="3">SUM(E23:E24)</f>
        <v>0</v>
      </c>
      <c r="F12" s="133">
        <f t="shared" si="3"/>
        <v>0</v>
      </c>
      <c r="G12" s="16">
        <f t="shared" si="3"/>
        <v>0</v>
      </c>
      <c r="H12" s="71">
        <f t="shared" si="3"/>
        <v>0</v>
      </c>
      <c r="I12" s="193">
        <f>+I23+I24</f>
        <v>0</v>
      </c>
      <c r="J12" s="186">
        <f t="shared" ref="J12:K12" si="4">+J23+J24</f>
        <v>0</v>
      </c>
      <c r="K12" s="97">
        <f t="shared" si="4"/>
        <v>0</v>
      </c>
      <c r="L12" s="98"/>
    </row>
    <row r="13" spans="1:34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4" x14ac:dyDescent="0.25">
      <c r="A14" t="s">
        <v>17</v>
      </c>
      <c r="C14" s="122"/>
      <c r="D14" s="18"/>
      <c r="E14" s="18"/>
      <c r="F14" s="18"/>
      <c r="G14" s="114"/>
      <c r="H14" s="18"/>
      <c r="I14" s="194"/>
      <c r="J14" s="44"/>
      <c r="K14" s="44"/>
      <c r="L14" s="42"/>
      <c r="M14" s="3" t="s">
        <v>93</v>
      </c>
      <c r="N14" s="53"/>
    </row>
    <row r="15" spans="1:34" x14ac:dyDescent="0.25">
      <c r="A15" t="s">
        <v>29</v>
      </c>
      <c r="C15" s="120">
        <v>0</v>
      </c>
      <c r="D15" s="159">
        <f>ROUND(+'[3]May 2019 Combined'!$F$19,2)</f>
        <v>0.15</v>
      </c>
      <c r="E15" s="159">
        <f>ROUND(+'[3]June 2019 Combined'!$F$19,2)</f>
        <v>-0.25</v>
      </c>
      <c r="F15" s="159">
        <f>ROUND(+'[3]July 2019 Combined'!$F$19,2)</f>
        <v>0.8</v>
      </c>
      <c r="G15" s="16">
        <f>ROUND(+'[3]August 2019 Combined'!$F$19,2)</f>
        <v>-828.01</v>
      </c>
      <c r="H15" s="144">
        <f>ROUND(+'[3]September 2019 Combined'!$F$19,2)</f>
        <v>0</v>
      </c>
      <c r="I15" s="195">
        <f>ROUND(+'[3]October 2019 Combined'!$F$19,2)</f>
        <v>0</v>
      </c>
      <c r="J15" s="146">
        <f>'PCR Cycle 1'!J21*'TDR Cycle 1'!$M15</f>
        <v>0</v>
      </c>
      <c r="K15" s="55">
        <f>'PCR Cycle 1'!K21*'TDR Cycle 1'!$M15</f>
        <v>0</v>
      </c>
      <c r="L15" s="77">
        <f>'PCR Cycle 1'!L21*'TDR Cycle 1'!$M15</f>
        <v>0</v>
      </c>
      <c r="M15" s="88">
        <v>0</v>
      </c>
      <c r="N15" s="4"/>
    </row>
    <row r="16" spans="1:34" x14ac:dyDescent="0.25">
      <c r="A16" t="s">
        <v>30</v>
      </c>
      <c r="C16" s="120">
        <v>-11339.82856</v>
      </c>
      <c r="D16" s="159">
        <f>ROUND(+'[3]May 2019 Combined'!$F$20,2)</f>
        <v>3159.33</v>
      </c>
      <c r="E16" s="159">
        <f>ROUND(+'[3]June 2019 Combined'!$F$20,2)</f>
        <v>3362.8</v>
      </c>
      <c r="F16" s="159">
        <f>ROUND(+'[3]July 2019 Combined'!$F$20,2)</f>
        <v>3849.15</v>
      </c>
      <c r="G16" s="16">
        <f>ROUND(+'[3]August 2019 Combined'!$F$20,2)</f>
        <v>-9517.69</v>
      </c>
      <c r="H16" s="144">
        <f>ROUND(+'[3]September 2019 Combined'!$F$20,2)</f>
        <v>0</v>
      </c>
      <c r="I16" s="195">
        <f>ROUND(+'[3]October 2019 Combined'!$F$20,2)</f>
        <v>0</v>
      </c>
      <c r="J16" s="146">
        <f>'PCR Cycle 1'!J22*'TDR Cycle 1'!$M16</f>
        <v>0</v>
      </c>
      <c r="K16" s="55">
        <f>'PCR Cycle 1'!K22*'TDR Cycle 1'!$M16</f>
        <v>0</v>
      </c>
      <c r="L16" s="77">
        <f>'PCR Cycle 1'!L22*'TDR Cycle 1'!$M16</f>
        <v>0</v>
      </c>
      <c r="M16" s="88">
        <v>0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6"/>
      <c r="J17" s="72"/>
      <c r="K17" s="72"/>
      <c r="L17" s="13"/>
      <c r="N17" s="4"/>
    </row>
    <row r="18" spans="1:14" x14ac:dyDescent="0.25">
      <c r="A18" s="53" t="s">
        <v>36</v>
      </c>
      <c r="B18" s="53"/>
      <c r="C18" s="83"/>
      <c r="D18" s="72"/>
      <c r="E18" s="72"/>
      <c r="F18" s="72"/>
      <c r="G18" s="12"/>
      <c r="H18" s="72"/>
      <c r="I18" s="197"/>
      <c r="J18" s="72"/>
      <c r="K18" s="72"/>
      <c r="L18" s="13"/>
      <c r="M18" s="7"/>
      <c r="N18" s="62"/>
    </row>
    <row r="19" spans="1:14" x14ac:dyDescent="0.25">
      <c r="A19" s="62" t="s">
        <v>29</v>
      </c>
      <c r="C19" s="125">
        <v>0</v>
      </c>
      <c r="D19" s="134">
        <v>0</v>
      </c>
      <c r="E19" s="134">
        <v>0</v>
      </c>
      <c r="F19" s="148">
        <v>0</v>
      </c>
      <c r="G19" s="92">
        <v>0</v>
      </c>
      <c r="H19" s="93">
        <v>0</v>
      </c>
      <c r="I19" s="198">
        <v>0</v>
      </c>
      <c r="J19" s="187">
        <v>0</v>
      </c>
      <c r="K19" s="168">
        <v>0</v>
      </c>
      <c r="L19" s="99"/>
      <c r="M19" s="75">
        <f>SUM(C19:K19)</f>
        <v>0</v>
      </c>
      <c r="N19" s="62"/>
    </row>
    <row r="20" spans="1:14" x14ac:dyDescent="0.25">
      <c r="A20" t="s">
        <v>30</v>
      </c>
      <c r="C20" s="125">
        <v>0</v>
      </c>
      <c r="D20" s="134">
        <v>0</v>
      </c>
      <c r="E20" s="134">
        <v>0</v>
      </c>
      <c r="F20" s="148">
        <v>0</v>
      </c>
      <c r="G20" s="92">
        <v>0</v>
      </c>
      <c r="H20" s="93">
        <v>0</v>
      </c>
      <c r="I20" s="198">
        <v>0</v>
      </c>
      <c r="J20" s="187">
        <v>0</v>
      </c>
      <c r="K20" s="168">
        <v>0</v>
      </c>
      <c r="L20" s="99"/>
      <c r="M20" s="75">
        <f>SUM(C20:I20)</f>
        <v>0</v>
      </c>
      <c r="N20" s="62"/>
    </row>
    <row r="21" spans="1:14" s="62" customFormat="1" x14ac:dyDescent="0.25">
      <c r="C21" s="83"/>
      <c r="D21" s="84"/>
      <c r="E21" s="84"/>
      <c r="F21" s="84"/>
      <c r="G21" s="83"/>
      <c r="H21" s="84"/>
      <c r="I21" s="196"/>
      <c r="J21" s="72"/>
      <c r="K21" s="72"/>
      <c r="L21" s="13"/>
    </row>
    <row r="22" spans="1:14" x14ac:dyDescent="0.25">
      <c r="A22" s="62" t="s">
        <v>90</v>
      </c>
      <c r="C22" s="50"/>
      <c r="D22" s="51"/>
      <c r="E22" s="51"/>
      <c r="F22" s="51"/>
      <c r="G22" s="50"/>
      <c r="H22" s="51"/>
      <c r="I22" s="199"/>
      <c r="J22" s="68"/>
      <c r="K22" s="68"/>
      <c r="L22" s="52"/>
      <c r="M22" s="62"/>
      <c r="N22" s="62"/>
    </row>
    <row r="23" spans="1:14" x14ac:dyDescent="0.25">
      <c r="A23" s="62" t="s">
        <v>29</v>
      </c>
      <c r="C23" s="120">
        <v>0</v>
      </c>
      <c r="D23" s="132">
        <v>0</v>
      </c>
      <c r="E23" s="132">
        <v>0</v>
      </c>
      <c r="F23" s="133">
        <v>0</v>
      </c>
      <c r="G23" s="16">
        <v>0</v>
      </c>
      <c r="H23" s="71">
        <v>0</v>
      </c>
      <c r="I23" s="193">
        <v>0</v>
      </c>
      <c r="J23" s="188">
        <v>0</v>
      </c>
      <c r="K23" s="167">
        <v>0</v>
      </c>
      <c r="L23" s="98"/>
    </row>
    <row r="24" spans="1:14" x14ac:dyDescent="0.25">
      <c r="A24" s="62" t="s">
        <v>30</v>
      </c>
      <c r="C24" s="120">
        <v>0</v>
      </c>
      <c r="D24" s="132">
        <v>0</v>
      </c>
      <c r="E24" s="132">
        <v>0</v>
      </c>
      <c r="F24" s="133">
        <v>0</v>
      </c>
      <c r="G24" s="16">
        <v>0</v>
      </c>
      <c r="H24" s="71">
        <v>0</v>
      </c>
      <c r="I24" s="193">
        <v>0</v>
      </c>
      <c r="J24" s="188">
        <v>0</v>
      </c>
      <c r="K24" s="167">
        <v>0</v>
      </c>
      <c r="L24" s="98"/>
      <c r="N24" s="63"/>
    </row>
    <row r="25" spans="1:14" s="62" customFormat="1" x14ac:dyDescent="0.25">
      <c r="C25" s="122"/>
      <c r="D25" s="18"/>
      <c r="E25" s="18"/>
      <c r="F25" s="18"/>
      <c r="G25" s="114"/>
      <c r="H25" s="18"/>
      <c r="I25" s="194"/>
      <c r="J25" s="72"/>
      <c r="K25" s="72"/>
      <c r="L25" s="13"/>
    </row>
    <row r="26" spans="1:14" ht="15.75" thickBot="1" x14ac:dyDescent="0.3">
      <c r="A26" s="3" t="s">
        <v>18</v>
      </c>
      <c r="B26" s="3"/>
      <c r="C26" s="126">
        <v>21.380000000000003</v>
      </c>
      <c r="D26" s="159">
        <v>-4.6400000000000006</v>
      </c>
      <c r="E26" s="159">
        <v>-14.54</v>
      </c>
      <c r="F26" s="160">
        <v>-24.860000000000003</v>
      </c>
      <c r="G26" s="39">
        <v>0</v>
      </c>
      <c r="H26" s="145">
        <v>0</v>
      </c>
      <c r="I26" s="200">
        <v>0</v>
      </c>
      <c r="J26" s="189">
        <v>0</v>
      </c>
      <c r="K26" s="169">
        <v>0</v>
      </c>
      <c r="L26" s="101"/>
    </row>
    <row r="27" spans="1:14" x14ac:dyDescent="0.25">
      <c r="C27" s="80"/>
      <c r="D27" s="174"/>
      <c r="E27" s="174"/>
      <c r="F27" s="175"/>
      <c r="G27" s="80"/>
      <c r="H27" s="47"/>
      <c r="I27" s="201"/>
      <c r="J27" s="48"/>
      <c r="K27" s="48"/>
      <c r="L27" s="76"/>
    </row>
    <row r="28" spans="1:14" x14ac:dyDescent="0.25">
      <c r="A28" t="s">
        <v>68</v>
      </c>
      <c r="C28" s="81"/>
      <c r="D28" s="175"/>
      <c r="E28" s="175"/>
      <c r="F28" s="175"/>
      <c r="G28" s="81"/>
      <c r="H28" s="49"/>
      <c r="I28" s="202"/>
      <c r="J28" s="48"/>
      <c r="K28" s="48"/>
      <c r="L28" s="76"/>
    </row>
    <row r="29" spans="1:14" x14ac:dyDescent="0.25">
      <c r="A29" s="62" t="s">
        <v>29</v>
      </c>
      <c r="C29" s="123">
        <f t="shared" ref="C29:C30" si="5">C23-C15</f>
        <v>0</v>
      </c>
      <c r="D29" s="55">
        <f t="shared" ref="D29:I30" si="6">D23-D15</f>
        <v>-0.15</v>
      </c>
      <c r="E29" s="55">
        <f t="shared" si="6"/>
        <v>0.25</v>
      </c>
      <c r="F29" s="131">
        <f t="shared" ref="F29:H29" si="7">F23-F15</f>
        <v>-0.8</v>
      </c>
      <c r="G29" s="54">
        <f t="shared" si="7"/>
        <v>828.01</v>
      </c>
      <c r="H29" s="55">
        <f t="shared" si="7"/>
        <v>0</v>
      </c>
      <c r="I29" s="77">
        <f t="shared" si="6"/>
        <v>0</v>
      </c>
      <c r="J29" s="146">
        <f t="shared" ref="J29:K29" si="8">J23-J15</f>
        <v>0</v>
      </c>
      <c r="K29" s="55">
        <f t="shared" si="8"/>
        <v>0</v>
      </c>
      <c r="L29" s="77">
        <f t="shared" ref="L29" si="9">L23-L15</f>
        <v>0</v>
      </c>
    </row>
    <row r="30" spans="1:14" x14ac:dyDescent="0.25">
      <c r="A30" t="s">
        <v>30</v>
      </c>
      <c r="C30" s="123">
        <f t="shared" si="5"/>
        <v>11339.82856</v>
      </c>
      <c r="D30" s="55">
        <f t="shared" si="6"/>
        <v>-3159.33</v>
      </c>
      <c r="E30" s="55">
        <f t="shared" si="6"/>
        <v>-3362.8</v>
      </c>
      <c r="F30" s="131">
        <f t="shared" ref="F30:H30" si="10">F24-F16</f>
        <v>-3849.15</v>
      </c>
      <c r="G30" s="54">
        <f t="shared" si="10"/>
        <v>9517.69</v>
      </c>
      <c r="H30" s="55">
        <f t="shared" si="10"/>
        <v>0</v>
      </c>
      <c r="I30" s="77">
        <f t="shared" si="6"/>
        <v>0</v>
      </c>
      <c r="J30" s="146">
        <f t="shared" ref="J30:K30" si="11">J24-J16</f>
        <v>0</v>
      </c>
      <c r="K30" s="55">
        <f t="shared" si="11"/>
        <v>0</v>
      </c>
      <c r="L30" s="77">
        <f t="shared" ref="L30" si="12">L24-L16</f>
        <v>0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t="s">
        <v>69</v>
      </c>
      <c r="C32" s="122"/>
      <c r="D32" s="17"/>
      <c r="E32" s="17"/>
      <c r="F32" s="17"/>
      <c r="G32" s="10"/>
      <c r="H32" s="17"/>
      <c r="I32" s="11"/>
      <c r="J32" s="17"/>
      <c r="K32" s="17"/>
      <c r="L32" s="11"/>
    </row>
    <row r="33" spans="1:35" x14ac:dyDescent="0.25">
      <c r="A33" s="62" t="s">
        <v>29</v>
      </c>
      <c r="B33" s="139">
        <f>-824.75-0.21</f>
        <v>-824.96</v>
      </c>
      <c r="C33" s="123">
        <f>B33+C29+B38</f>
        <v>-824.96</v>
      </c>
      <c r="D33" s="55">
        <f t="shared" ref="D33" si="13">C33+D29+C38</f>
        <v>-820</v>
      </c>
      <c r="E33" s="55">
        <f t="shared" ref="E33:I34" si="14">D33+E29+D38</f>
        <v>-822.27</v>
      </c>
      <c r="F33" s="131">
        <f t="shared" si="14"/>
        <v>-825.56999999999994</v>
      </c>
      <c r="G33" s="54">
        <f t="shared" si="14"/>
        <v>5.4622972811557702E-14</v>
      </c>
      <c r="H33" s="55">
        <f t="shared" si="14"/>
        <v>5.4622972811557702E-14</v>
      </c>
      <c r="I33" s="77">
        <f t="shared" si="14"/>
        <v>5.4622972811557702E-14</v>
      </c>
      <c r="J33" s="146">
        <f t="shared" ref="J33:J34" si="15">I33+J29+I38</f>
        <v>5.4622972811557702E-14</v>
      </c>
      <c r="K33" s="55">
        <f t="shared" ref="K33:K34" si="16">J33+K29+J38</f>
        <v>5.4622972811557702E-14</v>
      </c>
      <c r="L33" s="77">
        <f t="shared" ref="L33:L34" si="17">K33+L29+K38</f>
        <v>5.4622972811557702E-14</v>
      </c>
    </row>
    <row r="34" spans="1:35" ht="15.75" thickBot="1" x14ac:dyDescent="0.3">
      <c r="A34" t="s">
        <v>30</v>
      </c>
      <c r="B34" s="140">
        <f>-10465.06-0.87</f>
        <v>-10465.93</v>
      </c>
      <c r="C34" s="123">
        <f>B34+C30+B39</f>
        <v>873.89855999999963</v>
      </c>
      <c r="D34" s="55">
        <f t="shared" ref="D34" si="18">C34+D30+C39</f>
        <v>-2269.1614400000003</v>
      </c>
      <c r="E34" s="55">
        <f t="shared" si="14"/>
        <v>-5634.0814400000008</v>
      </c>
      <c r="F34" s="131">
        <f t="shared" si="14"/>
        <v>-9495.2714400000023</v>
      </c>
      <c r="G34" s="54">
        <f t="shared" si="14"/>
        <v>-1.4400000017502634E-3</v>
      </c>
      <c r="H34" s="55">
        <f t="shared" si="14"/>
        <v>-1.4400000017502634E-3</v>
      </c>
      <c r="I34" s="77">
        <f t="shared" si="14"/>
        <v>-1.4400000017502634E-3</v>
      </c>
      <c r="J34" s="146">
        <f t="shared" si="15"/>
        <v>-1.4400000017502634E-3</v>
      </c>
      <c r="K34" s="55">
        <f t="shared" si="16"/>
        <v>-1.4400000017502634E-3</v>
      </c>
      <c r="L34" s="77">
        <f t="shared" si="17"/>
        <v>-1.4400000017502634E-3</v>
      </c>
    </row>
    <row r="35" spans="1:35" x14ac:dyDescent="0.25">
      <c r="C35" s="122"/>
      <c r="D35" s="17"/>
      <c r="E35" s="17"/>
      <c r="F35" s="17"/>
      <c r="G35" s="10"/>
      <c r="H35" s="17"/>
      <c r="I35" s="11"/>
      <c r="J35" s="17"/>
      <c r="K35" s="17"/>
      <c r="L35" s="11"/>
    </row>
    <row r="36" spans="1:35" x14ac:dyDescent="0.25">
      <c r="A36" s="53" t="s">
        <v>65</v>
      </c>
      <c r="B36" s="53"/>
      <c r="C36" s="127"/>
      <c r="D36" s="102">
        <f>+'PCR Cycle 1'!D38</f>
        <v>3.0790499999999998E-3</v>
      </c>
      <c r="E36" s="102">
        <f>+'PCR Cycle 1'!E38</f>
        <v>3.0450199999999998E-3</v>
      </c>
      <c r="F36" s="102">
        <f>+'PCR Cycle 1'!F38</f>
        <v>2.9619300000000002E-3</v>
      </c>
      <c r="G36" s="103">
        <f>+'PCR Cycle 1'!G38</f>
        <v>2.8524499999999999E-3</v>
      </c>
      <c r="H36" s="102">
        <f>+'PCR Cycle 1'!H38</f>
        <v>2.7438599999999999E-3</v>
      </c>
      <c r="I36" s="115">
        <f>+'PCR Cycle 1'!I38</f>
        <v>2.60867E-3</v>
      </c>
      <c r="J36" s="102">
        <f>+'PCR Cycle 1'!J38</f>
        <v>2.60867E-3</v>
      </c>
      <c r="K36" s="102">
        <f>+'PCR Cycle 1'!K38</f>
        <v>2.60867E-3</v>
      </c>
      <c r="L36" s="104"/>
    </row>
    <row r="37" spans="1:35" s="62" customFormat="1" x14ac:dyDescent="0.25">
      <c r="A37" s="53" t="s">
        <v>44</v>
      </c>
      <c r="B37" s="53"/>
      <c r="C37" s="129"/>
      <c r="D37" s="102"/>
      <c r="E37" s="102"/>
      <c r="F37" s="102"/>
      <c r="G37" s="103"/>
      <c r="H37" s="102"/>
      <c r="I37" s="104"/>
      <c r="J37" s="102"/>
      <c r="K37" s="102"/>
      <c r="L37" s="104"/>
    </row>
    <row r="38" spans="1:35" x14ac:dyDescent="0.25">
      <c r="A38" s="62" t="s">
        <v>29</v>
      </c>
      <c r="C38" s="123">
        <v>5.1099999999999994</v>
      </c>
      <c r="D38" s="55">
        <f t="shared" ref="D38" si="19">ROUND((C33+C38+D29/2)*D$36,2)</f>
        <v>-2.52</v>
      </c>
      <c r="E38" s="55">
        <f t="shared" ref="E38:I39" si="20">ROUND((D33+D38+E29/2)*E$36,2)</f>
        <v>-2.5</v>
      </c>
      <c r="F38" s="131">
        <f t="shared" si="20"/>
        <v>-2.44</v>
      </c>
      <c r="G38" s="54">
        <f>ROUND((F33+F38+G29/2)*G$36,2)*0</f>
        <v>0</v>
      </c>
      <c r="H38" s="146">
        <f t="shared" si="20"/>
        <v>0</v>
      </c>
      <c r="I38" s="65">
        <f t="shared" si="20"/>
        <v>0</v>
      </c>
      <c r="J38" s="190">
        <f t="shared" ref="J38:J39" si="21">ROUND((I33+I38+J29/2)*J$36,2)</f>
        <v>0</v>
      </c>
      <c r="K38" s="131">
        <f t="shared" ref="K38:K39" si="22">ROUND((J33+J38+K29/2)*K$36,2)</f>
        <v>0</v>
      </c>
      <c r="L38" s="77">
        <f t="shared" ref="L38:L39" si="23">ROUND((K33+K38+L29/2)*L$36,2)</f>
        <v>0</v>
      </c>
    </row>
    <row r="39" spans="1:35" ht="15.75" thickBot="1" x14ac:dyDescent="0.3">
      <c r="A39" t="s">
        <v>30</v>
      </c>
      <c r="C39" s="123">
        <v>16.27</v>
      </c>
      <c r="D39" s="55">
        <f t="shared" ref="D39" si="24">ROUND((C34+C39+D30/2)*D$36,2)</f>
        <v>-2.12</v>
      </c>
      <c r="E39" s="55">
        <f t="shared" si="20"/>
        <v>-12.04</v>
      </c>
      <c r="F39" s="131">
        <f t="shared" si="20"/>
        <v>-22.42</v>
      </c>
      <c r="G39" s="54">
        <f>ROUND((F34+F39+G30/2)*G$36,2)*0</f>
        <v>0</v>
      </c>
      <c r="H39" s="146">
        <f t="shared" si="20"/>
        <v>0</v>
      </c>
      <c r="I39" s="65">
        <f t="shared" si="20"/>
        <v>0</v>
      </c>
      <c r="J39" s="190">
        <f t="shared" si="21"/>
        <v>0</v>
      </c>
      <c r="K39" s="131">
        <f t="shared" si="22"/>
        <v>0</v>
      </c>
      <c r="L39" s="77">
        <f t="shared" si="23"/>
        <v>0</v>
      </c>
    </row>
    <row r="40" spans="1:35" ht="16.5" thickTop="1" thickBot="1" x14ac:dyDescent="0.3">
      <c r="A40" s="70" t="s">
        <v>25</v>
      </c>
      <c r="B40" s="70"/>
      <c r="C40" s="130">
        <v>0</v>
      </c>
      <c r="D40" s="56">
        <f t="shared" ref="D40:I40" si="25">SUM(D38:D39)+SUM(D33:D34)-D43</f>
        <v>0</v>
      </c>
      <c r="E40" s="56">
        <f t="shared" si="25"/>
        <v>0</v>
      </c>
      <c r="F40" s="66">
        <f t="shared" ref="F40:H40" si="26">SUM(F38:F39)+SUM(F33:F34)-F43</f>
        <v>0</v>
      </c>
      <c r="G40" s="172">
        <f t="shared" si="26"/>
        <v>-1.6933121571582888E-12</v>
      </c>
      <c r="H40" s="66">
        <f t="shared" si="26"/>
        <v>-1.6933121571582888E-12</v>
      </c>
      <c r="I40" s="78">
        <f t="shared" si="25"/>
        <v>-1.6933121571582888E-12</v>
      </c>
      <c r="J40" s="191">
        <f t="shared" ref="J40:L40" si="27">SUM(J38:J39)+SUM(J33:J34)-J43</f>
        <v>-1.6933121571582888E-12</v>
      </c>
      <c r="K40" s="66">
        <f t="shared" si="27"/>
        <v>-1.6933121571582888E-12</v>
      </c>
      <c r="L40" s="78">
        <f t="shared" si="27"/>
        <v>-1.6933121571582888E-12</v>
      </c>
    </row>
    <row r="41" spans="1:35" s="62" customFormat="1" ht="16.5" thickTop="1" thickBot="1" x14ac:dyDescent="0.3">
      <c r="A41" s="70" t="s">
        <v>26</v>
      </c>
      <c r="B41" s="70"/>
      <c r="C41" s="130">
        <v>0</v>
      </c>
      <c r="D41" s="56">
        <f t="shared" ref="D41:I41" si="28">SUM(D38:D39)-D26</f>
        <v>0</v>
      </c>
      <c r="E41" s="56">
        <f t="shared" si="28"/>
        <v>0</v>
      </c>
      <c r="F41" s="66">
        <f t="shared" ref="F41:H41" si="29">SUM(F38:F39)-F26</f>
        <v>0</v>
      </c>
      <c r="G41" s="172">
        <f t="shared" si="29"/>
        <v>0</v>
      </c>
      <c r="H41" s="66">
        <f t="shared" si="29"/>
        <v>0</v>
      </c>
      <c r="I41" s="78">
        <f t="shared" si="28"/>
        <v>0</v>
      </c>
      <c r="J41" s="192">
        <f t="shared" ref="J41:L41" si="30">SUM(J38:J39)-J26</f>
        <v>0</v>
      </c>
      <c r="K41" s="56">
        <f t="shared" si="30"/>
        <v>0</v>
      </c>
      <c r="L41" s="56">
        <f t="shared" si="30"/>
        <v>0</v>
      </c>
    </row>
    <row r="42" spans="1:35" ht="16.5" thickTop="1" thickBot="1" x14ac:dyDescent="0.3">
      <c r="C42" s="122"/>
      <c r="D42" s="17"/>
      <c r="E42" s="17"/>
      <c r="F42" s="17"/>
      <c r="G42" s="10"/>
      <c r="H42" s="17"/>
      <c r="I42" s="11"/>
      <c r="J42" s="17"/>
      <c r="K42" s="17"/>
      <c r="L42" s="11"/>
    </row>
    <row r="43" spans="1:35" ht="15.75" thickBot="1" x14ac:dyDescent="0.3">
      <c r="A43" t="s">
        <v>42</v>
      </c>
      <c r="B43" s="142">
        <f>+B33+B34</f>
        <v>-11290.89</v>
      </c>
      <c r="C43" s="123">
        <f>(C12-SUM(C15:C16))+SUM(C38:C39)+B43</f>
        <v>70.318559999999707</v>
      </c>
      <c r="D43" s="55">
        <f t="shared" ref="D43:I43" si="31">(D12-SUM(D15:D16))+SUM(D38:D39)+C43</f>
        <v>-3093.8014400000002</v>
      </c>
      <c r="E43" s="55">
        <f t="shared" si="31"/>
        <v>-6470.8914400000003</v>
      </c>
      <c r="F43" s="131">
        <f t="shared" si="31"/>
        <v>-10345.701440000001</v>
      </c>
      <c r="G43" s="54">
        <f t="shared" si="31"/>
        <v>-1.4400000000023283E-3</v>
      </c>
      <c r="H43" s="55">
        <f t="shared" si="31"/>
        <v>-1.4400000000023283E-3</v>
      </c>
      <c r="I43" s="77">
        <f t="shared" si="31"/>
        <v>-1.4400000000023283E-3</v>
      </c>
      <c r="J43" s="190">
        <f t="shared" ref="J43" si="32">(J12-SUM(J15:J16))+SUM(J38:J39)+I43</f>
        <v>-1.4400000000023283E-3</v>
      </c>
      <c r="K43" s="131">
        <f t="shared" ref="K43" si="33">(K12-SUM(K15:K16))+SUM(K38:K39)+J43</f>
        <v>-1.4400000000023283E-3</v>
      </c>
      <c r="L43" s="77">
        <f t="shared" ref="L43" si="34">(L12-SUM(L15:L16))+SUM(L38:L39)+K43</f>
        <v>-1.4400000000023283E-3</v>
      </c>
    </row>
    <row r="44" spans="1:35" x14ac:dyDescent="0.25">
      <c r="A44" t="s">
        <v>14</v>
      </c>
      <c r="C44" s="143"/>
      <c r="D44" s="17"/>
      <c r="E44" s="17"/>
      <c r="F44" s="17"/>
      <c r="G44" s="10"/>
      <c r="H44" s="17"/>
      <c r="I44" s="11"/>
      <c r="J44" s="17"/>
      <c r="K44" s="17"/>
      <c r="L44" s="11"/>
    </row>
    <row r="45" spans="1:35" ht="15.75" thickBot="1" x14ac:dyDescent="0.3">
      <c r="A45" s="51"/>
      <c r="B45" s="51"/>
      <c r="C45" s="173"/>
      <c r="D45" s="58"/>
      <c r="E45" s="58"/>
      <c r="F45" s="58"/>
      <c r="G45" s="57"/>
      <c r="H45" s="58"/>
      <c r="I45" s="59"/>
      <c r="J45" s="58"/>
      <c r="K45" s="58"/>
      <c r="L45" s="59"/>
    </row>
    <row r="46" spans="1:35" x14ac:dyDescent="0.25">
      <c r="A46" s="62"/>
      <c r="D46" s="62"/>
      <c r="E46" s="62"/>
      <c r="I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</row>
    <row r="47" spans="1:35" x14ac:dyDescent="0.25">
      <c r="A47" s="85" t="s">
        <v>13</v>
      </c>
      <c r="B47" s="85"/>
      <c r="C47" s="85"/>
      <c r="D47" s="62"/>
      <c r="E47" s="62"/>
      <c r="I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</row>
    <row r="48" spans="1:35" ht="31.5" customHeight="1" x14ac:dyDescent="0.25">
      <c r="A48" s="271" t="s">
        <v>109</v>
      </c>
      <c r="B48" s="271"/>
      <c r="C48" s="271"/>
      <c r="D48" s="271"/>
      <c r="E48" s="271"/>
      <c r="F48" s="271"/>
      <c r="G48" s="271"/>
      <c r="H48" s="271"/>
      <c r="I48" s="271"/>
      <c r="J48" s="163"/>
      <c r="K48" s="163"/>
      <c r="L48" s="113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</row>
    <row r="49" spans="1:35" s="62" customFormat="1" ht="44.25" customHeight="1" x14ac:dyDescent="0.25">
      <c r="A49" s="271" t="s">
        <v>148</v>
      </c>
      <c r="B49" s="271"/>
      <c r="C49" s="271"/>
      <c r="D49" s="271"/>
      <c r="E49" s="271"/>
      <c r="F49" s="271"/>
      <c r="G49" s="271"/>
      <c r="H49" s="271"/>
      <c r="I49" s="271"/>
      <c r="J49" s="177"/>
      <c r="K49" s="177"/>
    </row>
    <row r="50" spans="1:35" ht="18.75" customHeight="1" x14ac:dyDescent="0.25">
      <c r="A50" s="277" t="s">
        <v>110</v>
      </c>
      <c r="B50" s="277"/>
      <c r="C50" s="277"/>
      <c r="D50" s="277"/>
      <c r="E50" s="277"/>
      <c r="F50" s="277"/>
      <c r="G50" s="277"/>
      <c r="H50" s="277"/>
      <c r="I50" s="277"/>
      <c r="J50" s="163"/>
      <c r="K50" s="163"/>
      <c r="L50" s="113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</row>
    <row r="51" spans="1:35" x14ac:dyDescent="0.25">
      <c r="A51" s="3" t="s">
        <v>91</v>
      </c>
      <c r="B51" s="3"/>
      <c r="C51" s="3"/>
    </row>
    <row r="52" spans="1:35" x14ac:dyDescent="0.25">
      <c r="A52" s="79" t="s">
        <v>143</v>
      </c>
      <c r="B52" s="3"/>
      <c r="C52" s="3"/>
    </row>
    <row r="53" spans="1:35" x14ac:dyDescent="0.25">
      <c r="A53" s="3" t="s">
        <v>92</v>
      </c>
      <c r="B53" s="3"/>
      <c r="C53" s="3"/>
    </row>
    <row r="54" spans="1:35" x14ac:dyDescent="0.25">
      <c r="A54" s="3"/>
      <c r="B54" s="3"/>
      <c r="C54" s="3"/>
    </row>
  </sheetData>
  <mergeCells count="6">
    <mergeCell ref="J10:L10"/>
    <mergeCell ref="A48:I48"/>
    <mergeCell ref="A50:I50"/>
    <mergeCell ref="D10:F10"/>
    <mergeCell ref="G10:I10"/>
    <mergeCell ref="A49:I49"/>
  </mergeCells>
  <pageMargins left="0.2" right="0.2" top="0.75" bottom="0.25" header="0.3" footer="0.3"/>
  <pageSetup scale="57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54"/>
  <sheetViews>
    <sheetView zoomScaleNormal="100" workbookViewId="0">
      <pane xSplit="1" ySplit="2" topLeftCell="L21" activePane="bottomRight" state="frozen"/>
      <selection activeCell="J18" sqref="J18"/>
      <selection pane="topRight" activeCell="J18" sqref="J18"/>
      <selection pane="bottomLeft" activeCell="J18" sqref="J18"/>
      <selection pane="bottomRight" activeCell="P1" sqref="P1:P1048576"/>
    </sheetView>
  </sheetViews>
  <sheetFormatPr defaultRowHeight="15" x14ac:dyDescent="0.25"/>
  <cols>
    <col min="1" max="1" width="61.7109375" style="62" customWidth="1"/>
    <col min="2" max="2" width="12.140625" style="62" customWidth="1"/>
    <col min="3" max="4" width="12.42578125" style="62" customWidth="1"/>
    <col min="5" max="5" width="15.42578125" style="62" customWidth="1"/>
    <col min="6" max="6" width="15.85546875" style="62" customWidth="1"/>
    <col min="7" max="7" width="12.28515625" style="62" customWidth="1"/>
    <col min="8" max="9" width="13.28515625" style="62" customWidth="1"/>
    <col min="10" max="10" width="12.28515625" style="62" bestFit="1" customWidth="1"/>
    <col min="11" max="11" width="11.5703125" style="62" bestFit="1" customWidth="1"/>
    <col min="12" max="12" width="12.85546875" style="62" customWidth="1"/>
    <col min="13" max="13" width="16" style="62" customWidth="1"/>
    <col min="14" max="14" width="15" style="62" bestFit="1" customWidth="1"/>
    <col min="15" max="15" width="16" style="62" bestFit="1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+PPC!A1</f>
        <v>Evergy Metro, Inc. - DSIM Rider Update Filed 12/02/2019</v>
      </c>
      <c r="B1" s="3"/>
      <c r="C1" s="3"/>
      <c r="D1" s="3"/>
    </row>
    <row r="2" spans="1:35" x14ac:dyDescent="0.25">
      <c r="E2" s="3" t="s">
        <v>82</v>
      </c>
    </row>
    <row r="3" spans="1:35" ht="30" x14ac:dyDescent="0.25">
      <c r="E3" s="64" t="s">
        <v>62</v>
      </c>
      <c r="F3" s="86" t="s">
        <v>96</v>
      </c>
      <c r="G3" s="86" t="s">
        <v>70</v>
      </c>
      <c r="H3" s="64" t="s">
        <v>3</v>
      </c>
      <c r="I3" s="86" t="s">
        <v>71</v>
      </c>
      <c r="J3" s="64" t="s">
        <v>11</v>
      </c>
      <c r="K3" s="64" t="s">
        <v>10</v>
      </c>
      <c r="S3" s="64"/>
    </row>
    <row r="4" spans="1:35" x14ac:dyDescent="0.25">
      <c r="A4" s="22" t="s">
        <v>29</v>
      </c>
      <c r="B4" s="22"/>
      <c r="C4" s="22"/>
      <c r="D4" s="22"/>
      <c r="E4" s="24">
        <f>SUM(C15:M15)</f>
        <v>833707.10710000002</v>
      </c>
      <c r="F4" s="161">
        <f>N19</f>
        <v>20348279.10106859</v>
      </c>
      <c r="G4" s="24">
        <f>SUM(C23:L23)</f>
        <v>1614641.8599999996</v>
      </c>
      <c r="H4" s="24">
        <f>G4-E4</f>
        <v>780934.75289999961</v>
      </c>
      <c r="I4" s="24">
        <f>+B33</f>
        <v>-42237.916980000184</v>
      </c>
      <c r="J4" s="24">
        <f>SUM(C38:L38)</f>
        <v>11176.58</v>
      </c>
      <c r="K4" s="36">
        <f>SUM(H4:J4)</f>
        <v>749873.41591999936</v>
      </c>
      <c r="L4" s="63">
        <f>+K4-M33</f>
        <v>0</v>
      </c>
    </row>
    <row r="5" spans="1:35" ht="15.75" thickBot="1" x14ac:dyDescent="0.3">
      <c r="A5" s="22" t="s">
        <v>30</v>
      </c>
      <c r="B5" s="22"/>
      <c r="C5" s="22"/>
      <c r="D5" s="22"/>
      <c r="E5" s="24">
        <f>SUM(C16:M16)</f>
        <v>650699.29167999991</v>
      </c>
      <c r="F5" s="161">
        <f>N20</f>
        <v>24841848.836113866</v>
      </c>
      <c r="G5" s="24">
        <f>SUM(C24:L24)</f>
        <v>1052314.3600000001</v>
      </c>
      <c r="H5" s="24">
        <f>G5-E5</f>
        <v>401615.06832000019</v>
      </c>
      <c r="I5" s="24">
        <f>+B34</f>
        <v>-637674.4898400004</v>
      </c>
      <c r="J5" s="24">
        <f>SUM(C39:L39)</f>
        <v>-5156.21</v>
      </c>
      <c r="K5" s="36">
        <f>SUM(H5:J5)</f>
        <v>-241215.6315200002</v>
      </c>
      <c r="L5" s="63">
        <f>+K5-M34</f>
        <v>0</v>
      </c>
    </row>
    <row r="6" spans="1:35" ht="16.5" thickTop="1" thickBot="1" x14ac:dyDescent="0.3">
      <c r="E6" s="40">
        <f t="shared" ref="E6" si="0">SUM(E4:E5)</f>
        <v>1484406.3987799999</v>
      </c>
      <c r="F6" s="162">
        <f t="shared" ref="F6:I6" si="1">SUM(F4:F5)</f>
        <v>45190127.937182456</v>
      </c>
      <c r="G6" s="40">
        <f t="shared" si="1"/>
        <v>2666956.2199999997</v>
      </c>
      <c r="H6" s="40">
        <f t="shared" si="1"/>
        <v>1182549.8212199998</v>
      </c>
      <c r="I6" s="40">
        <f t="shared" si="1"/>
        <v>-679912.40682000061</v>
      </c>
      <c r="J6" s="40">
        <f>SUM(J4:J5)</f>
        <v>6020.37</v>
      </c>
      <c r="K6" s="40">
        <f>SUM(K4:K5)</f>
        <v>508657.78439999919</v>
      </c>
      <c r="T6" s="5"/>
    </row>
    <row r="7" spans="1:35" ht="15.75" thickTop="1" x14ac:dyDescent="0.25"/>
    <row r="8" spans="1:35" x14ac:dyDescent="0.25">
      <c r="J8" s="4"/>
      <c r="V8" s="4"/>
    </row>
    <row r="9" spans="1:35" ht="15.75" thickBot="1" x14ac:dyDescent="0.3">
      <c r="V9" s="4"/>
      <c r="W9" s="5"/>
    </row>
    <row r="10" spans="1:35" ht="90.75" thickBot="1" x14ac:dyDescent="0.3">
      <c r="B10" s="141" t="str">
        <f>+'PCR Cycle 1'!B8</f>
        <v>Cumulative Over/Under Carryover From 06/01/2019 Filing</v>
      </c>
      <c r="C10" s="179" t="str">
        <f>+'PCR Cycle 1'!C8</f>
        <v>Reverse May-19 - October-19  Forecast From 06/01/2019 Filing</v>
      </c>
      <c r="D10" s="246" t="s">
        <v>114</v>
      </c>
      <c r="E10" s="272" t="s">
        <v>39</v>
      </c>
      <c r="F10" s="272"/>
      <c r="G10" s="273"/>
      <c r="H10" s="278" t="s">
        <v>39</v>
      </c>
      <c r="I10" s="279"/>
      <c r="J10" s="280"/>
      <c r="K10" s="274" t="s">
        <v>9</v>
      </c>
      <c r="L10" s="275"/>
      <c r="M10" s="276"/>
    </row>
    <row r="11" spans="1:35" x14ac:dyDescent="0.25">
      <c r="A11" s="62" t="s">
        <v>84</v>
      </c>
      <c r="C11" s="128"/>
      <c r="D11" s="247"/>
      <c r="E11" s="20">
        <f>+'PCR Cycle 1'!D9</f>
        <v>43616</v>
      </c>
      <c r="F11" s="20">
        <f t="shared" ref="F11:M11" si="2">EOMONTH(E11,1)</f>
        <v>43646</v>
      </c>
      <c r="G11" s="20">
        <f t="shared" si="2"/>
        <v>43677</v>
      </c>
      <c r="H11" s="14">
        <f t="shared" si="2"/>
        <v>43708</v>
      </c>
      <c r="I11" s="20">
        <f t="shared" si="2"/>
        <v>43738</v>
      </c>
      <c r="J11" s="15">
        <f t="shared" si="2"/>
        <v>43769</v>
      </c>
      <c r="K11" s="20">
        <f t="shared" si="2"/>
        <v>43799</v>
      </c>
      <c r="L11" s="20">
        <f t="shared" si="2"/>
        <v>43830</v>
      </c>
      <c r="M11" s="15">
        <f t="shared" si="2"/>
        <v>43861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2" t="s">
        <v>6</v>
      </c>
      <c r="C12" s="227">
        <v>-537939.78</v>
      </c>
      <c r="D12" s="230">
        <f t="shared" ref="D12:I12" si="3">+D23+D24</f>
        <v>0</v>
      </c>
      <c r="E12" s="132">
        <f t="shared" si="3"/>
        <v>255809.29</v>
      </c>
      <c r="F12" s="132">
        <f t="shared" si="3"/>
        <v>404877.20999999996</v>
      </c>
      <c r="G12" s="133">
        <f t="shared" si="3"/>
        <v>489094.08</v>
      </c>
      <c r="H12" s="16">
        <f t="shared" si="3"/>
        <v>535206.40000000002</v>
      </c>
      <c r="I12" s="71">
        <f t="shared" si="3"/>
        <v>506447.41</v>
      </c>
      <c r="J12" s="193">
        <f t="shared" ref="J12:L12" si="4">+J23+J24</f>
        <v>355345.70999999996</v>
      </c>
      <c r="K12" s="186">
        <f t="shared" si="4"/>
        <v>304043.56</v>
      </c>
      <c r="L12" s="97">
        <f t="shared" si="4"/>
        <v>354072.34</v>
      </c>
      <c r="M12" s="98"/>
    </row>
    <row r="13" spans="1:35" x14ac:dyDescent="0.25">
      <c r="C13" s="122"/>
      <c r="D13" s="231"/>
      <c r="E13" s="17"/>
      <c r="F13" s="17"/>
      <c r="G13" s="17"/>
      <c r="H13" s="10"/>
      <c r="I13" s="17"/>
      <c r="J13" s="11"/>
      <c r="K13" s="44"/>
      <c r="L13" s="44"/>
      <c r="M13" s="42"/>
    </row>
    <row r="14" spans="1:35" x14ac:dyDescent="0.25">
      <c r="A14" s="62" t="s">
        <v>83</v>
      </c>
      <c r="C14" s="122"/>
      <c r="D14" s="231"/>
      <c r="E14" s="18"/>
      <c r="F14" s="18"/>
      <c r="G14" s="18"/>
      <c r="H14" s="114"/>
      <c r="I14" s="18"/>
      <c r="J14" s="194"/>
      <c r="K14" s="44"/>
      <c r="L14" s="44"/>
      <c r="M14" s="42"/>
      <c r="N14" s="3" t="s">
        <v>93</v>
      </c>
      <c r="O14" s="53"/>
    </row>
    <row r="15" spans="1:35" x14ac:dyDescent="0.25">
      <c r="A15" s="62" t="s">
        <v>29</v>
      </c>
      <c r="C15" s="227">
        <v>-284595.26698000001</v>
      </c>
      <c r="D15" s="230">
        <v>0</v>
      </c>
      <c r="E15" s="159">
        <f>ROUND('[3]May 2019 Combined'!$F$44,2)</f>
        <v>65376.61</v>
      </c>
      <c r="F15" s="159">
        <f>ROUND('[3]June 2019 Combined'!$F$44,2)</f>
        <v>88090.33</v>
      </c>
      <c r="G15" s="159">
        <f>ROUND('[3]July 2019 Combined'!$F$44,2)</f>
        <v>126662.92</v>
      </c>
      <c r="H15" s="16">
        <f>ROUND('[3]August 2019 Combined'!$F$49,2)</f>
        <v>154490.88</v>
      </c>
      <c r="I15" s="144">
        <f>ROUND('[3]September 2019 Combined'!$F$44,2)</f>
        <v>155965.01</v>
      </c>
      <c r="J15" s="198">
        <f>ROUND('[3]October 2019 Combined'!$F$44,2)</f>
        <v>122909.21</v>
      </c>
      <c r="K15" s="146">
        <f>'PCR Cycle 1'!J21*'TDR Cycle 2'!$N15</f>
        <v>97310.417939999999</v>
      </c>
      <c r="L15" s="55">
        <f>'PCR Cycle 1'!K21*'TDR Cycle 2'!$N15</f>
        <v>144771.97594</v>
      </c>
      <c r="M15" s="77">
        <f>'PCR Cycle 1'!L21*'TDR Cycle 2'!$N15</f>
        <v>162725.0202</v>
      </c>
      <c r="N15" s="88">
        <v>6.2E-4</v>
      </c>
      <c r="O15" s="4"/>
    </row>
    <row r="16" spans="1:35" x14ac:dyDescent="0.25">
      <c r="A16" s="62" t="s">
        <v>30</v>
      </c>
      <c r="C16" s="227">
        <v>-578331.25656000001</v>
      </c>
      <c r="D16" s="230">
        <v>0</v>
      </c>
      <c r="E16" s="159">
        <f>ROUND('[3]May 2019 Combined'!$F$45,2)</f>
        <v>161379.32999999999</v>
      </c>
      <c r="F16" s="159">
        <f>ROUND('[3]June 2019 Combined'!$F$45,2)</f>
        <v>171567.6</v>
      </c>
      <c r="G16" s="159">
        <f>ROUND('[3]July 2019 Combined'!$F$45,2)</f>
        <v>196314.19</v>
      </c>
      <c r="H16" s="16">
        <f>ROUND('[3]August 2019 Combined'!$F$50,2)</f>
        <v>165246.85999999999</v>
      </c>
      <c r="I16" s="144">
        <f>ROUND('[3]September 2019 Combined'!$F$45,2)</f>
        <v>133546.79</v>
      </c>
      <c r="J16" s="198">
        <f>ROUND('[3]October 2019 Combined'!$F$45,2)</f>
        <v>102545.07</v>
      </c>
      <c r="K16" s="146">
        <f>'PCR Cycle 1'!J22*'TDR Cycle 2'!$N16</f>
        <v>92424.777759999997</v>
      </c>
      <c r="L16" s="55">
        <f>'PCR Cycle 1'!K22*'TDR Cycle 2'!$N16</f>
        <v>102010.46911999999</v>
      </c>
      <c r="M16" s="77">
        <f>'PCR Cycle 1'!L22*'TDR Cycle 2'!$N16</f>
        <v>103995.46135999999</v>
      </c>
      <c r="N16" s="88">
        <v>2.7999999999999998E-4</v>
      </c>
      <c r="O16" s="4"/>
    </row>
    <row r="17" spans="1:15" x14ac:dyDescent="0.25">
      <c r="C17" s="83"/>
      <c r="D17" s="232"/>
      <c r="E17" s="84"/>
      <c r="F17" s="84"/>
      <c r="G17" s="84"/>
      <c r="H17" s="83"/>
      <c r="I17" s="84"/>
      <c r="J17" s="196"/>
      <c r="K17" s="72"/>
      <c r="L17" s="72"/>
      <c r="M17" s="13"/>
      <c r="O17" s="4"/>
    </row>
    <row r="18" spans="1:15" x14ac:dyDescent="0.25">
      <c r="A18" s="53" t="s">
        <v>89</v>
      </c>
      <c r="B18" s="53"/>
      <c r="C18" s="83"/>
      <c r="D18" s="232"/>
      <c r="E18" s="72"/>
      <c r="F18" s="72"/>
      <c r="G18" s="72"/>
      <c r="H18" s="12"/>
      <c r="I18" s="72"/>
      <c r="J18" s="197"/>
      <c r="K18" s="72"/>
      <c r="L18" s="72"/>
      <c r="M18" s="13"/>
      <c r="N18" s="7"/>
    </row>
    <row r="19" spans="1:15" x14ac:dyDescent="0.25">
      <c r="A19" s="62" t="s">
        <v>29</v>
      </c>
      <c r="C19" s="228">
        <v>-2604766.7739270469</v>
      </c>
      <c r="D19" s="233"/>
      <c r="E19" s="134">
        <f>+'[6]Monthly TD Calc'!AN285</f>
        <v>1905075.120396107</v>
      </c>
      <c r="F19" s="134">
        <f>+'[6]Monthly TD Calc'!AO285</f>
        <v>2344550.5987205859</v>
      </c>
      <c r="G19" s="148">
        <f>+'[6]Monthly TD Calc'!AP285</f>
        <v>3114470.6319201724</v>
      </c>
      <c r="H19" s="92">
        <f>+'[6]Monthly TD Calc'!AQ285</f>
        <v>3439521.9753904017</v>
      </c>
      <c r="I19" s="93">
        <f>+'[6]Monthly TD Calc'!AR285</f>
        <v>3297099.524945932</v>
      </c>
      <c r="J19" s="198">
        <f>+'[6]Monthly TD Calc'!AS285</f>
        <v>3534138.4194082278</v>
      </c>
      <c r="K19" s="187">
        <f>+'[2]Metro Monthly TD Calc'!AT338</f>
        <v>2247983.6198608307</v>
      </c>
      <c r="L19" s="168">
        <f>+'[2]Metro Monthly TD Calc'!AU338</f>
        <v>3070205.9843533784</v>
      </c>
      <c r="M19" s="99"/>
      <c r="N19" s="75">
        <f>SUM(C19:L19)</f>
        <v>20348279.10106859</v>
      </c>
    </row>
    <row r="20" spans="1:15" x14ac:dyDescent="0.25">
      <c r="A20" s="62" t="s">
        <v>30</v>
      </c>
      <c r="C20" s="228">
        <v>-7597114.8463291731</v>
      </c>
      <c r="D20" s="233"/>
      <c r="E20" s="134">
        <f>+'[6]Monthly TD Calc'!AN286</f>
        <v>3556084.3845155714</v>
      </c>
      <c r="F20" s="134">
        <f>+'[6]Monthly TD Calc'!AO286</f>
        <v>3632905.5034914077</v>
      </c>
      <c r="G20" s="148">
        <f>+'[6]Monthly TD Calc'!AP286</f>
        <v>3797043.102911015</v>
      </c>
      <c r="H20" s="92">
        <f>+'[6]Monthly TD Calc'!AQ286</f>
        <v>4002247.7226888952</v>
      </c>
      <c r="I20" s="93">
        <f>+'[6]Monthly TD Calc'!AR286</f>
        <v>3844357.4120946513</v>
      </c>
      <c r="J20" s="198">
        <f>+'[6]Monthly TD Calc'!AS286</f>
        <v>4225710.795167882</v>
      </c>
      <c r="K20" s="187">
        <f>+'[2]Metro Monthly TD Calc'!AT339</f>
        <v>4346128.6482501319</v>
      </c>
      <c r="L20" s="168">
        <f>+'[2]Metro Monthly TD Calc'!AU339</f>
        <v>5034486.1133234836</v>
      </c>
      <c r="M20" s="99"/>
      <c r="N20" s="75">
        <f>SUM(C20:L20)</f>
        <v>24841848.836113866</v>
      </c>
    </row>
    <row r="21" spans="1:15" x14ac:dyDescent="0.25">
      <c r="C21" s="83"/>
      <c r="D21" s="232"/>
      <c r="E21" s="84"/>
      <c r="F21" s="84"/>
      <c r="G21" s="84"/>
      <c r="H21" s="83"/>
      <c r="I21" s="84"/>
      <c r="J21" s="196"/>
      <c r="K21" s="72"/>
      <c r="L21" s="72"/>
      <c r="M21" s="13"/>
    </row>
    <row r="22" spans="1:15" x14ac:dyDescent="0.25">
      <c r="A22" s="62" t="s">
        <v>94</v>
      </c>
      <c r="C22" s="50"/>
      <c r="D22" s="234"/>
      <c r="E22" s="51"/>
      <c r="F22" s="51"/>
      <c r="G22" s="51"/>
      <c r="H22" s="50"/>
      <c r="I22" s="51"/>
      <c r="J22" s="199"/>
      <c r="K22" s="68"/>
      <c r="L22" s="68"/>
      <c r="M22" s="52"/>
    </row>
    <row r="23" spans="1:15" x14ac:dyDescent="0.25">
      <c r="A23" s="62" t="s">
        <v>29</v>
      </c>
      <c r="C23" s="227">
        <v>-197002.57</v>
      </c>
      <c r="D23" s="230"/>
      <c r="E23" s="132">
        <f>ROUND('[6]Monthly TD Calc'!AN318,2)</f>
        <v>118374.82</v>
      </c>
      <c r="F23" s="132">
        <f>ROUND('[6]Monthly TD Calc'!AO318,2)</f>
        <v>220770.4</v>
      </c>
      <c r="G23" s="133">
        <f>ROUND('[6]Monthly TD Calc'!AP318,2)</f>
        <v>302603.44</v>
      </c>
      <c r="H23" s="16">
        <f>ROUND('[6]Monthly TD Calc'!AQ318,2)</f>
        <v>333733.05</v>
      </c>
      <c r="I23" s="71">
        <f>ROUND('[6]Monthly TD Calc'!AR318,2)</f>
        <v>312883.67</v>
      </c>
      <c r="J23" s="198">
        <f>ROUND('[6]Monthly TD Calc'!AS318,2)</f>
        <v>203322.69</v>
      </c>
      <c r="K23" s="188">
        <f>ROUND('[2]Metro Monthly TD Calc'!AT317,2)</f>
        <v>139647.91</v>
      </c>
      <c r="L23" s="167">
        <f>ROUND('[2]Metro Monthly TD Calc'!AU317,2)</f>
        <v>180308.45</v>
      </c>
      <c r="M23" s="98"/>
    </row>
    <row r="24" spans="1:15" x14ac:dyDescent="0.25">
      <c r="A24" s="62" t="s">
        <v>30</v>
      </c>
      <c r="C24" s="227">
        <v>-340937.20999999996</v>
      </c>
      <c r="D24" s="230"/>
      <c r="E24" s="132">
        <f>ROUND('[6]Monthly TD Calc'!AN319,2)</f>
        <v>137434.47</v>
      </c>
      <c r="F24" s="132">
        <f>ROUND('[6]Monthly TD Calc'!AO319,2)</f>
        <v>184106.81</v>
      </c>
      <c r="G24" s="133">
        <f>ROUND('[6]Monthly TD Calc'!AP319,2)</f>
        <v>186490.64</v>
      </c>
      <c r="H24" s="16">
        <f>ROUND('[6]Monthly TD Calc'!AQ319,2)</f>
        <v>201473.35</v>
      </c>
      <c r="I24" s="71">
        <f>ROUND('[6]Monthly TD Calc'!AR319,2)</f>
        <v>193563.74</v>
      </c>
      <c r="J24" s="198">
        <f>ROUND('[6]Monthly TD Calc'!AS319,2)</f>
        <v>152023.01999999999</v>
      </c>
      <c r="K24" s="188">
        <f>ROUND('[2]Metro Monthly TD Calc'!AT318,2)</f>
        <v>164395.65</v>
      </c>
      <c r="L24" s="167">
        <f>ROUND('[2]Metro Monthly TD Calc'!AU318,2)</f>
        <v>173763.89</v>
      </c>
      <c r="M24" s="98"/>
      <c r="O24" s="63"/>
    </row>
    <row r="25" spans="1:15" x14ac:dyDescent="0.25">
      <c r="C25" s="122"/>
      <c r="D25" s="231"/>
      <c r="E25" s="18"/>
      <c r="F25" s="18"/>
      <c r="G25" s="18"/>
      <c r="H25" s="114"/>
      <c r="I25" s="18"/>
      <c r="J25" s="194"/>
      <c r="K25" s="72"/>
      <c r="L25" s="72"/>
      <c r="M25" s="13"/>
    </row>
    <row r="26" spans="1:15" ht="15.75" thickBot="1" x14ac:dyDescent="0.3">
      <c r="A26" s="3" t="s">
        <v>18</v>
      </c>
      <c r="B26" s="3"/>
      <c r="C26" s="229">
        <v>2274.63</v>
      </c>
      <c r="D26" s="235"/>
      <c r="E26" s="159">
        <v>-1041.0999999999999</v>
      </c>
      <c r="F26" s="159">
        <v>-767.43</v>
      </c>
      <c r="G26" s="160">
        <v>-287.69000000000005</v>
      </c>
      <c r="H26" s="39">
        <v>266.3599999999999</v>
      </c>
      <c r="I26" s="145">
        <v>850.16</v>
      </c>
      <c r="J26" s="200">
        <v>1262.8899999999999</v>
      </c>
      <c r="K26" s="189">
        <v>1584.7000000000003</v>
      </c>
      <c r="L26" s="169">
        <v>1877.8599999999997</v>
      </c>
      <c r="M26" s="101"/>
    </row>
    <row r="27" spans="1:15" x14ac:dyDescent="0.25">
      <c r="C27" s="80"/>
      <c r="D27" s="238"/>
      <c r="E27" s="82"/>
      <c r="F27" s="82"/>
      <c r="G27" s="47"/>
      <c r="H27" s="80"/>
      <c r="I27" s="47"/>
      <c r="J27" s="201"/>
      <c r="K27" s="48"/>
      <c r="L27" s="48"/>
      <c r="M27" s="76"/>
    </row>
    <row r="28" spans="1:15" x14ac:dyDescent="0.25">
      <c r="A28" s="62" t="s">
        <v>68</v>
      </c>
      <c r="C28" s="81"/>
      <c r="D28" s="239"/>
      <c r="E28" s="49"/>
      <c r="F28" s="49"/>
      <c r="G28" s="49"/>
      <c r="H28" s="81"/>
      <c r="I28" s="49"/>
      <c r="J28" s="202"/>
      <c r="K28" s="48"/>
      <c r="L28" s="48"/>
      <c r="M28" s="76"/>
    </row>
    <row r="29" spans="1:15" x14ac:dyDescent="0.25">
      <c r="A29" s="62" t="s">
        <v>29</v>
      </c>
      <c r="C29" s="236">
        <f t="shared" ref="C29:M30" si="5">C23-C15</f>
        <v>87592.696980000008</v>
      </c>
      <c r="D29" s="240">
        <f t="shared" ref="D29" si="6">D23-D15</f>
        <v>0</v>
      </c>
      <c r="E29" s="55">
        <f t="shared" si="5"/>
        <v>52998.210000000006</v>
      </c>
      <c r="F29" s="55">
        <f t="shared" si="5"/>
        <v>132680.07</v>
      </c>
      <c r="G29" s="131">
        <f t="shared" si="5"/>
        <v>175940.52000000002</v>
      </c>
      <c r="H29" s="54">
        <f t="shared" si="5"/>
        <v>179242.16999999998</v>
      </c>
      <c r="I29" s="55">
        <f t="shared" si="5"/>
        <v>156918.65999999997</v>
      </c>
      <c r="J29" s="77">
        <f t="shared" si="5"/>
        <v>80413.48</v>
      </c>
      <c r="K29" s="146">
        <f t="shared" si="5"/>
        <v>42337.492060000004</v>
      </c>
      <c r="L29" s="55">
        <f t="shared" si="5"/>
        <v>35536.474060000008</v>
      </c>
      <c r="M29" s="77">
        <f t="shared" si="5"/>
        <v>-162725.0202</v>
      </c>
    </row>
    <row r="30" spans="1:15" x14ac:dyDescent="0.25">
      <c r="A30" s="62" t="s">
        <v>30</v>
      </c>
      <c r="C30" s="236">
        <f t="shared" si="5"/>
        <v>237394.04656000005</v>
      </c>
      <c r="D30" s="240">
        <f t="shared" ref="D30" si="7">D24-D16</f>
        <v>0</v>
      </c>
      <c r="E30" s="55">
        <f t="shared" si="5"/>
        <v>-23944.859999999986</v>
      </c>
      <c r="F30" s="55">
        <f t="shared" si="5"/>
        <v>12539.209999999992</v>
      </c>
      <c r="G30" s="131">
        <f t="shared" si="5"/>
        <v>-9823.5499999999884</v>
      </c>
      <c r="H30" s="54">
        <f t="shared" si="5"/>
        <v>36226.49000000002</v>
      </c>
      <c r="I30" s="55">
        <f t="shared" si="5"/>
        <v>60016.949999999983</v>
      </c>
      <c r="J30" s="77">
        <f t="shared" si="5"/>
        <v>49477.949999999983</v>
      </c>
      <c r="K30" s="146">
        <f t="shared" si="5"/>
        <v>71970.872239999997</v>
      </c>
      <c r="L30" s="55">
        <f t="shared" si="5"/>
        <v>71753.42088000002</v>
      </c>
      <c r="M30" s="77">
        <f t="shared" si="5"/>
        <v>-103995.46135999999</v>
      </c>
    </row>
    <row r="31" spans="1:15" x14ac:dyDescent="0.25">
      <c r="C31" s="122"/>
      <c r="D31" s="231"/>
      <c r="E31" s="17"/>
      <c r="F31" s="17"/>
      <c r="G31" s="17"/>
      <c r="H31" s="10"/>
      <c r="I31" s="17"/>
      <c r="J31" s="11"/>
      <c r="K31" s="17"/>
      <c r="L31" s="17"/>
      <c r="M31" s="11"/>
    </row>
    <row r="32" spans="1:15" ht="15.75" thickBot="1" x14ac:dyDescent="0.3">
      <c r="A32" s="62" t="s">
        <v>69</v>
      </c>
      <c r="C32" s="122"/>
      <c r="D32" s="231"/>
      <c r="E32" s="17"/>
      <c r="F32" s="17"/>
      <c r="G32" s="17"/>
      <c r="H32" s="10"/>
      <c r="I32" s="17"/>
      <c r="J32" s="11"/>
      <c r="K32" s="17"/>
      <c r="L32" s="17"/>
      <c r="M32" s="11"/>
    </row>
    <row r="33" spans="1:13" x14ac:dyDescent="0.25">
      <c r="A33" s="62" t="s">
        <v>29</v>
      </c>
      <c r="B33" s="139">
        <v>-42237.916980000184</v>
      </c>
      <c r="C33" s="236">
        <f t="shared" ref="C33:E34" si="8">+B33+C29+B38</f>
        <v>45354.779999999824</v>
      </c>
      <c r="D33" s="240">
        <f t="shared" si="8"/>
        <v>45007.999999999825</v>
      </c>
      <c r="E33" s="55">
        <f t="shared" si="8"/>
        <v>98006.209999999832</v>
      </c>
      <c r="F33" s="55">
        <f t="shared" ref="F33:M33" si="9">+E33+F29+E38</f>
        <v>230906.44999999987</v>
      </c>
      <c r="G33" s="131">
        <f t="shared" si="9"/>
        <v>407348.07999999984</v>
      </c>
      <c r="H33" s="54">
        <f t="shared" si="9"/>
        <v>587536.21999999974</v>
      </c>
      <c r="I33" s="55">
        <f t="shared" si="9"/>
        <v>745875.15999999968</v>
      </c>
      <c r="J33" s="77">
        <f t="shared" si="9"/>
        <v>828119.93999999971</v>
      </c>
      <c r="K33" s="146">
        <f t="shared" si="9"/>
        <v>872512.8420599997</v>
      </c>
      <c r="L33" s="55">
        <f t="shared" si="9"/>
        <v>910270.19611999975</v>
      </c>
      <c r="M33" s="77">
        <f t="shared" si="9"/>
        <v>749873.41591999971</v>
      </c>
    </row>
    <row r="34" spans="1:13" ht="15.75" thickBot="1" x14ac:dyDescent="0.3">
      <c r="A34" s="62" t="s">
        <v>30</v>
      </c>
      <c r="B34" s="140">
        <v>-637674.4898400004</v>
      </c>
      <c r="C34" s="236">
        <f t="shared" si="8"/>
        <v>-400280.44328000036</v>
      </c>
      <c r="D34" s="240">
        <f t="shared" si="8"/>
        <v>-397659.03328000038</v>
      </c>
      <c r="E34" s="55">
        <f t="shared" si="8"/>
        <v>-421603.89328000037</v>
      </c>
      <c r="F34" s="55">
        <f t="shared" ref="F34:M34" si="10">+E34+F30+E39</f>
        <v>-410325.96328000037</v>
      </c>
      <c r="G34" s="131">
        <f t="shared" si="10"/>
        <v>-421418.05328000034</v>
      </c>
      <c r="H34" s="54">
        <f t="shared" si="10"/>
        <v>-386425.22328000033</v>
      </c>
      <c r="I34" s="55">
        <f t="shared" si="10"/>
        <v>-327562.20328000031</v>
      </c>
      <c r="J34" s="77">
        <f t="shared" si="10"/>
        <v>-279065.37328000029</v>
      </c>
      <c r="K34" s="146">
        <f t="shared" si="10"/>
        <v>-207887.03104000029</v>
      </c>
      <c r="L34" s="55">
        <f t="shared" si="10"/>
        <v>-136769.79016000027</v>
      </c>
      <c r="M34" s="77">
        <f t="shared" si="10"/>
        <v>-241215.63152000026</v>
      </c>
    </row>
    <row r="35" spans="1:13" x14ac:dyDescent="0.25">
      <c r="C35" s="122"/>
      <c r="D35" s="231"/>
      <c r="E35" s="17"/>
      <c r="F35" s="17"/>
      <c r="G35" s="17"/>
      <c r="H35" s="10"/>
      <c r="I35" s="17"/>
      <c r="J35" s="11"/>
      <c r="K35" s="17"/>
      <c r="L35" s="17"/>
      <c r="M35" s="11"/>
    </row>
    <row r="36" spans="1:13" x14ac:dyDescent="0.25">
      <c r="A36" s="53" t="s">
        <v>65</v>
      </c>
      <c r="B36" s="53"/>
      <c r="C36" s="127"/>
      <c r="D36" s="241"/>
      <c r="E36" s="102">
        <f>+'PCR Cycle 1'!D38</f>
        <v>3.0790499999999998E-3</v>
      </c>
      <c r="F36" s="102">
        <f>+'PCR Cycle 1'!E38</f>
        <v>3.0450199999999998E-3</v>
      </c>
      <c r="G36" s="102">
        <f>+'PCR Cycle 1'!F38</f>
        <v>2.9619300000000002E-3</v>
      </c>
      <c r="H36" s="103">
        <f>+'PCR Cycle 1'!G38</f>
        <v>2.8524499999999999E-3</v>
      </c>
      <c r="I36" s="102">
        <f>+'PCR Cycle 1'!H38</f>
        <v>2.7438599999999999E-3</v>
      </c>
      <c r="J36" s="115">
        <f>+'PCR Cycle 1'!I38</f>
        <v>2.60867E-3</v>
      </c>
      <c r="K36" s="102">
        <f>+'PCR Cycle 1'!J38</f>
        <v>2.60867E-3</v>
      </c>
      <c r="L36" s="102">
        <f>+'PCR Cycle 1'!K38</f>
        <v>2.60867E-3</v>
      </c>
      <c r="M36" s="104"/>
    </row>
    <row r="37" spans="1:13" x14ac:dyDescent="0.25">
      <c r="A37" s="53" t="s">
        <v>44</v>
      </c>
      <c r="B37" s="53"/>
      <c r="C37" s="129"/>
      <c r="D37" s="242"/>
      <c r="E37" s="102"/>
      <c r="F37" s="102"/>
      <c r="G37" s="102"/>
      <c r="H37" s="103"/>
      <c r="I37" s="102"/>
      <c r="J37" s="104"/>
      <c r="K37" s="102"/>
      <c r="L37" s="102"/>
      <c r="M37" s="104"/>
    </row>
    <row r="38" spans="1:13" x14ac:dyDescent="0.25">
      <c r="A38" s="62" t="s">
        <v>29</v>
      </c>
      <c r="C38" s="236">
        <v>-346.78</v>
      </c>
      <c r="D38" s="240"/>
      <c r="E38" s="55">
        <f>ROUND((D33+D38+E29/2)*E$36,2)</f>
        <v>220.17</v>
      </c>
      <c r="F38" s="55">
        <f t="shared" ref="F38:F39" si="11">ROUND((E33+E38+F29/2)*F$36,2)</f>
        <v>501.11</v>
      </c>
      <c r="G38" s="131">
        <f t="shared" ref="G38:G39" si="12">ROUND((F33+F38+G29/2)*G$36,2)</f>
        <v>945.97</v>
      </c>
      <c r="H38" s="54">
        <f t="shared" ref="H38:H39" si="13">ROUND((G33+G38+H29/2)*H$36,2)</f>
        <v>1420.28</v>
      </c>
      <c r="I38" s="146">
        <f t="shared" ref="I38:J39" si="14">ROUND((H33+H38+I29/2)*I$36,2)</f>
        <v>1831.3</v>
      </c>
      <c r="J38" s="77">
        <f t="shared" si="14"/>
        <v>2055.41</v>
      </c>
      <c r="K38" s="190">
        <f t="shared" ref="K38:K39" si="15">ROUND((J33+J38+K29/2)*K$36,2)</f>
        <v>2220.88</v>
      </c>
      <c r="L38" s="131">
        <f t="shared" ref="L38:L39" si="16">ROUND((K33+K38+L29/2)*L$36,2)</f>
        <v>2328.2399999999998</v>
      </c>
      <c r="M38" s="77">
        <f t="shared" ref="M38:M39" si="17">ROUND((L33+L38+M29/2)*M$36,2)</f>
        <v>0</v>
      </c>
    </row>
    <row r="39" spans="1:13" ht="15.75" thickBot="1" x14ac:dyDescent="0.3">
      <c r="A39" s="62" t="s">
        <v>30</v>
      </c>
      <c r="C39" s="236">
        <v>2621.41</v>
      </c>
      <c r="D39" s="240"/>
      <c r="E39" s="55">
        <f>ROUND((D34+D39+E30/2)*E$36,2)</f>
        <v>-1261.28</v>
      </c>
      <c r="F39" s="55">
        <f t="shared" si="11"/>
        <v>-1268.54</v>
      </c>
      <c r="G39" s="131">
        <f t="shared" si="12"/>
        <v>-1233.6600000000001</v>
      </c>
      <c r="H39" s="54">
        <f t="shared" si="13"/>
        <v>-1153.93</v>
      </c>
      <c r="I39" s="146">
        <f t="shared" si="14"/>
        <v>-981.12</v>
      </c>
      <c r="J39" s="77">
        <f t="shared" si="14"/>
        <v>-792.53</v>
      </c>
      <c r="K39" s="190">
        <f t="shared" si="15"/>
        <v>-636.17999999999995</v>
      </c>
      <c r="L39" s="131">
        <f t="shared" si="16"/>
        <v>-450.38</v>
      </c>
      <c r="M39" s="77">
        <f t="shared" si="17"/>
        <v>0</v>
      </c>
    </row>
    <row r="40" spans="1:13" ht="16.5" thickTop="1" thickBot="1" x14ac:dyDescent="0.3">
      <c r="A40" s="70" t="s">
        <v>25</v>
      </c>
      <c r="B40" s="70"/>
      <c r="C40" s="237">
        <v>0</v>
      </c>
      <c r="D40" s="243"/>
      <c r="E40" s="56">
        <f>SUM(E38:E39)+SUM(E33:E34)-E43</f>
        <v>0</v>
      </c>
      <c r="F40" s="56">
        <f t="shared" ref="F40:M40" si="18">SUM(F38:F39)+SUM(F33:F34)-F43</f>
        <v>0</v>
      </c>
      <c r="G40" s="66">
        <f t="shared" si="18"/>
        <v>1.7644197214394808E-10</v>
      </c>
      <c r="H40" s="67">
        <f t="shared" si="18"/>
        <v>0</v>
      </c>
      <c r="I40" s="56">
        <f t="shared" si="18"/>
        <v>0</v>
      </c>
      <c r="J40" s="78">
        <f t="shared" si="18"/>
        <v>0</v>
      </c>
      <c r="K40" s="191">
        <f t="shared" si="18"/>
        <v>0</v>
      </c>
      <c r="L40" s="66">
        <f t="shared" si="18"/>
        <v>0</v>
      </c>
      <c r="M40" s="78">
        <f t="shared" si="18"/>
        <v>0</v>
      </c>
    </row>
    <row r="41" spans="1:13" ht="16.5" thickTop="1" thickBot="1" x14ac:dyDescent="0.3">
      <c r="A41" s="70" t="s">
        <v>26</v>
      </c>
      <c r="B41" s="70"/>
      <c r="C41" s="237">
        <v>0</v>
      </c>
      <c r="D41" s="243"/>
      <c r="E41" s="56">
        <f>SUM(E38:E39)-E26</f>
        <v>-9.9999999999909051E-3</v>
      </c>
      <c r="F41" s="56">
        <f t="shared" ref="F41:J41" si="19">SUM(F38:F39)-F26</f>
        <v>0</v>
      </c>
      <c r="G41" s="66">
        <f t="shared" ref="G41:I41" si="20">SUM(G38:G39)-G26</f>
        <v>0</v>
      </c>
      <c r="H41" s="67">
        <f t="shared" si="20"/>
        <v>-9.9999999999909051E-3</v>
      </c>
      <c r="I41" s="56">
        <f t="shared" si="20"/>
        <v>1.999999999998181E-2</v>
      </c>
      <c r="J41" s="78">
        <f t="shared" si="19"/>
        <v>-9.9999999999909051E-3</v>
      </c>
      <c r="K41" s="192">
        <f t="shared" ref="K41:M41" si="21">SUM(K38:K39)-K26</f>
        <v>0</v>
      </c>
      <c r="L41" s="56">
        <f t="shared" si="21"/>
        <v>0</v>
      </c>
      <c r="M41" s="56">
        <f t="shared" si="21"/>
        <v>0</v>
      </c>
    </row>
    <row r="42" spans="1:13" ht="16.5" thickTop="1" thickBot="1" x14ac:dyDescent="0.3">
      <c r="C42" s="122"/>
      <c r="D42" s="231"/>
      <c r="E42" s="17"/>
      <c r="F42" s="17"/>
      <c r="G42" s="17"/>
      <c r="H42" s="10"/>
      <c r="I42" s="17"/>
      <c r="J42" s="11"/>
      <c r="K42" s="17"/>
      <c r="L42" s="17"/>
      <c r="M42" s="11"/>
    </row>
    <row r="43" spans="1:13" ht="15.75" thickBot="1" x14ac:dyDescent="0.3">
      <c r="A43" s="62" t="s">
        <v>42</v>
      </c>
      <c r="B43" s="142">
        <f>+B33+B34</f>
        <v>-679912.40682000061</v>
      </c>
      <c r="C43" s="236">
        <f>(C12-SUM(C15:C16))+SUM(C38:C39)+B43</f>
        <v>-352651.03328000067</v>
      </c>
      <c r="D43" s="240">
        <f>(D12-SUM(D15:D16))+SUM(D38:D39)+C43</f>
        <v>-352651.03328000067</v>
      </c>
      <c r="E43" s="55">
        <f>(E12-SUM(E15:E16))+SUM(E38:E39)+D43</f>
        <v>-324638.79328000068</v>
      </c>
      <c r="F43" s="55">
        <f t="shared" ref="F43:M43" si="22">(F12-SUM(F15:F16))+SUM(F38:F39)+E43</f>
        <v>-180186.94328000071</v>
      </c>
      <c r="G43" s="131">
        <f t="shared" si="22"/>
        <v>-14357.663280000677</v>
      </c>
      <c r="H43" s="54">
        <f t="shared" si="22"/>
        <v>201377.34671999936</v>
      </c>
      <c r="I43" s="55">
        <f t="shared" si="22"/>
        <v>419163.13671999925</v>
      </c>
      <c r="J43" s="77">
        <f t="shared" si="22"/>
        <v>550317.44671999919</v>
      </c>
      <c r="K43" s="190">
        <f t="shared" si="22"/>
        <v>666210.51101999916</v>
      </c>
      <c r="L43" s="131">
        <f t="shared" si="22"/>
        <v>775378.26595999917</v>
      </c>
      <c r="M43" s="77">
        <f t="shared" si="22"/>
        <v>508657.78439999919</v>
      </c>
    </row>
    <row r="44" spans="1:13" x14ac:dyDescent="0.25">
      <c r="A44" s="62" t="s">
        <v>14</v>
      </c>
      <c r="C44" s="143"/>
      <c r="D44" s="244"/>
      <c r="E44" s="17"/>
      <c r="F44" s="17"/>
      <c r="G44" s="17"/>
      <c r="H44" s="10"/>
      <c r="I44" s="17"/>
      <c r="J44" s="11"/>
      <c r="K44" s="17"/>
      <c r="L44" s="17"/>
      <c r="M44" s="11"/>
    </row>
    <row r="45" spans="1:13" ht="15.75" thickBot="1" x14ac:dyDescent="0.3">
      <c r="A45" s="51"/>
      <c r="B45" s="51"/>
      <c r="C45" s="173"/>
      <c r="D45" s="245"/>
      <c r="E45" s="58"/>
      <c r="F45" s="58"/>
      <c r="G45" s="58"/>
      <c r="H45" s="57"/>
      <c r="I45" s="58"/>
      <c r="J45" s="59"/>
      <c r="K45" s="58"/>
      <c r="L45" s="58"/>
      <c r="M45" s="59"/>
    </row>
    <row r="47" spans="1:13" x14ac:dyDescent="0.25">
      <c r="A47" s="85" t="s">
        <v>13</v>
      </c>
      <c r="B47" s="85"/>
      <c r="C47" s="85"/>
      <c r="D47" s="85"/>
    </row>
    <row r="48" spans="1:13" ht="34.5" customHeight="1" x14ac:dyDescent="0.25">
      <c r="A48" s="271" t="s">
        <v>156</v>
      </c>
      <c r="B48" s="271"/>
      <c r="C48" s="271"/>
      <c r="D48" s="271"/>
      <c r="E48" s="271"/>
      <c r="F48" s="271"/>
      <c r="G48" s="271"/>
      <c r="H48" s="271"/>
      <c r="I48" s="271"/>
      <c r="J48" s="271"/>
      <c r="K48" s="224"/>
      <c r="L48" s="170"/>
      <c r="M48" s="170"/>
    </row>
    <row r="49" spans="1:13" ht="42.75" customHeight="1" x14ac:dyDescent="0.25">
      <c r="A49" s="271" t="s">
        <v>142</v>
      </c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170"/>
      <c r="M49" s="170"/>
    </row>
    <row r="50" spans="1:13" ht="33.75" customHeight="1" x14ac:dyDescent="0.25">
      <c r="A50" s="271" t="s">
        <v>157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24"/>
      <c r="L50" s="170"/>
      <c r="M50" s="170"/>
    </row>
    <row r="51" spans="1:13" x14ac:dyDescent="0.25">
      <c r="A51" s="3" t="s">
        <v>91</v>
      </c>
      <c r="B51" s="3"/>
      <c r="C51" s="3"/>
      <c r="D51" s="3"/>
    </row>
    <row r="52" spans="1:13" x14ac:dyDescent="0.25">
      <c r="A52" s="79" t="s">
        <v>143</v>
      </c>
      <c r="B52" s="3"/>
      <c r="C52" s="3"/>
      <c r="D52" s="3"/>
    </row>
    <row r="53" spans="1:13" x14ac:dyDescent="0.25">
      <c r="A53" s="3" t="s">
        <v>95</v>
      </c>
      <c r="B53" s="3"/>
      <c r="C53" s="3"/>
      <c r="D53" s="3"/>
    </row>
    <row r="54" spans="1:13" x14ac:dyDescent="0.25">
      <c r="A54" s="3"/>
      <c r="B54" s="3"/>
      <c r="C54" s="3"/>
      <c r="D54" s="3"/>
    </row>
  </sheetData>
  <mergeCells count="6">
    <mergeCell ref="A50:J50"/>
    <mergeCell ref="E10:G10"/>
    <mergeCell ref="A48:J48"/>
    <mergeCell ref="A49:K49"/>
    <mergeCell ref="H10:J10"/>
    <mergeCell ref="K10:M10"/>
  </mergeCells>
  <pageMargins left="0.2" right="0.2" top="0.75" bottom="0.25" header="0.3" footer="0.3"/>
  <pageSetup scale="49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7"/>
  <sheetViews>
    <sheetView topLeftCell="A10" workbookViewId="0">
      <selection activeCell="G31" sqref="G31"/>
    </sheetView>
  </sheetViews>
  <sheetFormatPr defaultRowHeight="15" x14ac:dyDescent="0.25"/>
  <cols>
    <col min="1" max="1" width="22.42578125" customWidth="1"/>
    <col min="2" max="2" width="15.28515625" bestFit="1" customWidth="1"/>
    <col min="3" max="3" width="14.28515625" style="62" customWidth="1"/>
    <col min="4" max="4" width="13.28515625" bestFit="1" customWidth="1"/>
    <col min="6" max="6" width="11.5703125" bestFit="1" customWidth="1"/>
    <col min="7" max="7" width="13.140625" customWidth="1"/>
  </cols>
  <sheetData>
    <row r="1" spans="1:7" x14ac:dyDescent="0.25">
      <c r="A1" s="79" t="str">
        <f>+PPC!A1</f>
        <v>Evergy Metro, Inc. - DSIM Rider Update Filed 12/02/2019</v>
      </c>
      <c r="B1" s="62"/>
      <c r="D1" s="62"/>
      <c r="E1" s="62"/>
    </row>
    <row r="2" spans="1:7" x14ac:dyDescent="0.25">
      <c r="A2" s="9" t="str">
        <f>+PPC!A2</f>
        <v>Projections for Cycle 2 January 2020 - June 2020 DSIM</v>
      </c>
      <c r="B2" s="62"/>
      <c r="D2" s="62"/>
      <c r="E2" s="62"/>
    </row>
    <row r="3" spans="1:7" ht="45.75" customHeight="1" x14ac:dyDescent="0.25">
      <c r="A3" s="62"/>
      <c r="B3" s="266" t="s">
        <v>129</v>
      </c>
      <c r="C3" s="266"/>
      <c r="D3" s="266"/>
      <c r="E3" s="62"/>
    </row>
    <row r="4" spans="1:7" ht="90" x14ac:dyDescent="0.25">
      <c r="A4" s="62"/>
      <c r="B4" s="86" t="s">
        <v>131</v>
      </c>
      <c r="C4" s="86" t="s">
        <v>132</v>
      </c>
      <c r="D4" s="86" t="s">
        <v>134</v>
      </c>
      <c r="E4" s="86" t="s">
        <v>133</v>
      </c>
      <c r="F4" s="86" t="s">
        <v>130</v>
      </c>
      <c r="G4" s="86" t="s">
        <v>135</v>
      </c>
    </row>
    <row r="5" spans="1:7" s="62" customFormat="1" x14ac:dyDescent="0.25">
      <c r="A5" s="22"/>
      <c r="B5" s="86"/>
      <c r="C5" s="86"/>
      <c r="D5" s="181"/>
    </row>
    <row r="6" spans="1:7" s="62" customFormat="1" x14ac:dyDescent="0.25">
      <c r="A6" s="22"/>
      <c r="B6" s="86"/>
      <c r="C6" s="86"/>
      <c r="D6" s="180"/>
    </row>
    <row r="7" spans="1:7" s="62" customFormat="1" x14ac:dyDescent="0.25">
      <c r="A7" s="22"/>
      <c r="B7" s="86"/>
      <c r="C7" s="86"/>
      <c r="D7" s="180"/>
    </row>
    <row r="8" spans="1:7" s="62" customFormat="1" x14ac:dyDescent="0.25">
      <c r="A8" s="22" t="s">
        <v>29</v>
      </c>
      <c r="B8" s="36">
        <f>+'[7]EO Matrix @Meter'!$S$18</f>
        <v>3528190.0700000003</v>
      </c>
      <c r="C8" s="36">
        <f>+'[6]TD EO Ex Post Gross Adj'!$DD$363</f>
        <v>-1041427.6034010575</v>
      </c>
      <c r="D8" s="36">
        <f>+'[6]TD EO NTG Adj'!$DD$370</f>
        <v>537465.77340105735</v>
      </c>
      <c r="E8" s="36">
        <f>+'[6]EO TD Carrying Costs'!$AN$48</f>
        <v>11386.110000000004</v>
      </c>
      <c r="F8" s="24">
        <f>SUM(B8:E8)</f>
        <v>3035614.35</v>
      </c>
      <c r="G8" s="36">
        <f>ROUND(F8/4,2)</f>
        <v>758903.59</v>
      </c>
    </row>
    <row r="9" spans="1:7" s="62" customFormat="1" x14ac:dyDescent="0.25">
      <c r="A9" s="22" t="s">
        <v>30</v>
      </c>
      <c r="B9" s="263">
        <f>+'[7]EO Matrix @Meter'!$T$18</f>
        <v>4826270.37</v>
      </c>
      <c r="C9" s="263">
        <f>SUM('[6]TD EO Ex Post Gross Adj'!$DD$364:$DD$367)</f>
        <v>288583.98</v>
      </c>
      <c r="D9" s="263">
        <f>SUM('[6]TD EO NTG Adj'!$DD$371:$DD$374)</f>
        <v>662688.41</v>
      </c>
      <c r="E9" s="263">
        <f>SUM('[6]EO TD Carrying Costs'!$AN$49:$AN$52)</f>
        <v>41412.07</v>
      </c>
      <c r="F9" s="24">
        <f>SUM(B9:E9)</f>
        <v>5818954.8300000001</v>
      </c>
      <c r="G9" s="36">
        <f>ROUND(F9/4,2)</f>
        <v>1454738.71</v>
      </c>
    </row>
    <row r="10" spans="1:7" s="62" customFormat="1" x14ac:dyDescent="0.25">
      <c r="A10" s="22" t="s">
        <v>6</v>
      </c>
      <c r="B10" s="264">
        <f t="shared" ref="B10:G10" si="0">SUM(B8:B9)</f>
        <v>8354460.4400000004</v>
      </c>
      <c r="C10" s="264">
        <f t="shared" si="0"/>
        <v>-752843.62340105756</v>
      </c>
      <c r="D10" s="264">
        <f t="shared" si="0"/>
        <v>1200154.1834010575</v>
      </c>
      <c r="E10" s="262">
        <f t="shared" si="0"/>
        <v>52798.180000000008</v>
      </c>
      <c r="F10" s="254">
        <f t="shared" si="0"/>
        <v>8854569.1799999997</v>
      </c>
      <c r="G10" s="254">
        <f t="shared" si="0"/>
        <v>2213642.2999999998</v>
      </c>
    </row>
    <row r="11" spans="1:7" s="62" customFormat="1" x14ac:dyDescent="0.25">
      <c r="B11" s="260"/>
      <c r="C11" s="260"/>
      <c r="D11" s="261"/>
    </row>
    <row r="12" spans="1:7" x14ac:dyDescent="0.25">
      <c r="A12" s="22"/>
      <c r="B12" s="255"/>
      <c r="C12" s="49"/>
      <c r="D12" s="256"/>
      <c r="E12" s="4"/>
    </row>
    <row r="13" spans="1:7" x14ac:dyDescent="0.25">
      <c r="A13" s="22"/>
      <c r="B13" s="255"/>
      <c r="C13" s="49"/>
      <c r="D13" s="256"/>
      <c r="E13" s="4"/>
    </row>
    <row r="14" spans="1:7" x14ac:dyDescent="0.25">
      <c r="A14" s="22"/>
      <c r="B14" s="257"/>
      <c r="C14" s="258"/>
      <c r="D14" s="259"/>
      <c r="E14" s="4"/>
    </row>
    <row r="15" spans="1:7" x14ac:dyDescent="0.25">
      <c r="A15" s="62"/>
      <c r="B15" s="260"/>
      <c r="C15" s="260"/>
      <c r="D15" s="261"/>
      <c r="E15" s="2"/>
    </row>
    <row r="16" spans="1:7" x14ac:dyDescent="0.25">
      <c r="A16" s="62"/>
      <c r="B16" s="176"/>
      <c r="C16" s="176"/>
      <c r="D16" s="176"/>
      <c r="E16" s="4"/>
    </row>
    <row r="17" spans="1:5" x14ac:dyDescent="0.25">
      <c r="A17" s="62"/>
      <c r="B17" s="62"/>
      <c r="D17" s="62"/>
      <c r="E17" s="4"/>
    </row>
    <row r="18" spans="1:5" x14ac:dyDescent="0.25">
      <c r="A18" s="62"/>
      <c r="B18" s="62"/>
      <c r="D18" s="62"/>
      <c r="E18" s="62"/>
    </row>
    <row r="19" spans="1:5" x14ac:dyDescent="0.25">
      <c r="A19" s="62"/>
      <c r="B19" s="62"/>
      <c r="D19" s="62"/>
      <c r="E19" s="62"/>
    </row>
    <row r="20" spans="1:5" x14ac:dyDescent="0.25">
      <c r="A20" s="62"/>
      <c r="B20" s="62"/>
      <c r="D20" s="62"/>
      <c r="E20" s="62"/>
    </row>
    <row r="21" spans="1:5" x14ac:dyDescent="0.25">
      <c r="A21" s="69" t="s">
        <v>13</v>
      </c>
      <c r="B21" s="62"/>
      <c r="D21" s="62"/>
      <c r="E21" s="62"/>
    </row>
    <row r="22" spans="1:5" x14ac:dyDescent="0.25">
      <c r="A22" s="3" t="s">
        <v>138</v>
      </c>
      <c r="B22" s="62"/>
      <c r="D22" s="62"/>
      <c r="E22" s="62"/>
    </row>
    <row r="23" spans="1:5" s="62" customFormat="1" x14ac:dyDescent="0.25">
      <c r="A23" s="3" t="s">
        <v>139</v>
      </c>
    </row>
    <row r="24" spans="1:5" s="62" customFormat="1" x14ac:dyDescent="0.25">
      <c r="A24" s="3" t="s">
        <v>140</v>
      </c>
    </row>
    <row r="25" spans="1:5" x14ac:dyDescent="0.25">
      <c r="A25" s="3" t="s">
        <v>141</v>
      </c>
      <c r="B25" s="62"/>
      <c r="D25" s="62"/>
      <c r="E25" s="62"/>
    </row>
    <row r="26" spans="1:5" s="62" customFormat="1" x14ac:dyDescent="0.25">
      <c r="A26" s="3" t="s">
        <v>136</v>
      </c>
    </row>
    <row r="27" spans="1:5" x14ac:dyDescent="0.25">
      <c r="A27" s="3" t="s">
        <v>137</v>
      </c>
    </row>
  </sheetData>
  <mergeCells count="1">
    <mergeCell ref="B3:D3"/>
  </mergeCells>
  <pageMargins left="0.2" right="0.2" top="0.75" bottom="0.25" header="0.3" footer="0.3"/>
  <pageSetup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50"/>
  <sheetViews>
    <sheetView topLeftCell="B7" workbookViewId="0">
      <selection activeCell="O7" sqref="O1:O1048576"/>
    </sheetView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5.28515625" style="62" bestFit="1" customWidth="1"/>
    <col min="16" max="16" width="17.42578125" style="62" bestFit="1" customWidth="1"/>
    <col min="17" max="17" width="16.28515625" style="62" bestFit="1" customWidth="1"/>
    <col min="18" max="18" width="15.28515625" style="62" bestFit="1" customWidth="1"/>
    <col min="19" max="19" width="12.42578125" style="62" customWidth="1"/>
    <col min="20" max="21" width="14.28515625" style="62" bestFit="1" customWidth="1"/>
    <col min="22" max="16384" width="9.140625" style="62"/>
  </cols>
  <sheetData>
    <row r="1" spans="1:34" x14ac:dyDescent="0.25">
      <c r="A1" s="3" t="str">
        <f>+PPC!A1</f>
        <v>Evergy Metro, Inc. - DSIM Rider Update Filed 12/02/2019</v>
      </c>
      <c r="B1" s="3"/>
      <c r="C1" s="3"/>
    </row>
    <row r="2" spans="1:34" x14ac:dyDescent="0.25">
      <c r="D2" s="3" t="s">
        <v>101</v>
      </c>
    </row>
    <row r="3" spans="1:34" ht="30" x14ac:dyDescent="0.25">
      <c r="D3" s="64" t="s">
        <v>62</v>
      </c>
      <c r="E3" s="86" t="s">
        <v>77</v>
      </c>
      <c r="F3" s="64" t="s">
        <v>3</v>
      </c>
      <c r="G3" s="86" t="s">
        <v>71</v>
      </c>
      <c r="H3" s="64" t="s">
        <v>11</v>
      </c>
      <c r="I3" s="64" t="s">
        <v>78</v>
      </c>
      <c r="R3" s="64"/>
    </row>
    <row r="4" spans="1:34" x14ac:dyDescent="0.25">
      <c r="A4" s="22" t="s">
        <v>29</v>
      </c>
      <c r="B4" s="22"/>
      <c r="C4" s="22"/>
      <c r="D4" s="24">
        <f>SUM(C15:L15)</f>
        <v>-20105.599329999997</v>
      </c>
      <c r="E4" s="24">
        <f>SUM(C19:K19)</f>
        <v>0</v>
      </c>
      <c r="F4" s="24">
        <f>E4-D4</f>
        <v>20105.599329999997</v>
      </c>
      <c r="G4" s="24">
        <f>+B29</f>
        <v>-14821.554590000025</v>
      </c>
      <c r="H4" s="24">
        <f>SUM(C34:K34)</f>
        <v>-88.75</v>
      </c>
      <c r="I4" s="36">
        <f>SUM(F4:H4)</f>
        <v>5195.2947399999721</v>
      </c>
      <c r="J4" s="63">
        <f>+I4-L29</f>
        <v>0</v>
      </c>
      <c r="M4" s="63"/>
    </row>
    <row r="5" spans="1:34" ht="15.75" thickBot="1" x14ac:dyDescent="0.3">
      <c r="A5" s="22" t="s">
        <v>30</v>
      </c>
      <c r="B5" s="22"/>
      <c r="C5" s="22"/>
      <c r="D5" s="24">
        <f>SUM(C16:L16)</f>
        <v>11746.090080000005</v>
      </c>
      <c r="E5" s="24">
        <f>SUM(C20:K20)</f>
        <v>0</v>
      </c>
      <c r="F5" s="24">
        <f>E5-D5</f>
        <v>-11746.090080000005</v>
      </c>
      <c r="G5" s="24">
        <f>+B30</f>
        <v>-4214.4099200002138</v>
      </c>
      <c r="H5" s="24">
        <f>SUM(C35:K35)</f>
        <v>-126.84999999999998</v>
      </c>
      <c r="I5" s="36">
        <f>SUM(F5:H5)</f>
        <v>-16087.350000000219</v>
      </c>
      <c r="J5" s="63">
        <f>+I5-L30</f>
        <v>0</v>
      </c>
      <c r="M5" s="63"/>
    </row>
    <row r="6" spans="1:34" ht="16.5" thickTop="1" thickBot="1" x14ac:dyDescent="0.3">
      <c r="D6" s="40">
        <f t="shared" ref="D6" si="0">SUM(D4:D5)</f>
        <v>-8359.5092499999919</v>
      </c>
      <c r="E6" s="40">
        <f>SUM(E4:E5)</f>
        <v>0</v>
      </c>
      <c r="F6" s="40">
        <f>SUM(F4:F5)</f>
        <v>8359.5092499999919</v>
      </c>
      <c r="G6" s="40">
        <f>SUM(G4:G5)</f>
        <v>-19035.964510000238</v>
      </c>
      <c r="H6" s="40">
        <f>SUM(H4:H5)</f>
        <v>-215.59999999999997</v>
      </c>
      <c r="I6" s="40">
        <f>SUM(I4:I5)</f>
        <v>-10892.055260000247</v>
      </c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1" t="str">
        <f>+'PCR Cycle 1'!B8</f>
        <v>Cumulative Over/Under Carryover From 06/01/2019 Filing</v>
      </c>
      <c r="C10" s="179" t="str">
        <f>+'PCR Cycle 1'!C8</f>
        <v>Reverse May-19 - October-19  Forecast From 06/01/2019 Filing</v>
      </c>
      <c r="D10" s="272" t="s">
        <v>39</v>
      </c>
      <c r="E10" s="272"/>
      <c r="F10" s="273"/>
      <c r="G10" s="278" t="s">
        <v>39</v>
      </c>
      <c r="H10" s="279"/>
      <c r="I10" s="280"/>
      <c r="J10" s="274" t="s">
        <v>9</v>
      </c>
      <c r="K10" s="275"/>
      <c r="L10" s="276"/>
    </row>
    <row r="11" spans="1:34" x14ac:dyDescent="0.25">
      <c r="A11" s="62" t="s">
        <v>102</v>
      </c>
      <c r="C11" s="128"/>
      <c r="D11" s="20">
        <f>+'PCR Cycle 1'!D9</f>
        <v>43616</v>
      </c>
      <c r="E11" s="20">
        <f t="shared" ref="E11:L11" si="1">EOMONTH(D11,1)</f>
        <v>43646</v>
      </c>
      <c r="F11" s="20">
        <f t="shared" si="1"/>
        <v>43677</v>
      </c>
      <c r="G11" s="14">
        <f t="shared" si="1"/>
        <v>43708</v>
      </c>
      <c r="H11" s="20">
        <f t="shared" si="1"/>
        <v>43738</v>
      </c>
      <c r="I11" s="15">
        <f t="shared" si="1"/>
        <v>43769</v>
      </c>
      <c r="J11" s="20">
        <f t="shared" si="1"/>
        <v>43799</v>
      </c>
      <c r="K11" s="20">
        <f t="shared" si="1"/>
        <v>43830</v>
      </c>
      <c r="L11" s="15">
        <f t="shared" si="1"/>
        <v>43861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62" t="s">
        <v>6</v>
      </c>
      <c r="C12" s="120">
        <v>0</v>
      </c>
      <c r="D12" s="132">
        <f t="shared" ref="D12:H12" si="2">SUM(D19:D20)</f>
        <v>0</v>
      </c>
      <c r="E12" s="132">
        <f t="shared" si="2"/>
        <v>0</v>
      </c>
      <c r="F12" s="133">
        <f t="shared" si="2"/>
        <v>0</v>
      </c>
      <c r="G12" s="16">
        <f t="shared" si="2"/>
        <v>0</v>
      </c>
      <c r="H12" s="71">
        <f t="shared" si="2"/>
        <v>0</v>
      </c>
      <c r="I12" s="193">
        <f>+I19+I20</f>
        <v>0</v>
      </c>
      <c r="J12" s="186">
        <f t="shared" ref="J12:K12" si="3">+J19+J20</f>
        <v>0</v>
      </c>
      <c r="K12" s="97">
        <f t="shared" si="3"/>
        <v>0</v>
      </c>
      <c r="L12" s="98"/>
    </row>
    <row r="13" spans="1:34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4" x14ac:dyDescent="0.25">
      <c r="A14" s="62" t="s">
        <v>103</v>
      </c>
      <c r="C14" s="122"/>
      <c r="D14" s="18"/>
      <c r="E14" s="18"/>
      <c r="F14" s="18"/>
      <c r="G14" s="114"/>
      <c r="H14" s="18"/>
      <c r="I14" s="194"/>
      <c r="J14" s="44"/>
      <c r="K14" s="44"/>
      <c r="L14" s="42"/>
      <c r="M14" s="3" t="s">
        <v>66</v>
      </c>
      <c r="N14" s="53"/>
    </row>
    <row r="15" spans="1:34" x14ac:dyDescent="0.25">
      <c r="A15" s="62" t="s">
        <v>29</v>
      </c>
      <c r="C15" s="120">
        <v>43307.975409999999</v>
      </c>
      <c r="D15" s="159">
        <f>ROUND('[3]May 2019 Combined'!$F$24,2)</f>
        <v>-9900.24</v>
      </c>
      <c r="E15" s="159">
        <f>ROUND('[3]June 2019 Combined'!$F$24,2)</f>
        <v>-13371.25</v>
      </c>
      <c r="F15" s="159">
        <f>ROUND('[3]July 2019 Combined'!$F$24,2)</f>
        <v>-19184.37</v>
      </c>
      <c r="G15" s="215">
        <f>ROUND('[3]August 2019 Combined'!$F$24,2)</f>
        <v>-12540.78</v>
      </c>
      <c r="H15" s="144">
        <f>ROUND('[3]September 2019 Combined'!$F$24,2)</f>
        <v>-2522.31</v>
      </c>
      <c r="I15" s="195">
        <f>ROUND('[3]October 2019 Combined'!$F$24,2)</f>
        <v>-1990.07</v>
      </c>
      <c r="J15" s="146">
        <f>'PCR Cycle 1'!J21*$M15</f>
        <v>-1569.5228700000002</v>
      </c>
      <c r="K15" s="55">
        <f>'PCR Cycle 1'!K21*$M15</f>
        <v>-2335.0318700000003</v>
      </c>
      <c r="L15" s="77">
        <f>'PCR Cycle 1'!L21*$M15*0</f>
        <v>0</v>
      </c>
      <c r="M15" s="88">
        <v>-1.0000000000000001E-5</v>
      </c>
      <c r="N15" s="4"/>
    </row>
    <row r="16" spans="1:34" x14ac:dyDescent="0.25">
      <c r="A16" s="62" t="s">
        <v>30</v>
      </c>
      <c r="C16" s="120">
        <v>-79378.79991999999</v>
      </c>
      <c r="D16" s="159">
        <f>ROUND('[3]May 2019 Combined'!$F$25,2)</f>
        <v>22085.279999999999</v>
      </c>
      <c r="E16" s="159">
        <f>ROUND('[3]June 2019 Combined'!$F$25,2)</f>
        <v>23503.57</v>
      </c>
      <c r="F16" s="159">
        <f>ROUND('[3]July 2019 Combined'!$F$25,2)</f>
        <v>26938.51</v>
      </c>
      <c r="G16" s="215">
        <f>ROUND('[3]August 2019 Combined'!$F$25,2)</f>
        <v>16974.14</v>
      </c>
      <c r="H16" s="144">
        <f>ROUND('[3]September 2019 Combined'!$F$25,2)</f>
        <v>1633.14</v>
      </c>
      <c r="I16" s="195">
        <f>ROUND('[3]October 2019 Combined'!$F$25,2)</f>
        <v>-9.75</v>
      </c>
      <c r="J16" s="146">
        <f>'PCR Cycle 1'!J22*$M16</f>
        <v>0</v>
      </c>
      <c r="K16" s="55">
        <f>'PCR Cycle 1'!K22*$M16</f>
        <v>0</v>
      </c>
      <c r="L16" s="77">
        <f>'PCR Cycle 1'!L22*$M16</f>
        <v>0</v>
      </c>
      <c r="M16" s="88">
        <v>0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6"/>
      <c r="J17" s="72"/>
      <c r="K17" s="72"/>
      <c r="L17" s="13"/>
      <c r="N17" s="4"/>
    </row>
    <row r="18" spans="1:14" x14ac:dyDescent="0.25">
      <c r="A18" s="62" t="s">
        <v>105</v>
      </c>
      <c r="C18" s="50"/>
      <c r="D18" s="51"/>
      <c r="E18" s="51"/>
      <c r="F18" s="51"/>
      <c r="G18" s="50"/>
      <c r="H18" s="51"/>
      <c r="I18" s="199"/>
      <c r="J18" s="68"/>
      <c r="K18" s="68"/>
      <c r="L18" s="52"/>
    </row>
    <row r="19" spans="1:14" x14ac:dyDescent="0.25">
      <c r="A19" s="62" t="s">
        <v>29</v>
      </c>
      <c r="C19" s="120">
        <v>0</v>
      </c>
      <c r="D19" s="132">
        <v>0</v>
      </c>
      <c r="E19" s="132">
        <v>0</v>
      </c>
      <c r="F19" s="133">
        <v>0</v>
      </c>
      <c r="G19" s="16">
        <v>0</v>
      </c>
      <c r="H19" s="71">
        <v>0</v>
      </c>
      <c r="I19" s="193">
        <v>0</v>
      </c>
      <c r="J19" s="188">
        <v>0</v>
      </c>
      <c r="K19" s="167">
        <v>0</v>
      </c>
      <c r="L19" s="98"/>
    </row>
    <row r="20" spans="1:14" x14ac:dyDescent="0.25">
      <c r="A20" s="62" t="s">
        <v>30</v>
      </c>
      <c r="C20" s="120">
        <v>0</v>
      </c>
      <c r="D20" s="132">
        <v>0</v>
      </c>
      <c r="E20" s="132">
        <v>0</v>
      </c>
      <c r="F20" s="133">
        <v>0</v>
      </c>
      <c r="G20" s="16">
        <v>0</v>
      </c>
      <c r="H20" s="71">
        <v>0</v>
      </c>
      <c r="I20" s="193">
        <v>0</v>
      </c>
      <c r="J20" s="188">
        <v>0</v>
      </c>
      <c r="K20" s="167">
        <v>0</v>
      </c>
      <c r="L20" s="98"/>
      <c r="N20" s="63"/>
    </row>
    <row r="21" spans="1:14" x14ac:dyDescent="0.25">
      <c r="C21" s="122"/>
      <c r="D21" s="18"/>
      <c r="E21" s="18"/>
      <c r="F21" s="18"/>
      <c r="G21" s="114"/>
      <c r="H21" s="18"/>
      <c r="I21" s="194"/>
      <c r="J21" s="72"/>
      <c r="K21" s="72"/>
      <c r="L21" s="13"/>
    </row>
    <row r="22" spans="1:14" ht="15.75" thickBot="1" x14ac:dyDescent="0.3">
      <c r="A22" s="3" t="s">
        <v>16</v>
      </c>
      <c r="B22" s="3"/>
      <c r="C22" s="126">
        <v>-22.379999999999995</v>
      </c>
      <c r="D22" s="159">
        <v>33.620000000000005</v>
      </c>
      <c r="E22" s="159">
        <v>-0.62000000000000455</v>
      </c>
      <c r="F22" s="160">
        <v>-27.1</v>
      </c>
      <c r="G22" s="39">
        <v>-43.56</v>
      </c>
      <c r="H22" s="145">
        <v>-46.879999999999995</v>
      </c>
      <c r="I22" s="200">
        <v>-40.93</v>
      </c>
      <c r="J22" s="189">
        <v>-36.380000000000003</v>
      </c>
      <c r="K22" s="169">
        <v>-31.38</v>
      </c>
      <c r="L22" s="101"/>
    </row>
    <row r="23" spans="1:14" x14ac:dyDescent="0.25">
      <c r="C23" s="80"/>
      <c r="D23" s="174"/>
      <c r="E23" s="174"/>
      <c r="F23" s="175"/>
      <c r="G23" s="80"/>
      <c r="H23" s="47"/>
      <c r="I23" s="201"/>
      <c r="J23" s="48"/>
      <c r="K23" s="48"/>
      <c r="L23" s="76"/>
    </row>
    <row r="24" spans="1:14" x14ac:dyDescent="0.25">
      <c r="A24" s="62" t="s">
        <v>68</v>
      </c>
      <c r="C24" s="81"/>
      <c r="D24" s="175"/>
      <c r="E24" s="175"/>
      <c r="F24" s="175"/>
      <c r="G24" s="81"/>
      <c r="H24" s="49"/>
      <c r="I24" s="202"/>
      <c r="J24" s="48"/>
      <c r="K24" s="48"/>
      <c r="L24" s="76"/>
    </row>
    <row r="25" spans="1:14" x14ac:dyDescent="0.25">
      <c r="A25" s="62" t="s">
        <v>29</v>
      </c>
      <c r="C25" s="123">
        <f t="shared" ref="C25:L25" si="4">C19-C15</f>
        <v>-43307.975409999999</v>
      </c>
      <c r="D25" s="55">
        <f t="shared" si="4"/>
        <v>9900.24</v>
      </c>
      <c r="E25" s="55">
        <f t="shared" si="4"/>
        <v>13371.25</v>
      </c>
      <c r="F25" s="131">
        <f t="shared" si="4"/>
        <v>19184.37</v>
      </c>
      <c r="G25" s="54">
        <f t="shared" si="4"/>
        <v>12540.78</v>
      </c>
      <c r="H25" s="55">
        <f t="shared" si="4"/>
        <v>2522.31</v>
      </c>
      <c r="I25" s="77">
        <f t="shared" si="4"/>
        <v>1990.07</v>
      </c>
      <c r="J25" s="146">
        <f t="shared" si="4"/>
        <v>1569.5228700000002</v>
      </c>
      <c r="K25" s="55">
        <f t="shared" si="4"/>
        <v>2335.0318700000003</v>
      </c>
      <c r="L25" s="77">
        <f t="shared" si="4"/>
        <v>0</v>
      </c>
    </row>
    <row r="26" spans="1:14" x14ac:dyDescent="0.25">
      <c r="A26" s="62" t="s">
        <v>30</v>
      </c>
      <c r="C26" s="123">
        <f t="shared" ref="C26:L26" si="5">C20-C16</f>
        <v>79378.79991999999</v>
      </c>
      <c r="D26" s="55">
        <f t="shared" si="5"/>
        <v>-22085.279999999999</v>
      </c>
      <c r="E26" s="55">
        <f t="shared" si="5"/>
        <v>-23503.57</v>
      </c>
      <c r="F26" s="131">
        <f t="shared" si="5"/>
        <v>-26938.51</v>
      </c>
      <c r="G26" s="54">
        <f t="shared" si="5"/>
        <v>-16974.14</v>
      </c>
      <c r="H26" s="55">
        <f t="shared" si="5"/>
        <v>-1633.14</v>
      </c>
      <c r="I26" s="77">
        <f t="shared" si="5"/>
        <v>9.75</v>
      </c>
      <c r="J26" s="146">
        <f t="shared" si="5"/>
        <v>0</v>
      </c>
      <c r="K26" s="55">
        <f t="shared" si="5"/>
        <v>0</v>
      </c>
      <c r="L26" s="77">
        <f t="shared" si="5"/>
        <v>0</v>
      </c>
    </row>
    <row r="27" spans="1:14" x14ac:dyDescent="0.25">
      <c r="C27" s="122"/>
      <c r="D27" s="17"/>
      <c r="E27" s="17"/>
      <c r="F27" s="17"/>
      <c r="G27" s="10"/>
      <c r="H27" s="17"/>
      <c r="I27" s="11"/>
      <c r="J27" s="17"/>
      <c r="K27" s="17"/>
      <c r="L27" s="11"/>
    </row>
    <row r="28" spans="1:14" ht="15.75" thickBot="1" x14ac:dyDescent="0.3">
      <c r="A28" s="62" t="s">
        <v>69</v>
      </c>
      <c r="C28" s="122"/>
      <c r="D28" s="17"/>
      <c r="E28" s="17"/>
      <c r="F28" s="17"/>
      <c r="G28" s="10"/>
      <c r="H28" s="17"/>
      <c r="I28" s="11"/>
      <c r="J28" s="17"/>
      <c r="K28" s="17"/>
      <c r="L28" s="11"/>
    </row>
    <row r="29" spans="1:14" x14ac:dyDescent="0.25">
      <c r="A29" s="62" t="s">
        <v>29</v>
      </c>
      <c r="B29" s="139">
        <v>-14821.554590000025</v>
      </c>
      <c r="C29" s="123">
        <f>B29+C25+B34</f>
        <v>-58129.530000000028</v>
      </c>
      <c r="D29" s="55">
        <f t="shared" ref="D29:L30" si="6">C29+D25+C34</f>
        <v>-47938.390000000029</v>
      </c>
      <c r="E29" s="55">
        <f t="shared" si="6"/>
        <v>-34729.990000000027</v>
      </c>
      <c r="F29" s="131">
        <f t="shared" si="6"/>
        <v>-15671.730000000029</v>
      </c>
      <c r="G29" s="54">
        <f t="shared" si="6"/>
        <v>-3205.7800000000279</v>
      </c>
      <c r="H29" s="55">
        <f t="shared" si="6"/>
        <v>-710.50000000002797</v>
      </c>
      <c r="I29" s="77">
        <f t="shared" si="6"/>
        <v>1274.1599999999719</v>
      </c>
      <c r="J29" s="146">
        <f t="shared" si="6"/>
        <v>2844.4128699999724</v>
      </c>
      <c r="K29" s="55">
        <f t="shared" si="6"/>
        <v>5184.8147399999725</v>
      </c>
      <c r="L29" s="77">
        <f t="shared" si="6"/>
        <v>5195.2947399999721</v>
      </c>
    </row>
    <row r="30" spans="1:14" ht="15.75" thickBot="1" x14ac:dyDescent="0.3">
      <c r="A30" s="62" t="s">
        <v>30</v>
      </c>
      <c r="B30" s="140">
        <v>-4214.4099200002138</v>
      </c>
      <c r="C30" s="123">
        <f>B30+C26+B35</f>
        <v>75164.389999999781</v>
      </c>
      <c r="D30" s="55">
        <f t="shared" si="6"/>
        <v>52765.829999999783</v>
      </c>
      <c r="E30" s="55">
        <f t="shared" si="6"/>
        <v>29458.729999999785</v>
      </c>
      <c r="F30" s="131">
        <f t="shared" si="6"/>
        <v>2645.7099999997863</v>
      </c>
      <c r="G30" s="54">
        <f t="shared" si="6"/>
        <v>-14280.700000000214</v>
      </c>
      <c r="H30" s="55">
        <f t="shared" si="6"/>
        <v>-15930.370000000214</v>
      </c>
      <c r="I30" s="77">
        <f t="shared" si="6"/>
        <v>-15962.090000000213</v>
      </c>
      <c r="J30" s="146">
        <f t="shared" si="6"/>
        <v>-16003.740000000213</v>
      </c>
      <c r="K30" s="55">
        <f t="shared" si="6"/>
        <v>-16045.490000000213</v>
      </c>
      <c r="L30" s="77">
        <f t="shared" si="6"/>
        <v>-16087.350000000213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x14ac:dyDescent="0.25">
      <c r="A32" s="53" t="s">
        <v>104</v>
      </c>
      <c r="B32" s="53"/>
      <c r="C32" s="127"/>
      <c r="D32" s="102">
        <f>+'PCR Cycle 1'!D38</f>
        <v>3.0790499999999998E-3</v>
      </c>
      <c r="E32" s="102">
        <f>+'PCR Cycle 1'!E38</f>
        <v>3.0450199999999998E-3</v>
      </c>
      <c r="F32" s="102">
        <f>+'PCR Cycle 1'!F38</f>
        <v>2.9619300000000002E-3</v>
      </c>
      <c r="G32" s="103">
        <f>+'PCR Cycle 1'!G38</f>
        <v>2.8524499999999999E-3</v>
      </c>
      <c r="H32" s="102">
        <f>+'PCR Cycle 1'!H38</f>
        <v>2.7438599999999999E-3</v>
      </c>
      <c r="I32" s="115">
        <f>+'PCR Cycle 1'!I38</f>
        <v>2.60867E-3</v>
      </c>
      <c r="J32" s="102">
        <f>+'PCR Cycle 1'!J38</f>
        <v>2.60867E-3</v>
      </c>
      <c r="K32" s="102">
        <f>+'PCR Cycle 1'!K38</f>
        <v>2.60867E-3</v>
      </c>
      <c r="L32" s="104"/>
    </row>
    <row r="33" spans="1:12" x14ac:dyDescent="0.25">
      <c r="A33" s="53" t="s">
        <v>44</v>
      </c>
      <c r="B33" s="53"/>
      <c r="C33" s="129"/>
      <c r="D33" s="102"/>
      <c r="E33" s="102"/>
      <c r="F33" s="102"/>
      <c r="G33" s="103"/>
      <c r="H33" s="102"/>
      <c r="I33" s="104"/>
      <c r="J33" s="102"/>
      <c r="K33" s="102"/>
      <c r="L33" s="104"/>
    </row>
    <row r="34" spans="1:12" x14ac:dyDescent="0.25">
      <c r="A34" s="62" t="s">
        <v>29</v>
      </c>
      <c r="C34" s="123">
        <v>290.89999999999998</v>
      </c>
      <c r="D34" s="55">
        <f t="shared" ref="D34:L35" si="7">ROUND((C29+C34+D25/2)*D$32,2)</f>
        <v>-162.85</v>
      </c>
      <c r="E34" s="55">
        <f t="shared" si="7"/>
        <v>-126.11</v>
      </c>
      <c r="F34" s="131">
        <f t="shared" si="7"/>
        <v>-74.83</v>
      </c>
      <c r="G34" s="54">
        <f t="shared" si="7"/>
        <v>-27.03</v>
      </c>
      <c r="H34" s="146">
        <f t="shared" si="7"/>
        <v>-5.41</v>
      </c>
      <c r="I34" s="65">
        <f t="shared" si="7"/>
        <v>0.73</v>
      </c>
      <c r="J34" s="190">
        <f t="shared" si="7"/>
        <v>5.37</v>
      </c>
      <c r="K34" s="131">
        <f t="shared" si="7"/>
        <v>10.48</v>
      </c>
      <c r="L34" s="77">
        <f t="shared" si="7"/>
        <v>0</v>
      </c>
    </row>
    <row r="35" spans="1:12" ht="15.75" thickBot="1" x14ac:dyDescent="0.3">
      <c r="A35" s="62" t="s">
        <v>30</v>
      </c>
      <c r="C35" s="123">
        <v>-313.27999999999997</v>
      </c>
      <c r="D35" s="55">
        <f t="shared" si="7"/>
        <v>196.47</v>
      </c>
      <c r="E35" s="55">
        <f t="shared" si="7"/>
        <v>125.49</v>
      </c>
      <c r="F35" s="131">
        <f t="shared" si="7"/>
        <v>47.73</v>
      </c>
      <c r="G35" s="54">
        <f t="shared" si="7"/>
        <v>-16.53</v>
      </c>
      <c r="H35" s="146">
        <f t="shared" si="7"/>
        <v>-41.47</v>
      </c>
      <c r="I35" s="65">
        <f t="shared" si="7"/>
        <v>-41.65</v>
      </c>
      <c r="J35" s="190">
        <f t="shared" si="7"/>
        <v>-41.75</v>
      </c>
      <c r="K35" s="131">
        <f t="shared" si="7"/>
        <v>-41.86</v>
      </c>
      <c r="L35" s="77">
        <f t="shared" si="7"/>
        <v>0</v>
      </c>
    </row>
    <row r="36" spans="1:12" ht="16.5" thickTop="1" thickBot="1" x14ac:dyDescent="0.3">
      <c r="A36" s="70" t="s">
        <v>25</v>
      </c>
      <c r="B36" s="70"/>
      <c r="C36" s="130">
        <v>0</v>
      </c>
      <c r="D36" s="56">
        <f t="shared" ref="D36:I36" si="8">SUM(D34:D35)+SUM(D29:D30)-D39</f>
        <v>0</v>
      </c>
      <c r="E36" s="56">
        <f t="shared" si="8"/>
        <v>0</v>
      </c>
      <c r="F36" s="66">
        <f t="shared" ref="F36:H36" si="9">SUM(F34:F35)+SUM(F29:F30)-F39</f>
        <v>0</v>
      </c>
      <c r="G36" s="172">
        <f t="shared" si="9"/>
        <v>0</v>
      </c>
      <c r="H36" s="66">
        <f t="shared" si="9"/>
        <v>0</v>
      </c>
      <c r="I36" s="78">
        <f t="shared" si="8"/>
        <v>0</v>
      </c>
      <c r="J36" s="191">
        <f t="shared" ref="J36:L36" si="10">SUM(J34:J35)+SUM(J29:J30)-J39</f>
        <v>0</v>
      </c>
      <c r="K36" s="66">
        <f t="shared" si="10"/>
        <v>0</v>
      </c>
      <c r="L36" s="78">
        <f t="shared" si="10"/>
        <v>0</v>
      </c>
    </row>
    <row r="37" spans="1:12" ht="16.5" thickTop="1" thickBot="1" x14ac:dyDescent="0.3">
      <c r="A37" s="70" t="s">
        <v>26</v>
      </c>
      <c r="B37" s="70"/>
      <c r="C37" s="130">
        <v>0</v>
      </c>
      <c r="D37" s="56">
        <f t="shared" ref="D37:I37" si="11">SUM(D34:D35)-D22</f>
        <v>0</v>
      </c>
      <c r="E37" s="56">
        <f t="shared" si="11"/>
        <v>0</v>
      </c>
      <c r="F37" s="66">
        <f t="shared" ref="F37:H37" si="12">SUM(F34:F35)-F22</f>
        <v>0</v>
      </c>
      <c r="G37" s="172">
        <f t="shared" si="12"/>
        <v>0</v>
      </c>
      <c r="H37" s="66">
        <f t="shared" si="12"/>
        <v>0</v>
      </c>
      <c r="I37" s="78">
        <f t="shared" si="11"/>
        <v>9.9999999999980105E-3</v>
      </c>
      <c r="J37" s="192">
        <f t="shared" ref="J37:L37" si="13">SUM(J34:J35)-J22</f>
        <v>0</v>
      </c>
      <c r="K37" s="56">
        <f t="shared" si="13"/>
        <v>0</v>
      </c>
      <c r="L37" s="56">
        <f t="shared" si="13"/>
        <v>0</v>
      </c>
    </row>
    <row r="38" spans="1:12" ht="16.5" thickTop="1" thickBot="1" x14ac:dyDescent="0.3">
      <c r="C38" s="122"/>
      <c r="D38" s="17"/>
      <c r="E38" s="17"/>
      <c r="F38" s="17"/>
      <c r="G38" s="10"/>
      <c r="H38" s="17"/>
      <c r="I38" s="11"/>
      <c r="J38" s="17"/>
      <c r="K38" s="17"/>
      <c r="L38" s="11"/>
    </row>
    <row r="39" spans="1:12" ht="15.75" thickBot="1" x14ac:dyDescent="0.3">
      <c r="A39" s="62" t="s">
        <v>42</v>
      </c>
      <c r="B39" s="142">
        <f>+B29+B30</f>
        <v>-19035.964510000238</v>
      </c>
      <c r="C39" s="123">
        <f t="shared" ref="C39:L39" si="14">(C12-SUM(C15:C16))+SUM(C34:C35)+B39</f>
        <v>17012.479999999756</v>
      </c>
      <c r="D39" s="55">
        <f t="shared" si="14"/>
        <v>4861.0599999997576</v>
      </c>
      <c r="E39" s="55">
        <f t="shared" si="14"/>
        <v>-5271.8800000002429</v>
      </c>
      <c r="F39" s="131">
        <f t="shared" si="14"/>
        <v>-13053.120000000243</v>
      </c>
      <c r="G39" s="54">
        <f t="shared" si="14"/>
        <v>-17530.040000000241</v>
      </c>
      <c r="H39" s="55">
        <f t="shared" si="14"/>
        <v>-16687.75000000024</v>
      </c>
      <c r="I39" s="77">
        <f t="shared" si="14"/>
        <v>-14728.85000000024</v>
      </c>
      <c r="J39" s="190">
        <f t="shared" si="14"/>
        <v>-13195.707130000241</v>
      </c>
      <c r="K39" s="131">
        <f t="shared" si="14"/>
        <v>-10892.055260000241</v>
      </c>
      <c r="L39" s="77">
        <f t="shared" si="14"/>
        <v>-10892.055260000241</v>
      </c>
    </row>
    <row r="40" spans="1:12" x14ac:dyDescent="0.25">
      <c r="A40" s="62" t="s">
        <v>14</v>
      </c>
      <c r="C40" s="143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1"/>
      <c r="B41" s="51"/>
      <c r="C41" s="173"/>
      <c r="D41" s="58"/>
      <c r="E41" s="58"/>
      <c r="F41" s="58"/>
      <c r="G41" s="57"/>
      <c r="H41" s="58"/>
      <c r="I41" s="59"/>
      <c r="J41" s="58"/>
      <c r="K41" s="58"/>
      <c r="L41" s="59"/>
    </row>
    <row r="43" spans="1:12" x14ac:dyDescent="0.25">
      <c r="A43" s="85" t="s">
        <v>13</v>
      </c>
      <c r="B43" s="85"/>
      <c r="C43" s="85"/>
    </row>
    <row r="44" spans="1:12" ht="31.5" customHeight="1" x14ac:dyDescent="0.25">
      <c r="A44" s="271" t="s">
        <v>118</v>
      </c>
      <c r="B44" s="271"/>
      <c r="C44" s="271"/>
      <c r="D44" s="271"/>
      <c r="E44" s="271"/>
      <c r="F44" s="271"/>
      <c r="G44" s="271"/>
      <c r="H44" s="271"/>
      <c r="I44" s="271"/>
      <c r="J44" s="213"/>
      <c r="K44" s="213"/>
      <c r="L44" s="213"/>
    </row>
    <row r="45" spans="1:12" ht="45" customHeight="1" x14ac:dyDescent="0.25">
      <c r="A45" s="271" t="s">
        <v>144</v>
      </c>
      <c r="B45" s="271"/>
      <c r="C45" s="271"/>
      <c r="D45" s="271"/>
      <c r="E45" s="271"/>
      <c r="F45" s="271"/>
      <c r="G45" s="271"/>
      <c r="H45" s="271"/>
      <c r="I45" s="271"/>
      <c r="J45" s="213"/>
      <c r="K45" s="213"/>
    </row>
    <row r="46" spans="1:12" ht="18.75" customHeight="1" x14ac:dyDescent="0.25">
      <c r="A46" s="271" t="s">
        <v>113</v>
      </c>
      <c r="B46" s="271"/>
      <c r="C46" s="271"/>
      <c r="D46" s="271"/>
      <c r="E46" s="271"/>
      <c r="F46" s="271"/>
      <c r="G46" s="271"/>
      <c r="H46" s="271"/>
      <c r="I46" s="271"/>
      <c r="J46" s="213"/>
      <c r="K46" s="213"/>
      <c r="L46" s="213"/>
    </row>
    <row r="47" spans="1:12" x14ac:dyDescent="0.25">
      <c r="A47" s="79" t="s">
        <v>37</v>
      </c>
      <c r="B47" s="79"/>
      <c r="C47" s="79"/>
      <c r="D47" s="53"/>
      <c r="E47" s="53"/>
      <c r="F47" s="53"/>
      <c r="G47" s="53"/>
      <c r="H47" s="53"/>
      <c r="I47" s="53"/>
    </row>
    <row r="48" spans="1:12" x14ac:dyDescent="0.25">
      <c r="A48" s="79" t="s">
        <v>143</v>
      </c>
      <c r="B48" s="79"/>
      <c r="C48" s="79"/>
      <c r="D48" s="53"/>
      <c r="E48" s="53"/>
      <c r="F48" s="53"/>
      <c r="G48" s="53"/>
      <c r="H48" s="53"/>
      <c r="I48" s="53"/>
    </row>
    <row r="49" spans="1:9" x14ac:dyDescent="0.25">
      <c r="A49" s="79" t="s">
        <v>119</v>
      </c>
      <c r="B49" s="79"/>
      <c r="C49" s="79"/>
      <c r="D49" s="53"/>
      <c r="E49" s="53"/>
      <c r="F49" s="53"/>
      <c r="G49" s="53"/>
      <c r="H49" s="53"/>
      <c r="I49" s="53"/>
    </row>
    <row r="50" spans="1:9" x14ac:dyDescent="0.25">
      <c r="A50" s="3"/>
      <c r="B50" s="3"/>
      <c r="C50" s="3"/>
    </row>
  </sheetData>
  <mergeCells count="6">
    <mergeCell ref="A46:I46"/>
    <mergeCell ref="A45:I45"/>
    <mergeCell ref="D10:F10"/>
    <mergeCell ref="G10:I10"/>
    <mergeCell ref="J10:L10"/>
    <mergeCell ref="A44:I44"/>
  </mergeCells>
  <pageMargins left="0.2" right="0.2" top="0.75" bottom="0.25" header="0.3" footer="0.3"/>
  <pageSetup scale="57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EDB18C5607042858DD9C0A8275B18" ma:contentTypeVersion="" ma:contentTypeDescription="Create a new document." ma:contentTypeScope="" ma:versionID="a8e216e06ef6f22d6d5d250416d93215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756C6D-8579-4524-8944-C1811EE260C8}"/>
</file>

<file path=customXml/itemProps2.xml><?xml version="1.0" encoding="utf-8"?>
<ds:datastoreItem xmlns:ds="http://schemas.openxmlformats.org/officeDocument/2006/customXml" ds:itemID="{BBE680F6-EEBC-41A4-AEB5-0B773B5EACA2}"/>
</file>

<file path=customXml/itemProps3.xml><?xml version="1.0" encoding="utf-8"?>
<ds:datastoreItem xmlns:ds="http://schemas.openxmlformats.org/officeDocument/2006/customXml" ds:itemID="{4FE36353-2D23-4413-BFF3-128FB6002D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Mark Foltz</cp:lastModifiedBy>
  <cp:lastPrinted>2019-05-23T21:26:27Z</cp:lastPrinted>
  <dcterms:created xsi:type="dcterms:W3CDTF">2013-08-12T19:20:10Z</dcterms:created>
  <dcterms:modified xsi:type="dcterms:W3CDTF">2019-11-26T20:45:56Z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0x01010060CEDB18C5607042858DD9C0A8275B18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275ac46-98b9-4d64-949f-e82ee8dc823c_Enabled">
    <vt:lpwstr>True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Owner">
    <vt:lpwstr>Mark.Foltz@kcpl.com</vt:lpwstr>
  </property>
  <property fmtid="{D5CDD505-2E9C-101B-9397-08002B2CF9AE}" pid="8" name="MSIP_Label_d275ac46-98b9-4d64-949f-e82ee8dc823c_SetDate">
    <vt:lpwstr>2018-11-14T16:29:38.6736549Z</vt:lpwstr>
  </property>
  <property fmtid="{D5CDD505-2E9C-101B-9397-08002B2CF9AE}" pid="9" name="MSIP_Label_d275ac46-98b9-4d64-949f-e82ee8dc823c_Name">
    <vt:lpwstr>Internal Use Only</vt:lpwstr>
  </property>
  <property fmtid="{D5CDD505-2E9C-101B-9397-08002B2CF9AE}" pid="10" name="MSIP_Label_d275ac46-98b9-4d64-949f-e82ee8dc823c_Application">
    <vt:lpwstr>Microsoft Azure Information Protection</vt:lpwstr>
  </property>
  <property fmtid="{D5CDD505-2E9C-101B-9397-08002B2CF9AE}" pid="11" name="MSIP_Label_d275ac46-98b9-4d64-949f-e82ee8dc823c_Extended_MSFT_Method">
    <vt:lpwstr>Automatic</vt:lpwstr>
  </property>
  <property fmtid="{D5CDD505-2E9C-101B-9397-08002B2CF9AE}" pid="12" name="Sensitivity">
    <vt:lpwstr>Internal Use Only</vt:lpwstr>
  </property>
</Properties>
</file>