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9\DataRequests\19582\Library\Red lines\"/>
    </mc:Choice>
  </mc:AlternateContent>
  <bookViews>
    <workbookView xWindow="120" yWindow="225" windowWidth="15240" windowHeight="460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7">EO!$A$1:$K$22</definedName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I8" i="4" l="1"/>
  <c r="H8" i="4"/>
  <c r="G8" i="4"/>
  <c r="F8" i="4"/>
  <c r="B6" i="4"/>
  <c r="B5" i="4"/>
  <c r="L22" i="1"/>
  <c r="K22" i="1"/>
  <c r="J22" i="1"/>
  <c r="L21" i="1"/>
  <c r="K21" i="1"/>
  <c r="J21" i="1"/>
  <c r="K13" i="15" l="1"/>
  <c r="J13" i="15"/>
  <c r="K12" i="15"/>
  <c r="J12" i="15"/>
  <c r="K11" i="15"/>
  <c r="J11" i="15"/>
  <c r="K10" i="15"/>
  <c r="J10" i="15"/>
  <c r="I17" i="9"/>
  <c r="H17" i="9"/>
  <c r="G17" i="9"/>
  <c r="F17" i="9"/>
  <c r="I16" i="9"/>
  <c r="H16" i="9"/>
  <c r="G16" i="9"/>
  <c r="F16" i="9"/>
  <c r="E17" i="9"/>
  <c r="D17" i="9"/>
  <c r="E16" i="9"/>
  <c r="D16" i="9"/>
  <c r="I16" i="16"/>
  <c r="H16" i="16"/>
  <c r="G16" i="16"/>
  <c r="F16" i="16"/>
  <c r="I15" i="16"/>
  <c r="H15" i="16"/>
  <c r="G15" i="16"/>
  <c r="F15" i="16"/>
  <c r="E16" i="16" l="1"/>
  <c r="D16" i="16"/>
  <c r="E15" i="16"/>
  <c r="D15" i="16"/>
  <c r="B43" i="16"/>
  <c r="I16" i="11" l="1"/>
  <c r="H16" i="11"/>
  <c r="G16" i="11"/>
  <c r="F16" i="11"/>
  <c r="I15" i="11"/>
  <c r="H15" i="11"/>
  <c r="G15" i="11"/>
  <c r="F15" i="11"/>
  <c r="E16" i="11"/>
  <c r="D16" i="11"/>
  <c r="E15" i="11"/>
  <c r="D15" i="11"/>
  <c r="I36" i="11"/>
  <c r="H36" i="11"/>
  <c r="G36" i="11"/>
  <c r="F36" i="11"/>
  <c r="E36" i="11"/>
  <c r="D36" i="11"/>
  <c r="I26" i="15" l="1"/>
  <c r="H26" i="15"/>
  <c r="G26" i="15"/>
  <c r="F26" i="15"/>
  <c r="I25" i="15"/>
  <c r="H25" i="15"/>
  <c r="G25" i="15"/>
  <c r="F25" i="15"/>
  <c r="I22" i="15"/>
  <c r="H22" i="15"/>
  <c r="G22" i="15"/>
  <c r="F22" i="15"/>
  <c r="I21" i="15"/>
  <c r="H21" i="15"/>
  <c r="G21" i="15"/>
  <c r="F21" i="15"/>
  <c r="E22" i="15"/>
  <c r="D22" i="15"/>
  <c r="E21" i="15"/>
  <c r="D21" i="15"/>
  <c r="E26" i="15"/>
  <c r="D26" i="15"/>
  <c r="E25" i="15"/>
  <c r="D25" i="15"/>
  <c r="I13" i="15"/>
  <c r="H13" i="15"/>
  <c r="G13" i="15"/>
  <c r="F13" i="15"/>
  <c r="E13" i="15"/>
  <c r="D13" i="15"/>
  <c r="I12" i="15"/>
  <c r="H12" i="15"/>
  <c r="G12" i="15"/>
  <c r="F12" i="15"/>
  <c r="E12" i="15"/>
  <c r="D12" i="15"/>
  <c r="I11" i="15"/>
  <c r="H11" i="15"/>
  <c r="G11" i="15"/>
  <c r="F11" i="15"/>
  <c r="E11" i="15"/>
  <c r="D11" i="15"/>
  <c r="I10" i="15"/>
  <c r="H10" i="15"/>
  <c r="G10" i="15"/>
  <c r="F10" i="15"/>
  <c r="E10" i="15"/>
  <c r="D10" i="15"/>
  <c r="B45" i="15" l="1"/>
  <c r="D20" i="16" l="1"/>
  <c r="D19" i="16"/>
  <c r="D23" i="16"/>
  <c r="D24" i="16"/>
  <c r="E19" i="16" l="1"/>
  <c r="E20" i="16"/>
  <c r="E23" i="16"/>
  <c r="F19" i="16" l="1"/>
  <c r="F20" i="16"/>
  <c r="F23" i="16"/>
  <c r="F24" i="16"/>
  <c r="G20" i="16" l="1"/>
  <c r="G19" i="16"/>
  <c r="G23" i="16"/>
  <c r="G24" i="16"/>
  <c r="H20" i="16" l="1"/>
  <c r="H19" i="16"/>
  <c r="H23" i="16"/>
  <c r="H24" i="16"/>
  <c r="I20" i="16" l="1"/>
  <c r="I19" i="16"/>
  <c r="I23" i="16"/>
  <c r="I24" i="16"/>
  <c r="E24" i="16" l="1"/>
  <c r="I26" i="1" l="1"/>
  <c r="H26" i="1"/>
  <c r="G26" i="1"/>
  <c r="F26" i="1"/>
  <c r="I25" i="1"/>
  <c r="H25" i="1"/>
  <c r="G25" i="1"/>
  <c r="F25" i="1"/>
  <c r="I22" i="1"/>
  <c r="H22" i="1"/>
  <c r="G22" i="1"/>
  <c r="F22" i="1"/>
  <c r="I21" i="1"/>
  <c r="H21" i="1"/>
  <c r="G21" i="1"/>
  <c r="F21" i="1"/>
  <c r="E26" i="1" l="1"/>
  <c r="D26" i="1"/>
  <c r="E25" i="1"/>
  <c r="D25" i="1"/>
  <c r="I38" i="1" l="1"/>
  <c r="H38" i="1"/>
  <c r="G38" i="1"/>
  <c r="F38" i="1"/>
  <c r="E38" i="1"/>
  <c r="D38" i="1"/>
  <c r="E22" i="1" l="1"/>
  <c r="D22" i="1"/>
  <c r="E21" i="1"/>
  <c r="D21" i="1"/>
  <c r="A2" i="10" l="1"/>
  <c r="E9" i="1"/>
  <c r="F9" i="1" s="1"/>
  <c r="G9" i="1" s="1"/>
  <c r="H9" i="1" s="1"/>
  <c r="I9" i="1" s="1"/>
  <c r="J9" i="1" s="1"/>
  <c r="K9" i="1" s="1"/>
  <c r="L9" i="1" s="1"/>
  <c r="A1" i="10" l="1"/>
  <c r="D9" i="10"/>
  <c r="D10" i="10" s="1"/>
  <c r="D11" i="10" s="1"/>
  <c r="C23" i="9" l="1"/>
  <c r="C22" i="9"/>
  <c r="C8" i="9" l="1"/>
  <c r="B8" i="9"/>
  <c r="D9" i="9" l="1"/>
  <c r="E9" i="9" s="1"/>
  <c r="F9" i="9" s="1"/>
  <c r="G9" i="9" s="1"/>
  <c r="H9" i="9" s="1"/>
  <c r="I9" i="9" s="1"/>
  <c r="J9" i="9" s="1"/>
  <c r="K9" i="9" s="1"/>
  <c r="L9" i="9" s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G5" i="9"/>
  <c r="G4" i="9"/>
  <c r="A1" i="9"/>
  <c r="G6" i="9" l="1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E9" i="8"/>
  <c r="E8" i="8"/>
  <c r="B9" i="8"/>
  <c r="B8" i="8"/>
  <c r="D5" i="8"/>
  <c r="F36" i="9" l="1"/>
  <c r="F34" i="9"/>
  <c r="G26" i="9"/>
  <c r="G31" i="9"/>
  <c r="E33" i="9"/>
  <c r="G32" i="9"/>
  <c r="G27" i="9"/>
  <c r="E10" i="8"/>
  <c r="G36" i="9" l="1"/>
  <c r="H32" i="9"/>
  <c r="H27" i="9"/>
  <c r="G34" i="9"/>
  <c r="F33" i="9"/>
  <c r="H31" i="9"/>
  <c r="H26" i="9"/>
  <c r="H36" i="9" l="1"/>
  <c r="H34" i="9"/>
  <c r="G33" i="9"/>
  <c r="H33" i="9" l="1"/>
  <c r="L17" i="9" l="1"/>
  <c r="L23" i="9" s="1"/>
  <c r="L16" i="9"/>
  <c r="L22" i="9" s="1"/>
  <c r="B10" i="8" l="1"/>
  <c r="C8" i="8" s="1"/>
  <c r="D8" i="8" s="1"/>
  <c r="F8" i="8" s="1"/>
  <c r="G8" i="8" l="1"/>
  <c r="C9" i="8"/>
  <c r="E10" i="5" l="1"/>
  <c r="L4" i="9"/>
  <c r="D9" i="8"/>
  <c r="F9" i="8" s="1"/>
  <c r="C10" i="8"/>
  <c r="G9" i="8" l="1"/>
  <c r="F10" i="8"/>
  <c r="D10" i="8"/>
  <c r="D11" i="8" s="1"/>
  <c r="L5" i="9" l="1"/>
  <c r="E11" i="5"/>
  <c r="G10" i="8"/>
  <c r="K17" i="9" l="1"/>
  <c r="K23" i="9" s="1"/>
  <c r="J17" i="9"/>
  <c r="J23" i="9" s="1"/>
  <c r="K16" i="9"/>
  <c r="J16" i="9"/>
  <c r="K22" i="9" l="1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H36" i="16" s="1"/>
  <c r="G38" i="15"/>
  <c r="G36" i="16" s="1"/>
  <c r="F38" i="15"/>
  <c r="F36" i="16" s="1"/>
  <c r="E38" i="15"/>
  <c r="E36" i="16" s="1"/>
  <c r="D38" i="15"/>
  <c r="D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J36" i="9" l="1"/>
  <c r="J33" i="9" s="1"/>
  <c r="K27" i="9"/>
  <c r="K32" i="9"/>
  <c r="H5" i="9" s="1"/>
  <c r="I5" i="9" s="1"/>
  <c r="J34" i="9"/>
  <c r="K31" i="9"/>
  <c r="K26" i="9"/>
  <c r="H5" i="11"/>
  <c r="H4" i="11"/>
  <c r="K5" i="9" l="1"/>
  <c r="M5" i="9" s="1"/>
  <c r="K36" i="9"/>
  <c r="L36" i="9" s="1"/>
  <c r="K34" i="9"/>
  <c r="H4" i="9"/>
  <c r="L27" i="9"/>
  <c r="J5" i="9" s="1"/>
  <c r="L26" i="9"/>
  <c r="I38" i="15"/>
  <c r="E17" i="5" l="1"/>
  <c r="L33" i="9"/>
  <c r="K33" i="9"/>
  <c r="H6" i="9"/>
  <c r="I4" i="9"/>
  <c r="M20" i="11"/>
  <c r="E5" i="5" l="1"/>
  <c r="K4" i="9"/>
  <c r="M4" i="9" s="1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E16" i="5" l="1"/>
  <c r="B43" i="11"/>
  <c r="E4" i="5" l="1"/>
  <c r="B45" i="1"/>
  <c r="C45" i="1" s="1"/>
  <c r="I36" i="16" l="1"/>
  <c r="L22" i="15" l="1"/>
  <c r="K22" i="15"/>
  <c r="J22" i="15"/>
  <c r="L21" i="15"/>
  <c r="K21" i="15"/>
  <c r="J21" i="15"/>
  <c r="J25" i="15" s="1"/>
  <c r="J38" i="15"/>
  <c r="D9" i="15"/>
  <c r="E9" i="15" s="1"/>
  <c r="F9" i="15" s="1"/>
  <c r="G9" i="15" s="1"/>
  <c r="H9" i="15" s="1"/>
  <c r="I9" i="15" s="1"/>
  <c r="J9" i="15" s="1"/>
  <c r="K9" i="15" s="1"/>
  <c r="L9" i="15" s="1"/>
  <c r="J36" i="16" l="1"/>
  <c r="M19" i="11"/>
  <c r="C10" i="11" l="1"/>
  <c r="B10" i="11"/>
  <c r="J38" i="1" l="1"/>
  <c r="C43" i="16" l="1"/>
  <c r="C30" i="16"/>
  <c r="C34" i="16" s="1"/>
  <c r="C29" i="16"/>
  <c r="C33" i="16" s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I11" i="16" s="1"/>
  <c r="J11" i="16" s="1"/>
  <c r="K11" i="16" s="1"/>
  <c r="L11" i="16" s="1"/>
  <c r="H5" i="16"/>
  <c r="H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H6" i="15" l="1"/>
  <c r="D36" i="15"/>
  <c r="D41" i="15"/>
  <c r="D35" i="15"/>
  <c r="D40" i="15"/>
  <c r="D5" i="15"/>
  <c r="K36" i="16"/>
  <c r="H6" i="16"/>
  <c r="E6" i="15"/>
  <c r="D4" i="15"/>
  <c r="L32" i="15"/>
  <c r="L31" i="15"/>
  <c r="D5" i="16"/>
  <c r="D4" i="16"/>
  <c r="G32" i="15"/>
  <c r="E35" i="15" l="1"/>
  <c r="E36" i="15"/>
  <c r="E40" i="15"/>
  <c r="E41" i="15"/>
  <c r="D6" i="15"/>
  <c r="D6" i="16"/>
  <c r="D43" i="15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G41" i="15" l="1"/>
  <c r="G40" i="15"/>
  <c r="G36" i="15"/>
  <c r="G35" i="15"/>
  <c r="F45" i="15"/>
  <c r="F42" i="15" s="1"/>
  <c r="F43" i="15"/>
  <c r="F5" i="11"/>
  <c r="F4" i="11"/>
  <c r="H41" i="15" l="1"/>
  <c r="H40" i="15"/>
  <c r="H35" i="15"/>
  <c r="G43" i="15"/>
  <c r="H36" i="15"/>
  <c r="K38" i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H45" i="15"/>
  <c r="H42" i="15" s="1"/>
  <c r="H43" i="15"/>
  <c r="K31" i="1"/>
  <c r="J32" i="1"/>
  <c r="K32" i="1"/>
  <c r="J31" i="1"/>
  <c r="I45" i="15" l="1"/>
  <c r="I42" i="15" l="1"/>
  <c r="I43" i="15"/>
  <c r="H5" i="1" l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30" i="11" s="1"/>
  <c r="L15" i="11"/>
  <c r="L29" i="11" s="1"/>
  <c r="L43" i="1" l="1"/>
  <c r="L26" i="1"/>
  <c r="L25" i="1"/>
  <c r="L32" i="1" l="1"/>
  <c r="L31" i="1"/>
  <c r="A1" i="5"/>
  <c r="A1" i="11"/>
  <c r="A1" i="12"/>
  <c r="A1" i="1"/>
  <c r="I18" i="1" l="1"/>
  <c r="F5" i="1" s="1"/>
  <c r="I17" i="1" l="1"/>
  <c r="F4" i="1" s="1"/>
  <c r="A2" i="12" l="1"/>
  <c r="D11" i="11" l="1"/>
  <c r="E11" i="11" s="1"/>
  <c r="F11" i="11" s="1"/>
  <c r="G11" i="11" s="1"/>
  <c r="H11" i="11" s="1"/>
  <c r="I11" i="11" s="1"/>
  <c r="J11" i="11" s="1"/>
  <c r="K11" i="11" s="1"/>
  <c r="L11" i="11" s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E38" i="11" s="1"/>
  <c r="D34" i="11"/>
  <c r="E39" i="11" s="1"/>
  <c r="H40" i="1"/>
  <c r="H35" i="1"/>
  <c r="E5" i="11"/>
  <c r="D43" i="11" l="1"/>
  <c r="D40" i="11" s="1"/>
  <c r="E34" i="11"/>
  <c r="F39" i="11" s="1"/>
  <c r="E33" i="11"/>
  <c r="F38" i="11" s="1"/>
  <c r="F34" i="11" l="1"/>
  <c r="G39" i="11" s="1"/>
  <c r="F33" i="11"/>
  <c r="G38" i="11" s="1"/>
  <c r="D41" i="11"/>
  <c r="G34" i="11" l="1"/>
  <c r="H39" i="11" s="1"/>
  <c r="G33" i="11"/>
  <c r="H38" i="11" s="1"/>
  <c r="F41" i="11"/>
  <c r="E43" i="11"/>
  <c r="E40" i="11" s="1"/>
  <c r="E41" i="11"/>
  <c r="D5" i="11"/>
  <c r="H34" i="11" l="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G5" i="5" l="1"/>
  <c r="G4" i="5"/>
  <c r="A26" i="1"/>
  <c r="L4" i="5" l="1"/>
  <c r="L5" i="5"/>
  <c r="H7" i="4" l="1"/>
  <c r="G7" i="4"/>
  <c r="I7" i="4" l="1"/>
  <c r="G5" i="1"/>
  <c r="G6" i="1" l="1"/>
  <c r="E36" i="1" l="1"/>
  <c r="F36" i="1" l="1"/>
  <c r="F41" i="1"/>
  <c r="F43" i="1" s="1"/>
  <c r="E45" i="1"/>
  <c r="J40" i="1" l="1"/>
  <c r="J35" i="1"/>
  <c r="E42" i="1"/>
  <c r="F45" i="1"/>
  <c r="G41" i="1"/>
  <c r="G43" i="1" s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8" i="11" l="1"/>
  <c r="I33" i="11"/>
  <c r="I39" i="11"/>
  <c r="I34" i="11"/>
  <c r="J5" i="1"/>
  <c r="I6" i="1"/>
  <c r="K42" i="1"/>
  <c r="L45" i="1"/>
  <c r="L42" i="1" s="1"/>
  <c r="F6" i="11"/>
  <c r="E6" i="11"/>
  <c r="G5" i="11"/>
  <c r="G4" i="11"/>
  <c r="I43" i="11" l="1"/>
  <c r="J36" i="11"/>
  <c r="J38" i="11" s="1"/>
  <c r="J33" i="11"/>
  <c r="J34" i="11"/>
  <c r="K5" i="1"/>
  <c r="J6" i="1"/>
  <c r="G6" i="11"/>
  <c r="I41" i="11" l="1"/>
  <c r="I40" i="11"/>
  <c r="K36" i="11"/>
  <c r="K39" i="11" s="1"/>
  <c r="J39" i="11"/>
  <c r="K34" i="11"/>
  <c r="L39" i="11" s="1"/>
  <c r="K33" i="11"/>
  <c r="L38" i="11" s="1"/>
  <c r="J43" i="11" l="1"/>
  <c r="J40" i="11" s="1"/>
  <c r="K38" i="11"/>
  <c r="M38" i="11" s="1"/>
  <c r="M39" i="11"/>
  <c r="L33" i="11"/>
  <c r="L34" i="11"/>
  <c r="J41" i="11" l="1"/>
  <c r="I5" i="11" l="1"/>
  <c r="J5" i="11" s="1"/>
  <c r="I4" i="11"/>
  <c r="J4" i="11" s="1"/>
  <c r="K43" i="11"/>
  <c r="K40" i="11" s="1"/>
  <c r="K41" i="11"/>
  <c r="K4" i="11" l="1"/>
  <c r="K5" i="11"/>
  <c r="I6" i="11"/>
  <c r="J6" i="11"/>
  <c r="L41" i="11"/>
  <c r="L43" i="11"/>
  <c r="L40" i="11" s="1"/>
  <c r="I9" i="4" l="1"/>
  <c r="I10" i="4"/>
  <c r="H10" i="4" l="1"/>
  <c r="H9" i="4"/>
  <c r="K18" i="15" l="1"/>
  <c r="K32" i="15" s="1"/>
  <c r="G10" i="4" l="1"/>
  <c r="J18" i="15"/>
  <c r="G9" i="4" l="1"/>
  <c r="F5" i="15"/>
  <c r="G5" i="15" s="1"/>
  <c r="J32" i="15"/>
  <c r="J36" i="15" l="1"/>
  <c r="J41" i="15"/>
  <c r="K36" i="15" l="1"/>
  <c r="K41" i="15"/>
  <c r="I5" i="15" s="1"/>
  <c r="J5" i="15" s="1"/>
  <c r="C17" i="5" l="1"/>
  <c r="L36" i="15"/>
  <c r="K5" i="15" s="1"/>
  <c r="J17" i="15" l="1"/>
  <c r="K17" i="15"/>
  <c r="K31" i="15" s="1"/>
  <c r="J31" i="15" l="1"/>
  <c r="F4" i="15"/>
  <c r="F10" i="4" l="1"/>
  <c r="C6" i="4" s="1"/>
  <c r="F9" i="4"/>
  <c r="C5" i="4" s="1"/>
  <c r="G4" i="15"/>
  <c r="F6" i="15"/>
  <c r="J35" i="15"/>
  <c r="J40" i="15"/>
  <c r="J43" i="15" l="1"/>
  <c r="J45" i="15"/>
  <c r="J42" i="15" s="1"/>
  <c r="C7" i="4"/>
  <c r="C8" i="4" s="1"/>
  <c r="C10" i="5"/>
  <c r="G6" i="15"/>
  <c r="K40" i="15"/>
  <c r="I4" i="15" s="1"/>
  <c r="K35" i="15"/>
  <c r="C11" i="5"/>
  <c r="J5" i="5" l="1"/>
  <c r="I6" i="15"/>
  <c r="J4" i="15"/>
  <c r="C5" i="5"/>
  <c r="L35" i="15"/>
  <c r="K43" i="15"/>
  <c r="K45" i="15"/>
  <c r="L45" i="15" s="1"/>
  <c r="C16" i="5" l="1"/>
  <c r="J4" i="5" s="1"/>
  <c r="L42" i="15"/>
  <c r="K42" i="15"/>
  <c r="J6" i="15"/>
  <c r="K4" i="15"/>
  <c r="C4" i="5" l="1"/>
  <c r="D30" i="16" l="1"/>
  <c r="D39" i="16" s="1"/>
  <c r="D29" i="16"/>
  <c r="E30" i="16" l="1"/>
  <c r="E29" i="16"/>
  <c r="D12" i="16"/>
  <c r="D34" i="16"/>
  <c r="D38" i="16"/>
  <c r="D33" i="16"/>
  <c r="E12" i="16" l="1"/>
  <c r="F29" i="16"/>
  <c r="G30" i="16"/>
  <c r="G29" i="16"/>
  <c r="D41" i="16"/>
  <c r="D43" i="16"/>
  <c r="D40" i="16" s="1"/>
  <c r="E39" i="16"/>
  <c r="E34" i="16"/>
  <c r="E38" i="16"/>
  <c r="E33" i="16"/>
  <c r="G12" i="16" l="1"/>
  <c r="H29" i="16"/>
  <c r="H30" i="16"/>
  <c r="E41" i="16"/>
  <c r="F38" i="16"/>
  <c r="F33" i="16"/>
  <c r="E43" i="16"/>
  <c r="E40" i="16" s="1"/>
  <c r="H12" i="16" l="1"/>
  <c r="G33" i="16"/>
  <c r="G38" i="16"/>
  <c r="I30" i="16" l="1"/>
  <c r="I29" i="16"/>
  <c r="H33" i="16"/>
  <c r="H38" i="16"/>
  <c r="I33" i="16" l="1"/>
  <c r="I38" i="16"/>
  <c r="I12" i="16"/>
  <c r="F30" i="16" l="1"/>
  <c r="F12" i="16" l="1"/>
  <c r="F39" i="16"/>
  <c r="F34" i="16"/>
  <c r="F41" i="16" l="1"/>
  <c r="G34" i="16"/>
  <c r="G39" i="16"/>
  <c r="G41" i="16" s="1"/>
  <c r="F43" i="16"/>
  <c r="F40" i="16" l="1"/>
  <c r="G43" i="16"/>
  <c r="H39" i="16"/>
  <c r="H41" i="16" s="1"/>
  <c r="H34" i="16"/>
  <c r="I39" i="16" l="1"/>
  <c r="I34" i="16"/>
  <c r="G40" i="16"/>
  <c r="H43" i="16"/>
  <c r="I43" i="16" l="1"/>
  <c r="I41" i="16"/>
  <c r="H40" i="16"/>
  <c r="I40" i="16" l="1"/>
  <c r="J19" i="16" l="1"/>
  <c r="J23" i="16"/>
  <c r="J29" i="16" l="1"/>
  <c r="K19" i="16"/>
  <c r="M19" i="16" s="1"/>
  <c r="E4" i="16" s="1"/>
  <c r="J20" i="16"/>
  <c r="K23" i="16"/>
  <c r="K29" i="16" l="1"/>
  <c r="F4" i="16"/>
  <c r="J33" i="16"/>
  <c r="J38" i="16"/>
  <c r="J24" i="16"/>
  <c r="K20" i="16"/>
  <c r="M20" i="16" s="1"/>
  <c r="E5" i="16" s="1"/>
  <c r="E6" i="16" s="1"/>
  <c r="G4" i="16" l="1"/>
  <c r="J30" i="16"/>
  <c r="J12" i="16"/>
  <c r="K38" i="16"/>
  <c r="I4" i="16" s="1"/>
  <c r="K33" i="16"/>
  <c r="K24" i="16"/>
  <c r="J4" i="16" l="1"/>
  <c r="D16" i="5" s="1"/>
  <c r="K30" i="16"/>
  <c r="K12" i="16"/>
  <c r="F5" i="16"/>
  <c r="L38" i="16"/>
  <c r="L33" i="16"/>
  <c r="J34" i="16"/>
  <c r="J39" i="16"/>
  <c r="K4" i="16" l="1"/>
  <c r="K34" i="16"/>
  <c r="K39" i="16"/>
  <c r="K41" i="16" s="1"/>
  <c r="J43" i="16"/>
  <c r="J40" i="16" s="1"/>
  <c r="J41" i="16"/>
  <c r="G5" i="16"/>
  <c r="F6" i="16"/>
  <c r="I5" i="16" l="1"/>
  <c r="I6" i="16" s="1"/>
  <c r="G6" i="16"/>
  <c r="K43" i="16"/>
  <c r="L34" i="16"/>
  <c r="L39" i="16"/>
  <c r="L41" i="16" s="1"/>
  <c r="J5" i="16" l="1"/>
  <c r="K40" i="16"/>
  <c r="L43" i="16"/>
  <c r="L40" i="16" s="1"/>
  <c r="B6" i="12"/>
  <c r="C6" i="12"/>
  <c r="K5" i="16" l="1"/>
  <c r="J6" i="16"/>
  <c r="D17" i="5"/>
  <c r="D10" i="5"/>
  <c r="D4" i="5" l="1"/>
  <c r="K4" i="5"/>
  <c r="B7" i="12"/>
  <c r="B8" i="12" s="1"/>
  <c r="C7" i="12"/>
  <c r="H4" i="5" l="1"/>
  <c r="D11" i="5"/>
  <c r="C8" i="12"/>
  <c r="D5" i="5" l="1"/>
  <c r="K5" i="5"/>
  <c r="H5" i="5" l="1"/>
</calcChain>
</file>

<file path=xl/sharedStrings.xml><?xml version="1.0" encoding="utf-8"?>
<sst xmlns="http://schemas.openxmlformats.org/spreadsheetml/2006/main" count="338" uniqueCount="150">
  <si>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</si>
  <si>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</si>
  <si>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</si>
  <si>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</si>
  <si>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</si>
  <si>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</si>
  <si>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</si>
  <si>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</si>
  <si>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</si>
  <si>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</si>
  <si>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</si>
  <si>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</si>
  <si>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</si>
  <si>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</si>
  <si>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</si>
  <si>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</si>
  <si>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</si>
  <si>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</si>
  <si>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</si>
  <si>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</si>
  <si>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</si>
  <si>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</si>
  <si>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</si>
  <si>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</si>
  <si>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</si>
  <si>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</si>
  <si>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</si>
  <si>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</si>
  <si>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</si>
  <si>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</si>
  <si>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</si>
  <si>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</si>
  <si>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</si>
  <si>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</si>
  <si>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</si>
  <si>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</si>
  <si>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</si>
  <si>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</si>
  <si>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</si>
  <si>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</si>
  <si>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</si>
  <si>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</si>
  <si>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</si>
  <si>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</si>
  <si>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</si>
  <si>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</si>
  <si>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</si>
  <si>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</si>
  <si>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</si>
  <si>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</si>
  <si>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</si>
  <si>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</si>
  <si>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</si>
  <si>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</si>
  <si>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</si>
  <si>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</si>
  <si>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</si>
  <si>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</si>
  <si>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</si>
  <si>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</si>
  <si>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</si>
  <si>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</si>
  <si>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</si>
  <si>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</si>
  <si>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</si>
  <si>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</si>
  <si>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</si>
  <si>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</si>
  <si>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</si>
  <si>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</si>
  <si>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</si>
  <si>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</si>
  <si>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</si>
  <si>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</si>
  <si>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</si>
  <si>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</si>
  <si>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</si>
  <si>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</si>
  <si>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</si>
  <si>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</si>
  <si>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</si>
  <si>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</si>
  <si>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</si>
  <si>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</si>
  <si>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</si>
  <si>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</si>
  <si>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</si>
  <si>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Amortization Over 24 Month Recovery Period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</si>
  <si>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</si>
  <si>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</si>
  <si>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</si>
  <si>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</si>
  <si>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</si>
  <si>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</si>
  <si>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</si>
  <si>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</si>
  <si>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</si>
  <si>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</si>
  <si>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</si>
  <si>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</si>
  <si>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Cycle 1 Earnings Opportunity (EO) Calculation</t>
  </si>
  <si>
    <t>EO Rate</t>
  </si>
  <si>
    <t>1. Total Performance Incentive</t>
  </si>
  <si>
    <t>2. Verified kWh Savings</t>
  </si>
  <si>
    <t>3. Allocation %</t>
  </si>
  <si>
    <t>4. Carrying Costs @ Short-Term Borrowing Rate</t>
  </si>
  <si>
    <t>5. Total Performance Incentive plus Carrying Costs</t>
  </si>
  <si>
    <t>1. Verified kWh Savings - Source: GMO Cycle 1 Performance Incentive with Carrying Costs.xlsx</t>
  </si>
  <si>
    <t>2. Total Performance Incentive - Source: GMO Cycle 1 Performance Incentive with Carrying Costs.xlsx</t>
  </si>
  <si>
    <t>3. Allocation % - Calculated % of Residential and Non-Residential kWh Savings to Total Savings.</t>
  </si>
  <si>
    <t>4. Carrying Costs @ Short-Term Borrowing Rate - Source: GMO Cycle 1 Performance Incentive with Carrying Costs.xlsx</t>
  </si>
  <si>
    <t>5. Total Performance Incentive plus Carrying Costs - Sum</t>
  </si>
  <si>
    <t>Cycle 1 Earnings Opportunity Reconciliation (EOR) Calculation</t>
  </si>
  <si>
    <t>Carrying Cost</t>
  </si>
  <si>
    <t>Less: EO Amortization</t>
  </si>
  <si>
    <t>Net EOR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</si>
  <si>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</si>
  <si>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</si>
  <si>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</si>
  <si>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</si>
  <si>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</si>
  <si>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</si>
  <si>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</si>
  <si>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</si>
  <si>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Cycle 1 Ordered Adjustment (OA) Calculation</t>
  </si>
  <si>
    <t>1. Ordered Adjustment</t>
  </si>
  <si>
    <t>2. Carrying Costs on OA</t>
  </si>
  <si>
    <t>1. Ordered Adjustment - Source: None</t>
  </si>
  <si>
    <t>2. Carrying Costs on OA - Source: None</t>
  </si>
  <si>
    <t>1. Actual monthly program costs by allocation bucket Residential, Non-Residential, Low Income, Common/General, Programmable Thermostat) - Source: None</t>
  </si>
  <si>
    <t>KCP&amp;L Greater Missouri Operations Company - DSIM Rider Update Filed 06/01/2018</t>
  </si>
  <si>
    <t>Projections for Cycle 2 July - December 2018 DSIM</t>
  </si>
  <si>
    <t>Cumulative Over/Under Carryover From 12/01/2017 Filing</t>
  </si>
  <si>
    <t>Reverse Nov-17 - Dec-17  Forecast From 12/01/2017 Filing</t>
  </si>
  <si>
    <t>5. Monthly Short-Term Borrowing Rate - Source: GMO Short-Term Borrowing Rate November 2017 - April 2018.xlsx</t>
  </si>
  <si>
    <t>2. Actual monthly kWh billed sales by Residential/Non-Residential (reduced for opt-out) - Source: GMO MEEIA 2017 Revenue Analysis.xlsx, GMO MEEIA 2018 Revenue Analysis.xlsx
    Forecasted monthly kWh billed sales by Residential/Non-Residential (reduced for opt-out) - Source: Billed kWh Budget GMO 2018-2019.xlsx</t>
  </si>
  <si>
    <t>3. Actual monthly billed revenues by Residential/Non-Residential (program cost revenues only) - GMO MEEIA 2017 Revenue Analysis.xlsx, GMO MEEIA 2018 Revenue Analysis.xlsx
Forecasted monthly billed revenues by Residential/Non-Residential (program cost revenues only) - Source: calculated = Forecasted billed kWh sales X tariff rate</t>
  </si>
  <si>
    <t>1. Actual monthly program costs by allocation bucket Residential, Non-Residential, Income-Eligible, Common/General) - Source: SI Projects 112017-042018 GMO.xls
    Forecasted monthly program costs by allocation bucket - Source: GMO MEEIA Cycle 2 Forecast 2017-2019 042018 actuals 05092018.xlsx</t>
  </si>
  <si>
    <t>3. Actual monthly billed revenues by Residential/Non-Residential (program cost revenues only) - GMO MEEIA 2017 Revenue Analysis.xlsx, GMO MEEIA 2018 Revenue Analysis.xlsx
    Forecasted monthly billed revenues by Residential/Non-Residential (program cost revenues only) - Source: calculated = Forecasted billed kWh sales X tariff rate</t>
  </si>
  <si>
    <t>1. Forecasted Residential/Non-Residential kWh Sales Impact  - Source: GMO MEEIA Cycle 2 Forecast 2017-2019 042018 actuals 05092018.xlsx</t>
  </si>
  <si>
    <t>2. Forecasted Throughput Disincentive  - Source: GMO MEEIA Cycle 2 Forecast 2017-2019 042018 actuals 05092018.xlsx</t>
  </si>
  <si>
    <t>1. Forecasted kWh by Residential/Non-Residential (Reduced for Opt-Out) - Source: Billed kWh Budget GMO 2018-2019.xlsx</t>
  </si>
  <si>
    <t>2. Forecasted program costs by allocation bucket (Residential, Non-Residential, Income-Eligible, Common/General) - Source: GMO MEEIA Cycle 2 Forecast 2017-2019 042018 actuals 05092018.xlsx</t>
  </si>
  <si>
    <t>2. Actual monthly kWh billed sales by Residential/Non-Residential (reduced for opt-out) - Source: GMO MEEIA 2017 Revenue Analysis.xlsx, GMO MEEIA 2018 Revenue Analysis.xlsx 
    Forecasted monthly kWh billed sales by Residential/Non-Residential (reduced for opt-out) - Source: Billed kWh Budget GMO 2018-2019.xlsx</t>
  </si>
  <si>
    <t>3. Actual monthly billed revenues by Residential/Non-Residential (TD-NSB only) - GMO MEEIA 2017 Revenue Analysis.xlsx, GMO MEEIA 2018 Revenue Analysis.xlsx
Forecasted monthly billed revenues by Residential/Non-Residential (TD-NSB revenues only) - Source: calculated = Forecasted billed kWh sales X tariff rate</t>
  </si>
  <si>
    <t>6. Monthly AFUDC Rate - Source: GMO AFUDC Rate November 2017 thru April 2018.xlsx</t>
  </si>
  <si>
    <t>1. &amp; 4. Actual monthly TD - Source: TD Model GMO 042018 final 05082018.xlsx
    Forecasted monthly TD - Source: GMO MEEIA Cycle 2 Forecast 2017-2019 042018 actuals 05092018.xlsx</t>
  </si>
  <si>
    <t>3. Actual monthly kWh Sales Impact - Source: TD Model GMO 042018 final 0508018.xlsx
    Forecasted monthly kWh Sales Impact - Source: GMO MEEIA Cycle 2 Forecast 2017-2019 042018 actuals 05092018.xlsx</t>
  </si>
  <si>
    <t>2. Actual monthly billed revenues by Residential/Non-Residential (program cost revenues only) - GMO MEEIA 2017 Revenue Analysis.xlsx, GMO MEEIA 2018 Revenue Analysis.xlsx 
Forecasted monthly billed revenues by Residential/Non-Residential (program cost revenues only) - Source: calculated = Forecasted billed kWh sales X tariff rate</t>
  </si>
  <si>
    <t>4. Monthly Short-Term Borrowing Rate - Source: GMO Short-Term Borrowing Rate November 2017 - April 2018.xlsx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</si>
</sst>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33CC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45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0" fontId="14" fillId="7" borderId="1" xfId="2" applyNumberFormat="1" applyFont="1" applyFill="1" applyBorder="1"/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2" fontId="14" fillId="7" borderId="1" xfId="13" applyNumberFormat="1"/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43" fontId="0" fillId="0" borderId="0" xfId="0" applyNumberFormat="1" applyBorder="1"/>
    <xf numFmtId="169" fontId="34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Billed%20kWh%20Budget%20GMO%202018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Cycle%202%20Forecast%20Model%202017-2019%20042018%20actuals%200509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2017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MEEIA%202018%20Revenu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Short-Term%20Borrowing%20Rate%20November%202017%20-%20April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SI%20Projects%20112017-042018%20GM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AFUDC%20Rate%20November%202017%20thru%20April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CorpAcctg/MEEIA/Month-End%20Close/Deferred%20DSM%20projects%20SI/2018/Cycle%202/GMO/TD/TD%20Model%20GMO%20042018%200508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GMO%20Cycle%201%20MEEIA%20Performance%20Incentive%20with%20Carrying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33">
          <cell r="G33">
            <v>209406485.35392299</v>
          </cell>
          <cell r="H33">
            <v>255347575.58859</v>
          </cell>
          <cell r="I33">
            <v>354263931.938604</v>
          </cell>
        </row>
        <row r="34">
          <cell r="G34">
            <v>269844119</v>
          </cell>
          <cell r="H34">
            <v>295300484</v>
          </cell>
          <cell r="I34">
            <v>320982823</v>
          </cell>
        </row>
        <row r="37">
          <cell r="O37">
            <v>1850305073.8738551</v>
          </cell>
        </row>
        <row r="38">
          <cell r="O38">
            <v>1750855130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GMO Monthly TD Calc"/>
      <sheetName val="Program Costs - GMO"/>
    </sheetNames>
    <sheetDataSet>
      <sheetData sheetId="0" refreshError="1"/>
      <sheetData sheetId="1" refreshError="1"/>
      <sheetData sheetId="2" refreshError="1"/>
      <sheetData sheetId="3">
        <row r="351">
          <cell r="AB351">
            <v>322925.23</v>
          </cell>
          <cell r="AC351">
            <v>641350.28</v>
          </cell>
        </row>
        <row r="352">
          <cell r="AB352">
            <v>284947.81</v>
          </cell>
          <cell r="AC352">
            <v>414371.76</v>
          </cell>
        </row>
        <row r="355">
          <cell r="AI355">
            <v>2936487.4599999995</v>
          </cell>
        </row>
        <row r="356">
          <cell r="AI356">
            <v>1969096.8999999997</v>
          </cell>
        </row>
        <row r="372">
          <cell r="AB372">
            <v>6182646.8934710063</v>
          </cell>
          <cell r="AC372">
            <v>7973356.9723170632</v>
          </cell>
        </row>
        <row r="373">
          <cell r="AB373">
            <v>7509453.3104997166</v>
          </cell>
          <cell r="AC373">
            <v>7704025.8852896988</v>
          </cell>
        </row>
        <row r="377">
          <cell r="AI377">
            <v>42786920.614276439</v>
          </cell>
        </row>
        <row r="378">
          <cell r="AI378">
            <v>42650596.461855084</v>
          </cell>
        </row>
      </sheetData>
      <sheetData sheetId="4">
        <row r="153">
          <cell r="AD153">
            <v>575926.20129999996</v>
          </cell>
          <cell r="AE153">
            <v>729369.61059455131</v>
          </cell>
        </row>
        <row r="154">
          <cell r="AD154">
            <v>486579.99200000003</v>
          </cell>
          <cell r="AE154">
            <v>1028067.4419999999</v>
          </cell>
        </row>
        <row r="155">
          <cell r="AD155">
            <v>67584.5</v>
          </cell>
          <cell r="AE155">
            <v>81452.060000000012</v>
          </cell>
        </row>
        <row r="159">
          <cell r="AK159">
            <v>4752195.4518640954</v>
          </cell>
        </row>
        <row r="160">
          <cell r="AK160">
            <v>5019087.4119999995</v>
          </cell>
        </row>
        <row r="161">
          <cell r="AK161">
            <v>659532.53</v>
          </cell>
        </row>
        <row r="162">
          <cell r="AK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GMO DSIM Rate Table"/>
      <sheetName val="DSIM Rates - Tracker"/>
      <sheetName val="DSIM Rates - Initial RP Cycle 2"/>
      <sheetName val="DSIM RP2"/>
      <sheetName val="DSIM RP3"/>
      <sheetName val="DSIM RP4"/>
    </sheetNames>
    <sheetDataSet>
      <sheetData sheetId="0">
        <row r="105">
          <cell r="M105">
            <v>0</v>
          </cell>
          <cell r="N105">
            <v>37.51</v>
          </cell>
        </row>
        <row r="106">
          <cell r="M106">
            <v>-2339.89</v>
          </cell>
          <cell r="N106">
            <v>-779.38</v>
          </cell>
        </row>
        <row r="110">
          <cell r="M110">
            <v>-204760.34</v>
          </cell>
          <cell r="N110">
            <v>-237090.61</v>
          </cell>
        </row>
        <row r="111">
          <cell r="M111">
            <v>1044192.15</v>
          </cell>
          <cell r="N111">
            <v>1055430.19</v>
          </cell>
        </row>
        <row r="115">
          <cell r="M115">
            <v>-59817.52</v>
          </cell>
          <cell r="N115">
            <v>-69253.960000000006</v>
          </cell>
        </row>
        <row r="116">
          <cell r="M116">
            <v>87789.96</v>
          </cell>
          <cell r="N116">
            <v>89587.18</v>
          </cell>
        </row>
        <row r="120">
          <cell r="M120">
            <v>73617.31</v>
          </cell>
          <cell r="N120">
            <v>85234.84</v>
          </cell>
        </row>
        <row r="121">
          <cell r="M121">
            <v>132898.48000000001</v>
          </cell>
          <cell r="N121">
            <v>133721.62</v>
          </cell>
        </row>
        <row r="125">
          <cell r="M125">
            <v>593563.66</v>
          </cell>
          <cell r="N125">
            <v>687252.79</v>
          </cell>
        </row>
        <row r="126">
          <cell r="M126">
            <v>577182.35</v>
          </cell>
          <cell r="N126">
            <v>583635.30000000005</v>
          </cell>
        </row>
        <row r="130">
          <cell r="M130">
            <v>179441.12</v>
          </cell>
          <cell r="N130">
            <v>207727.29</v>
          </cell>
        </row>
        <row r="131">
          <cell r="M131">
            <v>655973.49</v>
          </cell>
          <cell r="N131">
            <v>657781.38</v>
          </cell>
        </row>
        <row r="135">
          <cell r="M135">
            <v>273764.75</v>
          </cell>
          <cell r="N135">
            <v>316940.01</v>
          </cell>
        </row>
        <row r="136">
          <cell r="M136">
            <v>193017.63</v>
          </cell>
          <cell r="N136">
            <v>193772.91999999998</v>
          </cell>
        </row>
        <row r="144">
          <cell r="M144">
            <v>230067517</v>
          </cell>
          <cell r="N144">
            <v>266412102</v>
          </cell>
        </row>
        <row r="145">
          <cell r="M145">
            <v>267692588</v>
          </cell>
          <cell r="N145">
            <v>272082894</v>
          </cell>
        </row>
        <row r="150">
          <cell r="M150">
            <v>230067517</v>
          </cell>
          <cell r="N150">
            <v>266397143</v>
          </cell>
        </row>
        <row r="151">
          <cell r="M151">
            <v>269460211</v>
          </cell>
          <cell r="N151">
            <v>272671656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</sheetNames>
    <sheetDataSet>
      <sheetData sheetId="0">
        <row r="150">
          <cell r="C150">
            <v>0</v>
          </cell>
          <cell r="D150">
            <v>125.97</v>
          </cell>
          <cell r="E150">
            <v>1.73</v>
          </cell>
          <cell r="F150">
            <v>0</v>
          </cell>
        </row>
        <row r="151">
          <cell r="C151">
            <v>0</v>
          </cell>
          <cell r="D151">
            <v>-66.52</v>
          </cell>
          <cell r="E151">
            <v>0</v>
          </cell>
          <cell r="F151">
            <v>-10763.01</v>
          </cell>
        </row>
        <row r="155">
          <cell r="C155">
            <v>-367096.22</v>
          </cell>
          <cell r="D155">
            <v>-159459.16</v>
          </cell>
          <cell r="E155">
            <v>-136358.59</v>
          </cell>
          <cell r="F155">
            <v>-134369.03</v>
          </cell>
        </row>
        <row r="156">
          <cell r="C156">
            <v>1229294.96</v>
          </cell>
          <cell r="D156">
            <v>525161.39</v>
          </cell>
          <cell r="E156">
            <v>526930.11</v>
          </cell>
          <cell r="F156">
            <v>487741.53</v>
          </cell>
        </row>
        <row r="160">
          <cell r="C160">
            <v>-107241.56</v>
          </cell>
          <cell r="D160">
            <v>-46478.94</v>
          </cell>
          <cell r="E160">
            <v>-39771.120000000003</v>
          </cell>
          <cell r="F160">
            <v>-39191.120000000003</v>
          </cell>
        </row>
        <row r="161">
          <cell r="C161">
            <v>104819.17</v>
          </cell>
          <cell r="D161">
            <v>46935.03</v>
          </cell>
          <cell r="E161">
            <v>47146.01</v>
          </cell>
          <cell r="F161">
            <v>38048.58</v>
          </cell>
        </row>
        <row r="165">
          <cell r="C165">
            <v>131988.42000000001</v>
          </cell>
          <cell r="D165">
            <v>112790.54</v>
          </cell>
          <cell r="E165">
            <v>96565.4</v>
          </cell>
          <cell r="F165">
            <v>95160.72</v>
          </cell>
        </row>
        <row r="166">
          <cell r="C166">
            <v>155669.59</v>
          </cell>
          <cell r="D166">
            <v>137627.01</v>
          </cell>
          <cell r="E166">
            <v>138658.49</v>
          </cell>
          <cell r="F166">
            <v>137695.72</v>
          </cell>
        </row>
        <row r="170">
          <cell r="C170">
            <v>1064163.23</v>
          </cell>
          <cell r="D170">
            <v>786402.62</v>
          </cell>
          <cell r="E170">
            <v>673145.17</v>
          </cell>
          <cell r="F170">
            <v>663345.73</v>
          </cell>
        </row>
        <row r="171">
          <cell r="C171">
            <v>679765.2</v>
          </cell>
          <cell r="D171">
            <v>838567.41</v>
          </cell>
          <cell r="E171">
            <v>845799.35</v>
          </cell>
          <cell r="F171">
            <v>834809.07</v>
          </cell>
        </row>
        <row r="175">
          <cell r="C175">
            <v>321719.89</v>
          </cell>
          <cell r="D175">
            <v>258768.54</v>
          </cell>
          <cell r="E175">
            <v>221533.63</v>
          </cell>
          <cell r="F175">
            <v>218308.04</v>
          </cell>
        </row>
        <row r="176">
          <cell r="C176">
            <v>765694.49</v>
          </cell>
          <cell r="D176">
            <v>359096.67</v>
          </cell>
          <cell r="E176">
            <v>360553.38</v>
          </cell>
          <cell r="F176">
            <v>357796.52</v>
          </cell>
        </row>
        <row r="180">
          <cell r="C180">
            <v>490830.28</v>
          </cell>
          <cell r="D180">
            <v>355041.38</v>
          </cell>
          <cell r="E180">
            <v>303908.51</v>
          </cell>
          <cell r="F180">
            <v>299482.25</v>
          </cell>
        </row>
        <row r="181">
          <cell r="C181">
            <v>225571.78</v>
          </cell>
          <cell r="D181">
            <v>384627.97</v>
          </cell>
          <cell r="E181">
            <v>388239.73</v>
          </cell>
          <cell r="F181">
            <v>392387.74</v>
          </cell>
        </row>
        <row r="191">
          <cell r="C191">
            <v>412467483</v>
          </cell>
          <cell r="D191">
            <v>331826242.24000001</v>
          </cell>
          <cell r="E191">
            <v>284023815</v>
          </cell>
          <cell r="F191">
            <v>279889385.00999999</v>
          </cell>
        </row>
        <row r="192">
          <cell r="C192">
            <v>317643689</v>
          </cell>
          <cell r="D192">
            <v>275214671.75999999</v>
          </cell>
          <cell r="E192">
            <v>277317298</v>
          </cell>
          <cell r="F192">
            <v>260839494</v>
          </cell>
        </row>
        <row r="197">
          <cell r="C197">
            <v>412466275</v>
          </cell>
          <cell r="D197">
            <v>331775994</v>
          </cell>
          <cell r="E197">
            <v>284023124</v>
          </cell>
          <cell r="F197">
            <v>279889385.00999999</v>
          </cell>
        </row>
        <row r="198">
          <cell r="C198">
            <v>317643769</v>
          </cell>
          <cell r="D198">
            <v>275264920</v>
          </cell>
          <cell r="E198">
            <v>277317298</v>
          </cell>
          <cell r="F198">
            <v>268970192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7"/>
      <sheetName val="Dec 2017"/>
      <sheetName val="Jan 2018"/>
      <sheetName val="Feb 2018"/>
      <sheetName val="Mar 2018"/>
      <sheetName val="Apr 2018"/>
    </sheetNames>
    <sheetDataSet>
      <sheetData sheetId="0">
        <row r="51">
          <cell r="F51">
            <v>2.1128200000000001E-3</v>
          </cell>
        </row>
      </sheetData>
      <sheetData sheetId="1">
        <row r="51">
          <cell r="F51">
            <v>2.28459E-3</v>
          </cell>
        </row>
      </sheetData>
      <sheetData sheetId="2">
        <row r="51">
          <cell r="F51">
            <v>2.3424800000000001E-3</v>
          </cell>
        </row>
      </sheetData>
      <sheetData sheetId="3">
        <row r="51">
          <cell r="F51">
            <v>2.37535E-3</v>
          </cell>
        </row>
      </sheetData>
      <sheetData sheetId="4">
        <row r="51">
          <cell r="F51">
            <v>2.5423099999999999E-3</v>
          </cell>
        </row>
      </sheetData>
      <sheetData sheetId="5">
        <row r="51">
          <cell r="F51">
            <v>2.6220499999999999E-3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112017-042018"/>
    </sheetNames>
    <sheetDataSet>
      <sheetData sheetId="0">
        <row r="25">
          <cell r="C25">
            <v>438360.13</v>
          </cell>
          <cell r="D25">
            <v>754343.58</v>
          </cell>
          <cell r="E25">
            <v>937755.60999999975</v>
          </cell>
          <cell r="F25">
            <v>279236.47000000009</v>
          </cell>
          <cell r="G25">
            <v>722436.94</v>
          </cell>
          <cell r="H25">
            <v>347503.79999999993</v>
          </cell>
        </row>
        <row r="26">
          <cell r="C26">
            <v>751425.8899999999</v>
          </cell>
          <cell r="D26">
            <v>611812.75999999978</v>
          </cell>
          <cell r="E26">
            <v>630709.85000000009</v>
          </cell>
          <cell r="F26">
            <v>500982.50000000006</v>
          </cell>
          <cell r="G26">
            <v>596398.13</v>
          </cell>
          <cell r="H26">
            <v>442248.40000000008</v>
          </cell>
        </row>
        <row r="27">
          <cell r="C27">
            <v>290071.24000000005</v>
          </cell>
          <cell r="D27">
            <v>18354.629999999979</v>
          </cell>
          <cell r="E27">
            <v>26517.509999999995</v>
          </cell>
          <cell r="F27">
            <v>32804.810000000012</v>
          </cell>
          <cell r="G27">
            <v>66977.060000000041</v>
          </cell>
          <cell r="H27">
            <v>73440.26999999999</v>
          </cell>
        </row>
        <row r="28">
          <cell r="C28">
            <v>-2.2737367544323206E-13</v>
          </cell>
          <cell r="D28">
            <v>9.7344354799133725E-12</v>
          </cell>
          <cell r="E28">
            <v>1.7905676941154525E-12</v>
          </cell>
          <cell r="F28">
            <v>2.2737367544323206E-13</v>
          </cell>
          <cell r="G28">
            <v>-5.9117155615240335E-12</v>
          </cell>
          <cell r="H28">
            <v>2.2737367544323206E-13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Nov 2017"/>
      <sheetName val="GMO Dec  2017"/>
      <sheetName val="GMO Jan 2018"/>
      <sheetName val="GMO Feb thru Apr 2018"/>
    </sheetNames>
    <sheetDataSet>
      <sheetData sheetId="0">
        <row r="33">
          <cell r="F33">
            <v>1.3046365922701104E-3</v>
          </cell>
        </row>
      </sheetData>
      <sheetData sheetId="1">
        <row r="33">
          <cell r="F33">
            <v>1.556305418318656E-3</v>
          </cell>
        </row>
      </sheetData>
      <sheetData sheetId="2">
        <row r="33">
          <cell r="F33">
            <v>1.556305418318656E-3</v>
          </cell>
        </row>
      </sheetData>
      <sheetData sheetId="3">
        <row r="33">
          <cell r="F33">
            <v>1.9706129475639913E-3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 refreshError="1"/>
      <sheetData sheetId="1">
        <row r="43">
          <cell r="X43">
            <v>7074333.8021</v>
          </cell>
        </row>
        <row r="285">
          <cell r="V285">
            <v>4118566.3003616463</v>
          </cell>
          <cell r="W285">
            <v>4998501.3025482371</v>
          </cell>
          <cell r="X285">
            <v>5655943.853706331</v>
          </cell>
          <cell r="Y285">
            <v>5528246.9440698279</v>
          </cell>
          <cell r="Z285">
            <v>5541182.2637546975</v>
          </cell>
          <cell r="AA285">
            <v>5286520.1832628725</v>
          </cell>
        </row>
        <row r="286">
          <cell r="V286">
            <v>5799076.0464375317</v>
          </cell>
          <cell r="W286">
            <v>6193157.4576060837</v>
          </cell>
          <cell r="X286">
            <v>6757714.0585837355</v>
          </cell>
          <cell r="Y286">
            <v>6284279.8946176032</v>
          </cell>
          <cell r="Z286">
            <v>7360970.8233461138</v>
          </cell>
          <cell r="AA286">
            <v>7228375.5859236382</v>
          </cell>
        </row>
        <row r="318">
          <cell r="V318">
            <v>209206.69</v>
          </cell>
          <cell r="W318">
            <v>216302.65</v>
          </cell>
          <cell r="X318">
            <v>233502.81</v>
          </cell>
          <cell r="Y318">
            <v>238474.75</v>
          </cell>
          <cell r="Z318">
            <v>240492.85</v>
          </cell>
          <cell r="AA318">
            <v>264444.95</v>
          </cell>
        </row>
        <row r="319">
          <cell r="V319">
            <v>212653.45</v>
          </cell>
          <cell r="W319">
            <v>216911.4</v>
          </cell>
          <cell r="X319">
            <v>234075.64</v>
          </cell>
          <cell r="Y319">
            <v>221430.52</v>
          </cell>
          <cell r="Z319">
            <v>257908.68</v>
          </cell>
          <cell r="AA319">
            <v>260579.24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PI Cycle 1"/>
      <sheetName val="PI Allocation"/>
    </sheetNames>
    <sheetDataSet>
      <sheetData sheetId="0">
        <row r="65">
          <cell r="K65">
            <v>41263.03</v>
          </cell>
          <cell r="X65">
            <v>62132.61</v>
          </cell>
        </row>
      </sheetData>
      <sheetData sheetId="1">
        <row r="5">
          <cell r="B5">
            <v>5461152.9000000004</v>
          </cell>
        </row>
        <row r="28">
          <cell r="B28">
            <v>85567046</v>
          </cell>
        </row>
        <row r="29">
          <cell r="B29">
            <v>128844235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Normal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K1" sqref="K1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</cols>
  <sheetData>
    <row r="1" spans="1:14" x14ac:dyDescent="0.25">
      <c r="A1" s="3" t="str">
        <f>+PPC!A1</f>
        <v>KCP&amp;L Greater Missouri Operations Company - DSIM Rider Update Filed 06/01/2018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101</v>
      </c>
      <c r="M3" s="61"/>
      <c r="N3" s="61"/>
    </row>
    <row r="4" spans="1:14" ht="15.75" thickBot="1" x14ac:dyDescent="0.3">
      <c r="B4" s="116" t="s">
        <v>29</v>
      </c>
      <c r="C4" s="157">
        <f t="shared" ref="C4:F5" si="0">C10+C16</f>
        <v>4783251.7490074178</v>
      </c>
      <c r="D4" s="158">
        <f t="shared" si="0"/>
        <v>3124865.4528806037</v>
      </c>
      <c r="E4" s="158">
        <f t="shared" si="0"/>
        <v>296244.1812102102</v>
      </c>
      <c r="F4" s="155">
        <f t="shared" si="0"/>
        <v>0</v>
      </c>
      <c r="G4" s="162">
        <f>PPC!B5</f>
        <v>1850305073.8738551</v>
      </c>
      <c r="H4" s="163">
        <f>ROUND(SUM(C4:F4)/G4,5)</f>
        <v>4.4299999999999999E-3</v>
      </c>
      <c r="I4" s="164"/>
      <c r="J4" s="226">
        <f>ROUND((C10+C16)/G4,5)-0.00001</f>
        <v>2.5799999999999998E-3</v>
      </c>
      <c r="K4" s="165">
        <f>ROUND((D10+D16)/G4,5)</f>
        <v>1.6900000000000001E-3</v>
      </c>
      <c r="L4" s="165">
        <f>ROUND((E10+E16)/G4,5)</f>
        <v>1.6000000000000001E-4</v>
      </c>
      <c r="M4" s="61"/>
      <c r="N4" s="61"/>
    </row>
    <row r="5" spans="1:14" ht="15.75" thickBot="1" x14ac:dyDescent="0.3">
      <c r="B5" s="116" t="s">
        <v>30</v>
      </c>
      <c r="C5" s="157">
        <f t="shared" si="0"/>
        <v>3837400.4774999991</v>
      </c>
      <c r="D5" s="158">
        <f t="shared" si="0"/>
        <v>1835529.8937223277</v>
      </c>
      <c r="E5" s="158">
        <f t="shared" si="0"/>
        <v>422987.18349999981</v>
      </c>
      <c r="F5" s="155">
        <f t="shared" si="0"/>
        <v>0</v>
      </c>
      <c r="G5" s="162">
        <f>PPC!B6</f>
        <v>1750855130</v>
      </c>
      <c r="H5" s="163">
        <f>ROUND(SUM(C5:F5)/G5,5)</f>
        <v>3.48E-3</v>
      </c>
      <c r="I5" s="164"/>
      <c r="J5" s="227">
        <f>ROUND((C11+C17)/G5,5)</f>
        <v>2.1900000000000001E-3</v>
      </c>
      <c r="K5" s="163">
        <f>ROUND((D11+D17)/G5,5)</f>
        <v>1.0499999999999999E-3</v>
      </c>
      <c r="L5" s="163">
        <f>ROUND((E11+E17)/G5,5)</f>
        <v>2.4000000000000001E-4</v>
      </c>
      <c r="M5" s="61"/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5081961.7149999999</v>
      </c>
      <c r="D10" s="158">
        <f>PTD!C6</f>
        <v>2936487.46</v>
      </c>
      <c r="E10" s="155">
        <f>+EO!G8</f>
        <v>555173.66</v>
      </c>
      <c r="F10" s="156">
        <v>0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5348853.6749999998</v>
      </c>
      <c r="D11" s="158">
        <f>PTD!C7</f>
        <v>1969096.9</v>
      </c>
      <c r="E11" s="155">
        <f>+EO!G9</f>
        <v>835963.48</v>
      </c>
      <c r="F11" s="156">
        <v>0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1'!J4+'PCR Cycle 2'!J4</f>
        <v>-298709.96599258226</v>
      </c>
      <c r="D16" s="158">
        <f>+'TDR Cycle 1'!J4+'TDR Cycle 2'!J4</f>
        <v>188377.99288060362</v>
      </c>
      <c r="E16" s="155">
        <f>+EOR!M4</f>
        <v>-258929.47878978983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1'!J5+'PCR Cycle 2'!J5</f>
        <v>-1511453.1975000005</v>
      </c>
      <c r="D17" s="158">
        <f>+'TDR Cycle 1'!J5+'TDR Cycle 2'!J5</f>
        <v>-133567.00627767225</v>
      </c>
      <c r="E17" s="155">
        <f>+EOR!M5</f>
        <v>-412976.29650000017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78" orientation="landscape" r:id="rId1"/>
  <headerFooter>
    <oddHeader>&amp;C&amp;F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activeCell="K1" sqref="K1"/>
    </sheetView>
  </sheetViews>
  <sheetFormatPr defaultRowHeight="15" x14ac:dyDescent="0.25"/>
  <cols>
    <col min="1" max="1" width="26.4257812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KCP&amp;L Greater Missouri Operations Company - DSIM Rider Update Filed 06/01/2018</v>
      </c>
    </row>
    <row r="2" spans="1:5" x14ac:dyDescent="0.25">
      <c r="A2" s="9" t="str">
        <f>+PPC!A2</f>
        <v>Projections for Cycle 2 July - December 2018 DSIM</v>
      </c>
    </row>
    <row r="3" spans="1:5" ht="45.75" customHeight="1" x14ac:dyDescent="0.25">
      <c r="B3" s="228" t="s">
        <v>124</v>
      </c>
      <c r="C3" s="228"/>
      <c r="D3" s="228"/>
    </row>
    <row r="4" spans="1:5" x14ac:dyDescent="0.25">
      <c r="B4" s="86"/>
      <c r="C4" s="86"/>
      <c r="D4" s="63" t="s">
        <v>20</v>
      </c>
    </row>
    <row r="5" spans="1:5" x14ac:dyDescent="0.25">
      <c r="A5" s="22" t="s">
        <v>125</v>
      </c>
      <c r="B5" s="86"/>
      <c r="C5" s="86"/>
      <c r="D5" s="224">
        <v>0</v>
      </c>
    </row>
    <row r="6" spans="1:5" x14ac:dyDescent="0.25">
      <c r="A6" s="22" t="s">
        <v>126</v>
      </c>
      <c r="B6" s="86"/>
      <c r="C6" s="86"/>
      <c r="D6" s="224">
        <v>0</v>
      </c>
    </row>
    <row r="7" spans="1:5" x14ac:dyDescent="0.25">
      <c r="A7" s="22"/>
      <c r="B7" s="86"/>
      <c r="C7" s="86"/>
      <c r="D7" s="200"/>
    </row>
    <row r="8" spans="1:5" x14ac:dyDescent="0.25">
      <c r="A8" s="22" t="s">
        <v>29</v>
      </c>
      <c r="B8" s="86"/>
      <c r="C8" s="86"/>
      <c r="D8" s="36">
        <v>0</v>
      </c>
      <c r="E8" s="4"/>
    </row>
    <row r="9" spans="1:5" x14ac:dyDescent="0.25">
      <c r="A9" s="22" t="s">
        <v>30</v>
      </c>
      <c r="B9" s="86"/>
      <c r="C9" s="86"/>
      <c r="D9" s="36">
        <f>ROUND($D$5+D6,2)</f>
        <v>0</v>
      </c>
      <c r="E9" s="4"/>
    </row>
    <row r="10" spans="1:5" ht="15.75" thickBot="1" x14ac:dyDescent="0.3">
      <c r="A10" s="22" t="s">
        <v>6</v>
      </c>
      <c r="B10" s="86"/>
      <c r="C10" s="86"/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8" t="s">
        <v>13</v>
      </c>
    </row>
    <row r="18" spans="1:1" x14ac:dyDescent="0.25">
      <c r="A18" s="3" t="s">
        <v>127</v>
      </c>
    </row>
    <row r="19" spans="1:1" x14ac:dyDescent="0.25">
      <c r="A19" s="3" t="s">
        <v>128</v>
      </c>
    </row>
  </sheetData>
  <mergeCells count="1">
    <mergeCell ref="B3:D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tabSelected="1" zoomScaleNormal="100" workbookViewId="0">
      <selection activeCell="K1" sqref="K1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1" customFormat="1" x14ac:dyDescent="0.25">
      <c r="A1" s="79" t="s">
        <v>130</v>
      </c>
    </row>
    <row r="2" spans="1:32" ht="15.75" thickBot="1" x14ac:dyDescent="0.3">
      <c r="A2" s="9" t="s">
        <v>131</v>
      </c>
    </row>
    <row r="3" spans="1:32" ht="35.25" customHeight="1" thickBot="1" x14ac:dyDescent="0.3">
      <c r="B3" s="228" t="s">
        <v>85</v>
      </c>
      <c r="C3" s="228"/>
      <c r="E3" s="229" t="s">
        <v>5</v>
      </c>
      <c r="F3" s="230"/>
      <c r="G3" s="230"/>
      <c r="H3" s="230"/>
      <c r="I3" s="231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+'[1]Billed kWh Sales'!O37</f>
        <v>1850305073.8738551</v>
      </c>
      <c r="C5" s="36">
        <f>SUM(F9:I9)</f>
        <v>5081961.7149999999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Sales'!O38</f>
        <v>1750855130</v>
      </c>
      <c r="C6" s="36">
        <f>SUM(F10:I10)</f>
        <v>5348853.6749999998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3601160203.8738551</v>
      </c>
      <c r="C7" s="24">
        <f>SUM(C5:C6)</f>
        <v>10430815.390000001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GMO'!$AK$159,2)</f>
        <v>4752195.45</v>
      </c>
      <c r="G8" s="37">
        <f>ROUND('[2]Program Costs - GMO'!$AK$160,2)</f>
        <v>5019087.41</v>
      </c>
      <c r="H8" s="37">
        <f>ROUND('[2]Program Costs - GMO'!$AK$161,2)</f>
        <v>659532.53</v>
      </c>
      <c r="I8" s="38">
        <f>ROUND('[2]Program Costs - GMO'!$AK$162,2)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4752195.45</v>
      </c>
      <c r="G9" s="109">
        <f t="shared" si="0"/>
        <v>0</v>
      </c>
      <c r="H9" s="109">
        <f t="shared" si="0"/>
        <v>329766.26500000001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5019087.41</v>
      </c>
      <c r="H10" s="29">
        <f t="shared" si="0"/>
        <v>329766.26500000001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32" t="s">
        <v>141</v>
      </c>
      <c r="B15" s="232"/>
      <c r="C15" s="232"/>
      <c r="D15" s="232"/>
      <c r="E15" s="232"/>
      <c r="F15" s="232"/>
      <c r="G15" s="232"/>
      <c r="H15" s="232"/>
      <c r="I15" s="232"/>
    </row>
    <row r="16" spans="1:32" x14ac:dyDescent="0.25">
      <c r="A16" s="233" t="s">
        <v>142</v>
      </c>
      <c r="B16" s="233"/>
      <c r="C16" s="233"/>
      <c r="D16" s="233"/>
      <c r="E16" s="233"/>
      <c r="F16" s="233"/>
      <c r="G16" s="233"/>
      <c r="H16" s="233"/>
      <c r="I16" s="233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tabSelected="1" zoomScaleNormal="100" workbookViewId="0">
      <selection activeCell="K1" sqref="K1"/>
    </sheetView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KCP&amp;L Greater Missouri Operations Company - DSIM Rider Update Filed 06/01/2018</v>
      </c>
      <c r="B1" s="3"/>
      <c r="C1" s="3"/>
    </row>
    <row r="2" spans="1:34" x14ac:dyDescent="0.25">
      <c r="D2" s="3" t="s">
        <v>78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4" x14ac:dyDescent="0.25">
      <c r="A4" s="61" t="s">
        <v>29</v>
      </c>
      <c r="D4" s="24">
        <f>SUM(C25:L25)</f>
        <v>-812419.022232936</v>
      </c>
      <c r="E4" s="168">
        <f>SUM(C21:L21)</f>
        <v>1702717622.1311169</v>
      </c>
      <c r="F4" s="24">
        <f>SUM(C17:K17)</f>
        <v>0</v>
      </c>
      <c r="G4" s="24">
        <f>F4-D4</f>
        <v>812419.022232936</v>
      </c>
      <c r="H4" s="24">
        <f>+B35</f>
        <v>-804856.93564999965</v>
      </c>
      <c r="I4" s="24">
        <f>SUM(C40:K40)</f>
        <v>-8671.69</v>
      </c>
      <c r="J4" s="36">
        <f>SUM(G4:I4)</f>
        <v>-1109.603417063654</v>
      </c>
      <c r="K4" s="62">
        <f>+J4-L35</f>
        <v>-4.8839865485206246E-10</v>
      </c>
    </row>
    <row r="5" spans="1:34" ht="15.75" thickBot="1" x14ac:dyDescent="0.3">
      <c r="A5" t="s">
        <v>30</v>
      </c>
      <c r="D5" s="24">
        <f>SUM(C26:L26)</f>
        <v>3330185.053086868</v>
      </c>
      <c r="E5" s="168">
        <f>SUM(C22:L22)</f>
        <v>1727910674.1157796</v>
      </c>
      <c r="F5" s="24">
        <f>SUM(C18:K18)</f>
        <v>0</v>
      </c>
      <c r="G5" s="24">
        <f>F5-D5</f>
        <v>-3330185.053086868</v>
      </c>
      <c r="H5" s="24">
        <f>+B36</f>
        <v>3202627.3536868664</v>
      </c>
      <c r="I5" s="24">
        <f>SUM(C41:K41)</f>
        <v>32787.08</v>
      </c>
      <c r="J5" s="36">
        <f>SUM(G5:I5)</f>
        <v>-94770.619400001669</v>
      </c>
      <c r="K5" s="62">
        <f>+J5-L36</f>
        <v>-6.6938810050487518E-10</v>
      </c>
    </row>
    <row r="6" spans="1:34" ht="16.5" thickTop="1" thickBot="1" x14ac:dyDescent="0.3">
      <c r="D6" s="40">
        <f t="shared" ref="D6" si="0">SUM(D4:D5)</f>
        <v>2517766.0308539318</v>
      </c>
      <c r="E6" s="169">
        <f t="shared" ref="E6:H6" si="1">SUM(E4:E5)</f>
        <v>3430628296.2468967</v>
      </c>
      <c r="F6" s="40">
        <f t="shared" si="1"/>
        <v>0</v>
      </c>
      <c r="G6" s="40">
        <f t="shared" si="1"/>
        <v>-2517766.0308539318</v>
      </c>
      <c r="H6" s="40">
        <f t="shared" si="1"/>
        <v>2397770.4180368669</v>
      </c>
      <c r="I6" s="94">
        <f>SUM(I4:I5)</f>
        <v>24115.39</v>
      </c>
      <c r="J6" s="40">
        <f>SUM(J4:J5)</f>
        <v>-95880.222817065325</v>
      </c>
    </row>
    <row r="7" spans="1:34" ht="16.5" thickTop="1" thickBot="1" x14ac:dyDescent="0.3"/>
    <row r="8" spans="1:34" ht="75.75" thickBot="1" x14ac:dyDescent="0.3">
      <c r="B8" s="145" t="s">
        <v>132</v>
      </c>
      <c r="C8" s="220" t="s">
        <v>133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A9" t="s">
        <v>38</v>
      </c>
      <c r="C9" s="14"/>
      <c r="D9" s="20">
        <v>43069</v>
      </c>
      <c r="E9" s="20">
        <f>EOMONTH(D9,1)</f>
        <v>43100</v>
      </c>
      <c r="F9" s="20">
        <f t="shared" ref="F9:L9" si="2">EOMONTH(E9,1)</f>
        <v>43131</v>
      </c>
      <c r="G9" s="14">
        <f t="shared" si="2"/>
        <v>43159</v>
      </c>
      <c r="H9" s="20">
        <f t="shared" si="2"/>
        <v>43190</v>
      </c>
      <c r="I9" s="20">
        <f t="shared" si="2"/>
        <v>43220</v>
      </c>
      <c r="J9" s="14">
        <f t="shared" si="2"/>
        <v>43251</v>
      </c>
      <c r="K9" s="20">
        <f t="shared" si="2"/>
        <v>43281</v>
      </c>
      <c r="L9" s="122">
        <f t="shared" si="2"/>
        <v>43312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1">
        <v>0</v>
      </c>
      <c r="K10" s="171">
        <v>0</v>
      </c>
      <c r="L10" s="95"/>
    </row>
    <row r="11" spans="1:34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1">
        <v>0</v>
      </c>
      <c r="K11" s="171">
        <v>0</v>
      </c>
      <c r="L11" s="95"/>
      <c r="M11" s="79" t="s">
        <v>32</v>
      </c>
    </row>
    <row r="12" spans="1:34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1">
        <v>0</v>
      </c>
      <c r="K12" s="171">
        <v>0</v>
      </c>
      <c r="L12" s="95"/>
      <c r="M12" s="89">
        <v>0.5</v>
      </c>
    </row>
    <row r="13" spans="1:34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1">
        <v>0</v>
      </c>
      <c r="K13" s="171">
        <v>0</v>
      </c>
      <c r="L13" s="95"/>
      <c r="M13" s="79" t="s">
        <v>28</v>
      </c>
    </row>
    <row r="14" spans="1:34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1">
        <v>0</v>
      </c>
      <c r="K14" s="171">
        <v>0</v>
      </c>
      <c r="L14" s="95"/>
      <c r="M14" s="89">
        <v>2.4400000000000002E-2</v>
      </c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H17" si="3">C10+($M$12*C$12)+($M$12*C$13)+C$14*(1-$M$14)</f>
        <v>0</v>
      </c>
      <c r="D17" s="54">
        <f t="shared" si="3"/>
        <v>0</v>
      </c>
      <c r="E17" s="54">
        <f t="shared" si="3"/>
        <v>0</v>
      </c>
      <c r="F17" s="135">
        <f t="shared" si="3"/>
        <v>0</v>
      </c>
      <c r="G17" s="53">
        <f t="shared" si="3"/>
        <v>0</v>
      </c>
      <c r="H17" s="54">
        <f t="shared" si="3"/>
        <v>0</v>
      </c>
      <c r="I17" s="135">
        <f t="shared" ref="I17" si="4">I10+($M$12*I$12)+($M$12*I$13)+I$14*(1-$M$14)</f>
        <v>0</v>
      </c>
      <c r="J17" s="53">
        <f t="shared" ref="J17:L17" si="5">J10+($M$12*J$12)+($M$12*J$13)+J$14*(1-$M$14)</f>
        <v>0</v>
      </c>
      <c r="K17" s="54">
        <f t="shared" si="5"/>
        <v>0</v>
      </c>
      <c r="L17" s="54">
        <f t="shared" si="5"/>
        <v>0</v>
      </c>
    </row>
    <row r="18" spans="1:14" x14ac:dyDescent="0.25">
      <c r="A18" t="s">
        <v>30</v>
      </c>
      <c r="C18" s="53">
        <f t="shared" ref="C18:H18" si="6">(C$11+$M$12*C$12+C$14*$M$14)+C$13*$M$12</f>
        <v>0</v>
      </c>
      <c r="D18" s="54">
        <f t="shared" si="6"/>
        <v>0</v>
      </c>
      <c r="E18" s="54">
        <f t="shared" si="6"/>
        <v>0</v>
      </c>
      <c r="F18" s="135">
        <f t="shared" si="6"/>
        <v>0</v>
      </c>
      <c r="G18" s="53">
        <f t="shared" si="6"/>
        <v>0</v>
      </c>
      <c r="H18" s="54">
        <f t="shared" si="6"/>
        <v>0</v>
      </c>
      <c r="I18" s="135">
        <f t="shared" ref="I18" si="7">(I$11+$M$12*I$12+I$14*$M$14)+I$13*$M$12</f>
        <v>0</v>
      </c>
      <c r="J18" s="53">
        <f t="shared" ref="J18:L18" si="8">(J$11+$M$12*J$12+J$14*$M$14)+J$13*$M$12</f>
        <v>0</v>
      </c>
      <c r="K18" s="54">
        <f t="shared" si="8"/>
        <v>0</v>
      </c>
      <c r="L18" s="54">
        <f t="shared" si="8"/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-920986915</v>
      </c>
      <c r="D21" s="138">
        <f>+'[3]Revenue Analysis'!M144</f>
        <v>230067517</v>
      </c>
      <c r="E21" s="138">
        <f>+'[3]Revenue Analysis'!N144</f>
        <v>266412102</v>
      </c>
      <c r="F21" s="138">
        <f>+'[4]Revenue Analysis'!C191</f>
        <v>412467483</v>
      </c>
      <c r="G21" s="213">
        <f>+'[4]Revenue Analysis'!D191</f>
        <v>331826242.24000001</v>
      </c>
      <c r="H21" s="93">
        <f>+'[4]Revenue Analysis'!E191</f>
        <v>284023815</v>
      </c>
      <c r="I21" s="208">
        <f>+'[4]Revenue Analysis'!F191</f>
        <v>279889385.00999999</v>
      </c>
      <c r="J21" s="182">
        <f>+'[1]Billed kWh Sales'!G33</f>
        <v>209406485.35392299</v>
      </c>
      <c r="K21" s="172">
        <f>+'[1]Billed kWh Sales'!H33</f>
        <v>255347575.58859</v>
      </c>
      <c r="L21" s="96">
        <f>+'[1]Billed kWh Sales'!I33</f>
        <v>354263931.938604</v>
      </c>
    </row>
    <row r="22" spans="1:14" x14ac:dyDescent="0.25">
      <c r="A22" s="61" t="s">
        <v>30</v>
      </c>
      <c r="C22" s="129">
        <v>-829007386.64422035</v>
      </c>
      <c r="D22" s="138">
        <f>+'[3]Revenue Analysis'!M145</f>
        <v>267692588</v>
      </c>
      <c r="E22" s="138">
        <f>+'[3]Revenue Analysis'!N145</f>
        <v>272082894</v>
      </c>
      <c r="F22" s="138">
        <f>+'[4]Revenue Analysis'!C192</f>
        <v>317643689</v>
      </c>
      <c r="G22" s="213">
        <f>+'[4]Revenue Analysis'!D192</f>
        <v>275214671.75999999</v>
      </c>
      <c r="H22" s="93">
        <f>+'[4]Revenue Analysis'!E192</f>
        <v>277317298</v>
      </c>
      <c r="I22" s="208">
        <f>+'[4]Revenue Analysis'!F192</f>
        <v>260839494</v>
      </c>
      <c r="J22" s="182">
        <f>+'[1]Billed kWh Sales'!G34</f>
        <v>269844119</v>
      </c>
      <c r="K22" s="172">
        <f>+'[1]Billed kWh Sales'!H34</f>
        <v>295300484</v>
      </c>
      <c r="L22" s="96">
        <f>+'[1]Billed kWh Sales'!I34</f>
        <v>320982823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3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819678.35435000004</v>
      </c>
      <c r="D25" s="136">
        <f>ROUND('[3]Revenue Analysis'!M105+'[3]Revenue Analysis'!M110,2)</f>
        <v>-204760.34</v>
      </c>
      <c r="E25" s="136">
        <f>ROUND('[3]Revenue Analysis'!N105+'[3]Revenue Analysis'!N110,2)</f>
        <v>-237053.1</v>
      </c>
      <c r="F25" s="137">
        <f>ROUND('[4]Revenue Analysis'!C150+'[4]Revenue Analysis'!C155,2)</f>
        <v>-367096.22</v>
      </c>
      <c r="G25" s="221">
        <f>ROUND('[4]Revenue Analysis'!D150+'[4]Revenue Analysis'!D155,2)</f>
        <v>-159333.19</v>
      </c>
      <c r="H25" s="179">
        <f>ROUND('[4]Revenue Analysis'!E150+'[4]Revenue Analysis'!E155,2)</f>
        <v>-136356.85999999999</v>
      </c>
      <c r="I25" s="180">
        <f>ROUND('[4]Revenue Analysis'!F150+'[4]Revenue Analysis'!F155,2)</f>
        <v>-134369.03</v>
      </c>
      <c r="J25" s="53">
        <f t="shared" ref="J25:L26" si="9">J21*$M25</f>
        <v>-100515.11296988303</v>
      </c>
      <c r="K25" s="54">
        <f t="shared" si="9"/>
        <v>-122566.8362825232</v>
      </c>
      <c r="L25" s="54">
        <f t="shared" si="9"/>
        <v>-170046.68733052991</v>
      </c>
      <c r="M25" s="88">
        <v>-4.8000000000000001E-4</v>
      </c>
    </row>
    <row r="26" spans="1:14" x14ac:dyDescent="0.25">
      <c r="A26" t="str">
        <f>A22</f>
        <v>Non-Residential</v>
      </c>
      <c r="C26" s="124">
        <v>-3208258.5863131327</v>
      </c>
      <c r="D26" s="136">
        <f>ROUND('[3]Revenue Analysis'!M106+'[3]Revenue Analysis'!M111,2)</f>
        <v>1041852.26</v>
      </c>
      <c r="E26" s="136">
        <f>ROUND('[3]Revenue Analysis'!N106+'[3]Revenue Analysis'!N111,2)</f>
        <v>1054650.81</v>
      </c>
      <c r="F26" s="137">
        <f>ROUND('[4]Revenue Analysis'!C151+'[4]Revenue Analysis'!C156,2)</f>
        <v>1229294.96</v>
      </c>
      <c r="G26" s="221">
        <f>ROUND('[4]Revenue Analysis'!D151+'[4]Revenue Analysis'!D156,2)</f>
        <v>525094.87</v>
      </c>
      <c r="H26" s="179">
        <f>ROUND('[4]Revenue Analysis'!E151+'[4]Revenue Analysis'!E156,2)</f>
        <v>526930.11</v>
      </c>
      <c r="I26" s="180">
        <f>ROUND('[4]Revenue Analysis'!F151+'[4]Revenue Analysis'!F156,2)</f>
        <v>476978.52</v>
      </c>
      <c r="J26" s="53">
        <f t="shared" si="9"/>
        <v>512703.82610000001</v>
      </c>
      <c r="K26" s="54">
        <f t="shared" si="9"/>
        <v>561070.91960000002</v>
      </c>
      <c r="L26" s="54">
        <f t="shared" si="9"/>
        <v>609867.36369999999</v>
      </c>
      <c r="M26" s="88">
        <v>1.9E-3</v>
      </c>
    </row>
    <row r="27" spans="1:14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4" ht="15.75" thickBot="1" x14ac:dyDescent="0.3">
      <c r="A28" t="s">
        <v>16</v>
      </c>
      <c r="C28" s="130">
        <v>-16441.449999999997</v>
      </c>
      <c r="D28" s="139">
        <v>9193.6500000000015</v>
      </c>
      <c r="E28" s="139">
        <v>8071.93</v>
      </c>
      <c r="F28" s="140">
        <v>6327.9399999999987</v>
      </c>
      <c r="G28" s="39">
        <v>4973.3499999999995</v>
      </c>
      <c r="H28" s="149">
        <v>4374.1400000000003</v>
      </c>
      <c r="I28" s="209">
        <v>3561.58</v>
      </c>
      <c r="J28" s="185">
        <v>2581.3599999999997</v>
      </c>
      <c r="K28" s="173">
        <v>1472.8600000000001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C32" si="10">C17-C25</f>
        <v>-819678.35435000004</v>
      </c>
      <c r="D31" s="54">
        <f t="shared" ref="D31:I32" si="11">D17-D25</f>
        <v>204760.34</v>
      </c>
      <c r="E31" s="54">
        <f t="shared" si="11"/>
        <v>237053.1</v>
      </c>
      <c r="F31" s="135">
        <f t="shared" ref="F31:H31" si="12">F17-F25</f>
        <v>367096.22</v>
      </c>
      <c r="G31" s="53">
        <f t="shared" si="12"/>
        <v>159333.19</v>
      </c>
      <c r="H31" s="54">
        <f t="shared" si="12"/>
        <v>136356.85999999999</v>
      </c>
      <c r="I31" s="135">
        <f t="shared" si="11"/>
        <v>134369.03</v>
      </c>
      <c r="J31" s="53">
        <f t="shared" ref="J31:K31" si="13">J17-J25</f>
        <v>100515.11296988303</v>
      </c>
      <c r="K31" s="54">
        <f t="shared" si="13"/>
        <v>122566.8362825232</v>
      </c>
      <c r="L31" s="64">
        <f t="shared" ref="L31" si="14">L17-L25</f>
        <v>170046.68733052991</v>
      </c>
    </row>
    <row r="32" spans="1:14" x14ac:dyDescent="0.25">
      <c r="A32" t="s">
        <v>30</v>
      </c>
      <c r="C32" s="53">
        <f t="shared" si="10"/>
        <v>3208258.5863131327</v>
      </c>
      <c r="D32" s="54">
        <f t="shared" si="11"/>
        <v>-1041852.26</v>
      </c>
      <c r="E32" s="54">
        <f t="shared" si="11"/>
        <v>-1054650.81</v>
      </c>
      <c r="F32" s="135">
        <f t="shared" ref="F32:H32" si="15">F18-F26</f>
        <v>-1229294.96</v>
      </c>
      <c r="G32" s="53">
        <f t="shared" si="15"/>
        <v>-525094.87</v>
      </c>
      <c r="H32" s="54">
        <f t="shared" si="15"/>
        <v>-526930.11</v>
      </c>
      <c r="I32" s="135">
        <f t="shared" si="11"/>
        <v>-476978.52</v>
      </c>
      <c r="J32" s="53">
        <f t="shared" ref="J32:K32" si="16">J18-J26</f>
        <v>-512703.82610000001</v>
      </c>
      <c r="K32" s="54">
        <f t="shared" si="16"/>
        <v>-561070.91960000002</v>
      </c>
      <c r="L32" s="64">
        <f t="shared" ref="L32" si="17">L18-L26</f>
        <v>-609867.36369999999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-804856.93564999965</v>
      </c>
      <c r="C35" s="54">
        <f>B35+C31+B40</f>
        <v>-1624535.2899999996</v>
      </c>
      <c r="D35" s="54">
        <f t="shared" ref="D35" si="18">C35+D31+C40</f>
        <v>-1413964.9199999995</v>
      </c>
      <c r="E35" s="54">
        <f t="shared" ref="E35:I36" si="19">D35+E31+D40</f>
        <v>-1180115.5799999994</v>
      </c>
      <c r="F35" s="135">
        <f t="shared" si="19"/>
        <v>-815986.21999999939</v>
      </c>
      <c r="G35" s="53">
        <f t="shared" si="19"/>
        <v>-658994.41999999934</v>
      </c>
      <c r="H35" s="54">
        <f t="shared" si="19"/>
        <v>-524392.13999999932</v>
      </c>
      <c r="I35" s="135">
        <f t="shared" si="19"/>
        <v>-391529.60999999929</v>
      </c>
      <c r="J35" s="53">
        <f t="shared" ref="J35:J36" si="20">I35+J31+I40</f>
        <v>-292217.26703011629</v>
      </c>
      <c r="K35" s="54">
        <f t="shared" ref="K35:L36" si="21">J35+K31+J40</f>
        <v>-170548.42074759307</v>
      </c>
      <c r="L35" s="64">
        <f t="shared" si="21"/>
        <v>-1109.6034170631656</v>
      </c>
    </row>
    <row r="36" spans="1:13" ht="15.75" thickBot="1" x14ac:dyDescent="0.3">
      <c r="A36" s="61" t="s">
        <v>30</v>
      </c>
      <c r="B36" s="144">
        <v>3202627.3536868664</v>
      </c>
      <c r="C36" s="54">
        <f>B36+C32+B41</f>
        <v>6410885.9399999995</v>
      </c>
      <c r="D36" s="54">
        <f t="shared" ref="D36" si="22">C36+D32+C41</f>
        <v>5346782.1999999993</v>
      </c>
      <c r="E36" s="54">
        <f t="shared" si="19"/>
        <v>4304528.7999999989</v>
      </c>
      <c r="F36" s="135">
        <f t="shared" si="19"/>
        <v>3086272.649999999</v>
      </c>
      <c r="G36" s="53">
        <f t="shared" si="19"/>
        <v>2569847.1099999989</v>
      </c>
      <c r="H36" s="54">
        <f t="shared" si="19"/>
        <v>2049644.929999999</v>
      </c>
      <c r="I36" s="135">
        <f t="shared" si="19"/>
        <v>1578547.0499999989</v>
      </c>
      <c r="J36" s="53">
        <f t="shared" si="20"/>
        <v>1070607.583899999</v>
      </c>
      <c r="K36" s="54">
        <f t="shared" si="21"/>
        <v>513016.01429999899</v>
      </c>
      <c r="L36" s="64">
        <f t="shared" si="21"/>
        <v>-94770.619400001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+'[5]Nov 2017'!$F$51</f>
        <v>2.1128200000000001E-3</v>
      </c>
      <c r="E38" s="103">
        <f>+'[5]Dec 2017'!$F$51</f>
        <v>2.28459E-3</v>
      </c>
      <c r="F38" s="103">
        <f>+'[5]Jan 2018'!$F$51</f>
        <v>2.3424800000000001E-3</v>
      </c>
      <c r="G38" s="105">
        <f>+'[5]Feb 2018'!$F$51</f>
        <v>2.37535E-3</v>
      </c>
      <c r="H38" s="103">
        <f>+'[5]Mar 2018'!$F$51</f>
        <v>2.5423099999999999E-3</v>
      </c>
      <c r="I38" s="104">
        <f>+'[5]Apr 2018'!$F$51</f>
        <v>2.6220499999999999E-3</v>
      </c>
      <c r="J38" s="105">
        <f>+I38</f>
        <v>2.6220499999999999E-3</v>
      </c>
      <c r="K38" s="103">
        <f>+J38</f>
        <v>2.6220499999999999E-3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5810.0300000000007</v>
      </c>
      <c r="D40" s="54">
        <f>ROUND((C35+C40+D31/2)*D$38,2)</f>
        <v>-3203.76</v>
      </c>
      <c r="E40" s="54">
        <f t="shared" ref="E40:I41" si="23">ROUND((D35+D40+E31/2)*E$38,2)</f>
        <v>-2966.86</v>
      </c>
      <c r="F40" s="135">
        <f t="shared" si="23"/>
        <v>-2341.39</v>
      </c>
      <c r="G40" s="53">
        <f t="shared" si="23"/>
        <v>-1754.58</v>
      </c>
      <c r="H40" s="150">
        <f t="shared" si="23"/>
        <v>-1506.5</v>
      </c>
      <c r="I40" s="210">
        <f t="shared" si="23"/>
        <v>-1202.77</v>
      </c>
      <c r="J40" s="53">
        <f t="shared" ref="J40:K41" si="24">ROUND((I35+I40+J31/2)*J$38,2)</f>
        <v>-897.99</v>
      </c>
      <c r="K40" s="150">
        <f t="shared" si="24"/>
        <v>-607.87</v>
      </c>
      <c r="L40" s="64"/>
    </row>
    <row r="41" spans="1:13" ht="15.75" thickBot="1" x14ac:dyDescent="0.3">
      <c r="A41" t="s">
        <v>30</v>
      </c>
      <c r="C41" s="141">
        <v>-22251.48</v>
      </c>
      <c r="D41" s="54">
        <f>ROUND((C36+C41+D32/2)*D$38,2)</f>
        <v>12397.41</v>
      </c>
      <c r="E41" s="54">
        <f t="shared" si="23"/>
        <v>11038.81</v>
      </c>
      <c r="F41" s="135">
        <f t="shared" si="23"/>
        <v>8669.33</v>
      </c>
      <c r="G41" s="53">
        <f t="shared" si="23"/>
        <v>6727.93</v>
      </c>
      <c r="H41" s="150">
        <f t="shared" si="23"/>
        <v>5880.64</v>
      </c>
      <c r="I41" s="210">
        <f t="shared" si="23"/>
        <v>4764.3599999999997</v>
      </c>
      <c r="J41" s="53">
        <f t="shared" si="24"/>
        <v>3479.35</v>
      </c>
      <c r="K41" s="150">
        <f t="shared" si="24"/>
        <v>2080.73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5">SUM(D40:D41)+SUM(D35:D36)-D45</f>
        <v>0</v>
      </c>
      <c r="E42" s="45">
        <f t="shared" si="25"/>
        <v>0</v>
      </c>
      <c r="F42" s="65">
        <f t="shared" ref="F42:I42" si="26">SUM(F40:F41)+SUM(F35:F36)-F45</f>
        <v>0</v>
      </c>
      <c r="G42" s="151">
        <f t="shared" si="26"/>
        <v>0</v>
      </c>
      <c r="H42" s="45">
        <f t="shared" si="26"/>
        <v>0</v>
      </c>
      <c r="I42" s="65">
        <f t="shared" si="26"/>
        <v>0</v>
      </c>
      <c r="J42" s="66">
        <f t="shared" ref="J42:K42" si="27">SUM(J40:J41)+SUM(J35:J36)-J45</f>
        <v>0</v>
      </c>
      <c r="K42" s="45">
        <f t="shared" si="27"/>
        <v>4.6566128730773926E-10</v>
      </c>
      <c r="L42" s="123">
        <f t="shared" ref="L42" si="28">SUM(L40:L41)+SUM(L35:L36)-L45</f>
        <v>4.5110937207937241E-10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0</v>
      </c>
      <c r="E43" s="45">
        <f t="shared" ref="E43:I43" si="29">SUM(E40:E41)-E28</f>
        <v>1.9999999998617568E-2</v>
      </c>
      <c r="F43" s="65">
        <f t="shared" ref="F43:H43" si="30">SUM(F40:F41)-F28</f>
        <v>0</v>
      </c>
      <c r="G43" s="66">
        <f t="shared" si="30"/>
        <v>0</v>
      </c>
      <c r="H43" s="45">
        <f t="shared" si="30"/>
        <v>0</v>
      </c>
      <c r="I43" s="65">
        <f t="shared" si="29"/>
        <v>9.9999999997635314E-3</v>
      </c>
      <c r="J43" s="66">
        <f t="shared" ref="J43:K43" si="31">SUM(J40:J41)-J28</f>
        <v>0</v>
      </c>
      <c r="K43" s="45">
        <f t="shared" si="31"/>
        <v>0</v>
      </c>
      <c r="L43" s="123">
        <f t="shared" ref="L43" si="32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2397770.4180368669</v>
      </c>
      <c r="C45" s="53">
        <f>(SUM(C10:C14)-SUM(C25:C26))+SUM(C40:C41)+B45</f>
        <v>4769909.1999999993</v>
      </c>
      <c r="D45" s="54">
        <f>(SUM(D10:D14)-SUM(D25:D26))+SUM(D40:D41)+C45</f>
        <v>3942010.9299999992</v>
      </c>
      <c r="E45" s="54">
        <f t="shared" ref="E45:I45" si="33">(SUM(E10:E14)-SUM(E25:E26))+SUM(E40:E41)+D45</f>
        <v>3132485.169999999</v>
      </c>
      <c r="F45" s="135">
        <f t="shared" si="33"/>
        <v>2276614.3699999992</v>
      </c>
      <c r="G45" s="53">
        <f t="shared" si="33"/>
        <v>1915826.0399999991</v>
      </c>
      <c r="H45" s="54">
        <f t="shared" si="33"/>
        <v>1529626.9299999992</v>
      </c>
      <c r="I45" s="135">
        <f t="shared" si="33"/>
        <v>1190579.0299999993</v>
      </c>
      <c r="J45" s="53">
        <f t="shared" ref="J45" si="34">(SUM(J10:J14)-SUM(J25:J26))+SUM(J40:J41)+I45</f>
        <v>780971.67686988227</v>
      </c>
      <c r="K45" s="54">
        <f t="shared" ref="K45:L45" si="35">(SUM(K10:K14)-SUM(K25:K26))+SUM(K40:K41)+J45</f>
        <v>343940.45355240547</v>
      </c>
      <c r="L45" s="77">
        <f t="shared" si="35"/>
        <v>-95880.222817064612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35" t="s">
        <v>129</v>
      </c>
      <c r="B50" s="235"/>
      <c r="C50" s="235"/>
      <c r="D50" s="235"/>
      <c r="E50" s="235"/>
      <c r="F50" s="235"/>
      <c r="G50" s="235"/>
      <c r="H50" s="235"/>
      <c r="I50" s="235"/>
      <c r="J50" s="170"/>
      <c r="K50" s="170"/>
      <c r="L50" s="117"/>
      <c r="M50" s="59"/>
      <c r="N50" s="59"/>
    </row>
    <row r="51" spans="1:14" ht="37.5" customHeight="1" x14ac:dyDescent="0.25">
      <c r="A51" s="236" t="s">
        <v>135</v>
      </c>
      <c r="B51" s="236"/>
      <c r="C51" s="236"/>
      <c r="D51" s="236"/>
      <c r="E51" s="236"/>
      <c r="F51" s="236"/>
      <c r="G51" s="236"/>
      <c r="H51" s="236"/>
      <c r="I51" s="236"/>
      <c r="J51" s="170"/>
      <c r="K51" s="170"/>
      <c r="L51" s="117"/>
      <c r="M51" s="59"/>
      <c r="N51" s="59"/>
    </row>
    <row r="52" spans="1:14" ht="39" customHeight="1" x14ac:dyDescent="0.25">
      <c r="A52" s="235" t="s">
        <v>136</v>
      </c>
      <c r="B52" s="235"/>
      <c r="C52" s="235"/>
      <c r="D52" s="235"/>
      <c r="E52" s="235"/>
      <c r="F52" s="235"/>
      <c r="G52" s="235"/>
      <c r="H52" s="235"/>
      <c r="I52" s="235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59"/>
      <c r="E53" s="59"/>
      <c r="I53" s="4"/>
      <c r="M53" s="59"/>
      <c r="N53" s="59"/>
    </row>
    <row r="54" spans="1:14" s="61" customFormat="1" x14ac:dyDescent="0.25">
      <c r="A54" s="3" t="s">
        <v>134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59"/>
      <c r="E55" s="59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34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tabSelected="1" zoomScaleNormal="100" workbookViewId="0">
      <pane xSplit="2" ySplit="9" topLeftCell="C40" activePane="bottomRight" state="frozen"/>
      <selection activeCell="K1" sqref="K1"/>
      <selection pane="topRight" activeCell="K1" sqref="K1"/>
      <selection pane="bottomLeft" activeCell="K1" sqref="K1"/>
      <selection pane="bottomRight" activeCell="K1" sqref="K1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06/01/2018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61" t="s">
        <v>29</v>
      </c>
      <c r="D4" s="24">
        <f>SUM(C25:L25)</f>
        <v>5360762.353175519</v>
      </c>
      <c r="E4" s="168">
        <f>SUM(C21:L21)</f>
        <v>1702650515.8911171</v>
      </c>
      <c r="F4" s="24">
        <f>SUM(C17:K17)</f>
        <v>3737657.85</v>
      </c>
      <c r="G4" s="24">
        <f>F4-D4</f>
        <v>-1623104.5031755189</v>
      </c>
      <c r="H4" s="24">
        <f>+B35</f>
        <v>1303579.9806000004</v>
      </c>
      <c r="I4" s="24">
        <f>SUM(C40:K40)</f>
        <v>21924.16</v>
      </c>
      <c r="J4" s="36">
        <f>SUM(G4:I4)</f>
        <v>-297600.36257551861</v>
      </c>
      <c r="K4" s="62">
        <f>+J4-L35</f>
        <v>0</v>
      </c>
    </row>
    <row r="5" spans="1:34" ht="15.75" thickBot="1" x14ac:dyDescent="0.3">
      <c r="A5" s="61" t="s">
        <v>30</v>
      </c>
      <c r="D5" s="24">
        <f>SUM(C26:L26)</f>
        <v>7599325.3038687976</v>
      </c>
      <c r="E5" s="168">
        <f>SUM(C22:L22)</f>
        <v>1738448085.3557796</v>
      </c>
      <c r="F5" s="24">
        <f>SUM(C18:K18)</f>
        <v>3951676.24</v>
      </c>
      <c r="G5" s="24">
        <f>F5-D5</f>
        <v>-3647649.0638687974</v>
      </c>
      <c r="H5" s="24">
        <f>+B36</f>
        <v>2206934.4157687984</v>
      </c>
      <c r="I5" s="24">
        <f>SUM(C41:K41)</f>
        <v>24032.07</v>
      </c>
      <c r="J5" s="36">
        <f>SUM(G5:I5)</f>
        <v>-1416682.5780999989</v>
      </c>
      <c r="K5" s="62">
        <f>+J5-L36</f>
        <v>0</v>
      </c>
    </row>
    <row r="6" spans="1:34" ht="16.5" thickTop="1" thickBot="1" x14ac:dyDescent="0.3">
      <c r="D6" s="40">
        <f t="shared" ref="D6" si="0">SUM(D4:D5)</f>
        <v>12960087.657044318</v>
      </c>
      <c r="E6" s="169">
        <f t="shared" ref="E6:H6" si="1">SUM(E4:E5)</f>
        <v>3441098601.2468967</v>
      </c>
      <c r="F6" s="40">
        <f t="shared" si="1"/>
        <v>7689334.0899999999</v>
      </c>
      <c r="G6" s="40">
        <f t="shared" si="1"/>
        <v>-5270753.5670443159</v>
      </c>
      <c r="H6" s="40">
        <f t="shared" si="1"/>
        <v>3510514.3963687988</v>
      </c>
      <c r="I6" s="94">
        <f>SUM(I4:I5)</f>
        <v>45956.229999999996</v>
      </c>
      <c r="J6" s="40">
        <f>SUM(J4:J5)</f>
        <v>-1714282.9406755175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12/01/2017 Filing</v>
      </c>
      <c r="C8" s="220" t="str">
        <f>+'PCR Cycle 1'!C8</f>
        <v>Reverse Nov-17 - Dec-17  Forecast From 12/01/2017 Filing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A9" s="61" t="s">
        <v>38</v>
      </c>
      <c r="C9" s="14"/>
      <c r="D9" s="20">
        <f>+'PCR Cycle 1'!D9</f>
        <v>43069</v>
      </c>
      <c r="E9" s="20">
        <f t="shared" ref="E9:L9" si="2">EOMONTH(D9,1)</f>
        <v>43100</v>
      </c>
      <c r="F9" s="20">
        <f t="shared" si="2"/>
        <v>43131</v>
      </c>
      <c r="G9" s="14">
        <f t="shared" si="2"/>
        <v>43159</v>
      </c>
      <c r="H9" s="20">
        <f t="shared" si="2"/>
        <v>43190</v>
      </c>
      <c r="I9" s="20">
        <f t="shared" si="2"/>
        <v>43220</v>
      </c>
      <c r="J9" s="14">
        <f t="shared" si="2"/>
        <v>43251</v>
      </c>
      <c r="K9" s="20">
        <f t="shared" si="2"/>
        <v>43281</v>
      </c>
      <c r="L9" s="122">
        <f t="shared" si="2"/>
        <v>43312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1" t="s">
        <v>29</v>
      </c>
      <c r="C10" s="124">
        <v>-1192109.05</v>
      </c>
      <c r="D10" s="136">
        <f>ROUND([6]Pivot!C25,2)</f>
        <v>438360.13</v>
      </c>
      <c r="E10" s="136">
        <f>ROUND([6]Pivot!D25,2)</f>
        <v>754343.58</v>
      </c>
      <c r="F10" s="137">
        <f>ROUND([6]Pivot!E25,2)</f>
        <v>937755.61</v>
      </c>
      <c r="G10" s="16">
        <f>ROUND([6]Pivot!F25,2)</f>
        <v>279236.46999999997</v>
      </c>
      <c r="H10" s="70">
        <f>ROUND([6]Pivot!G25,2)</f>
        <v>722436.94</v>
      </c>
      <c r="I10" s="72">
        <f>ROUND([6]Pivot!H25,2)</f>
        <v>347503.8</v>
      </c>
      <c r="J10" s="181">
        <f>ROUND('[2]Program Costs - GMO'!AD153,2)</f>
        <v>575926.19999999995</v>
      </c>
      <c r="K10" s="171">
        <f>ROUND('[2]Program Costs - GMO'!AE153,2)</f>
        <v>729369.61</v>
      </c>
      <c r="L10" s="95"/>
    </row>
    <row r="11" spans="1:34" x14ac:dyDescent="0.25">
      <c r="A11" s="61" t="s">
        <v>30</v>
      </c>
      <c r="C11" s="124">
        <v>-1241383.2799999998</v>
      </c>
      <c r="D11" s="136">
        <f>ROUND([6]Pivot!C26,2)</f>
        <v>751425.89</v>
      </c>
      <c r="E11" s="136">
        <f>ROUND([6]Pivot!D26,2)</f>
        <v>611812.76</v>
      </c>
      <c r="F11" s="137">
        <f>ROUND([6]Pivot!E26,2)</f>
        <v>630709.85</v>
      </c>
      <c r="G11" s="16">
        <f>ROUND([6]Pivot!F26,2)</f>
        <v>500982.5</v>
      </c>
      <c r="H11" s="70">
        <f>ROUND([6]Pivot!G26,2)</f>
        <v>596398.13</v>
      </c>
      <c r="I11" s="72">
        <f>ROUND([6]Pivot!H26,2)</f>
        <v>442248.4</v>
      </c>
      <c r="J11" s="181">
        <f>ROUND('[2]Program Costs - GMO'!AD154,2)</f>
        <v>486579.99</v>
      </c>
      <c r="K11" s="171">
        <f>ROUND('[2]Program Costs - GMO'!AE154,2)</f>
        <v>1028067.44</v>
      </c>
      <c r="L11" s="95"/>
      <c r="M11" s="79" t="s">
        <v>32</v>
      </c>
    </row>
    <row r="12" spans="1:34" x14ac:dyDescent="0.25">
      <c r="A12" s="61" t="s">
        <v>0</v>
      </c>
      <c r="C12" s="124">
        <v>-367532.95999999996</v>
      </c>
      <c r="D12" s="136">
        <f>ROUND([6]Pivot!C27,2)</f>
        <v>290071.24</v>
      </c>
      <c r="E12" s="136">
        <f>ROUND([6]Pivot!D27,2)</f>
        <v>18354.63</v>
      </c>
      <c r="F12" s="137">
        <f>ROUND([6]Pivot!E27,2)</f>
        <v>26517.51</v>
      </c>
      <c r="G12" s="16">
        <f>ROUND([6]Pivot!F27,2)</f>
        <v>32804.81</v>
      </c>
      <c r="H12" s="70">
        <f>ROUND([6]Pivot!G27,2)</f>
        <v>66977.06</v>
      </c>
      <c r="I12" s="72">
        <f>ROUND([6]Pivot!H27,2)</f>
        <v>73440.27</v>
      </c>
      <c r="J12" s="181">
        <f>ROUND('[2]Program Costs - GMO'!AD155,2)</f>
        <v>67584.5</v>
      </c>
      <c r="K12" s="171">
        <f>ROUND('[2]Program Costs - GMO'!AE155,2)</f>
        <v>81452.06</v>
      </c>
      <c r="L12" s="95"/>
      <c r="M12" s="89">
        <v>0.5</v>
      </c>
    </row>
    <row r="13" spans="1:34" x14ac:dyDescent="0.25">
      <c r="A13" s="61" t="s">
        <v>1</v>
      </c>
      <c r="C13" s="124">
        <v>0</v>
      </c>
      <c r="D13" s="136">
        <f>ROUND([6]Pivot!C28,2)</f>
        <v>0</v>
      </c>
      <c r="E13" s="136">
        <f>ROUND([6]Pivot!D28,2)</f>
        <v>0</v>
      </c>
      <c r="F13" s="137">
        <f>ROUND([6]Pivot!E28,2)</f>
        <v>0</v>
      </c>
      <c r="G13" s="16">
        <f>ROUND([6]Pivot!F28,2)</f>
        <v>0</v>
      </c>
      <c r="H13" s="70">
        <f>ROUND([6]Pivot!G28,2)</f>
        <v>0</v>
      </c>
      <c r="I13" s="72">
        <f>ROUND([6]Pivot!H28,2)</f>
        <v>0</v>
      </c>
      <c r="J13" s="181">
        <f>ROUND('[2]Program Costs - GMO'!AD156,2)</f>
        <v>0</v>
      </c>
      <c r="K13" s="171">
        <f>ROUND('[2]Program Costs - GMO'!AE156,2)</f>
        <v>0</v>
      </c>
      <c r="L13" s="95"/>
      <c r="M13" s="79"/>
    </row>
    <row r="14" spans="1:34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3">C10+($M$12*C$12)+($M$12*C$13)</f>
        <v>-1375875.53</v>
      </c>
      <c r="D17" s="54">
        <f t="shared" si="3"/>
        <v>583395.75</v>
      </c>
      <c r="E17" s="54">
        <f t="shared" si="3"/>
        <v>763520.8949999999</v>
      </c>
      <c r="F17" s="135">
        <f t="shared" si="3"/>
        <v>951014.36499999999</v>
      </c>
      <c r="G17" s="53">
        <f t="shared" si="3"/>
        <v>295638.875</v>
      </c>
      <c r="H17" s="54">
        <f t="shared" si="3"/>
        <v>755925.47</v>
      </c>
      <c r="I17" s="135">
        <f t="shared" si="3"/>
        <v>384223.935</v>
      </c>
      <c r="J17" s="53">
        <f t="shared" ref="J17:K17" si="4">J10+($M$12*J$12)+($M$12*J$13)</f>
        <v>609718.44999999995</v>
      </c>
      <c r="K17" s="54">
        <f t="shared" si="4"/>
        <v>770095.64</v>
      </c>
      <c r="L17" s="54">
        <f t="shared" ref="L17" si="5">L10+($M$12*L$12)+($M$12*L$13)+L$14*(1-$M$14)</f>
        <v>0</v>
      </c>
    </row>
    <row r="18" spans="1:14" x14ac:dyDescent="0.25">
      <c r="A18" s="61" t="s">
        <v>30</v>
      </c>
      <c r="C18" s="53">
        <f t="shared" ref="C18:I18" si="6">(C$11+$M$12*C$12+C$13*$M$12)</f>
        <v>-1425149.7599999998</v>
      </c>
      <c r="D18" s="54">
        <f t="shared" si="6"/>
        <v>896461.51</v>
      </c>
      <c r="E18" s="54">
        <f t="shared" si="6"/>
        <v>620990.07499999995</v>
      </c>
      <c r="F18" s="135">
        <f t="shared" si="6"/>
        <v>643968.60499999998</v>
      </c>
      <c r="G18" s="53">
        <f t="shared" si="6"/>
        <v>517384.90500000003</v>
      </c>
      <c r="H18" s="54">
        <f t="shared" si="6"/>
        <v>629886.66</v>
      </c>
      <c r="I18" s="135">
        <f t="shared" si="6"/>
        <v>478968.53500000003</v>
      </c>
      <c r="J18" s="53">
        <f t="shared" ref="J18:K18" si="7">(J$11+$M$12*J$12+J$13*$M$12)</f>
        <v>520372.24</v>
      </c>
      <c r="K18" s="54">
        <f t="shared" si="7"/>
        <v>1068793.47</v>
      </c>
      <c r="L18" s="54">
        <f t="shared" ref="L18" si="8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-920986915</v>
      </c>
      <c r="D21" s="138">
        <f>+'[3]Revenue Analysis'!M150</f>
        <v>230067517</v>
      </c>
      <c r="E21" s="138">
        <f>+'[3]Revenue Analysis'!N150</f>
        <v>266397143</v>
      </c>
      <c r="F21" s="138">
        <f>+'[4]Revenue Analysis'!C197</f>
        <v>412466275</v>
      </c>
      <c r="G21" s="213">
        <f>+'[4]Revenue Analysis'!D197</f>
        <v>331775994</v>
      </c>
      <c r="H21" s="222">
        <f>+'[4]Revenue Analysis'!E197</f>
        <v>284023124</v>
      </c>
      <c r="I21" s="208">
        <f>+'[4]Revenue Analysis'!F197</f>
        <v>279889385.00999999</v>
      </c>
      <c r="J21" s="182">
        <f>+'PCR Cycle 1'!J21</f>
        <v>209406485.35392299</v>
      </c>
      <c r="K21" s="172">
        <f>+'PCR Cycle 1'!K21</f>
        <v>255347575.58859</v>
      </c>
      <c r="L21" s="96">
        <f>+'PCR Cycle 1'!L21</f>
        <v>354263931.938604</v>
      </c>
    </row>
    <row r="22" spans="1:14" x14ac:dyDescent="0.25">
      <c r="A22" s="61" t="s">
        <v>30</v>
      </c>
      <c r="C22" s="129">
        <v>-829007386.64422035</v>
      </c>
      <c r="D22" s="138">
        <f>+'[3]Revenue Analysis'!M151</f>
        <v>269460211</v>
      </c>
      <c r="E22" s="138">
        <f>+'[3]Revenue Analysis'!N151</f>
        <v>272671656</v>
      </c>
      <c r="F22" s="138">
        <f>+'[4]Revenue Analysis'!C198</f>
        <v>317643769</v>
      </c>
      <c r="G22" s="213">
        <f>+'[4]Revenue Analysis'!D198</f>
        <v>275264920</v>
      </c>
      <c r="H22" s="222">
        <f>+'[4]Revenue Analysis'!E198</f>
        <v>277317298</v>
      </c>
      <c r="I22" s="208">
        <f>+'[4]Revenue Analysis'!F198</f>
        <v>268970192</v>
      </c>
      <c r="J22" s="182">
        <f>+'PCR Cycle 1'!J22</f>
        <v>269844119</v>
      </c>
      <c r="K22" s="172">
        <f>+'PCR Cycle 1'!K22</f>
        <v>295300484</v>
      </c>
      <c r="L22" s="96">
        <f>+'PCR Cycle 1'!L22</f>
        <v>320982823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3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-3094516.0343999998</v>
      </c>
      <c r="D25" s="136">
        <f>ROUND('[3]Revenue Analysis'!M125+'[3]Revenue Analysis'!M130,2)</f>
        <v>773004.78</v>
      </c>
      <c r="E25" s="136">
        <f>ROUND('[3]Revenue Analysis'!N125+'[3]Revenue Analysis'!N130,2)</f>
        <v>894980.08</v>
      </c>
      <c r="F25" s="166">
        <f>ROUND('[4]Revenue Analysis'!C170+'[4]Revenue Analysis'!C175,2)</f>
        <v>1385883.12</v>
      </c>
      <c r="G25" s="221">
        <f>ROUND('[4]Revenue Analysis'!D170+'[4]Revenue Analysis'!D175,2)</f>
        <v>1045171.16</v>
      </c>
      <c r="H25" s="70">
        <f>ROUND('[4]Revenue Analysis'!E170+'[4]Revenue Analysis'!E175,2)</f>
        <v>894678.8</v>
      </c>
      <c r="I25" s="180">
        <f>ROUND('[4]Revenue Analysis'!F170+'[4]Revenue Analysis'!F175,2)</f>
        <v>881653.77</v>
      </c>
      <c r="J25" s="53">
        <f>J21*$M25</f>
        <v>659630.42886485741</v>
      </c>
      <c r="K25" s="54">
        <f t="shared" ref="J25:L26" si="9">K21*$M25</f>
        <v>804344.86310405855</v>
      </c>
      <c r="L25" s="64">
        <f t="shared" si="9"/>
        <v>1115931.3856066025</v>
      </c>
      <c r="M25" s="88">
        <v>3.15E-3</v>
      </c>
    </row>
    <row r="26" spans="1:14" x14ac:dyDescent="0.25">
      <c r="A26" s="61" t="str">
        <f>A22</f>
        <v>Non-Residential</v>
      </c>
      <c r="C26" s="124">
        <v>-3771983.6092312024</v>
      </c>
      <c r="D26" s="136">
        <f>ROUND('[3]Revenue Analysis'!M126+'[3]Revenue Analysis'!M131,2)</f>
        <v>1233155.8400000001</v>
      </c>
      <c r="E26" s="136">
        <f>ROUND('[3]Revenue Analysis'!N126+'[3]Revenue Analysis'!N131,2)</f>
        <v>1241416.68</v>
      </c>
      <c r="F26" s="166">
        <f>ROUND('[4]Revenue Analysis'!C171+'[4]Revenue Analysis'!C176,2)</f>
        <v>1445459.69</v>
      </c>
      <c r="G26" s="221">
        <f>ROUND('[4]Revenue Analysis'!D171+'[4]Revenue Analysis'!D176,2)</f>
        <v>1197664.08</v>
      </c>
      <c r="H26" s="70">
        <f>ROUND('[4]Revenue Analysis'!E171+'[4]Revenue Analysis'!E176,2)</f>
        <v>1206352.73</v>
      </c>
      <c r="I26" s="180">
        <f>ROUND('[4]Revenue Analysis'!F171+'[4]Revenue Analysis'!F176,2)</f>
        <v>1192605.5900000001</v>
      </c>
      <c r="J26" s="53">
        <f t="shared" si="9"/>
        <v>1173821.91765</v>
      </c>
      <c r="K26" s="54">
        <f t="shared" si="9"/>
        <v>1284557.1054</v>
      </c>
      <c r="L26" s="64">
        <f t="shared" si="9"/>
        <v>1396275.2800499999</v>
      </c>
      <c r="M26" s="88">
        <v>4.3499999999999997E-3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-28921.03</v>
      </c>
      <c r="D28" s="139"/>
      <c r="E28" s="139"/>
      <c r="F28" s="140">
        <v>13308.34</v>
      </c>
      <c r="G28" s="39">
        <v>10360.16</v>
      </c>
      <c r="H28" s="149">
        <v>8388.02</v>
      </c>
      <c r="I28" s="209">
        <v>6147.7000000000007</v>
      </c>
      <c r="J28" s="185">
        <v>3653.95</v>
      </c>
      <c r="K28" s="173">
        <v>2413.6400000000003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0">C17-C25</f>
        <v>1718640.5043999997</v>
      </c>
      <c r="D31" s="54">
        <f t="shared" si="10"/>
        <v>-189609.03000000003</v>
      </c>
      <c r="E31" s="54">
        <f t="shared" si="10"/>
        <v>-131459.18500000006</v>
      </c>
      <c r="F31" s="135">
        <f t="shared" si="10"/>
        <v>-434868.75500000012</v>
      </c>
      <c r="G31" s="53">
        <f t="shared" si="10"/>
        <v>-749532.28500000003</v>
      </c>
      <c r="H31" s="54">
        <f t="shared" si="10"/>
        <v>-138753.33000000007</v>
      </c>
      <c r="I31" s="135">
        <f t="shared" si="10"/>
        <v>-497429.83500000002</v>
      </c>
      <c r="J31" s="53">
        <f t="shared" si="10"/>
        <v>-49911.978864857461</v>
      </c>
      <c r="K31" s="54">
        <f t="shared" si="10"/>
        <v>-34249.223104058532</v>
      </c>
      <c r="L31" s="64">
        <f t="shared" si="10"/>
        <v>-1115931.3856066025</v>
      </c>
    </row>
    <row r="32" spans="1:14" x14ac:dyDescent="0.25">
      <c r="A32" s="61" t="s">
        <v>30</v>
      </c>
      <c r="C32" s="53">
        <f t="shared" si="10"/>
        <v>2346833.8492312026</v>
      </c>
      <c r="D32" s="54">
        <f t="shared" si="10"/>
        <v>-336694.33000000007</v>
      </c>
      <c r="E32" s="54">
        <f t="shared" si="10"/>
        <v>-620426.60499999998</v>
      </c>
      <c r="F32" s="135">
        <f t="shared" si="10"/>
        <v>-801491.08499999996</v>
      </c>
      <c r="G32" s="53">
        <f t="shared" si="10"/>
        <v>-680279.17500000005</v>
      </c>
      <c r="H32" s="54">
        <f t="shared" si="10"/>
        <v>-576466.06999999995</v>
      </c>
      <c r="I32" s="135">
        <f t="shared" si="10"/>
        <v>-713637.05500000005</v>
      </c>
      <c r="J32" s="53">
        <f t="shared" si="10"/>
        <v>-653449.67764999997</v>
      </c>
      <c r="K32" s="54">
        <f t="shared" si="10"/>
        <v>-215763.63540000003</v>
      </c>
      <c r="L32" s="64">
        <f t="shared" si="10"/>
        <v>-1396275.2800499999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7">
        <v>1303579.9806000004</v>
      </c>
      <c r="C35" s="54">
        <f>B35+C31+B40</f>
        <v>3022220.4850000003</v>
      </c>
      <c r="D35" s="54">
        <f t="shared" ref="D35:L35" si="11">C35+D31+C40</f>
        <v>2820561.3650000002</v>
      </c>
      <c r="E35" s="54">
        <f t="shared" si="11"/>
        <v>2695261.8200000003</v>
      </c>
      <c r="F35" s="135">
        <f t="shared" si="11"/>
        <v>2266700.7950000004</v>
      </c>
      <c r="G35" s="53">
        <f t="shared" si="11"/>
        <v>1522987.5500000003</v>
      </c>
      <c r="H35" s="54">
        <f t="shared" si="11"/>
        <v>1388742.0500000003</v>
      </c>
      <c r="I35" s="135">
        <f t="shared" si="11"/>
        <v>895019.20500000031</v>
      </c>
      <c r="J35" s="53">
        <f t="shared" si="11"/>
        <v>848106.1561351429</v>
      </c>
      <c r="K35" s="54">
        <f t="shared" si="11"/>
        <v>816146.14303108433</v>
      </c>
      <c r="L35" s="64">
        <f t="shared" si="11"/>
        <v>-297600.3625755182</v>
      </c>
    </row>
    <row r="36" spans="1:13" ht="15.75" thickBot="1" x14ac:dyDescent="0.3">
      <c r="A36" s="61" t="s">
        <v>30</v>
      </c>
      <c r="B36" s="198">
        <v>2206934.4157687984</v>
      </c>
      <c r="C36" s="54">
        <f>B36+C32+B41</f>
        <v>4553768.2650000006</v>
      </c>
      <c r="D36" s="54">
        <f t="shared" ref="D36:L36" si="12">C36+D32+C41</f>
        <v>4200202.9950000001</v>
      </c>
      <c r="E36" s="54">
        <f t="shared" si="12"/>
        <v>3589006.35</v>
      </c>
      <c r="F36" s="135">
        <f t="shared" si="12"/>
        <v>2796423.3850000002</v>
      </c>
      <c r="G36" s="53">
        <f t="shared" si="12"/>
        <v>2123633.5099999998</v>
      </c>
      <c r="H36" s="54">
        <f t="shared" si="12"/>
        <v>1553019.76</v>
      </c>
      <c r="I36" s="135">
        <f t="shared" si="12"/>
        <v>844063.745</v>
      </c>
      <c r="J36" s="53">
        <f t="shared" si="12"/>
        <v>193762.83735000002</v>
      </c>
      <c r="K36" s="54">
        <f t="shared" si="12"/>
        <v>-20636.058050000011</v>
      </c>
      <c r="L36" s="64">
        <f t="shared" si="12"/>
        <v>-1416682.5781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2.1128200000000001E-3</v>
      </c>
      <c r="E38" s="103">
        <f>+'PCR Cycle 1'!E38</f>
        <v>2.28459E-3</v>
      </c>
      <c r="F38" s="103">
        <f>+'PCR Cycle 1'!F38</f>
        <v>2.3424800000000001E-3</v>
      </c>
      <c r="G38" s="105">
        <f>+'PCR Cycle 1'!G38</f>
        <v>2.37535E-3</v>
      </c>
      <c r="H38" s="103">
        <f>+'PCR Cycle 1'!H38</f>
        <v>2.5423099999999999E-3</v>
      </c>
      <c r="I38" s="103">
        <f>+'PCR Cycle 1'!I38</f>
        <v>2.6220499999999999E-3</v>
      </c>
      <c r="J38" s="105">
        <f>+I38</f>
        <v>2.6220499999999999E-3</v>
      </c>
      <c r="K38" s="103">
        <f>+J38</f>
        <v>2.6220499999999999E-3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-12050.09</v>
      </c>
      <c r="D40" s="54">
        <f t="shared" ref="D40" si="13">ROUND((C35+C40+D31/2)*D$38,2)</f>
        <v>6159.64</v>
      </c>
      <c r="E40" s="54">
        <f t="shared" ref="E40:E41" si="14">ROUND((D35+D40+E31/2)*E$38,2)</f>
        <v>6307.73</v>
      </c>
      <c r="F40" s="135">
        <f t="shared" ref="F40:F41" si="15">ROUND((E35+E40+F31/2)*F$38,2)</f>
        <v>5819.04</v>
      </c>
      <c r="G40" s="53">
        <f t="shared" ref="G40:G41" si="16">ROUND((F35+F40+G31/2)*G$38,2)</f>
        <v>4507.83</v>
      </c>
      <c r="H40" s="150">
        <f t="shared" ref="H40:I41" si="17">ROUND((G35+G40+H31/2)*H$38,2)</f>
        <v>3706.99</v>
      </c>
      <c r="I40" s="135">
        <f t="shared" si="17"/>
        <v>2998.93</v>
      </c>
      <c r="J40" s="53">
        <f t="shared" ref="J40:J41" si="18">ROUND((I35+I40+J31/2)*J$38,2)</f>
        <v>2289.21</v>
      </c>
      <c r="K40" s="150">
        <f t="shared" ref="K40:K41" si="19">ROUND((J35+J40+K31/2)*K$38,2)</f>
        <v>2184.88</v>
      </c>
      <c r="L40" s="64"/>
    </row>
    <row r="41" spans="1:13" ht="15.75" thickBot="1" x14ac:dyDescent="0.3">
      <c r="A41" s="61" t="s">
        <v>30</v>
      </c>
      <c r="C41" s="141">
        <v>-16870.940000000002</v>
      </c>
      <c r="D41" s="54">
        <f>ROUND((C36+C41+D32/2)*D$38,2)</f>
        <v>9229.9599999999991</v>
      </c>
      <c r="E41" s="54">
        <f t="shared" si="14"/>
        <v>8908.1200000000008</v>
      </c>
      <c r="F41" s="135">
        <f t="shared" si="15"/>
        <v>7489.3</v>
      </c>
      <c r="G41" s="53">
        <f t="shared" si="16"/>
        <v>5852.32</v>
      </c>
      <c r="H41" s="150">
        <f t="shared" si="17"/>
        <v>4681.04</v>
      </c>
      <c r="I41" s="135">
        <f t="shared" si="17"/>
        <v>3148.77</v>
      </c>
      <c r="J41" s="53">
        <f t="shared" si="18"/>
        <v>1364.74</v>
      </c>
      <c r="K41" s="150">
        <f t="shared" si="19"/>
        <v>228.76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0">SUM(D40:D41)+SUM(D35:D36)-D45</f>
        <v>0</v>
      </c>
      <c r="E42" s="45">
        <f t="shared" si="20"/>
        <v>0</v>
      </c>
      <c r="F42" s="65">
        <f t="shared" si="20"/>
        <v>0</v>
      </c>
      <c r="G42" s="151">
        <f t="shared" si="20"/>
        <v>0</v>
      </c>
      <c r="H42" s="45">
        <f t="shared" si="20"/>
        <v>0</v>
      </c>
      <c r="I42" s="65">
        <f t="shared" si="20"/>
        <v>0</v>
      </c>
      <c r="J42" s="66">
        <f t="shared" si="20"/>
        <v>0</v>
      </c>
      <c r="K42" s="45">
        <f t="shared" si="20"/>
        <v>9.3132257461547852E-10</v>
      </c>
      <c r="L42" s="123">
        <f t="shared" si="20"/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 t="shared" ref="D43:I43" si="21">SUM(D40:D41)-D28</f>
        <v>15389.599999999999</v>
      </c>
      <c r="E43" s="45">
        <f t="shared" si="21"/>
        <v>15215.85</v>
      </c>
      <c r="F43" s="65">
        <f t="shared" ref="F43:H43" si="22">SUM(F40:F41)-F28</f>
        <v>0</v>
      </c>
      <c r="G43" s="66">
        <f t="shared" si="22"/>
        <v>-1.0000000000218279E-2</v>
      </c>
      <c r="H43" s="45">
        <f t="shared" si="22"/>
        <v>9.9999999983992893E-3</v>
      </c>
      <c r="I43" s="65">
        <f t="shared" si="21"/>
        <v>0</v>
      </c>
      <c r="J43" s="66">
        <f t="shared" ref="J43:L43" si="23">SUM(J40:J41)-J28</f>
        <v>0</v>
      </c>
      <c r="K43" s="45">
        <f t="shared" si="23"/>
        <v>0</v>
      </c>
      <c r="L43" s="123">
        <f t="shared" si="23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f>+B35+B36</f>
        <v>3510514.3963687988</v>
      </c>
      <c r="C45" s="53">
        <f t="shared" ref="C45:I45" si="24">(SUM(C10:C14)-SUM(C25:C26))+SUM(C40:C41)+B45</f>
        <v>7547067.7200000007</v>
      </c>
      <c r="D45" s="54">
        <f t="shared" si="24"/>
        <v>7036153.9600000009</v>
      </c>
      <c r="E45" s="54">
        <f t="shared" si="24"/>
        <v>6299484.0200000005</v>
      </c>
      <c r="F45" s="135">
        <f t="shared" si="24"/>
        <v>5076432.5200000005</v>
      </c>
      <c r="G45" s="53">
        <f t="shared" si="24"/>
        <v>3656981.21</v>
      </c>
      <c r="H45" s="54">
        <f t="shared" si="24"/>
        <v>2950149.84</v>
      </c>
      <c r="I45" s="135">
        <f t="shared" si="24"/>
        <v>1745230.6499999997</v>
      </c>
      <c r="J45" s="53">
        <f t="shared" ref="J45" si="25">(SUM(J10:J14)-SUM(J25:J26))+SUM(J40:J41)+I45</f>
        <v>1045522.9434851422</v>
      </c>
      <c r="K45" s="54">
        <f t="shared" ref="K45:L45" si="26">(SUM(K10:K14)-SUM(K25:K26))+SUM(K40:K41)+J45</f>
        <v>797923.72498108342</v>
      </c>
      <c r="L45" s="77">
        <f t="shared" si="26"/>
        <v>-1714282.9406755189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36" t="s">
        <v>137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</row>
    <row r="51" spans="1:12" ht="39" customHeight="1" x14ac:dyDescent="0.25">
      <c r="A51" s="235" t="s">
        <v>135</v>
      </c>
      <c r="B51" s="235"/>
      <c r="C51" s="235"/>
      <c r="D51" s="235"/>
      <c r="E51" s="235"/>
      <c r="F51" s="235"/>
      <c r="G51" s="235"/>
      <c r="H51" s="235"/>
      <c r="I51" s="235"/>
      <c r="J51" s="178"/>
      <c r="K51" s="178"/>
      <c r="L51" s="178"/>
    </row>
    <row r="52" spans="1:12" ht="33" customHeight="1" x14ac:dyDescent="0.25">
      <c r="A52" s="235" t="s">
        <v>138</v>
      </c>
      <c r="B52" s="235"/>
      <c r="C52" s="235"/>
      <c r="D52" s="235"/>
      <c r="E52" s="235"/>
      <c r="F52" s="235"/>
      <c r="G52" s="235"/>
      <c r="H52" s="235"/>
      <c r="I52" s="235"/>
      <c r="J52" s="178"/>
      <c r="K52" s="178"/>
      <c r="L52" s="178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134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Normal="100" workbookViewId="0">
      <selection activeCell="K1" sqref="K1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KCP&amp;L Greater Missouri Operations Company - DSIM Rider Update Filed 06/01/2018</v>
      </c>
    </row>
    <row r="2" spans="1:23" x14ac:dyDescent="0.25">
      <c r="A2" s="9" t="str">
        <f>+PPC!A2</f>
        <v>Projections for Cycle 2 July - December 2018 DSIM</v>
      </c>
    </row>
    <row r="3" spans="1:23" s="61" customFormat="1" x14ac:dyDescent="0.25">
      <c r="A3" s="9"/>
    </row>
    <row r="4" spans="1:23" ht="40.5" customHeight="1" x14ac:dyDescent="0.25">
      <c r="B4" s="228" t="s">
        <v>84</v>
      </c>
      <c r="C4" s="228"/>
    </row>
    <row r="5" spans="1:23" ht="45" x14ac:dyDescent="0.25">
      <c r="B5" s="86" t="s">
        <v>88</v>
      </c>
      <c r="C5" s="6" t="s">
        <v>34</v>
      </c>
    </row>
    <row r="6" spans="1:23" x14ac:dyDescent="0.25">
      <c r="A6" s="22" t="s">
        <v>29</v>
      </c>
      <c r="B6" s="34">
        <f>+'[2]GMO Monthly TD Calc'!AI377</f>
        <v>42786920.614276439</v>
      </c>
      <c r="C6" s="107">
        <f>ROUND('[2]GMO Monthly TD Calc'!AI355,2)</f>
        <v>2936487.46</v>
      </c>
    </row>
    <row r="7" spans="1:23" x14ac:dyDescent="0.25">
      <c r="A7" s="43" t="s">
        <v>30</v>
      </c>
      <c r="B7" s="34">
        <f>+'[2]GMO Monthly TD Calc'!AI378</f>
        <v>42650596.461855084</v>
      </c>
      <c r="C7" s="107">
        <f>ROUND('[2]GMO Monthly TD Calc'!AI356,2)</f>
        <v>1969096.9</v>
      </c>
    </row>
    <row r="8" spans="1:23" x14ac:dyDescent="0.25">
      <c r="A8" s="22" t="s">
        <v>6</v>
      </c>
      <c r="B8" s="35">
        <f>SUM(B6:B7)</f>
        <v>85437517.076131523</v>
      </c>
      <c r="C8" s="24">
        <f>SUM(C6:C7)</f>
        <v>4905584.3599999994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33" t="s">
        <v>139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</row>
    <row r="13" spans="1:23" x14ac:dyDescent="0.25">
      <c r="A13" s="233" t="s">
        <v>140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tabSelected="1" zoomScaleNormal="100" workbookViewId="0">
      <pane xSplit="3" ySplit="11" topLeftCell="D48" activePane="bottomRight" state="frozen"/>
      <selection activeCell="K1" sqref="K1"/>
      <selection pane="topRight" activeCell="K1" sqref="K1"/>
      <selection pane="bottomLeft" activeCell="K1" sqref="K1"/>
      <selection pane="bottomRight" activeCell="K1" sqref="K1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7.85546875" customWidth="1"/>
    <col min="16" max="16" width="15.28515625" bestFit="1" customWidth="1"/>
    <col min="17" max="17" width="17.42578125" bestFit="1" customWidth="1"/>
    <col min="18" max="18" width="16.28515625" bestFit="1" customWidth="1"/>
    <col min="19" max="19" width="15.28515625" bestFit="1" customWidth="1"/>
    <col min="20" max="20" width="12.42578125" customWidth="1"/>
    <col min="21" max="22" width="14.28515625" bestFit="1" customWidth="1"/>
  </cols>
  <sheetData>
    <row r="1" spans="1:35" x14ac:dyDescent="0.25">
      <c r="A1" s="3" t="str">
        <f>+PPC!A1</f>
        <v>KCP&amp;L Greater Missouri Operations Company - DSIM Rider Update Filed 06/01/2018</v>
      </c>
      <c r="B1" s="3"/>
      <c r="C1" s="3"/>
    </row>
    <row r="2" spans="1:35" x14ac:dyDescent="0.25">
      <c r="J2" s="3" t="s">
        <v>86</v>
      </c>
      <c r="K2"/>
      <c r="M2" s="61"/>
      <c r="P2" s="61"/>
      <c r="Q2" s="61"/>
    </row>
    <row r="3" spans="1:35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S3" s="6"/>
    </row>
    <row r="4" spans="1:35" x14ac:dyDescent="0.25">
      <c r="A4" s="22" t="s">
        <v>29</v>
      </c>
      <c r="B4" s="22"/>
      <c r="C4" s="22"/>
      <c r="D4" s="24">
        <f>SUM(C15:L15)</f>
        <v>-236960.14110335638</v>
      </c>
      <c r="E4" s="168">
        <f>M19</f>
        <v>0</v>
      </c>
      <c r="F4" s="24">
        <f>SUM(C23:K23)</f>
        <v>0</v>
      </c>
      <c r="G4" s="24">
        <f>F4-D4</f>
        <v>236960.14110335638</v>
      </c>
      <c r="H4" s="24">
        <f>+B33+B38</f>
        <v>-238077.23309920731</v>
      </c>
      <c r="I4" s="24">
        <f>SUM(C38:K38)</f>
        <v>7.1400000000001285</v>
      </c>
      <c r="J4" s="36">
        <f>SUM(G4:I4)</f>
        <v>-1109.9519958509329</v>
      </c>
      <c r="K4" s="4">
        <f>+J4-L33-M38</f>
        <v>0</v>
      </c>
    </row>
    <row r="5" spans="1:35" ht="15.75" thickBot="1" x14ac:dyDescent="0.3">
      <c r="A5" s="22" t="s">
        <v>30</v>
      </c>
      <c r="B5" s="22"/>
      <c r="C5" s="22"/>
      <c r="D5" s="24">
        <f>SUM(C16:L16)</f>
        <v>291395.15482740733</v>
      </c>
      <c r="E5" s="168">
        <f>M20</f>
        <v>0</v>
      </c>
      <c r="F5" s="24">
        <f>SUM(C24:K24)</f>
        <v>0</v>
      </c>
      <c r="G5" s="24">
        <f>F5-D5</f>
        <v>-291395.15482740733</v>
      </c>
      <c r="H5" s="24">
        <f>+B34+B39</f>
        <v>286995.09794409125</v>
      </c>
      <c r="I5" s="24">
        <f>SUM(C39:K39)</f>
        <v>3785.3799999999997</v>
      </c>
      <c r="J5" s="36">
        <f>SUM(G5:I5)</f>
        <v>-614.67688331607997</v>
      </c>
      <c r="K5" s="62">
        <f>+J5-L34-M39</f>
        <v>0</v>
      </c>
    </row>
    <row r="6" spans="1:35" ht="16.5" thickTop="1" thickBot="1" x14ac:dyDescent="0.3">
      <c r="D6" s="40">
        <f t="shared" ref="D6" si="0">SUM(D4:D5)</f>
        <v>54435.01372405095</v>
      </c>
      <c r="E6" s="169">
        <f t="shared" ref="E6:H6" si="1">SUM(E4:E5)</f>
        <v>0</v>
      </c>
      <c r="F6" s="40">
        <f t="shared" si="1"/>
        <v>0</v>
      </c>
      <c r="G6" s="40">
        <f t="shared" si="1"/>
        <v>-54435.01372405095</v>
      </c>
      <c r="H6" s="40">
        <f t="shared" si="1"/>
        <v>48917.864844883938</v>
      </c>
      <c r="I6" s="40">
        <f>SUM(I4:I5)</f>
        <v>3792.52</v>
      </c>
      <c r="J6" s="40">
        <f>SUM(J4:J5)</f>
        <v>-1724.6288791670129</v>
      </c>
      <c r="K6"/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12/01/2017 Filing</v>
      </c>
      <c r="C10" s="220" t="str">
        <f>+'PCR Cycle 1'!C8</f>
        <v>Reverse Nov-17 - Dec-17  Forecast From 12/01/2017 Filing</v>
      </c>
      <c r="D10" s="237" t="s">
        <v>39</v>
      </c>
      <c r="E10" s="237"/>
      <c r="F10" s="238"/>
      <c r="G10" s="242" t="s">
        <v>39</v>
      </c>
      <c r="H10" s="243"/>
      <c r="I10" s="244"/>
      <c r="J10" s="239" t="s">
        <v>9</v>
      </c>
      <c r="K10" s="240"/>
      <c r="L10" s="241"/>
    </row>
    <row r="11" spans="1:35" x14ac:dyDescent="0.25">
      <c r="A11" t="s">
        <v>43</v>
      </c>
      <c r="C11" s="132"/>
      <c r="D11" s="20">
        <f>+'PCR Cycle 1'!D9</f>
        <v>43069</v>
      </c>
      <c r="E11" s="20">
        <f t="shared" ref="E11:L11" si="2">EOMONTH(D11,1)</f>
        <v>43100</v>
      </c>
      <c r="F11" s="20">
        <f t="shared" si="2"/>
        <v>43131</v>
      </c>
      <c r="G11" s="14">
        <f t="shared" si="2"/>
        <v>43159</v>
      </c>
      <c r="H11" s="20">
        <f t="shared" si="2"/>
        <v>43190</v>
      </c>
      <c r="I11" s="20">
        <f t="shared" si="2"/>
        <v>43220</v>
      </c>
      <c r="J11" s="14">
        <f t="shared" si="2"/>
        <v>43251</v>
      </c>
      <c r="K11" s="20">
        <f t="shared" si="2"/>
        <v>43281</v>
      </c>
      <c r="L11" s="15">
        <f t="shared" si="2"/>
        <v>43312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t="s">
        <v>6</v>
      </c>
      <c r="C12" s="124">
        <v>0</v>
      </c>
      <c r="D12" s="136">
        <f t="shared" ref="D12:H12" si="3">+D23+D24</f>
        <v>0</v>
      </c>
      <c r="E12" s="136">
        <f t="shared" si="3"/>
        <v>0</v>
      </c>
      <c r="F12" s="137">
        <f t="shared" si="3"/>
        <v>0</v>
      </c>
      <c r="G12" s="16">
        <f t="shared" si="3"/>
        <v>0</v>
      </c>
      <c r="H12" s="70">
        <f t="shared" si="3"/>
        <v>0</v>
      </c>
      <c r="I12" s="72">
        <f>+I23+I24</f>
        <v>0</v>
      </c>
      <c r="J12" s="187">
        <f t="shared" ref="J12:K12" si="4">+J23+J24</f>
        <v>0</v>
      </c>
      <c r="K12" s="97">
        <f t="shared" si="4"/>
        <v>0</v>
      </c>
      <c r="L12" s="98"/>
    </row>
    <row r="13" spans="1:35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5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5" x14ac:dyDescent="0.25">
      <c r="A15" t="s">
        <v>29</v>
      </c>
      <c r="C15" s="124">
        <v>239456.59789999999</v>
      </c>
      <c r="D15" s="166">
        <f>ROUND('[3]Revenue Analysis'!M115,2)</f>
        <v>-59817.52</v>
      </c>
      <c r="E15" s="166">
        <f>ROUND('[3]Revenue Analysis'!N115,2)</f>
        <v>-69253.960000000006</v>
      </c>
      <c r="F15" s="223">
        <f>ROUND('[4]Revenue Analysis'!C160,2)</f>
        <v>-107241.56</v>
      </c>
      <c r="G15" s="16">
        <f>ROUND('[4]Revenue Analysis'!D160,2)</f>
        <v>-46478.94</v>
      </c>
      <c r="H15" s="148">
        <f>ROUND('[4]Revenue Analysis'!E160,2)</f>
        <v>-39771.120000000003</v>
      </c>
      <c r="I15" s="211">
        <f>ROUND('[4]Revenue Analysis'!F160,2)</f>
        <v>-39191.120000000003</v>
      </c>
      <c r="J15" s="188">
        <f>'PCR Cycle 1'!J21*'TDR Cycle 1'!$M15</f>
        <v>-29316.907949549215</v>
      </c>
      <c r="K15" s="175">
        <f>'PCR Cycle 1'!K21*'TDR Cycle 1'!$M15</f>
        <v>-35748.660582402597</v>
      </c>
      <c r="L15" s="102">
        <f>'PCR Cycle 1'!L21*'TDR Cycle 1'!$M15</f>
        <v>-49596.950471404554</v>
      </c>
      <c r="M15" s="88">
        <v>-1.3999999999999999E-4</v>
      </c>
      <c r="N15" s="4"/>
    </row>
    <row r="16" spans="1:35" x14ac:dyDescent="0.25">
      <c r="A16" t="s">
        <v>30</v>
      </c>
      <c r="C16" s="124">
        <v>-273572.43759259267</v>
      </c>
      <c r="D16" s="166">
        <f>ROUND('[3]Revenue Analysis'!M116,2)</f>
        <v>87789.96</v>
      </c>
      <c r="E16" s="166">
        <f>ROUND('[3]Revenue Analysis'!N116,2)</f>
        <v>89587.18</v>
      </c>
      <c r="F16" s="223">
        <f>ROUND('[4]Revenue Analysis'!C161,2)</f>
        <v>104819.17</v>
      </c>
      <c r="G16" s="16">
        <f>ROUND('[4]Revenue Analysis'!D161,2)</f>
        <v>46935.03</v>
      </c>
      <c r="H16" s="148">
        <f>ROUND('[4]Revenue Analysis'!E161,2)</f>
        <v>47146.01</v>
      </c>
      <c r="I16" s="211">
        <f>ROUND('[4]Revenue Analysis'!F161,2)</f>
        <v>38048.58</v>
      </c>
      <c r="J16" s="188">
        <f>'PCR Cycle 1'!J22*'TDR Cycle 1'!$M16</f>
        <v>45873.500230000005</v>
      </c>
      <c r="K16" s="175">
        <f>'PCR Cycle 1'!K22*'TDR Cycle 1'!$M16</f>
        <v>50201.082280000002</v>
      </c>
      <c r="L16" s="102">
        <f>'PCR Cycle 1'!L22*'TDR Cycle 1'!$M16</f>
        <v>54567.07991</v>
      </c>
      <c r="M16" s="88">
        <v>1.7000000000000001E-4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8">
        <v>0</v>
      </c>
      <c r="J19" s="189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8">
        <v>0</v>
      </c>
      <c r="J20" s="189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89</v>
      </c>
      <c r="C22" s="49"/>
      <c r="D22" s="50"/>
      <c r="E22" s="50"/>
      <c r="F22" s="50"/>
      <c r="G22" s="49"/>
      <c r="H22" s="50"/>
      <c r="I22" s="50"/>
      <c r="J22" s="190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1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1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-933.06999999999994</v>
      </c>
      <c r="D26" s="166">
        <v>479.18000000000006</v>
      </c>
      <c r="E26" s="166">
        <v>534.04</v>
      </c>
      <c r="F26" s="167">
        <v>520.1</v>
      </c>
      <c r="G26" s="39">
        <v>660.49</v>
      </c>
      <c r="H26" s="149">
        <v>652.78</v>
      </c>
      <c r="I26" s="212">
        <v>646.64</v>
      </c>
      <c r="J26" s="192">
        <v>631.45000000000005</v>
      </c>
      <c r="K26" s="177">
        <v>600.9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3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3"/>
      <c r="K28" s="47"/>
      <c r="L28" s="76"/>
    </row>
    <row r="29" spans="1:14" x14ac:dyDescent="0.25">
      <c r="A29" s="61" t="s">
        <v>29</v>
      </c>
      <c r="C29" s="127">
        <f t="shared" ref="C29:C30" si="5">C23-C15</f>
        <v>-239456.59789999999</v>
      </c>
      <c r="D29" s="54">
        <f t="shared" ref="D29:I30" si="6">D23-D15</f>
        <v>59817.52</v>
      </c>
      <c r="E29" s="54">
        <f t="shared" si="6"/>
        <v>69253.960000000006</v>
      </c>
      <c r="F29" s="135">
        <f t="shared" ref="F29:H29" si="7">F23-F15</f>
        <v>107241.56</v>
      </c>
      <c r="G29" s="53">
        <f t="shared" si="7"/>
        <v>46478.94</v>
      </c>
      <c r="H29" s="54">
        <f t="shared" si="7"/>
        <v>39771.120000000003</v>
      </c>
      <c r="I29" s="135">
        <f t="shared" si="6"/>
        <v>39191.120000000003</v>
      </c>
      <c r="J29" s="53">
        <f t="shared" ref="J29:K29" si="8">J23-J15</f>
        <v>29316.907949549215</v>
      </c>
      <c r="K29" s="54">
        <f t="shared" si="8"/>
        <v>35748.660582402597</v>
      </c>
      <c r="L29" s="77">
        <f t="shared" ref="L29" si="9">L23-L15</f>
        <v>49596.950471404554</v>
      </c>
    </row>
    <row r="30" spans="1:14" x14ac:dyDescent="0.25">
      <c r="A30" t="s">
        <v>30</v>
      </c>
      <c r="C30" s="127">
        <f t="shared" si="5"/>
        <v>273572.43759259267</v>
      </c>
      <c r="D30" s="54">
        <f t="shared" si="6"/>
        <v>-87789.96</v>
      </c>
      <c r="E30" s="54">
        <f t="shared" si="6"/>
        <v>-89587.18</v>
      </c>
      <c r="F30" s="135">
        <f t="shared" ref="F30:H30" si="10">F24-F16</f>
        <v>-104819.17</v>
      </c>
      <c r="G30" s="53">
        <f t="shared" si="10"/>
        <v>-46935.03</v>
      </c>
      <c r="H30" s="54">
        <f t="shared" si="10"/>
        <v>-47146.01</v>
      </c>
      <c r="I30" s="135">
        <f t="shared" si="6"/>
        <v>-38048.58</v>
      </c>
      <c r="J30" s="53">
        <f t="shared" ref="J30:K30" si="11">J24-J16</f>
        <v>-45873.500230000005</v>
      </c>
      <c r="K30" s="54">
        <f t="shared" si="11"/>
        <v>-50201.082280000002</v>
      </c>
      <c r="L30" s="77">
        <f t="shared" ref="L30" si="12">L24-L16</f>
        <v>-54567.07991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6" x14ac:dyDescent="0.25">
      <c r="A33" s="61" t="s">
        <v>29</v>
      </c>
      <c r="B33" s="143">
        <v>-71484.143099207256</v>
      </c>
      <c r="C33" s="127">
        <f>B33+C29</f>
        <v>-310940.74099920725</v>
      </c>
      <c r="D33" s="54">
        <f t="shared" ref="D33:L33" si="13">C33+D29</f>
        <v>-251123.22099920726</v>
      </c>
      <c r="E33" s="54">
        <f t="shared" si="13"/>
        <v>-181869.26099920727</v>
      </c>
      <c r="F33" s="135">
        <f t="shared" si="13"/>
        <v>-74627.700999207271</v>
      </c>
      <c r="G33" s="53">
        <f t="shared" si="13"/>
        <v>-28148.760999207268</v>
      </c>
      <c r="H33" s="54">
        <f t="shared" si="13"/>
        <v>11622.359000792734</v>
      </c>
      <c r="I33" s="135">
        <f t="shared" si="13"/>
        <v>50813.479000792737</v>
      </c>
      <c r="J33" s="53">
        <f t="shared" si="13"/>
        <v>80130.386950341956</v>
      </c>
      <c r="K33" s="54">
        <f t="shared" si="13"/>
        <v>115879.04753274456</v>
      </c>
      <c r="L33" s="77">
        <f t="shared" si="13"/>
        <v>165475.99800414912</v>
      </c>
    </row>
    <row r="34" spans="1:36" ht="15.75" thickBot="1" x14ac:dyDescent="0.3">
      <c r="A34" t="s">
        <v>30</v>
      </c>
      <c r="B34" s="144">
        <v>418650.75794409128</v>
      </c>
      <c r="C34" s="127">
        <f>B34+C30</f>
        <v>692223.19553668401</v>
      </c>
      <c r="D34" s="54">
        <f t="shared" ref="D34:L34" si="14">C34+D30</f>
        <v>604433.23553668405</v>
      </c>
      <c r="E34" s="54">
        <f t="shared" si="14"/>
        <v>514846.05553668406</v>
      </c>
      <c r="F34" s="135">
        <f t="shared" si="14"/>
        <v>410026.88553668407</v>
      </c>
      <c r="G34" s="53">
        <f t="shared" si="14"/>
        <v>363091.85553668404</v>
      </c>
      <c r="H34" s="54">
        <f t="shared" si="14"/>
        <v>315945.84553668404</v>
      </c>
      <c r="I34" s="135">
        <f t="shared" si="14"/>
        <v>277897.26553668402</v>
      </c>
      <c r="J34" s="53">
        <f t="shared" si="14"/>
        <v>232023.76530668401</v>
      </c>
      <c r="K34" s="54">
        <f t="shared" si="14"/>
        <v>181822.68302668401</v>
      </c>
      <c r="L34" s="77">
        <f t="shared" si="14"/>
        <v>127255.60311668401</v>
      </c>
    </row>
    <row r="35" spans="1:36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6" x14ac:dyDescent="0.25">
      <c r="A36" s="52" t="s">
        <v>91</v>
      </c>
      <c r="B36" s="52"/>
      <c r="C36" s="131"/>
      <c r="D36" s="202">
        <f>+'[7]GMO Nov 2017'!$F$33</f>
        <v>1.3046365922701104E-3</v>
      </c>
      <c r="E36" s="202">
        <f>+'[7]GMO Dec  2017'!$F$33</f>
        <v>1.556305418318656E-3</v>
      </c>
      <c r="F36" s="202">
        <f>+'[7]GMO Jan 2018'!$F$33</f>
        <v>1.556305418318656E-3</v>
      </c>
      <c r="G36" s="203">
        <f>+'[7]GMO Feb thru Apr 2018'!$F$33</f>
        <v>1.9706129475639913E-3</v>
      </c>
      <c r="H36" s="202">
        <f>+'[7]GMO Feb thru Apr 2018'!$F$33</f>
        <v>1.9706129475639913E-3</v>
      </c>
      <c r="I36" s="202">
        <f>+'[7]GMO Feb thru Apr 2018'!$F$33</f>
        <v>1.9706129475639913E-3</v>
      </c>
      <c r="J36" s="105">
        <f>+I36</f>
        <v>1.9706129475639913E-3</v>
      </c>
      <c r="K36" s="103">
        <f>+J36</f>
        <v>1.9706129475639913E-3</v>
      </c>
      <c r="L36" s="106"/>
    </row>
    <row r="37" spans="1:36" s="61" customFormat="1" ht="15.75" thickBot="1" x14ac:dyDescent="0.3">
      <c r="A37" s="52" t="s">
        <v>113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6" x14ac:dyDescent="0.25">
      <c r="A38" s="61" t="s">
        <v>29</v>
      </c>
      <c r="B38" s="143">
        <v>-166593.09000000005</v>
      </c>
      <c r="C38" s="127">
        <v>644.18000000000006</v>
      </c>
      <c r="D38" s="54">
        <f t="shared" ref="D38:D39" si="15">ROUND((C33+D29/2)*D$36,2)</f>
        <v>-366.64</v>
      </c>
      <c r="E38" s="54">
        <f t="shared" ref="E38:E39" si="16">ROUND((D33+E29/2)*E$36,2)</f>
        <v>-336.93</v>
      </c>
      <c r="F38" s="135">
        <f t="shared" ref="F38:F39" si="17">ROUND((E33+F29/2)*F$36,2)</f>
        <v>-199.59</v>
      </c>
      <c r="G38" s="53">
        <f t="shared" ref="G38:G39" si="18">ROUND((F33+G29/2)*G$36,2)</f>
        <v>-101.27</v>
      </c>
      <c r="H38" s="150">
        <f t="shared" ref="H38:I39" si="19">ROUND((G33+H29/2)*H$36,2)</f>
        <v>-16.28</v>
      </c>
      <c r="I38" s="210">
        <f t="shared" si="19"/>
        <v>61.52</v>
      </c>
      <c r="J38" s="184">
        <f t="shared" ref="J38:L38" si="20">ROUND((I33+J29/2)*J$36,2)</f>
        <v>129.02000000000001</v>
      </c>
      <c r="K38" s="135">
        <f t="shared" si="20"/>
        <v>193.13</v>
      </c>
      <c r="L38" s="77">
        <f t="shared" si="20"/>
        <v>0</v>
      </c>
      <c r="M38" s="196">
        <f>SUM(B38:L38)</f>
        <v>-166585.95000000007</v>
      </c>
    </row>
    <row r="39" spans="1:36" ht="15.75" thickBot="1" x14ac:dyDescent="0.3">
      <c r="A39" t="s">
        <v>30</v>
      </c>
      <c r="B39" s="144">
        <v>-131655.66000000003</v>
      </c>
      <c r="C39" s="127">
        <v>-1577.25</v>
      </c>
      <c r="D39" s="54">
        <f t="shared" si="15"/>
        <v>845.83</v>
      </c>
      <c r="E39" s="54">
        <f t="shared" si="16"/>
        <v>870.97</v>
      </c>
      <c r="F39" s="135">
        <f t="shared" si="17"/>
        <v>719.69</v>
      </c>
      <c r="G39" s="53">
        <f t="shared" si="18"/>
        <v>761.76</v>
      </c>
      <c r="H39" s="150">
        <f t="shared" si="19"/>
        <v>669.06</v>
      </c>
      <c r="I39" s="210">
        <f t="shared" si="19"/>
        <v>585.12</v>
      </c>
      <c r="J39" s="184">
        <f t="shared" ref="J39:L39" si="21">ROUND((I34+J30/2)*J$36,2)</f>
        <v>502.43</v>
      </c>
      <c r="K39" s="135">
        <f t="shared" si="21"/>
        <v>407.77</v>
      </c>
      <c r="L39" s="77">
        <f t="shared" si="21"/>
        <v>0</v>
      </c>
      <c r="M39" s="196">
        <f>SUM(B39:L39)</f>
        <v>-127870.28000000006</v>
      </c>
    </row>
    <row r="40" spans="1:36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1.6007106751203537E-10</v>
      </c>
      <c r="E40" s="55">
        <f>SUM($B38:E39)+SUM(E33:E34)-E43</f>
        <v>0</v>
      </c>
      <c r="F40" s="65">
        <f>SUM($B38:F39)+SUM(F33:F34)-F43</f>
        <v>8.7311491370201111E-11</v>
      </c>
      <c r="G40" s="186">
        <f>SUM($B38:G39)+SUM(G33:G34)-G43</f>
        <v>0</v>
      </c>
      <c r="H40" s="65">
        <f>SUM($B38:H39)+SUM(H33:H34)-H43</f>
        <v>6.5483618527650833E-11</v>
      </c>
      <c r="I40" s="65">
        <f>SUM($B38:I39)+SUM(I33:I34)-I43</f>
        <v>0</v>
      </c>
      <c r="J40" s="194">
        <f>SUM($B38:J39)+SUM(J33:J34)-J43</f>
        <v>0</v>
      </c>
      <c r="K40" s="65">
        <f>SUM($B38:K39)+SUM(K33:K34)-K43</f>
        <v>6.0026650317013264E-11</v>
      </c>
      <c r="L40" s="78">
        <f>SUM($B38:L39)+SUM(L33:L34)-L43</f>
        <v>6.730260793119669E-11</v>
      </c>
    </row>
    <row r="41" spans="1:36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2">SUM(D38:D39)-D26</f>
        <v>9.9999999999909051E-3</v>
      </c>
      <c r="E41" s="55">
        <f t="shared" si="22"/>
        <v>0</v>
      </c>
      <c r="F41" s="65">
        <f t="shared" ref="F41:H41" si="23">SUM(F38:F39)-F26</f>
        <v>0</v>
      </c>
      <c r="G41" s="186">
        <f t="shared" si="23"/>
        <v>0</v>
      </c>
      <c r="H41" s="65">
        <f t="shared" si="23"/>
        <v>0</v>
      </c>
      <c r="I41" s="65">
        <f t="shared" si="22"/>
        <v>0</v>
      </c>
      <c r="J41" s="66">
        <f t="shared" ref="J41:L41" si="24">SUM(J38:J39)-J26</f>
        <v>0</v>
      </c>
      <c r="K41" s="55">
        <f t="shared" si="24"/>
        <v>0</v>
      </c>
      <c r="L41" s="55">
        <f t="shared" si="24"/>
        <v>0</v>
      </c>
    </row>
    <row r="42" spans="1:36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6" ht="15.75" thickBot="1" x14ac:dyDescent="0.3">
      <c r="A43" t="s">
        <v>42</v>
      </c>
      <c r="B43" s="146">
        <f>SUM(B33:B34,B38:B39)</f>
        <v>48917.864844883938</v>
      </c>
      <c r="C43" s="127">
        <f t="shared" ref="C43" si="25">(C12-SUM(C15:C16))+SUM(C38:C39)+B43</f>
        <v>82100.63453747661</v>
      </c>
      <c r="D43" s="54">
        <f t="shared" ref="D43:I43" si="26">(D12-SUM(D15:D16))+SUM(D38:D39)+C43</f>
        <v>54607.384537476595</v>
      </c>
      <c r="E43" s="54">
        <f t="shared" si="26"/>
        <v>34808.204537476609</v>
      </c>
      <c r="F43" s="135">
        <f t="shared" si="26"/>
        <v>37750.694537476607</v>
      </c>
      <c r="G43" s="53">
        <f t="shared" si="26"/>
        <v>37955.094537476609</v>
      </c>
      <c r="H43" s="54">
        <f t="shared" si="26"/>
        <v>31232.984537476608</v>
      </c>
      <c r="I43" s="135">
        <f t="shared" si="26"/>
        <v>33022.164537476609</v>
      </c>
      <c r="J43" s="184">
        <f t="shared" ref="J43" si="27">(J12-SUM(J15:J16))+SUM(J38:J39)+I43</f>
        <v>17097.022257025819</v>
      </c>
      <c r="K43" s="135">
        <f t="shared" ref="K43" si="28">(K12-SUM(K15:K16))+SUM(K38:K39)+J43</f>
        <v>3245.5005594284139</v>
      </c>
      <c r="L43" s="77">
        <f t="shared" ref="L43" si="29">(L12-SUM(L15:L16))+SUM(L38:L39)+K43</f>
        <v>-1724.6288791670322</v>
      </c>
    </row>
    <row r="44" spans="1:36" x14ac:dyDescent="0.25">
      <c r="A44" t="s">
        <v>14</v>
      </c>
      <c r="C44" s="147"/>
      <c r="D44" s="17"/>
      <c r="E44" s="225"/>
      <c r="F44" s="17"/>
      <c r="G44" s="10"/>
      <c r="H44" s="17"/>
      <c r="I44" s="225"/>
      <c r="J44" s="10"/>
      <c r="K44" s="17"/>
      <c r="L44" s="11"/>
    </row>
    <row r="45" spans="1:36" ht="15.75" thickBot="1" x14ac:dyDescent="0.3">
      <c r="A45" s="50"/>
      <c r="B45" s="50"/>
      <c r="C45" s="195"/>
      <c r="D45" s="57"/>
      <c r="E45" s="57"/>
      <c r="F45" s="57"/>
      <c r="G45" s="56"/>
      <c r="H45" s="57"/>
      <c r="I45" s="57"/>
      <c r="J45" s="56"/>
      <c r="K45" s="57"/>
      <c r="L45" s="58"/>
    </row>
    <row r="46" spans="1:36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</row>
    <row r="47" spans="1:36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</row>
    <row r="48" spans="1:36" ht="23.25" customHeight="1" outlineLevel="1" x14ac:dyDescent="0.25">
      <c r="A48" s="235" t="s">
        <v>116</v>
      </c>
      <c r="B48" s="235"/>
      <c r="C48" s="235"/>
      <c r="D48" s="235"/>
      <c r="E48" s="235"/>
      <c r="F48" s="235"/>
      <c r="G48" s="235"/>
      <c r="H48" s="235"/>
      <c r="I48" s="235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</row>
    <row r="49" spans="1:36" ht="43.5" customHeight="1" outlineLevel="1" x14ac:dyDescent="0.25">
      <c r="A49" s="236" t="s">
        <v>143</v>
      </c>
      <c r="B49" s="236"/>
      <c r="C49" s="236"/>
      <c r="D49" s="236"/>
      <c r="E49" s="236"/>
      <c r="F49" s="236"/>
      <c r="G49" s="236"/>
      <c r="H49" s="236"/>
      <c r="I49" s="236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</row>
    <row r="50" spans="1:36" ht="29.25" customHeight="1" outlineLevel="1" x14ac:dyDescent="0.25">
      <c r="A50" s="235" t="s">
        <v>144</v>
      </c>
      <c r="B50" s="235"/>
      <c r="C50" s="235"/>
      <c r="D50" s="235"/>
      <c r="E50" s="235"/>
      <c r="F50" s="235"/>
      <c r="G50" s="235"/>
      <c r="H50" s="235"/>
      <c r="I50" s="235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</row>
    <row r="51" spans="1:36" outlineLevel="1" x14ac:dyDescent="0.25">
      <c r="A51" s="3" t="s">
        <v>90</v>
      </c>
      <c r="B51" s="3"/>
      <c r="C51" s="3"/>
    </row>
    <row r="52" spans="1:36" outlineLevel="1" x14ac:dyDescent="0.25">
      <c r="A52" s="79" t="s">
        <v>145</v>
      </c>
      <c r="B52" s="3"/>
      <c r="C52" s="3"/>
    </row>
    <row r="53" spans="1:36" outlineLevel="1" x14ac:dyDescent="0.25">
      <c r="A53" s="3" t="s">
        <v>92</v>
      </c>
      <c r="B53" s="3"/>
      <c r="C53" s="3"/>
    </row>
    <row r="54" spans="1:36" outlineLevel="1" x14ac:dyDescent="0.25">
      <c r="A54" s="3"/>
      <c r="B54" s="3"/>
      <c r="C54" s="3"/>
    </row>
    <row r="55" spans="1:36" ht="36" customHeight="1" x14ac:dyDescent="0.25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</row>
  </sheetData>
  <mergeCells count="7">
    <mergeCell ref="A55:L55"/>
    <mergeCell ref="A48:I48"/>
    <mergeCell ref="A49:I49"/>
    <mergeCell ref="A50:I50"/>
    <mergeCell ref="D10:F10"/>
    <mergeCell ref="G10:I10"/>
    <mergeCell ref="J10:L10"/>
  </mergeCells>
  <pageMargins left="0.2" right="0.2" top="0.75" bottom="0.25" header="0.3" footer="0.3"/>
  <pageSetup scale="55" orientation="landscape" r:id="rId1"/>
  <headerFooter>
    <oddHeader>&amp;C&amp;F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tabSelected="1" zoomScaleNormal="100" workbookViewId="0">
      <pane xSplit="1" ySplit="2" topLeftCell="B39" activePane="bottomRight" state="frozen"/>
      <selection activeCell="K1" sqref="K1"/>
      <selection pane="topRight" activeCell="K1" sqref="K1"/>
      <selection pane="bottomLeft" activeCell="K1" sqref="K1"/>
      <selection pane="bottomRight" activeCell="K1" sqref="K1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3" width="14.85546875" style="61" customWidth="1"/>
    <col min="4" max="4" width="15.42578125" style="61" customWidth="1"/>
    <col min="5" max="5" width="15.85546875" style="61" customWidth="1"/>
    <col min="6" max="6" width="12.28515625" style="61" customWidth="1"/>
    <col min="7" max="8" width="13.28515625" style="61" customWidth="1"/>
    <col min="9" max="9" width="11.28515625" style="61" bestFit="1" customWidth="1"/>
    <col min="10" max="10" width="12.7109375" style="61" customWidth="1"/>
    <col min="11" max="11" width="11.5703125" style="61" bestFit="1" customWidth="1"/>
    <col min="12" max="12" width="16" style="61" customWidth="1"/>
    <col min="13" max="13" width="15" style="61" bestFit="1" customWidth="1"/>
    <col min="14" max="14" width="16" style="61" bestFit="1" customWidth="1"/>
    <col min="15" max="15" width="17.85546875" style="61" customWidth="1"/>
    <col min="16" max="16" width="15.28515625" style="61" bestFit="1" customWidth="1"/>
    <col min="17" max="17" width="17.42578125" style="61" bestFit="1" customWidth="1"/>
    <col min="18" max="18" width="16.28515625" style="61" bestFit="1" customWidth="1"/>
    <col min="19" max="19" width="15.28515625" style="61" bestFit="1" customWidth="1"/>
    <col min="20" max="20" width="12.42578125" style="61" customWidth="1"/>
    <col min="21" max="22" width="14.28515625" style="61" bestFit="1" customWidth="1"/>
    <col min="23" max="16384" width="9.140625" style="61"/>
  </cols>
  <sheetData>
    <row r="1" spans="1:35" x14ac:dyDescent="0.25">
      <c r="A1" s="3" t="str">
        <f>+PPC!A1</f>
        <v>KCP&amp;L Greater Missouri Operations Company - DSIM Rider Update Filed 06/01/2018</v>
      </c>
      <c r="B1" s="3"/>
      <c r="C1" s="3"/>
    </row>
    <row r="2" spans="1:35" x14ac:dyDescent="0.25">
      <c r="D2" s="3" t="s">
        <v>81</v>
      </c>
    </row>
    <row r="3" spans="1:35" ht="30" x14ac:dyDescent="0.25">
      <c r="D3" s="63" t="s">
        <v>62</v>
      </c>
      <c r="E3" s="86" t="s">
        <v>98</v>
      </c>
      <c r="F3" s="86" t="s">
        <v>99</v>
      </c>
      <c r="G3" s="63" t="s">
        <v>3</v>
      </c>
      <c r="H3" s="86" t="s">
        <v>70</v>
      </c>
      <c r="I3" s="63" t="s">
        <v>11</v>
      </c>
      <c r="J3" s="63" t="s">
        <v>10</v>
      </c>
      <c r="S3" s="63"/>
    </row>
    <row r="4" spans="1:35" x14ac:dyDescent="0.25">
      <c r="A4" s="22" t="s">
        <v>29</v>
      </c>
      <c r="B4" s="22"/>
      <c r="C4" s="22"/>
      <c r="D4" s="24">
        <f>SUM(C15:L15)</f>
        <v>1820342.003532795</v>
      </c>
      <c r="E4" s="168">
        <f>M19</f>
        <v>35948110.670707457</v>
      </c>
      <c r="F4" s="24">
        <f>SUM(C23:K23)</f>
        <v>1942537.47</v>
      </c>
      <c r="G4" s="24">
        <f>F4-D4</f>
        <v>122195.46646720497</v>
      </c>
      <c r="H4" s="24">
        <f>+B33</f>
        <v>63347.608409249573</v>
      </c>
      <c r="I4" s="24">
        <f>SUM(C38:K38)</f>
        <v>3944.87</v>
      </c>
      <c r="J4" s="36">
        <f>SUM(G4:I4)</f>
        <v>189487.94487645454</v>
      </c>
      <c r="K4" s="62">
        <f>+J4-L33</f>
        <v>0</v>
      </c>
    </row>
    <row r="5" spans="1:35" ht="15.75" thickBot="1" x14ac:dyDescent="0.3">
      <c r="A5" s="22" t="s">
        <v>30</v>
      </c>
      <c r="B5" s="22"/>
      <c r="C5" s="22"/>
      <c r="D5" s="24">
        <f>SUM(C16:L16)</f>
        <v>2429600.9218826038</v>
      </c>
      <c r="E5" s="168">
        <f>M20</f>
        <v>43484623.215087295</v>
      </c>
      <c r="F5" s="24">
        <f>SUM(C24:K24)</f>
        <v>1674344.35</v>
      </c>
      <c r="G5" s="24">
        <f>F5-D5</f>
        <v>-755256.57188260369</v>
      </c>
      <c r="H5" s="24">
        <f>+B34</f>
        <v>613893.92248824751</v>
      </c>
      <c r="I5" s="24">
        <f>SUM(C39:K39)</f>
        <v>8410.32</v>
      </c>
      <c r="J5" s="36">
        <f>SUM(G5:I5)</f>
        <v>-132952.32939435617</v>
      </c>
      <c r="K5" s="62">
        <f>+J5-L34</f>
        <v>-2.9103830456733704E-10</v>
      </c>
    </row>
    <row r="6" spans="1:35" ht="16.5" thickTop="1" thickBot="1" x14ac:dyDescent="0.3">
      <c r="D6" s="40">
        <f t="shared" ref="D6" si="0">SUM(D4:D5)</f>
        <v>4249942.9254153986</v>
      </c>
      <c r="E6" s="169">
        <f t="shared" ref="E6:H6" si="1">SUM(E4:E5)</f>
        <v>79432733.885794759</v>
      </c>
      <c r="F6" s="40">
        <f t="shared" si="1"/>
        <v>3616881.8200000003</v>
      </c>
      <c r="G6" s="40">
        <f t="shared" si="1"/>
        <v>-633061.10541539872</v>
      </c>
      <c r="H6" s="40">
        <f t="shared" si="1"/>
        <v>677241.53089749708</v>
      </c>
      <c r="I6" s="40">
        <f>SUM(I4:I5)</f>
        <v>12355.189999999999</v>
      </c>
      <c r="J6" s="40">
        <f>SUM(J4:J5)</f>
        <v>56535.615482098365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12/01/2017 Filing</v>
      </c>
      <c r="C10" s="220" t="str">
        <f>+'PCR Cycle 1'!C8</f>
        <v>Reverse Nov-17 - Dec-17  Forecast From 12/01/2017 Filing</v>
      </c>
      <c r="D10" s="237" t="s">
        <v>39</v>
      </c>
      <c r="E10" s="237"/>
      <c r="F10" s="238"/>
      <c r="G10" s="242" t="s">
        <v>39</v>
      </c>
      <c r="H10" s="243"/>
      <c r="I10" s="244"/>
      <c r="J10" s="239" t="s">
        <v>9</v>
      </c>
      <c r="K10" s="240"/>
      <c r="L10" s="241"/>
    </row>
    <row r="11" spans="1:35" x14ac:dyDescent="0.25">
      <c r="A11" s="61" t="s">
        <v>83</v>
      </c>
      <c r="C11" s="132"/>
      <c r="D11" s="20">
        <f>+'PCR Cycle 1'!D9</f>
        <v>43069</v>
      </c>
      <c r="E11" s="20">
        <f t="shared" ref="E11:L11" si="2">EOMONTH(D11,1)</f>
        <v>43100</v>
      </c>
      <c r="F11" s="20">
        <f t="shared" si="2"/>
        <v>43131</v>
      </c>
      <c r="G11" s="14">
        <f t="shared" si="2"/>
        <v>43159</v>
      </c>
      <c r="H11" s="20">
        <f t="shared" si="2"/>
        <v>43190</v>
      </c>
      <c r="I11" s="20">
        <f t="shared" si="2"/>
        <v>43220</v>
      </c>
      <c r="J11" s="14">
        <f t="shared" si="2"/>
        <v>43251</v>
      </c>
      <c r="K11" s="20">
        <f t="shared" si="2"/>
        <v>43281</v>
      </c>
      <c r="L11" s="15">
        <f t="shared" si="2"/>
        <v>43312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1" t="s">
        <v>6</v>
      </c>
      <c r="C12" s="124">
        <v>-852696.89</v>
      </c>
      <c r="D12" s="136">
        <f t="shared" ref="D12:H12" si="3">+D23+D24</f>
        <v>421860.14</v>
      </c>
      <c r="E12" s="136">
        <f t="shared" si="3"/>
        <v>433214.05</v>
      </c>
      <c r="F12" s="137">
        <f t="shared" si="3"/>
        <v>467578.45</v>
      </c>
      <c r="G12" s="16">
        <f t="shared" si="3"/>
        <v>459905.27</v>
      </c>
      <c r="H12" s="70">
        <f t="shared" si="3"/>
        <v>498401.53</v>
      </c>
      <c r="I12" s="72">
        <f t="shared" ref="I12:K12" si="4">+I23+I24</f>
        <v>525024.18999999994</v>
      </c>
      <c r="J12" s="187">
        <f t="shared" si="4"/>
        <v>607873.04</v>
      </c>
      <c r="K12" s="97">
        <f t="shared" si="4"/>
        <v>1055722.04</v>
      </c>
      <c r="L12" s="98"/>
    </row>
    <row r="13" spans="1:35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5" x14ac:dyDescent="0.25">
      <c r="A14" s="61" t="s">
        <v>82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5" x14ac:dyDescent="0.25">
      <c r="A15" s="61" t="s">
        <v>29</v>
      </c>
      <c r="C15" s="124">
        <v>-1095974.4288500003</v>
      </c>
      <c r="D15" s="166">
        <f>ROUND('[3]Revenue Analysis'!M135,2)</f>
        <v>273764.75</v>
      </c>
      <c r="E15" s="166">
        <f>ROUND('[3]Revenue Analysis'!N135,2)</f>
        <v>316940.01</v>
      </c>
      <c r="F15" s="166">
        <f>ROUND('[4]Revenue Analysis'!C180,2)</f>
        <v>490830.28</v>
      </c>
      <c r="G15" s="16">
        <f>ROUND('[4]Revenue Analysis'!D180,2)</f>
        <v>355041.38</v>
      </c>
      <c r="H15" s="148">
        <f>ROUND('[4]Revenue Analysis'!E180,2)</f>
        <v>303908.51</v>
      </c>
      <c r="I15" s="211">
        <f>ROUND('[4]Revenue Analysis'!F180,2)</f>
        <v>299482.25</v>
      </c>
      <c r="J15" s="53">
        <f>'PCR Cycle 1'!J21*'TDR Cycle 2'!$M15</f>
        <v>224064.9393286976</v>
      </c>
      <c r="K15" s="54">
        <f>'PCR Cycle 1'!K21*'TDR Cycle 2'!$M15</f>
        <v>273221.9058797913</v>
      </c>
      <c r="L15" s="77">
        <f>'PCR Cycle 1'!L21*'TDR Cycle 2'!$M15</f>
        <v>379062.40717430628</v>
      </c>
      <c r="M15" s="88">
        <v>1.07E-3</v>
      </c>
      <c r="N15" s="4"/>
    </row>
    <row r="16" spans="1:35" x14ac:dyDescent="0.25">
      <c r="A16" s="61" t="s">
        <v>30</v>
      </c>
      <c r="C16" s="124">
        <v>-588595.24451739644</v>
      </c>
      <c r="D16" s="166">
        <f>ROUND('[3]Revenue Analysis'!M136,2)</f>
        <v>193017.63</v>
      </c>
      <c r="E16" s="166">
        <f>ROUND('[3]Revenue Analysis'!N136,2)</f>
        <v>193772.92</v>
      </c>
      <c r="F16" s="166">
        <f>ROUND('[4]Revenue Analysis'!C181,2)</f>
        <v>225571.78</v>
      </c>
      <c r="G16" s="16">
        <f>ROUND('[4]Revenue Analysis'!D181,2)</f>
        <v>384627.97</v>
      </c>
      <c r="H16" s="148">
        <f>ROUND('[4]Revenue Analysis'!E181,2)</f>
        <v>388239.73</v>
      </c>
      <c r="I16" s="211">
        <f>ROUND('[4]Revenue Analysis'!F181,2)</f>
        <v>392387.74</v>
      </c>
      <c r="J16" s="53">
        <f>'PCR Cycle 1'!J22*'TDR Cycle 2'!$M16</f>
        <v>377781.76660000003</v>
      </c>
      <c r="K16" s="54">
        <f>'PCR Cycle 1'!K22*'TDR Cycle 2'!$M16</f>
        <v>413420.67760000005</v>
      </c>
      <c r="L16" s="77">
        <f>'PCR Cycle 1'!L22*'TDR Cycle 2'!$M16</f>
        <v>449375.95220000006</v>
      </c>
      <c r="M16" s="88">
        <v>1.4000000000000002E-3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97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</row>
    <row r="19" spans="1:14" x14ac:dyDescent="0.25">
      <c r="A19" s="61" t="s">
        <v>29</v>
      </c>
      <c r="C19" s="129">
        <v>-9336854.0427842233</v>
      </c>
      <c r="D19" s="138">
        <f>+'[8]Monthly TD Calc'!V285</f>
        <v>4118566.3003616463</v>
      </c>
      <c r="E19" s="138">
        <f>+'[8]Monthly TD Calc'!W285</f>
        <v>4998501.3025482371</v>
      </c>
      <c r="F19" s="152">
        <f>+'[8]Monthly TD Calc'!X285</f>
        <v>5655943.853706331</v>
      </c>
      <c r="G19" s="92">
        <f>+'[8]Monthly TD Calc'!Y285</f>
        <v>5528246.9440698279</v>
      </c>
      <c r="H19" s="93">
        <f>+'[8]Monthly TD Calc'!Z285</f>
        <v>5541182.2637546975</v>
      </c>
      <c r="I19" s="208">
        <f>+'[8]Monthly TD Calc'!AA285</f>
        <v>5286520.1832628725</v>
      </c>
      <c r="J19" s="189">
        <f>+'[2]GMO Monthly TD Calc'!AB372</f>
        <v>6182646.8934710063</v>
      </c>
      <c r="K19" s="176">
        <f>+'[2]GMO Monthly TD Calc'!AC372</f>
        <v>7973356.9723170632</v>
      </c>
      <c r="L19" s="99"/>
      <c r="M19" s="75">
        <f>SUM(C19:K19)</f>
        <v>35948110.670707457</v>
      </c>
    </row>
    <row r="20" spans="1:14" x14ac:dyDescent="0.25">
      <c r="A20" s="61" t="s">
        <v>30</v>
      </c>
      <c r="C20" s="129">
        <v>-11352429.84721683</v>
      </c>
      <c r="D20" s="138">
        <f>+'[8]Monthly TD Calc'!V286</f>
        <v>5799076.0464375317</v>
      </c>
      <c r="E20" s="138">
        <f>+'[8]Monthly TD Calc'!W286</f>
        <v>6193157.4576060837</v>
      </c>
      <c r="F20" s="152">
        <f>+'[8]Monthly TD Calc'!X286</f>
        <v>6757714.0585837355</v>
      </c>
      <c r="G20" s="92">
        <f>+'[8]Monthly TD Calc'!Y286</f>
        <v>6284279.8946176032</v>
      </c>
      <c r="H20" s="93">
        <f>+'[8]Monthly TD Calc'!Z286</f>
        <v>7360970.8233461138</v>
      </c>
      <c r="I20" s="208">
        <f>+'[8]Monthly TD Calc'!AA286</f>
        <v>7228375.5859236382</v>
      </c>
      <c r="J20" s="189">
        <f>+'[2]GMO Monthly TD Calc'!AB373</f>
        <v>7509453.3104997166</v>
      </c>
      <c r="K20" s="176">
        <f>+'[2]GMO Monthly TD Calc'!AC373</f>
        <v>7704025.8852896988</v>
      </c>
      <c r="L20" s="99"/>
      <c r="M20" s="75">
        <f>SUM(C20:K20)</f>
        <v>43484623.215087295</v>
      </c>
    </row>
    <row r="21" spans="1:14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94</v>
      </c>
      <c r="C22" s="49"/>
      <c r="D22" s="50"/>
      <c r="E22" s="50"/>
      <c r="F22" s="50"/>
      <c r="G22" s="49"/>
      <c r="H22" s="50"/>
      <c r="I22" s="50"/>
      <c r="J22" s="190"/>
      <c r="K22" s="67"/>
      <c r="L22" s="51"/>
    </row>
    <row r="23" spans="1:14" x14ac:dyDescent="0.25">
      <c r="A23" s="61" t="s">
        <v>29</v>
      </c>
      <c r="C23" s="124">
        <v>-424162.74</v>
      </c>
      <c r="D23" s="136">
        <f>ROUND('[8]Monthly TD Calc'!V318,2)</f>
        <v>209206.69</v>
      </c>
      <c r="E23" s="136">
        <f>ROUND('[8]Monthly TD Calc'!W318,2)</f>
        <v>216302.65</v>
      </c>
      <c r="F23" s="137">
        <f>ROUND('[8]Monthly TD Calc'!X318,2)</f>
        <v>233502.81</v>
      </c>
      <c r="G23" s="16">
        <f>ROUND('[8]Monthly TD Calc'!Y318,2)</f>
        <v>238474.75</v>
      </c>
      <c r="H23" s="70">
        <f>ROUND('[8]Monthly TD Calc'!Z318,2)</f>
        <v>240492.85</v>
      </c>
      <c r="I23" s="208">
        <f>ROUND('[8]Monthly TD Calc'!AA318,2)</f>
        <v>264444.95</v>
      </c>
      <c r="J23" s="191">
        <f>ROUND('[2]GMO Monthly TD Calc'!AB351,2)</f>
        <v>322925.23</v>
      </c>
      <c r="K23" s="174">
        <f>ROUND('[2]GMO Monthly TD Calc'!AC351,2)</f>
        <v>641350.28</v>
      </c>
      <c r="L23" s="98"/>
    </row>
    <row r="24" spans="1:14" x14ac:dyDescent="0.25">
      <c r="A24" s="61" t="s">
        <v>30</v>
      </c>
      <c r="C24" s="124">
        <v>-428534.15</v>
      </c>
      <c r="D24" s="136">
        <f>ROUND('[8]Monthly TD Calc'!V319,2)</f>
        <v>212653.45</v>
      </c>
      <c r="E24" s="136">
        <f>ROUND('[8]Monthly TD Calc'!W319,2)</f>
        <v>216911.4</v>
      </c>
      <c r="F24" s="137">
        <f>ROUND('[8]Monthly TD Calc'!X319,2)</f>
        <v>234075.64</v>
      </c>
      <c r="G24" s="16">
        <f>ROUND('[8]Monthly TD Calc'!Y319,2)</f>
        <v>221430.52</v>
      </c>
      <c r="H24" s="70">
        <f>ROUND('[8]Monthly TD Calc'!Z319,2)</f>
        <v>257908.68</v>
      </c>
      <c r="I24" s="208">
        <f>ROUND('[8]Monthly TD Calc'!AA319,2)</f>
        <v>260579.24</v>
      </c>
      <c r="J24" s="191">
        <f>ROUND('[2]GMO Monthly TD Calc'!AB352,2)</f>
        <v>284947.81</v>
      </c>
      <c r="K24" s="174">
        <f>ROUND('[2]GMO Monthly TD Calc'!AC352,2)</f>
        <v>414371.76</v>
      </c>
      <c r="L24" s="98"/>
      <c r="N24" s="62"/>
    </row>
    <row r="25" spans="1:14" x14ac:dyDescent="0.25">
      <c r="C25" s="126"/>
      <c r="D25" s="215"/>
      <c r="E25" s="215"/>
      <c r="F25" s="215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-6020.53</v>
      </c>
      <c r="D26" s="166">
        <v>3128.31</v>
      </c>
      <c r="E26" s="166">
        <v>3249.94</v>
      </c>
      <c r="F26" s="167">
        <v>2957.71</v>
      </c>
      <c r="G26" s="39">
        <v>2378.44</v>
      </c>
      <c r="H26" s="149">
        <v>1949.77</v>
      </c>
      <c r="I26" s="212">
        <v>1543.3</v>
      </c>
      <c r="J26" s="192">
        <v>1336.49</v>
      </c>
      <c r="K26" s="177">
        <v>1831.78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3"/>
      <c r="K27" s="47"/>
      <c r="L27" s="76"/>
    </row>
    <row r="28" spans="1:14" x14ac:dyDescent="0.25">
      <c r="A28" s="61" t="s">
        <v>68</v>
      </c>
      <c r="C28" s="81"/>
      <c r="D28" s="205"/>
      <c r="E28" s="205"/>
      <c r="F28" s="205"/>
      <c r="G28" s="206"/>
      <c r="H28" s="205"/>
      <c r="I28" s="205"/>
      <c r="J28" s="193"/>
      <c r="K28" s="47"/>
      <c r="L28" s="76"/>
    </row>
    <row r="29" spans="1:14" x14ac:dyDescent="0.25">
      <c r="A29" s="61" t="s">
        <v>29</v>
      </c>
      <c r="C29" s="127">
        <f t="shared" ref="C29:L30" si="5">C23-C15</f>
        <v>671811.68885000027</v>
      </c>
      <c r="D29" s="54">
        <f t="shared" si="5"/>
        <v>-64558.06</v>
      </c>
      <c r="E29" s="54">
        <f t="shared" si="5"/>
        <v>-100637.36000000002</v>
      </c>
      <c r="F29" s="135">
        <f t="shared" si="5"/>
        <v>-257327.47000000003</v>
      </c>
      <c r="G29" s="53">
        <f t="shared" si="5"/>
        <v>-116566.63</v>
      </c>
      <c r="H29" s="54">
        <f t="shared" si="5"/>
        <v>-63415.66</v>
      </c>
      <c r="I29" s="135">
        <f t="shared" si="5"/>
        <v>-35037.299999999988</v>
      </c>
      <c r="J29" s="53">
        <f t="shared" si="5"/>
        <v>98860.290671302384</v>
      </c>
      <c r="K29" s="54">
        <f t="shared" si="5"/>
        <v>368128.37412020873</v>
      </c>
      <c r="L29" s="77">
        <f t="shared" si="5"/>
        <v>-379062.40717430628</v>
      </c>
    </row>
    <row r="30" spans="1:14" x14ac:dyDescent="0.25">
      <c r="A30" s="61" t="s">
        <v>30</v>
      </c>
      <c r="C30" s="127">
        <f t="shared" si="5"/>
        <v>160061.09451739641</v>
      </c>
      <c r="D30" s="54">
        <f t="shared" si="5"/>
        <v>19635.820000000007</v>
      </c>
      <c r="E30" s="54">
        <f t="shared" si="5"/>
        <v>23138.479999999981</v>
      </c>
      <c r="F30" s="135">
        <f t="shared" si="5"/>
        <v>8503.8600000000151</v>
      </c>
      <c r="G30" s="53">
        <f t="shared" si="5"/>
        <v>-163197.44999999998</v>
      </c>
      <c r="H30" s="54">
        <f t="shared" si="5"/>
        <v>-130331.04999999999</v>
      </c>
      <c r="I30" s="135">
        <f t="shared" si="5"/>
        <v>-131808.5</v>
      </c>
      <c r="J30" s="53">
        <f t="shared" si="5"/>
        <v>-92833.956600000034</v>
      </c>
      <c r="K30" s="54">
        <f t="shared" si="5"/>
        <v>951.08239999995567</v>
      </c>
      <c r="L30" s="77">
        <f t="shared" si="5"/>
        <v>-449375.95220000006</v>
      </c>
    </row>
    <row r="31" spans="1:14" x14ac:dyDescent="0.25">
      <c r="C31" s="126"/>
      <c r="D31" s="71"/>
      <c r="E31" s="71"/>
      <c r="F31" s="71"/>
      <c r="G31" s="10"/>
      <c r="H31" s="17"/>
      <c r="I31" s="17"/>
      <c r="J31" s="10"/>
      <c r="K31" s="17"/>
      <c r="L31" s="11"/>
    </row>
    <row r="32" spans="1:14" ht="15.75" thickBot="1" x14ac:dyDescent="0.3">
      <c r="A32" s="61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12" x14ac:dyDescent="0.25">
      <c r="A33" s="61" t="s">
        <v>29</v>
      </c>
      <c r="B33" s="143">
        <v>63347.608409249573</v>
      </c>
      <c r="C33" s="127">
        <f>B33+B38+C29</f>
        <v>735159.29725924984</v>
      </c>
      <c r="D33" s="54">
        <f t="shared" ref="D33:L33" si="6">C33+C38+D29</f>
        <v>667883.33725924976</v>
      </c>
      <c r="E33" s="54">
        <f t="shared" si="6"/>
        <v>568725.29725924972</v>
      </c>
      <c r="F33" s="135">
        <f t="shared" si="6"/>
        <v>312812.0872592497</v>
      </c>
      <c r="G33" s="53">
        <f t="shared" si="6"/>
        <v>197279.60725924972</v>
      </c>
      <c r="H33" s="54">
        <f t="shared" si="6"/>
        <v>134470.99725924971</v>
      </c>
      <c r="I33" s="135">
        <f t="shared" si="6"/>
        <v>99856.177259249729</v>
      </c>
      <c r="J33" s="53">
        <f t="shared" si="6"/>
        <v>199024.22793055209</v>
      </c>
      <c r="K33" s="54">
        <f t="shared" si="6"/>
        <v>567544.84205076075</v>
      </c>
      <c r="L33" s="77">
        <f t="shared" si="6"/>
        <v>189487.94487645448</v>
      </c>
    </row>
    <row r="34" spans="1:12" ht="15.75" thickBot="1" x14ac:dyDescent="0.3">
      <c r="A34" s="61" t="s">
        <v>30</v>
      </c>
      <c r="B34" s="144">
        <v>613893.92248824751</v>
      </c>
      <c r="C34" s="127">
        <f>B34+B39+C30</f>
        <v>773955.01700564392</v>
      </c>
      <c r="D34" s="54">
        <f t="shared" ref="D34:L34" si="7">C34+C39+D30</f>
        <v>790288.20700564398</v>
      </c>
      <c r="E34" s="54">
        <f t="shared" si="7"/>
        <v>815075.67700564396</v>
      </c>
      <c r="F34" s="135">
        <f t="shared" si="7"/>
        <v>825415.21700564399</v>
      </c>
      <c r="G34" s="53">
        <f t="shared" si="7"/>
        <v>664141.3270056441</v>
      </c>
      <c r="H34" s="54">
        <f t="shared" si="7"/>
        <v>535581.66700564418</v>
      </c>
      <c r="I34" s="135">
        <f t="shared" si="7"/>
        <v>405300.45700564422</v>
      </c>
      <c r="J34" s="53">
        <f t="shared" si="7"/>
        <v>313702.0204056442</v>
      </c>
      <c r="K34" s="54">
        <f t="shared" si="7"/>
        <v>315597.35280564416</v>
      </c>
      <c r="L34" s="77">
        <f t="shared" si="7"/>
        <v>-132952.32939435588</v>
      </c>
    </row>
    <row r="35" spans="1:12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x14ac:dyDescent="0.25">
      <c r="A36" s="52" t="s">
        <v>96</v>
      </c>
      <c r="B36" s="52"/>
      <c r="C36" s="131"/>
      <c r="D36" s="103">
        <f>+'PCR Cycle 2'!D38</f>
        <v>2.1128200000000001E-3</v>
      </c>
      <c r="E36" s="103">
        <f>+'PCR Cycle 2'!E38</f>
        <v>2.28459E-3</v>
      </c>
      <c r="F36" s="103">
        <f>+'PCR Cycle 2'!F38</f>
        <v>2.3424800000000001E-3</v>
      </c>
      <c r="G36" s="105">
        <f>+'PCR Cycle 2'!G38</f>
        <v>2.37535E-3</v>
      </c>
      <c r="H36" s="103">
        <f>+'PCR Cycle 2'!H38</f>
        <v>2.5423099999999999E-3</v>
      </c>
      <c r="I36" s="104">
        <f>+'PCR Cycle 2'!I38</f>
        <v>2.6220499999999999E-3</v>
      </c>
      <c r="J36" s="105">
        <f>+'PCR Cycle 2'!J38</f>
        <v>2.6220499999999999E-3</v>
      </c>
      <c r="K36" s="103">
        <f>+'PCR Cycle 2'!K38</f>
        <v>2.6220499999999999E-3</v>
      </c>
      <c r="L36" s="106"/>
    </row>
    <row r="37" spans="1:12" x14ac:dyDescent="0.25">
      <c r="A37" s="52" t="s">
        <v>44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12" x14ac:dyDescent="0.25">
      <c r="A38" s="61" t="s">
        <v>29</v>
      </c>
      <c r="C38" s="127">
        <v>-2717.9</v>
      </c>
      <c r="D38" s="216">
        <f>ROUND((C33+C38+D29/2)*D$36,2)</f>
        <v>1479.32</v>
      </c>
      <c r="E38" s="216">
        <f t="shared" ref="E38:L38" si="8">ROUND((D33+D38+E29/2)*E$36,2)</f>
        <v>1414.26</v>
      </c>
      <c r="F38" s="219">
        <f t="shared" si="8"/>
        <v>1034.1500000000001</v>
      </c>
      <c r="G38" s="53">
        <f t="shared" si="8"/>
        <v>607.04999999999995</v>
      </c>
      <c r="H38" s="150">
        <f t="shared" si="8"/>
        <v>422.48</v>
      </c>
      <c r="I38" s="135">
        <f t="shared" si="8"/>
        <v>307.76</v>
      </c>
      <c r="J38" s="184">
        <f t="shared" si="8"/>
        <v>392.24</v>
      </c>
      <c r="K38" s="135">
        <f t="shared" si="8"/>
        <v>1005.51</v>
      </c>
      <c r="L38" s="77">
        <f t="shared" si="8"/>
        <v>0</v>
      </c>
    </row>
    <row r="39" spans="1:12" ht="15.75" thickBot="1" x14ac:dyDescent="0.3">
      <c r="A39" s="61" t="s">
        <v>30</v>
      </c>
      <c r="C39" s="127">
        <v>-3302.63</v>
      </c>
      <c r="D39" s="216">
        <f>ROUND((C34+C39+D30/2)*D$36,2)</f>
        <v>1648.99</v>
      </c>
      <c r="E39" s="216">
        <f t="shared" ref="E39:L39" si="9">ROUND((D34+D39+E30/2)*E$36,2)</f>
        <v>1835.68</v>
      </c>
      <c r="F39" s="219">
        <f t="shared" si="9"/>
        <v>1923.56</v>
      </c>
      <c r="G39" s="53">
        <f t="shared" si="9"/>
        <v>1771.39</v>
      </c>
      <c r="H39" s="150">
        <f t="shared" si="9"/>
        <v>1527.29</v>
      </c>
      <c r="I39" s="135">
        <f t="shared" si="9"/>
        <v>1235.52</v>
      </c>
      <c r="J39" s="184">
        <f t="shared" si="9"/>
        <v>944.25</v>
      </c>
      <c r="K39" s="135">
        <f t="shared" si="9"/>
        <v>826.27</v>
      </c>
      <c r="L39" s="77">
        <f t="shared" si="9"/>
        <v>0</v>
      </c>
    </row>
    <row r="40" spans="1:12" ht="16.5" thickTop="1" thickBot="1" x14ac:dyDescent="0.3">
      <c r="A40" s="69" t="s">
        <v>25</v>
      </c>
      <c r="B40" s="69"/>
      <c r="C40" s="134">
        <v>0</v>
      </c>
      <c r="D40" s="55">
        <f>SUM(D38:D39)+SUM(D33:D34)-D43</f>
        <v>0</v>
      </c>
      <c r="E40" s="55">
        <f t="shared" ref="E40:L40" si="10">SUM(E38:E39)+SUM(E33:E34)-E43</f>
        <v>0</v>
      </c>
      <c r="F40" s="65">
        <f t="shared" si="10"/>
        <v>0</v>
      </c>
      <c r="G40" s="66">
        <f t="shared" si="10"/>
        <v>0</v>
      </c>
      <c r="H40" s="55">
        <f t="shared" si="10"/>
        <v>0</v>
      </c>
      <c r="I40" s="65">
        <f t="shared" si="10"/>
        <v>0</v>
      </c>
      <c r="J40" s="194">
        <f t="shared" si="10"/>
        <v>0</v>
      </c>
      <c r="K40" s="65">
        <f t="shared" si="10"/>
        <v>0</v>
      </c>
      <c r="L40" s="78">
        <f t="shared" si="10"/>
        <v>2.9103830456733704E-10</v>
      </c>
    </row>
    <row r="41" spans="1:12" ht="16.5" thickTop="1" thickBot="1" x14ac:dyDescent="0.3">
      <c r="A41" s="69" t="s">
        <v>26</v>
      </c>
      <c r="B41" s="69"/>
      <c r="C41" s="134">
        <v>0</v>
      </c>
      <c r="D41" s="55">
        <f>SUM(D38:D39)-D26</f>
        <v>0</v>
      </c>
      <c r="E41" s="55">
        <f t="shared" ref="E41:I41" si="11">SUM(E38:E39)-E26</f>
        <v>0</v>
      </c>
      <c r="F41" s="65">
        <f t="shared" ref="F41:H41" si="12">SUM(F38:F39)-F26</f>
        <v>0</v>
      </c>
      <c r="G41" s="66">
        <f t="shared" si="12"/>
        <v>0</v>
      </c>
      <c r="H41" s="55">
        <f t="shared" si="12"/>
        <v>0</v>
      </c>
      <c r="I41" s="65">
        <f t="shared" si="11"/>
        <v>-1.999999999998181E-2</v>
      </c>
      <c r="J41" s="66">
        <f t="shared" ref="J41:L41" si="13">SUM(J38:J39)-J26</f>
        <v>0</v>
      </c>
      <c r="K41" s="55">
        <f t="shared" si="13"/>
        <v>0</v>
      </c>
      <c r="L41" s="55">
        <f t="shared" si="13"/>
        <v>0</v>
      </c>
    </row>
    <row r="42" spans="1:12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12" ht="15.75" thickBot="1" x14ac:dyDescent="0.3">
      <c r="A43" s="61" t="s">
        <v>42</v>
      </c>
      <c r="B43" s="146">
        <f>+B33+B34</f>
        <v>677241.53089749708</v>
      </c>
      <c r="C43" s="127">
        <f t="shared" ref="C43" si="14">(C12-SUM(C15:C16))+SUM(C38:C39)+B43</f>
        <v>1503093.7842648937</v>
      </c>
      <c r="D43" s="54">
        <f t="shared" ref="D43:L43" si="15">(D12-SUM(D15:D16))+SUM(D38:D39)+C43</f>
        <v>1461299.8542648938</v>
      </c>
      <c r="E43" s="54">
        <f t="shared" si="15"/>
        <v>1387050.9142648936</v>
      </c>
      <c r="F43" s="135">
        <f t="shared" si="15"/>
        <v>1141185.0142648935</v>
      </c>
      <c r="G43" s="53">
        <f t="shared" si="15"/>
        <v>863799.37426489359</v>
      </c>
      <c r="H43" s="54">
        <f t="shared" si="15"/>
        <v>672002.43426489364</v>
      </c>
      <c r="I43" s="135">
        <f t="shared" si="15"/>
        <v>506699.91426489362</v>
      </c>
      <c r="J43" s="184">
        <f t="shared" si="15"/>
        <v>514062.73833619605</v>
      </c>
      <c r="K43" s="135">
        <f t="shared" si="15"/>
        <v>884973.9748564047</v>
      </c>
      <c r="L43" s="77">
        <f t="shared" si="15"/>
        <v>56535.615482098307</v>
      </c>
    </row>
    <row r="44" spans="1:12" x14ac:dyDescent="0.25">
      <c r="A44" s="61" t="s">
        <v>14</v>
      </c>
      <c r="C44" s="147"/>
      <c r="D44" s="17"/>
      <c r="E44" s="17"/>
      <c r="F44" s="17"/>
      <c r="G44" s="10"/>
      <c r="H44" s="17"/>
      <c r="I44" s="17"/>
      <c r="J44" s="10"/>
      <c r="K44" s="17"/>
      <c r="L44" s="11"/>
    </row>
    <row r="45" spans="1:12" ht="15.75" thickBot="1" x14ac:dyDescent="0.3">
      <c r="A45" s="50"/>
      <c r="B45" s="50"/>
      <c r="C45" s="195"/>
      <c r="D45" s="57"/>
      <c r="E45" s="57"/>
      <c r="F45" s="57"/>
      <c r="G45" s="56"/>
      <c r="H45" s="57"/>
      <c r="I45" s="57"/>
      <c r="J45" s="56"/>
      <c r="K45" s="57"/>
      <c r="L45" s="58"/>
    </row>
    <row r="47" spans="1:12" x14ac:dyDescent="0.25">
      <c r="A47" s="85" t="s">
        <v>13</v>
      </c>
      <c r="B47" s="85"/>
      <c r="C47" s="85"/>
    </row>
    <row r="48" spans="1:12" ht="43.5" customHeight="1" x14ac:dyDescent="0.25">
      <c r="A48" s="236" t="s">
        <v>146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</row>
    <row r="49" spans="1:12" ht="35.25" customHeight="1" x14ac:dyDescent="0.25">
      <c r="A49" s="235" t="s">
        <v>135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</row>
    <row r="50" spans="1:12" ht="33" customHeight="1" x14ac:dyDescent="0.25">
      <c r="A50" s="236" t="s">
        <v>147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</row>
    <row r="51" spans="1:12" x14ac:dyDescent="0.25">
      <c r="A51" s="3" t="s">
        <v>90</v>
      </c>
      <c r="B51" s="3"/>
      <c r="C51" s="3"/>
    </row>
    <row r="52" spans="1:12" x14ac:dyDescent="0.25">
      <c r="A52" s="3" t="s">
        <v>134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  <row r="55" spans="1:12" x14ac:dyDescent="0.25">
      <c r="G55" s="214"/>
      <c r="H55" s="214"/>
      <c r="I55" s="214"/>
    </row>
    <row r="56" spans="1:12" x14ac:dyDescent="0.25">
      <c r="I56" s="217"/>
      <c r="J56" s="217"/>
    </row>
    <row r="57" spans="1:12" x14ac:dyDescent="0.25">
      <c r="I57" s="217"/>
      <c r="J57" s="217"/>
      <c r="K57" s="218"/>
      <c r="L57" s="218"/>
    </row>
  </sheetData>
  <mergeCells count="6">
    <mergeCell ref="A50:L50"/>
    <mergeCell ref="D10:F10"/>
    <mergeCell ref="A48:L48"/>
    <mergeCell ref="A49:L49"/>
    <mergeCell ref="G10:I10"/>
    <mergeCell ref="J10:L10"/>
  </mergeCells>
  <pageMargins left="0.2" right="0.2" top="0.75" bottom="0.25" header="0.3" footer="0.3"/>
  <pageSetup scale="57" orientation="landscape" r:id="rId1"/>
  <headerFooter>
    <oddHeader>&amp;C&amp;F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K1" sqref="K1"/>
    </sheetView>
  </sheetViews>
  <sheetFormatPr defaultRowHeight="15" x14ac:dyDescent="0.25"/>
  <cols>
    <col min="1" max="1" width="27.42578125" customWidth="1"/>
    <col min="2" max="2" width="14.28515625" bestFit="1" customWidth="1"/>
    <col min="3" max="3" width="11.85546875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10" x14ac:dyDescent="0.25">
      <c r="A1" s="79" t="str">
        <f>+PPC!A1</f>
        <v>KCP&amp;L Greater Missouri Operations Company - DSIM Rider Update Filed 06/01/2018</v>
      </c>
      <c r="B1" s="61"/>
      <c r="C1" s="61"/>
      <c r="D1" s="61"/>
      <c r="J1" s="61"/>
    </row>
    <row r="2" spans="1:10" x14ac:dyDescent="0.25">
      <c r="A2" s="9" t="str">
        <f>+PPC!A2</f>
        <v>Projections for Cycle 2 July - December 2018 DSIM</v>
      </c>
      <c r="B2" s="61"/>
      <c r="C2" s="61"/>
      <c r="D2" s="61"/>
    </row>
    <row r="3" spans="1:10" x14ac:dyDescent="0.25">
      <c r="A3" s="61"/>
      <c r="B3" s="228" t="s">
        <v>100</v>
      </c>
      <c r="C3" s="228"/>
      <c r="D3" s="228"/>
    </row>
    <row r="4" spans="1:10" ht="75" x14ac:dyDescent="0.25">
      <c r="A4" s="61"/>
      <c r="B4" s="86" t="s">
        <v>103</v>
      </c>
      <c r="C4" s="86" t="s">
        <v>104</v>
      </c>
      <c r="D4" s="63"/>
      <c r="E4" s="86" t="s">
        <v>105</v>
      </c>
      <c r="F4" s="86" t="s">
        <v>106</v>
      </c>
      <c r="G4" s="86" t="s">
        <v>87</v>
      </c>
    </row>
    <row r="5" spans="1:10" x14ac:dyDescent="0.25">
      <c r="A5" s="22" t="s">
        <v>102</v>
      </c>
      <c r="B5" s="86"/>
      <c r="C5" s="86"/>
      <c r="D5" s="199">
        <f>+'[9]PI Allocation'!$B$5</f>
        <v>5461152.9000000004</v>
      </c>
    </row>
    <row r="6" spans="1:10" x14ac:dyDescent="0.25">
      <c r="A6" s="22"/>
      <c r="B6" s="86"/>
      <c r="C6" s="86"/>
      <c r="D6" s="200"/>
    </row>
    <row r="7" spans="1:10" x14ac:dyDescent="0.25">
      <c r="A7" s="22"/>
      <c r="B7" s="86"/>
      <c r="C7" s="86"/>
      <c r="D7" s="200"/>
    </row>
    <row r="8" spans="1:10" x14ac:dyDescent="0.25">
      <c r="A8" s="22" t="s">
        <v>29</v>
      </c>
      <c r="B8" s="93">
        <f>+'[9]PI Allocation'!$B$28</f>
        <v>85567046</v>
      </c>
      <c r="C8" s="201">
        <f>+B8/$B$10</f>
        <v>0.39907902980160825</v>
      </c>
      <c r="D8" s="36">
        <f>ROUND($D$5*C8,2)</f>
        <v>2179431.6</v>
      </c>
      <c r="E8" s="179">
        <f>+'[9]GMO PI Cycle 1'!$K$65</f>
        <v>41263.03</v>
      </c>
      <c r="F8" s="24">
        <f>SUM(D8:E8)</f>
        <v>2220694.63</v>
      </c>
      <c r="G8" s="36">
        <f>ROUND(F8/4,2)</f>
        <v>555173.66</v>
      </c>
    </row>
    <row r="9" spans="1:10" x14ac:dyDescent="0.25">
      <c r="A9" s="22" t="s">
        <v>30</v>
      </c>
      <c r="B9" s="93">
        <f>+'[9]PI Allocation'!$B$29</f>
        <v>128844235</v>
      </c>
      <c r="C9" s="201">
        <f>+B9/$B$10</f>
        <v>0.60092097019839175</v>
      </c>
      <c r="D9" s="36">
        <f>ROUND($D$5*C9,2)</f>
        <v>3281721.3</v>
      </c>
      <c r="E9" s="179">
        <f>+'[9]GMO PI Cycle 1'!$X$65</f>
        <v>62132.61</v>
      </c>
      <c r="F9" s="24">
        <f>SUM(D9:E9)</f>
        <v>3343853.9099999997</v>
      </c>
      <c r="G9" s="36">
        <f>ROUND(F9/4,2)</f>
        <v>835963.48</v>
      </c>
    </row>
    <row r="10" spans="1:10" ht="15.75" thickBot="1" x14ac:dyDescent="0.3">
      <c r="A10" s="22" t="s">
        <v>6</v>
      </c>
      <c r="B10" s="35">
        <f t="shared" ref="B10:G10" si="0">SUM(B8:B9)</f>
        <v>214411281</v>
      </c>
      <c r="C10" s="201">
        <f t="shared" si="0"/>
        <v>1</v>
      </c>
      <c r="D10" s="24">
        <f t="shared" si="0"/>
        <v>5461152.9000000004</v>
      </c>
      <c r="E10" s="204">
        <f t="shared" si="0"/>
        <v>103395.64</v>
      </c>
      <c r="F10" s="24">
        <f t="shared" si="0"/>
        <v>5564548.5399999991</v>
      </c>
      <c r="G10" s="24">
        <f t="shared" si="0"/>
        <v>1391137.1400000001</v>
      </c>
    </row>
    <row r="11" spans="1:10" ht="16.5" thickTop="1" thickBot="1" x14ac:dyDescent="0.3">
      <c r="A11" s="61"/>
      <c r="B11" s="33" t="s">
        <v>12</v>
      </c>
      <c r="C11" s="33"/>
      <c r="D11" s="21">
        <f>ROUND(D5,2)-D10</f>
        <v>0</v>
      </c>
    </row>
    <row r="12" spans="1:10" ht="15.75" thickTop="1" x14ac:dyDescent="0.25">
      <c r="A12" s="61"/>
      <c r="B12" s="61"/>
      <c r="C12" s="61"/>
      <c r="D12" s="61"/>
    </row>
    <row r="13" spans="1:10" x14ac:dyDescent="0.25">
      <c r="A13" s="61"/>
      <c r="B13" s="61"/>
      <c r="C13" s="61"/>
      <c r="D13" s="61"/>
    </row>
    <row r="14" spans="1:10" x14ac:dyDescent="0.25">
      <c r="A14" s="61"/>
      <c r="B14" s="61"/>
      <c r="C14" s="61"/>
      <c r="D14" s="61"/>
    </row>
    <row r="15" spans="1:10" x14ac:dyDescent="0.25">
      <c r="A15" s="61"/>
      <c r="B15" s="61"/>
      <c r="C15" s="61"/>
      <c r="D15" s="61"/>
    </row>
    <row r="16" spans="1:10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107</v>
      </c>
      <c r="B18" s="61"/>
      <c r="C18" s="61"/>
      <c r="D18" s="61"/>
    </row>
    <row r="19" spans="1:4" x14ac:dyDescent="0.25">
      <c r="A19" s="3" t="s">
        <v>108</v>
      </c>
      <c r="B19" s="61"/>
      <c r="C19" s="61"/>
      <c r="D19" s="61"/>
    </row>
    <row r="20" spans="1:4" x14ac:dyDescent="0.25">
      <c r="A20" s="3" t="s">
        <v>109</v>
      </c>
    </row>
    <row r="21" spans="1:4" x14ac:dyDescent="0.25">
      <c r="A21" s="3" t="s">
        <v>110</v>
      </c>
    </row>
    <row r="22" spans="1:4" x14ac:dyDescent="0.25">
      <c r="A22" s="3" t="s">
        <v>111</v>
      </c>
    </row>
  </sheetData>
  <mergeCells count="1">
    <mergeCell ref="B3:D3"/>
  </mergeCells>
  <pageMargins left="0.45" right="0.45" top="0.5" bottom="0.5" header="0.3" footer="0.3"/>
  <pageSetup scale="91" orientation="landscape" r:id="rId1"/>
  <headerFooter>
    <oddHeader>&amp;C&amp;F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tabSelected="1" zoomScaleNormal="100" workbookViewId="0">
      <selection activeCell="K1" sqref="K1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KCP&amp;L Greater Missouri Operations Company - DSIM Rider Update Filed 06/01/2018</v>
      </c>
      <c r="B1" s="3"/>
      <c r="C1" s="3"/>
    </row>
    <row r="2" spans="1:34" x14ac:dyDescent="0.25">
      <c r="D2" s="3" t="s">
        <v>112</v>
      </c>
    </row>
    <row r="3" spans="1:34" ht="75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86" t="s">
        <v>87</v>
      </c>
      <c r="L3" s="86" t="s">
        <v>114</v>
      </c>
      <c r="M3" s="86" t="s">
        <v>115</v>
      </c>
    </row>
    <row r="4" spans="1:34" x14ac:dyDescent="0.25">
      <c r="A4" s="61" t="s">
        <v>29</v>
      </c>
      <c r="D4" s="24">
        <f>SUM(C16:L16)</f>
        <v>579107.53477957973</v>
      </c>
      <c r="E4" s="24">
        <f>SUM(C12:K12)</f>
        <v>0</v>
      </c>
      <c r="F4" s="24">
        <f>E4-D4</f>
        <v>-579107.53477957973</v>
      </c>
      <c r="G4" s="24">
        <f>+B26</f>
        <v>1156640.8272000002</v>
      </c>
      <c r="H4" s="24">
        <f>SUM(C31:K31)</f>
        <v>14955.07</v>
      </c>
      <c r="I4" s="36">
        <f>SUM(F4:H4)</f>
        <v>592488.3624204204</v>
      </c>
      <c r="J4" s="62">
        <f>+I4-L26</f>
        <v>0</v>
      </c>
      <c r="K4" s="36">
        <f>+I4/12*6</f>
        <v>296244.1812102102</v>
      </c>
      <c r="L4" s="36">
        <f>-EO!G8</f>
        <v>-555173.66</v>
      </c>
      <c r="M4" s="36">
        <f>SUM(K4:L4)</f>
        <v>-258929.47878978983</v>
      </c>
    </row>
    <row r="5" spans="1:34" ht="15.75" thickBot="1" x14ac:dyDescent="0.3">
      <c r="A5" s="61" t="s">
        <v>30</v>
      </c>
      <c r="D5" s="24">
        <f>SUM(C17:L17)</f>
        <v>873121.00354433188</v>
      </c>
      <c r="E5" s="24">
        <f>SUM(C13:K13)</f>
        <v>0</v>
      </c>
      <c r="F5" s="24">
        <f>E5-D5</f>
        <v>-873121.00354433188</v>
      </c>
      <c r="G5" s="24">
        <f>+B27</f>
        <v>1697345.7705443315</v>
      </c>
      <c r="H5" s="24">
        <f>SUM(C32:K32)</f>
        <v>21749.599999999999</v>
      </c>
      <c r="I5" s="36">
        <f>SUM(F5:H5)</f>
        <v>845974.36699999962</v>
      </c>
      <c r="J5" s="62">
        <f>+I5-L27</f>
        <v>0</v>
      </c>
      <c r="K5" s="36">
        <f>+I5/12*6</f>
        <v>422987.18349999981</v>
      </c>
      <c r="L5" s="36">
        <f>-EO!G9</f>
        <v>-835963.48</v>
      </c>
      <c r="M5" s="36">
        <f>SUM(K5:L5)</f>
        <v>-412976.29650000017</v>
      </c>
    </row>
    <row r="6" spans="1:34" ht="16.5" thickTop="1" thickBot="1" x14ac:dyDescent="0.3">
      <c r="D6" s="40">
        <f t="shared" ref="D6" si="0">SUM(D4:D5)</f>
        <v>1452228.5383239116</v>
      </c>
      <c r="E6" s="40">
        <f>SUM(E4:E5)</f>
        <v>0</v>
      </c>
      <c r="F6" s="40">
        <f>SUM(F4:F5)</f>
        <v>-1452228.5383239116</v>
      </c>
      <c r="G6" s="40">
        <f>SUM(G4:G5)</f>
        <v>2853986.5977443317</v>
      </c>
      <c r="H6" s="94">
        <f>SUM(H4:H5)</f>
        <v>36704.67</v>
      </c>
      <c r="I6" s="40">
        <f>SUM(I4:I5)</f>
        <v>1438462.72942042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12/01/2017 Filing</v>
      </c>
      <c r="C8" s="220" t="str">
        <f>+'PCR Cycle 1'!C8</f>
        <v>Reverse Nov-17 - Dec-17  Forecast From 12/01/2017 Filing</v>
      </c>
      <c r="D8" s="237" t="s">
        <v>39</v>
      </c>
      <c r="E8" s="237"/>
      <c r="F8" s="238"/>
      <c r="G8" s="229" t="s">
        <v>39</v>
      </c>
      <c r="H8" s="230"/>
      <c r="I8" s="231"/>
      <c r="J8" s="239" t="s">
        <v>9</v>
      </c>
      <c r="K8" s="240"/>
      <c r="L8" s="241"/>
    </row>
    <row r="9" spans="1:34" x14ac:dyDescent="0.25">
      <c r="C9" s="14"/>
      <c r="D9" s="20">
        <f>+'PCR Cycle 1'!D9</f>
        <v>43069</v>
      </c>
      <c r="E9" s="20">
        <f t="shared" ref="E9:L9" si="1">EOMONTH(D9,1)</f>
        <v>43100</v>
      </c>
      <c r="F9" s="20">
        <f t="shared" si="1"/>
        <v>43131</v>
      </c>
      <c r="G9" s="14">
        <f t="shared" si="1"/>
        <v>43159</v>
      </c>
      <c r="H9" s="20">
        <f t="shared" si="1"/>
        <v>43190</v>
      </c>
      <c r="I9" s="20">
        <f t="shared" si="1"/>
        <v>43220</v>
      </c>
      <c r="J9" s="14">
        <f t="shared" si="1"/>
        <v>43251</v>
      </c>
      <c r="K9" s="20">
        <f t="shared" si="1"/>
        <v>43281</v>
      </c>
      <c r="L9" s="122">
        <f t="shared" si="1"/>
        <v>43312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117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119</v>
      </c>
      <c r="C15" s="126"/>
      <c r="D15" s="18"/>
      <c r="E15" s="18"/>
      <c r="F15" s="18"/>
      <c r="G15" s="118"/>
      <c r="H15" s="18"/>
      <c r="J15" s="183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-294715.81279999996</v>
      </c>
      <c r="D16" s="136">
        <f>ROUND('[3]Revenue Analysis'!M120,2)</f>
        <v>73617.31</v>
      </c>
      <c r="E16" s="136">
        <f>ROUND('[3]Revenue Analysis'!N120,2)</f>
        <v>85234.84</v>
      </c>
      <c r="F16" s="137">
        <f>ROUND('[4]Revenue Analysis'!C165,2)</f>
        <v>131988.42000000001</v>
      </c>
      <c r="G16" s="221">
        <f>ROUND('[4]Revenue Analysis'!D165,2)</f>
        <v>112790.54</v>
      </c>
      <c r="H16" s="179">
        <f>ROUND('[4]Revenue Analysis'!E165,2)</f>
        <v>96565.4</v>
      </c>
      <c r="I16" s="180">
        <f>ROUND('[4]Revenue Analysis'!F165,2)</f>
        <v>95160.72</v>
      </c>
      <c r="J16" s="53">
        <f>+$M16*'PCR Cycle 1'!J21</f>
        <v>71198.205020333829</v>
      </c>
      <c r="K16" s="54">
        <f>+$M16*'PCR Cycle 1'!K21</f>
        <v>86818.175700120599</v>
      </c>
      <c r="L16" s="54">
        <f>+$M16*'PCR Cycle 1'!L21</f>
        <v>120449.73685912536</v>
      </c>
      <c r="M16" s="88">
        <v>3.4000000000000002E-4</v>
      </c>
    </row>
    <row r="17" spans="1:13" x14ac:dyDescent="0.25">
      <c r="A17" s="61" t="s">
        <v>30</v>
      </c>
      <c r="C17" s="124">
        <v>-406213.61945566803</v>
      </c>
      <c r="D17" s="136">
        <f>ROUND('[3]Revenue Analysis'!M121,2)</f>
        <v>132898.48000000001</v>
      </c>
      <c r="E17" s="136">
        <f>ROUND('[3]Revenue Analysis'!N121,2)</f>
        <v>133721.62</v>
      </c>
      <c r="F17" s="137">
        <f>ROUND('[4]Revenue Analysis'!C166,2)</f>
        <v>155669.59</v>
      </c>
      <c r="G17" s="221">
        <f>ROUND('[4]Revenue Analysis'!D166,2)</f>
        <v>137627.01</v>
      </c>
      <c r="H17" s="179">
        <f>ROUND('[4]Revenue Analysis'!E166,2)</f>
        <v>138658.49</v>
      </c>
      <c r="I17" s="180">
        <f>ROUND('[4]Revenue Analysis'!F166,2)</f>
        <v>137695.72</v>
      </c>
      <c r="J17" s="53">
        <f>+$M17*'PCR Cycle 1'!J22</f>
        <v>134922.0595</v>
      </c>
      <c r="K17" s="54">
        <f>+$M17*'PCR Cycle 1'!K22</f>
        <v>147650.242</v>
      </c>
      <c r="L17" s="54">
        <f>+$M17*'PCR Cycle 1'!L22</f>
        <v>160491.41150000002</v>
      </c>
      <c r="M17" s="88">
        <v>5.0000000000000001E-4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120</v>
      </c>
      <c r="C19" s="130">
        <v>-13832.39</v>
      </c>
      <c r="D19" s="139">
        <v>7263.51</v>
      </c>
      <c r="E19" s="139">
        <v>7384.6100000000006</v>
      </c>
      <c r="F19" s="140">
        <v>6995.65</v>
      </c>
      <c r="G19" s="39">
        <v>6471.3700000000008</v>
      </c>
      <c r="H19" s="149">
        <v>6325.37</v>
      </c>
      <c r="I19" s="209">
        <v>5926.68</v>
      </c>
      <c r="J19" s="185"/>
      <c r="K19" s="173"/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2">C12-C16</f>
        <v>294715.81279999996</v>
      </c>
      <c r="D22" s="54">
        <f t="shared" ref="D22:L22" si="3">D12-D16</f>
        <v>-73617.31</v>
      </c>
      <c r="E22" s="54">
        <f t="shared" si="3"/>
        <v>-85234.84</v>
      </c>
      <c r="F22" s="135">
        <f t="shared" si="3"/>
        <v>-131988.42000000001</v>
      </c>
      <c r="G22" s="53">
        <f t="shared" si="3"/>
        <v>-112790.54</v>
      </c>
      <c r="H22" s="54">
        <f t="shared" si="3"/>
        <v>-96565.4</v>
      </c>
      <c r="I22" s="135">
        <f t="shared" si="3"/>
        <v>-95160.72</v>
      </c>
      <c r="J22" s="53">
        <f t="shared" si="3"/>
        <v>-71198.205020333829</v>
      </c>
      <c r="K22" s="54">
        <f t="shared" si="3"/>
        <v>-86818.175700120599</v>
      </c>
      <c r="L22" s="64">
        <f t="shared" si="3"/>
        <v>-120449.73685912536</v>
      </c>
    </row>
    <row r="23" spans="1:13" x14ac:dyDescent="0.25">
      <c r="A23" s="61" t="s">
        <v>30</v>
      </c>
      <c r="C23" s="53">
        <f t="shared" ref="C23" si="4">C13-C17</f>
        <v>406213.61945566803</v>
      </c>
      <c r="D23" s="54">
        <f t="shared" ref="D23:L23" si="5">D13-D17</f>
        <v>-132898.48000000001</v>
      </c>
      <c r="E23" s="54">
        <f t="shared" si="5"/>
        <v>-133721.62</v>
      </c>
      <c r="F23" s="135">
        <f t="shared" si="5"/>
        <v>-155669.59</v>
      </c>
      <c r="G23" s="53">
        <f t="shared" si="5"/>
        <v>-137627.01</v>
      </c>
      <c r="H23" s="54">
        <f t="shared" si="5"/>
        <v>-138658.49</v>
      </c>
      <c r="I23" s="135">
        <f t="shared" si="5"/>
        <v>-137695.72</v>
      </c>
      <c r="J23" s="53">
        <f t="shared" si="5"/>
        <v>-134922.0595</v>
      </c>
      <c r="K23" s="54">
        <f t="shared" si="5"/>
        <v>-147650.242</v>
      </c>
      <c r="L23" s="64">
        <f t="shared" si="5"/>
        <v>-160491.41150000002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1156640.8272000002</v>
      </c>
      <c r="C26" s="54">
        <f>B26+C22+B31</f>
        <v>1451356.6400000001</v>
      </c>
      <c r="D26" s="54">
        <f t="shared" ref="D26:L27" si="6">C26+D22+C31</f>
        <v>1372064.98</v>
      </c>
      <c r="E26" s="54">
        <f t="shared" si="6"/>
        <v>1289806.8399999999</v>
      </c>
      <c r="F26" s="135">
        <f t="shared" si="6"/>
        <v>1160862.46</v>
      </c>
      <c r="G26" s="53">
        <f t="shared" si="6"/>
        <v>1050945.8099999998</v>
      </c>
      <c r="H26" s="54">
        <f t="shared" si="6"/>
        <v>957010.72999999975</v>
      </c>
      <c r="I26" s="135">
        <f t="shared" si="6"/>
        <v>864405.7799999998</v>
      </c>
      <c r="J26" s="53">
        <f t="shared" si="6"/>
        <v>795598.84497966594</v>
      </c>
      <c r="K26" s="54">
        <f t="shared" si="6"/>
        <v>710960.10927954526</v>
      </c>
      <c r="L26" s="64">
        <f t="shared" si="6"/>
        <v>592488.36242041993</v>
      </c>
    </row>
    <row r="27" spans="1:13" ht="15.75" thickBot="1" x14ac:dyDescent="0.3">
      <c r="A27" s="61" t="s">
        <v>30</v>
      </c>
      <c r="B27" s="144">
        <v>1697345.7705443315</v>
      </c>
      <c r="C27" s="54">
        <f>B27+C23+B32</f>
        <v>2103559.3899999997</v>
      </c>
      <c r="D27" s="54">
        <f t="shared" si="6"/>
        <v>1962502.8699999996</v>
      </c>
      <c r="E27" s="54">
        <f t="shared" si="6"/>
        <v>1833068.0599999996</v>
      </c>
      <c r="F27" s="135">
        <f t="shared" si="6"/>
        <v>1681739.0299999996</v>
      </c>
      <c r="G27" s="53">
        <f t="shared" si="6"/>
        <v>1548233.7899999996</v>
      </c>
      <c r="H27" s="54">
        <f t="shared" si="6"/>
        <v>1413416.3499999996</v>
      </c>
      <c r="I27" s="135">
        <f t="shared" si="6"/>
        <v>1279490.2299999997</v>
      </c>
      <c r="J27" s="53">
        <f t="shared" si="6"/>
        <v>1148103.5804999997</v>
      </c>
      <c r="K27" s="54">
        <f t="shared" si="6"/>
        <v>1003640.6084999997</v>
      </c>
      <c r="L27" s="64">
        <f t="shared" si="6"/>
        <v>845974.36699999974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121</v>
      </c>
      <c r="B29" s="52"/>
      <c r="C29" s="131"/>
      <c r="D29" s="103">
        <f>+'PCR Cycle 1'!D38</f>
        <v>2.1128200000000001E-3</v>
      </c>
      <c r="E29" s="103">
        <f>+'PCR Cycle 1'!E38</f>
        <v>2.28459E-3</v>
      </c>
      <c r="F29" s="103">
        <f>+'PCR Cycle 1'!F38</f>
        <v>2.3424800000000001E-3</v>
      </c>
      <c r="G29" s="105">
        <f>+'PCR Cycle 1'!G38</f>
        <v>2.37535E-3</v>
      </c>
      <c r="H29" s="103">
        <f>+'PCR Cycle 1'!H38</f>
        <v>2.5423099999999999E-3</v>
      </c>
      <c r="I29" s="104">
        <f>+'PCR Cycle 1'!I38</f>
        <v>2.6220499999999999E-3</v>
      </c>
      <c r="J29" s="105">
        <f>+I29</f>
        <v>2.6220499999999999E-3</v>
      </c>
      <c r="K29" s="103">
        <f>+J29</f>
        <v>2.6220499999999999E-3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-5674.35</v>
      </c>
      <c r="D31" s="54">
        <f>ROUND((C26+C31+D22/2)*D$29,2)</f>
        <v>2976.7</v>
      </c>
      <c r="E31" s="54">
        <f t="shared" ref="E31:K32" si="7">ROUND((D26+D31+E22/2)*E$29,2)</f>
        <v>3044.04</v>
      </c>
      <c r="F31" s="135">
        <f t="shared" si="7"/>
        <v>2873.89</v>
      </c>
      <c r="G31" s="53">
        <f t="shared" si="7"/>
        <v>2630.32</v>
      </c>
      <c r="H31" s="150">
        <f t="shared" si="7"/>
        <v>2555.77</v>
      </c>
      <c r="I31" s="210">
        <f t="shared" si="7"/>
        <v>2391.27</v>
      </c>
      <c r="J31" s="53">
        <f t="shared" si="7"/>
        <v>2179.44</v>
      </c>
      <c r="K31" s="150">
        <f t="shared" si="7"/>
        <v>1977.99</v>
      </c>
      <c r="L31" s="64"/>
    </row>
    <row r="32" spans="1:13" ht="15.75" thickBot="1" x14ac:dyDescent="0.3">
      <c r="A32" s="61" t="s">
        <v>30</v>
      </c>
      <c r="C32" s="141">
        <v>-8158.0399999999991</v>
      </c>
      <c r="D32" s="54">
        <f>ROUND((C27+C32+D23/2)*D$29,2)</f>
        <v>4286.8100000000004</v>
      </c>
      <c r="E32" s="54">
        <f t="shared" si="7"/>
        <v>4340.5600000000004</v>
      </c>
      <c r="F32" s="135">
        <f t="shared" si="7"/>
        <v>4121.7700000000004</v>
      </c>
      <c r="G32" s="53">
        <f t="shared" si="7"/>
        <v>3841.05</v>
      </c>
      <c r="H32" s="150">
        <f t="shared" si="7"/>
        <v>3769.6</v>
      </c>
      <c r="I32" s="210">
        <f t="shared" si="7"/>
        <v>3535.41</v>
      </c>
      <c r="J32" s="53">
        <f t="shared" si="7"/>
        <v>3187.27</v>
      </c>
      <c r="K32" s="150">
        <f t="shared" si="7"/>
        <v>2825.17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8">SUM(D31:D32)+SUM(D26:D27)-D36</f>
        <v>0</v>
      </c>
      <c r="E33" s="45">
        <f t="shared" si="8"/>
        <v>0</v>
      </c>
      <c r="F33" s="65">
        <f t="shared" ref="F33:H33" si="9">SUM(F31:F32)+SUM(F26:F27)-F36</f>
        <v>0</v>
      </c>
      <c r="G33" s="151">
        <f t="shared" si="9"/>
        <v>0</v>
      </c>
      <c r="H33" s="45">
        <f t="shared" si="9"/>
        <v>0</v>
      </c>
      <c r="I33" s="65">
        <f t="shared" si="8"/>
        <v>0</v>
      </c>
      <c r="J33" s="66">
        <f t="shared" ref="J33:L33" si="10">SUM(J31:J32)+SUM(J26:J27)-J36</f>
        <v>0</v>
      </c>
      <c r="K33" s="45">
        <f t="shared" si="10"/>
        <v>0</v>
      </c>
      <c r="L33" s="123">
        <f t="shared" si="10"/>
        <v>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0</v>
      </c>
      <c r="E34" s="45">
        <f t="shared" ref="E34:I34" si="11">SUM(E31:E32)-E19</f>
        <v>-1.0000000000218279E-2</v>
      </c>
      <c r="F34" s="65">
        <f t="shared" ref="F34:H34" si="12">SUM(F31:F32)-F19</f>
        <v>1.0000000000218279E-2</v>
      </c>
      <c r="G34" s="66">
        <f t="shared" si="12"/>
        <v>0</v>
      </c>
      <c r="H34" s="45">
        <f t="shared" si="12"/>
        <v>0</v>
      </c>
      <c r="I34" s="65">
        <f t="shared" si="11"/>
        <v>0</v>
      </c>
      <c r="J34" s="66">
        <f t="shared" ref="J34:L34" si="13">SUM(J31:J32)-J19</f>
        <v>5366.71</v>
      </c>
      <c r="K34" s="45">
        <f t="shared" si="13"/>
        <v>4803.16</v>
      </c>
      <c r="L34" s="123">
        <f t="shared" si="13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2853986.5977443317</v>
      </c>
      <c r="C36" s="53">
        <f>(SUM(C12:C13)-SUM(C16:C17))+SUM(C31:C32)+B36</f>
        <v>3541083.6399999997</v>
      </c>
      <c r="D36" s="54">
        <f t="shared" ref="D36:L36" si="14">(SUM(D12:D13)-SUM(D16:D17))+SUM(D31:D32)+C36</f>
        <v>3341831.36</v>
      </c>
      <c r="E36" s="54">
        <f t="shared" si="14"/>
        <v>3130259.5</v>
      </c>
      <c r="F36" s="135">
        <f t="shared" si="14"/>
        <v>2849597.15</v>
      </c>
      <c r="G36" s="53">
        <f t="shared" si="14"/>
        <v>2605650.9699999997</v>
      </c>
      <c r="H36" s="54">
        <f t="shared" si="14"/>
        <v>2376752.4499999997</v>
      </c>
      <c r="I36" s="135">
        <f t="shared" si="14"/>
        <v>2149822.6899999995</v>
      </c>
      <c r="J36" s="53">
        <f t="shared" si="14"/>
        <v>1949069.1354796656</v>
      </c>
      <c r="K36" s="54">
        <f t="shared" si="14"/>
        <v>1719403.877779545</v>
      </c>
      <c r="L36" s="77">
        <f t="shared" si="14"/>
        <v>1438462.7294204198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35" t="s">
        <v>118</v>
      </c>
      <c r="B41" s="235"/>
      <c r="C41" s="235"/>
      <c r="D41" s="235"/>
      <c r="E41" s="235"/>
      <c r="F41" s="235"/>
      <c r="G41" s="235"/>
      <c r="H41" s="235"/>
      <c r="I41" s="235"/>
      <c r="J41" s="207"/>
      <c r="K41" s="207"/>
      <c r="L41" s="207"/>
    </row>
    <row r="42" spans="1:12" ht="30.75" customHeight="1" x14ac:dyDescent="0.25">
      <c r="A42" s="235" t="s">
        <v>148</v>
      </c>
      <c r="B42" s="235"/>
      <c r="C42" s="235"/>
      <c r="D42" s="235"/>
      <c r="E42" s="235"/>
      <c r="F42" s="235"/>
      <c r="G42" s="235"/>
      <c r="H42" s="235"/>
      <c r="I42" s="235"/>
      <c r="J42" s="207"/>
      <c r="K42" s="207"/>
      <c r="L42" s="207"/>
    </row>
    <row r="43" spans="1:12" x14ac:dyDescent="0.25">
      <c r="A43" s="3" t="s">
        <v>122</v>
      </c>
      <c r="B43" s="3"/>
      <c r="C43" s="3"/>
      <c r="I43" s="4"/>
    </row>
    <row r="44" spans="1:12" x14ac:dyDescent="0.25">
      <c r="A44" s="3" t="s">
        <v>149</v>
      </c>
      <c r="B44" s="3"/>
      <c r="C44" s="3"/>
      <c r="I44" s="4"/>
    </row>
    <row r="45" spans="1:12" x14ac:dyDescent="0.25">
      <c r="A45" s="3" t="s">
        <v>123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25" right="0.25" top="0.5" bottom="0.25" header="0.3" footer="0.3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c85253b9-0a55-49a1-98ad-b5b6252d707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32626E-6FB8-4E87-9032-4C4072186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EO!Print_Area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2018-05-31T15:24:02Z</cp:lastPrinted>
  <dcterms:created xsi:type="dcterms:W3CDTF">2013-08-12T19:20:10Z</dcterms:created>
  <dcterms:modified xsi:type="dcterms:W3CDTF">2018-05-31T15:24:03Z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