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MPSC Cases\ER-2020-#### Rider EEIC\"/>
    </mc:Choice>
  </mc:AlternateContent>
  <bookViews>
    <workbookView xWindow="0" yWindow="0" windowWidth="20100" windowHeight="10230" activeTab="4"/>
  </bookViews>
  <sheets>
    <sheet name="HER" sheetId="2" r:id="rId1"/>
    <sheet name="MWh" sheetId="1" r:id="rId2"/>
    <sheet name="MW" sheetId="3" r:id="rId3"/>
    <sheet name="Tstats" sheetId="6" r:id="rId4"/>
    <sheet name="Total EO" sheetId="5" r:id="rId5"/>
  </sheets>
  <definedNames>
    <definedName name="_xlnm.Print_Area" localSheetId="2">MW!$A$1:$N$34</definedName>
    <definedName name="_xlnm.Print_Area" localSheetId="1">MWh!$A$1:$N$25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J3" i="5"/>
  <c r="I4" i="5"/>
  <c r="H7" i="5"/>
  <c r="J7" i="5" s="1"/>
  <c r="H5" i="5"/>
  <c r="H6" i="5"/>
  <c r="H4" i="5"/>
  <c r="J4" i="5" s="1"/>
  <c r="H3" i="5"/>
  <c r="F5" i="5"/>
  <c r="F4" i="5"/>
  <c r="E8" i="5"/>
  <c r="D5" i="5" s="1"/>
  <c r="H8" i="5" l="1"/>
  <c r="D4" i="5"/>
  <c r="D3" i="5"/>
  <c r="D7" i="5"/>
  <c r="D6" i="5"/>
  <c r="E2" i="6"/>
  <c r="B10" i="6" l="1"/>
  <c r="I6" i="5"/>
  <c r="J6" i="5" s="1"/>
  <c r="H7" i="3"/>
  <c r="H6" i="3"/>
  <c r="H5" i="3"/>
  <c r="H4" i="3"/>
  <c r="E16" i="3" l="1"/>
  <c r="C15" i="3" l="1"/>
  <c r="B15" i="3"/>
  <c r="L14" i="3"/>
  <c r="K14" i="3"/>
  <c r="L13" i="3"/>
  <c r="K13" i="3"/>
  <c r="L12" i="3"/>
  <c r="K12" i="3"/>
  <c r="L11" i="3"/>
  <c r="K11" i="3"/>
  <c r="L10" i="3"/>
  <c r="K10" i="3"/>
  <c r="L9" i="3"/>
  <c r="K9" i="3"/>
  <c r="C8" i="3"/>
  <c r="B8" i="3"/>
  <c r="K8" i="3" s="1"/>
  <c r="L7" i="3"/>
  <c r="K7" i="3"/>
  <c r="L6" i="3"/>
  <c r="K6" i="3"/>
  <c r="L5" i="3"/>
  <c r="K5" i="3"/>
  <c r="L4" i="3"/>
  <c r="K4" i="3"/>
  <c r="E3" i="2"/>
  <c r="B16" i="3" l="1"/>
  <c r="M13" i="3"/>
  <c r="H13" i="3"/>
  <c r="M12" i="3"/>
  <c r="N12" i="3" s="1"/>
  <c r="H12" i="3"/>
  <c r="G15" i="3"/>
  <c r="M9" i="3"/>
  <c r="H9" i="3"/>
  <c r="M11" i="3"/>
  <c r="N11" i="3" s="1"/>
  <c r="H11" i="3"/>
  <c r="M14" i="3"/>
  <c r="H14" i="3"/>
  <c r="M10" i="3"/>
  <c r="N10" i="3" s="1"/>
  <c r="H10" i="3"/>
  <c r="D8" i="1"/>
  <c r="D16" i="1" s="1"/>
  <c r="D15" i="1"/>
  <c r="M5" i="3"/>
  <c r="N5" i="3" s="1"/>
  <c r="M7" i="3"/>
  <c r="N7" i="3" s="1"/>
  <c r="M4" i="3"/>
  <c r="N4" i="3" s="1"/>
  <c r="M6" i="3"/>
  <c r="N6" i="3" s="1"/>
  <c r="J5" i="1"/>
  <c r="E5" i="1"/>
  <c r="J13" i="1"/>
  <c r="E13" i="1"/>
  <c r="J7" i="1"/>
  <c r="E7" i="1"/>
  <c r="J12" i="1"/>
  <c r="E12" i="1"/>
  <c r="J9" i="1"/>
  <c r="E9" i="1"/>
  <c r="J11" i="1"/>
  <c r="E11" i="1"/>
  <c r="J4" i="1"/>
  <c r="E4" i="1"/>
  <c r="E6" i="1"/>
  <c r="J6" i="1"/>
  <c r="E14" i="1"/>
  <c r="J14" i="1"/>
  <c r="E10" i="1"/>
  <c r="J10" i="1"/>
  <c r="D15" i="3"/>
  <c r="N13" i="3"/>
  <c r="N9" i="3"/>
  <c r="K16" i="3"/>
  <c r="L8" i="3"/>
  <c r="L15" i="3"/>
  <c r="C16" i="3"/>
  <c r="L16" i="3" s="1"/>
  <c r="D8" i="3"/>
  <c r="N14" i="3"/>
  <c r="K15" i="3"/>
  <c r="M15" i="3" l="1"/>
  <c r="N15" i="3" s="1"/>
  <c r="H15" i="3"/>
  <c r="G8" i="3"/>
  <c r="J8" i="1"/>
  <c r="J15" i="1"/>
  <c r="D16" i="3"/>
  <c r="G16" i="3" l="1"/>
  <c r="M8" i="3"/>
  <c r="N8" i="3" s="1"/>
  <c r="H8" i="3"/>
  <c r="H16" i="3" s="1"/>
  <c r="I5" i="5" s="1"/>
  <c r="J5" i="5" s="1"/>
  <c r="J8" i="5" s="1"/>
  <c r="J16" i="1"/>
  <c r="M16" i="3" l="1"/>
  <c r="N16" i="3" s="1"/>
  <c r="K18" i="1"/>
  <c r="I4" i="1"/>
  <c r="I5" i="1"/>
  <c r="I6" i="1"/>
  <c r="I7" i="1"/>
  <c r="I9" i="1"/>
  <c r="I10" i="1"/>
  <c r="I11" i="1"/>
  <c r="I12" i="1"/>
  <c r="I13" i="1"/>
  <c r="I14" i="1"/>
  <c r="H5" i="1"/>
  <c r="H6" i="1"/>
  <c r="H7" i="1"/>
  <c r="H9" i="1"/>
  <c r="H10" i="1"/>
  <c r="H11" i="1"/>
  <c r="H12" i="1"/>
  <c r="H13" i="1"/>
  <c r="H14" i="1"/>
  <c r="H4" i="1"/>
  <c r="K11" i="1" l="1"/>
  <c r="K4" i="1"/>
  <c r="K13" i="1"/>
  <c r="K9" i="1"/>
  <c r="K6" i="1"/>
  <c r="K14" i="1"/>
  <c r="K12" i="1"/>
  <c r="K10" i="1"/>
  <c r="K7" i="1"/>
  <c r="K5" i="1"/>
  <c r="C8" i="1"/>
  <c r="E8" i="1" s="1"/>
  <c r="C15" i="1"/>
  <c r="B8" i="1"/>
  <c r="H8" i="1" s="1"/>
  <c r="B15" i="1"/>
  <c r="H15" i="1" s="1"/>
  <c r="B16" i="1" l="1"/>
  <c r="H16" i="1" s="1"/>
  <c r="I8" i="1"/>
  <c r="K8" i="1" s="1"/>
  <c r="I15" i="1"/>
  <c r="K15" i="1" s="1"/>
  <c r="E15" i="1"/>
  <c r="C16" i="1"/>
  <c r="I16" i="1" l="1"/>
  <c r="E16" i="1"/>
  <c r="K16" i="1"/>
</calcChain>
</file>

<file path=xl/sharedStrings.xml><?xml version="1.0" encoding="utf-8"?>
<sst xmlns="http://schemas.openxmlformats.org/spreadsheetml/2006/main" count="133" uniqueCount="66">
  <si>
    <t xml:space="preserve">Program </t>
  </si>
  <si>
    <t>Lighting</t>
  </si>
  <si>
    <t>Efficient Products</t>
  </si>
  <si>
    <t>HVAC</t>
  </si>
  <si>
    <t>EE Kits</t>
  </si>
  <si>
    <t>Total Residential</t>
  </si>
  <si>
    <t>Standard</t>
  </si>
  <si>
    <t>Custom</t>
  </si>
  <si>
    <t>Retro-commissioning</t>
  </si>
  <si>
    <t>New Construction</t>
  </si>
  <si>
    <t>SBDI</t>
  </si>
  <si>
    <t>Total Business</t>
  </si>
  <si>
    <t>PY1</t>
  </si>
  <si>
    <t>PY2</t>
  </si>
  <si>
    <t>PY3</t>
  </si>
  <si>
    <t>Grand Total</t>
  </si>
  <si>
    <t>EMS</t>
  </si>
  <si>
    <t>Payout rate</t>
  </si>
  <si>
    <t xml:space="preserve">Cap </t>
  </si>
  <si>
    <t>Total</t>
  </si>
  <si>
    <t>PY3 (Deemed YTD)</t>
  </si>
  <si>
    <t xml:space="preserve"> Cap</t>
  </si>
  <si>
    <t>Home Energy Report</t>
  </si>
  <si>
    <t>PY3 NTG</t>
  </si>
  <si>
    <t>Realization</t>
  </si>
  <si>
    <t>Privileged and Confidential - Prepared at Direction of Counsel</t>
  </si>
  <si>
    <t>Number of Tstats Installed</t>
  </si>
  <si>
    <t>Payout Rate</t>
  </si>
  <si>
    <t>Total Payout</t>
  </si>
  <si>
    <t>Payout Cap</t>
  </si>
  <si>
    <t>Performance Metric</t>
  </si>
  <si>
    <t>Payout Unit</t>
  </si>
  <si>
    <t>% of Target EO</t>
  </si>
  <si>
    <t>100% Payout</t>
  </si>
  <si>
    <t>Cap/100% Multiplier</t>
  </si>
  <si>
    <t>Cap</t>
  </si>
  <si>
    <t>Home Energy Report criteria will be effective, prudent spend of budget</t>
  </si>
  <si>
    <t>n/a</t>
  </si>
  <si>
    <t>EE MWh (Excl. Home Energy Report, TStat &amp; LIMF): criteria will be the cumulative of the 1st yr incremental MWh during the 3 year plan</t>
  </si>
  <si>
    <t>$/MWh</t>
  </si>
  <si>
    <t>EE Coincident MW (Excl. Home Energy Report, TStat &amp; LIMF): criteria will be cumulative of the 2023 MW reduction, coincident with system peak</t>
  </si>
  <si>
    <t>$/MW</t>
  </si>
  <si>
    <t>Number of Learning Thermostats Installed</t>
  </si>
  <si>
    <t>$/Unit</t>
  </si>
  <si>
    <t>Low Income Multi‐Family (LIMF): criteria will be effective, prudent spend of budget</t>
  </si>
  <si>
    <t>Target @100%</t>
  </si>
  <si>
    <t>Actual Results</t>
  </si>
  <si>
    <t>Total Cap Including TD Adjustments</t>
  </si>
  <si>
    <t>Actual Payout</t>
  </si>
  <si>
    <t>Ameren Missouri</t>
  </si>
  <si>
    <t>TBD</t>
  </si>
  <si>
    <t>PY1 *</t>
  </si>
  <si>
    <t>* Non-unanimous Stipulation and Agreement Settling Final EM&amp;V for the 2016 MEEIA Cycle 2 Program Year Appendix A Revised Portfolio Totals</t>
  </si>
  <si>
    <t>PY2  **</t>
  </si>
  <si>
    <t>PY1*</t>
  </si>
  <si>
    <t>** Non-unanimous Stipulation and Agreement Settling Final EM&amp;V for the 2017 MEEIA Cycle 2 Program Year Appendix A Stipulated Settlement Results</t>
  </si>
  <si>
    <t>PY2 **</t>
  </si>
  <si>
    <t>PY3 ***</t>
  </si>
  <si>
    <t>*** All residential results are from the Cadmus Residential Portfolio Summary report for Program Year 2018 dated July 13, 2019 Table 1 on Page 2 with the exception of the Lighting</t>
  </si>
  <si>
    <t xml:space="preserve">       results which are from Page 3 of the Non-unanimous Stipulation and Agreement Settling Final EM&amp;V for the 2018 MEEIA Cycle 2 Program Year.  Business results are from the</t>
  </si>
  <si>
    <t xml:space="preserve">       BizSavers Program Evaluation Report Volume I of II Table 1 - 2 on Page 3.</t>
  </si>
  <si>
    <t>*** All residential results are from the Cadmus Residential Portfolio Summary report for Program Year 2018 dated July 13, 2019 Table 2 on Page 3 with the exception of the Lighting</t>
  </si>
  <si>
    <t xml:space="preserve">       BizSavers Program Evaluation Report Volume I of II Table 1 - 3 on Page 4.</t>
  </si>
  <si>
    <t>*** Cadmus Efficient Products Program Impact and Process Evaluation Program Year 2018 July 13, 2019 Table 1 Page 2.</t>
  </si>
  <si>
    <t>** Cadmus Efficient Products Program Impact and Process Evaluation Program Year 2017 July 13, 2018 Table 1 Page 7.</t>
  </si>
  <si>
    <t>* Cadmus Efficient Products Program Impact and Process Evaluation Program Year 2016 July 24, 2017 Table 1 Page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</si>
</sst>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_);_(&quot;$&quot;* \(#,##0\);_(&quot;$&quot;* &quot;-&quot;??_);_(@_)"/>
    <numFmt numFmtId="167" formatCode="0.0"/>
    <numFmt numFmtId="168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E3DEEE"/>
        <bgColor indexed="64"/>
      </patternFill>
    </fill>
    <fill>
      <patternFill patternType="solid">
        <fgColor rgb="FF483E8E"/>
        <bgColor indexed="64"/>
      </patternFill>
    </fill>
    <fill>
      <patternFill patternType="solid">
        <fgColor rgb="FF8460A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DACE6"/>
      </left>
      <right style="thin">
        <color rgb="FFCDACE6"/>
      </right>
      <top style="thin">
        <color rgb="FFCDACE6"/>
      </top>
      <bottom style="thin">
        <color rgb="FFCDACE6"/>
      </bottom>
      <diagonal/>
    </border>
    <border>
      <left style="thin">
        <color rgb="FFCDACE6"/>
      </left>
      <right style="thin">
        <color rgb="FFCDACE6"/>
      </right>
      <top/>
      <bottom style="thin">
        <color rgb="FFCDACE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CDACE6"/>
      </left>
      <right/>
      <top style="thin">
        <color rgb="FFCDACE6"/>
      </top>
      <bottom style="thin">
        <color rgb="FFCDACE6"/>
      </bottom>
      <diagonal/>
    </border>
    <border>
      <left style="thick">
        <color indexed="64"/>
      </left>
      <right style="thin">
        <color rgb="FFCDACE6"/>
      </right>
      <top style="thin">
        <color rgb="FFCDACE6"/>
      </top>
      <bottom style="thin">
        <color rgb="FFCDACE6"/>
      </bottom>
      <diagonal/>
    </border>
    <border>
      <left style="thick">
        <color indexed="64"/>
      </left>
      <right style="thin">
        <color rgb="FFCDACE6"/>
      </right>
      <top/>
      <bottom style="thin">
        <color rgb="FFCDACE6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rgb="FFCDACE6"/>
      </right>
      <top style="thin">
        <color rgb="FFCDACE6"/>
      </top>
      <bottom style="thick">
        <color indexed="64"/>
      </bottom>
      <diagonal/>
    </border>
    <border>
      <left style="thin">
        <color rgb="FFCDACE6"/>
      </left>
      <right style="thin">
        <color rgb="FFCDACE6"/>
      </right>
      <top style="thin">
        <color rgb="FFCDACE6"/>
      </top>
      <bottom style="thick">
        <color indexed="64"/>
      </bottom>
      <diagonal/>
    </border>
    <border>
      <left style="thin">
        <color rgb="FFCDACE6"/>
      </left>
      <right style="thick">
        <color indexed="64"/>
      </right>
      <top style="thin">
        <color rgb="FFCDACE6"/>
      </top>
      <bottom style="thick">
        <color indexed="64"/>
      </bottom>
      <diagonal/>
    </border>
    <border>
      <left style="thin">
        <color rgb="FFCDACE6"/>
      </left>
      <right style="thick">
        <color auto="1"/>
      </right>
      <top style="thick">
        <color indexed="64"/>
      </top>
      <bottom style="thin">
        <color rgb="FFCDACE6"/>
      </bottom>
      <diagonal/>
    </border>
    <border>
      <left style="thin">
        <color rgb="FFCDACE6"/>
      </left>
      <right style="thick">
        <color auto="1"/>
      </right>
      <top style="thin">
        <color rgb="FFCDACE6"/>
      </top>
      <bottom style="thin">
        <color rgb="FFCDACE6"/>
      </bottom>
      <diagonal/>
    </border>
    <border>
      <left style="thin">
        <color rgb="FFCDACE6"/>
      </left>
      <right/>
      <top style="thin">
        <color rgb="FFCDACE6"/>
      </top>
      <bottom/>
      <diagonal/>
    </border>
    <border>
      <left style="thick">
        <color indexed="64"/>
      </left>
      <right style="thin">
        <color rgb="FFCDACE6"/>
      </right>
      <top style="thin">
        <color rgb="FFCDACE6"/>
      </top>
      <bottom/>
      <diagonal/>
    </border>
    <border>
      <left style="thin">
        <color rgb="FFCDACE6"/>
      </left>
      <right style="thin">
        <color rgb="FFCDACE6"/>
      </right>
      <top style="thin">
        <color rgb="FFCDACE6"/>
      </top>
      <bottom/>
      <diagonal/>
    </border>
    <border>
      <left style="thin">
        <color rgb="FFCDACE6"/>
      </left>
      <right style="thick">
        <color auto="1"/>
      </right>
      <top style="thin">
        <color rgb="FFCDACE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87">
    <xf numFmtId="0" fontId="0" fillId="0" borderId="0" xfId="0"/>
    <xf numFmtId="0" fontId="2" fillId="0" borderId="2" xfId="4" applyBorder="1"/>
    <xf numFmtId="0" fontId="3" fillId="3" borderId="2" xfId="6" applyFont="1" applyBorder="1"/>
    <xf numFmtId="165" fontId="0" fillId="0" borderId="0" xfId="1" applyNumberFormat="1" applyFont="1"/>
    <xf numFmtId="164" fontId="3" fillId="3" borderId="2" xfId="1" applyNumberFormat="1" applyFont="1" applyFill="1" applyBorder="1"/>
    <xf numFmtId="165" fontId="3" fillId="3" borderId="2" xfId="1" applyNumberFormat="1" applyFont="1" applyFill="1" applyBorder="1"/>
    <xf numFmtId="0" fontId="0" fillId="0" borderId="2" xfId="0" applyBorder="1"/>
    <xf numFmtId="165" fontId="0" fillId="0" borderId="2" xfId="1" applyNumberFormat="1" applyFont="1" applyBorder="1"/>
    <xf numFmtId="166" fontId="0" fillId="0" borderId="2" xfId="2" applyNumberFormat="1" applyFont="1" applyBorder="1"/>
    <xf numFmtId="44" fontId="0" fillId="0" borderId="0" xfId="2" applyFont="1"/>
    <xf numFmtId="9" fontId="0" fillId="0" borderId="0" xfId="3" applyFont="1"/>
    <xf numFmtId="166" fontId="0" fillId="0" borderId="0" xfId="2" applyNumberFormat="1" applyFont="1"/>
    <xf numFmtId="166" fontId="0" fillId="0" borderId="0" xfId="0" applyNumberFormat="1"/>
    <xf numFmtId="0" fontId="2" fillId="0" borderId="2" xfId="4" applyFont="1" applyFill="1" applyBorder="1"/>
    <xf numFmtId="166" fontId="3" fillId="0" borderId="2" xfId="2" applyNumberFormat="1" applyFont="1" applyBorder="1"/>
    <xf numFmtId="0" fontId="0" fillId="0" borderId="2" xfId="0" applyFill="1" applyBorder="1"/>
    <xf numFmtId="166" fontId="0" fillId="0" borderId="2" xfId="0" applyNumberFormat="1" applyBorder="1"/>
    <xf numFmtId="166" fontId="3" fillId="0" borderId="2" xfId="0" applyNumberFormat="1" applyFont="1" applyBorder="1"/>
    <xf numFmtId="165" fontId="3" fillId="0" borderId="2" xfId="1" applyNumberFormat="1" applyFont="1" applyBorder="1"/>
    <xf numFmtId="0" fontId="3" fillId="2" borderId="2" xfId="5" applyFont="1" applyBorder="1"/>
    <xf numFmtId="165" fontId="3" fillId="2" borderId="2" xfId="1" applyNumberFormat="1" applyFont="1" applyFill="1" applyBorder="1"/>
    <xf numFmtId="165" fontId="0" fillId="0" borderId="0" xfId="0" applyNumberFormat="1"/>
    <xf numFmtId="166" fontId="3" fillId="3" borderId="2" xfId="2" applyNumberFormat="1" applyFont="1" applyFill="1" applyBorder="1"/>
    <xf numFmtId="166" fontId="3" fillId="2" borderId="2" xfId="2" applyNumberFormat="1" applyFont="1" applyFill="1" applyBorder="1"/>
    <xf numFmtId="164" fontId="0" fillId="0" borderId="2" xfId="1" applyNumberFormat="1" applyFont="1" applyBorder="1"/>
    <xf numFmtId="164" fontId="3" fillId="2" borderId="2" xfId="1" applyNumberFormat="1" applyFont="1" applyFill="1" applyBorder="1"/>
    <xf numFmtId="164" fontId="3" fillId="0" borderId="2" xfId="1" applyNumberFormat="1" applyFont="1" applyBorder="1"/>
    <xf numFmtId="165" fontId="0" fillId="0" borderId="0" xfId="3" applyNumberFormat="1" applyFont="1"/>
    <xf numFmtId="9" fontId="0" fillId="0" borderId="2" xfId="3" applyFont="1" applyBorder="1"/>
    <xf numFmtId="37" fontId="0" fillId="0" borderId="0" xfId="0" applyNumberFormat="1"/>
    <xf numFmtId="167" fontId="0" fillId="0" borderId="0" xfId="0" applyNumberFormat="1"/>
    <xf numFmtId="164" fontId="0" fillId="0" borderId="0" xfId="0" applyNumberFormat="1"/>
    <xf numFmtId="43" fontId="0" fillId="0" borderId="2" xfId="1" applyNumberFormat="1" applyFont="1" applyBorder="1"/>
    <xf numFmtId="2" fontId="0" fillId="0" borderId="0" xfId="0" applyNumberFormat="1"/>
    <xf numFmtId="8" fontId="0" fillId="0" borderId="0" xfId="0" applyNumberFormat="1"/>
    <xf numFmtId="6" fontId="0" fillId="0" borderId="0" xfId="0" applyNumberFormat="1"/>
    <xf numFmtId="3" fontId="0" fillId="0" borderId="2" xfId="0" applyNumberFormat="1" applyBorder="1"/>
    <xf numFmtId="168" fontId="0" fillId="0" borderId="0" xfId="0" applyNumberFormat="1"/>
    <xf numFmtId="0" fontId="0" fillId="0" borderId="0" xfId="0" applyBorder="1"/>
    <xf numFmtId="165" fontId="0" fillId="0" borderId="0" xfId="1" applyNumberFormat="1" applyFont="1" applyFill="1" applyBorder="1"/>
    <xf numFmtId="0" fontId="3" fillId="0" borderId="0" xfId="0" applyFont="1"/>
    <xf numFmtId="168" fontId="3" fillId="0" borderId="0" xfId="0" applyNumberFormat="1" applyFont="1"/>
    <xf numFmtId="0" fontId="0" fillId="4" borderId="3" xfId="0" applyFill="1" applyBorder="1" applyAlignment="1">
      <alignment vertical="center"/>
    </xf>
    <xf numFmtId="10" fontId="0" fillId="4" borderId="3" xfId="0" applyNumberFormat="1" applyFill="1" applyBorder="1" applyAlignment="1">
      <alignment horizontal="center" vertical="center"/>
    </xf>
    <xf numFmtId="42" fontId="0" fillId="4" borderId="3" xfId="0" applyNumberFormat="1" applyFill="1" applyBorder="1" applyAlignment="1">
      <alignment vertical="center"/>
    </xf>
    <xf numFmtId="0" fontId="0" fillId="4" borderId="3" xfId="0" applyFill="1" applyBorder="1"/>
    <xf numFmtId="0" fontId="0" fillId="0" borderId="3" xfId="0" applyBorder="1" applyAlignment="1">
      <alignment vertical="center"/>
    </xf>
    <xf numFmtId="10" fontId="0" fillId="0" borderId="3" xfId="0" applyNumberFormat="1" applyBorder="1" applyAlignment="1">
      <alignment horizontal="center" vertical="center"/>
    </xf>
    <xf numFmtId="42" fontId="0" fillId="0" borderId="3" xfId="0" applyNumberFormat="1" applyBorder="1" applyAlignment="1">
      <alignment vertical="center"/>
    </xf>
    <xf numFmtId="165" fontId="0" fillId="0" borderId="3" xfId="1" applyNumberFormat="1" applyFont="1" applyBorder="1" applyAlignment="1">
      <alignment vertical="center"/>
    </xf>
    <xf numFmtId="9" fontId="0" fillId="0" borderId="3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4" borderId="4" xfId="0" applyFill="1" applyBorder="1" applyAlignment="1">
      <alignment vertical="center"/>
    </xf>
    <xf numFmtId="10" fontId="0" fillId="4" borderId="4" xfId="0" applyNumberFormat="1" applyFill="1" applyBorder="1" applyAlignment="1">
      <alignment horizontal="center" vertical="center"/>
    </xf>
    <xf numFmtId="42" fontId="0" fillId="4" borderId="4" xfId="0" applyNumberFormat="1" applyFill="1" applyBorder="1" applyAlignment="1">
      <alignment vertical="center"/>
    </xf>
    <xf numFmtId="0" fontId="0" fillId="4" borderId="4" xfId="0" applyFill="1" applyBorder="1"/>
    <xf numFmtId="0" fontId="0" fillId="0" borderId="5" xfId="0" applyBorder="1"/>
    <xf numFmtId="0" fontId="4" fillId="6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4" borderId="6" xfId="0" applyFill="1" applyBorder="1" applyAlignment="1">
      <alignment wrapText="1"/>
    </xf>
    <xf numFmtId="44" fontId="0" fillId="0" borderId="7" xfId="0" applyNumberFormat="1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 wrapText="1"/>
    </xf>
    <xf numFmtId="42" fontId="0" fillId="4" borderId="15" xfId="0" applyNumberFormat="1" applyFill="1" applyBorder="1" applyAlignment="1">
      <alignment vertical="center"/>
    </xf>
    <xf numFmtId="42" fontId="0" fillId="0" borderId="16" xfId="0" applyNumberFormat="1" applyBorder="1" applyAlignment="1">
      <alignment vertical="center"/>
    </xf>
    <xf numFmtId="42" fontId="0" fillId="4" borderId="16" xfId="0" applyNumberFormat="1" applyFill="1" applyBorder="1" applyAlignment="1">
      <alignment vertical="center"/>
    </xf>
    <xf numFmtId="0" fontId="0" fillId="0" borderId="17" xfId="0" applyBorder="1" applyAlignment="1">
      <alignment wrapText="1"/>
    </xf>
    <xf numFmtId="8" fontId="0" fillId="0" borderId="18" xfId="0" applyNumberFormat="1" applyBorder="1"/>
    <xf numFmtId="0" fontId="0" fillId="0" borderId="19" xfId="0" applyBorder="1"/>
    <xf numFmtId="42" fontId="5" fillId="0" borderId="19" xfId="0" applyNumberFormat="1" applyFont="1" applyBorder="1"/>
    <xf numFmtId="42" fontId="5" fillId="0" borderId="20" xfId="0" applyNumberFormat="1" applyFont="1" applyBorder="1"/>
    <xf numFmtId="0" fontId="0" fillId="0" borderId="21" xfId="0" applyBorder="1" applyAlignment="1"/>
    <xf numFmtId="8" fontId="0" fillId="0" borderId="22" xfId="0" applyNumberFormat="1" applyBorder="1"/>
    <xf numFmtId="0" fontId="0" fillId="0" borderId="22" xfId="0" applyBorder="1"/>
    <xf numFmtId="168" fontId="0" fillId="0" borderId="23" xfId="0" applyNumberFormat="1" applyBorder="1"/>
    <xf numFmtId="1" fontId="0" fillId="4" borderId="3" xfId="0" applyNumberFormat="1" applyFill="1" applyBorder="1" applyAlignment="1">
      <alignment horizontal="center" vertical="center"/>
    </xf>
    <xf numFmtId="9" fontId="0" fillId="4" borderId="3" xfId="0" applyNumberFormat="1" applyFill="1" applyBorder="1" applyAlignment="1">
      <alignment horizontal="right" vertical="center"/>
    </xf>
    <xf numFmtId="44" fontId="0" fillId="4" borderId="7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</cellXfs>
  <cellStyles count="7">
    <cellStyle name="20% - Accent1" xfId="5" builtinId="30"/>
    <cellStyle name="20% - Accent6" xfId="6" builtinId="50"/>
    <cellStyle name="Comma" xfId="1" builtinId="3"/>
    <cellStyle name="Currency" xfId="2" builtinId="4"/>
    <cellStyle name="Heading 3" xfId="4" builtinId="1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DACE6"/>
      <color rgb="FFBA8BDD"/>
      <color rgb="FF8460AC"/>
      <color rgb="FF6C61AB"/>
      <color rgb="FF483E8E"/>
      <color rgb="FF6600CC"/>
      <color rgb="FF7554B8"/>
      <color rgb="FF7A5ABA"/>
      <color rgb="FF8365BF"/>
      <color rgb="FFE3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MEEIA 2 MWh Earnings Opportunity</a:t>
            </a:r>
          </a:p>
          <a:p>
            <a:pPr>
              <a:defRPr sz="1600"/>
            </a:pPr>
            <a:r>
              <a:rPr lang="en-US" sz="1600"/>
              <a:t>PY1</a:t>
            </a:r>
            <a:r>
              <a:rPr lang="en-US" sz="1600" baseline="0"/>
              <a:t> + PY2 Evaluated &amp; PY3 Deemed YTD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MWh!$Q$31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MWh!$R$31</c:f>
              <c:numCache>
                <c:formatCode>_(* #,##0_);_(* \(#,##0\);_(* "-"??_);_(@_)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16E5-4CBC-A9C3-CE1ABE557256}"/>
            </c:ext>
          </c:extLst>
        </c:ser>
        <c:ser>
          <c:idx val="1"/>
          <c:order val="1"/>
          <c:tx>
            <c:strRef>
              <c:f>MWh!$Q$32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MWh!$R$32</c:f>
              <c:numCache>
                <c:formatCode>_(* #,##0_);_(* \(#,##0\);_(* "-"??_);_(@_)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16E5-4CBC-A9C3-CE1ABE557256}"/>
            </c:ext>
          </c:extLst>
        </c:ser>
        <c:ser>
          <c:idx val="2"/>
          <c:order val="2"/>
          <c:tx>
            <c:strRef>
              <c:f>MWh!$Q$33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6613439787092482E-3"/>
                  <c:y val="2.1276595744680851E-2"/>
                </c:manualLayout>
              </c:layout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85490436449935"/>
                      <c:h val="8.10874704491725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6E5-4CBC-A9C3-CE1ABE5572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MWh!$R$33</c:f>
              <c:numCache>
                <c:formatCode>_(* #,##0_);_(* \(#,##0\);_(* "-"??_);_(@_)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16E5-4CBC-A9C3-CE1ABE557256}"/>
            </c:ext>
          </c:extLst>
        </c:ser>
        <c:ser>
          <c:idx val="3"/>
          <c:order val="3"/>
          <c:tx>
            <c:strRef>
              <c:f>MWh!$Q$34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MWh!$R$34</c:f>
              <c:numCache>
                <c:formatCode>_(* #,##0_);_(* \(#,##0\);_(* "-"??_);_(@_)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16E5-4CBC-A9C3-CE1ABE5572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0849392"/>
        <c:axId val="630848408"/>
      </c:barChart>
      <c:catAx>
        <c:axId val="63084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0848408"/>
        <c:crosses val="autoZero"/>
        <c:auto val="1"/>
        <c:lblAlgn val="ctr"/>
        <c:lblOffset val="100"/>
        <c:noMultiLvlLbl val="0"/>
      </c:catAx>
      <c:valAx>
        <c:axId val="630848408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extTo"/>
        <c:crossAx val="6308493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25" r="0.25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54</xdr:row>
      <xdr:rowOff>0</xdr:rowOff>
    </xdr:from>
    <xdr:to>
      <xdr:col>24</xdr:col>
      <xdr:colOff>295275</xdr:colOff>
      <xdr:row>82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workbookViewId="0">
      <selection activeCell="A3" sqref="A3"/>
    </sheetView>
  </sheetViews>
  <sheetFormatPr defaultRowHeight="15" x14ac:dyDescent="0.25"/>
  <cols>
    <col min="1" max="1" width="20.28515625" bestFit="1" customWidth="1"/>
    <col min="2" max="3" width="12.5703125" bestFit="1" customWidth="1"/>
    <col min="4" max="4" width="10.42578125" bestFit="1" customWidth="1"/>
    <col min="5" max="5" width="11.5703125" bestFit="1" customWidth="1"/>
  </cols>
  <sheetData>
    <row r="2" spans="1:5" x14ac:dyDescent="0.25">
      <c r="B2" t="s">
        <v>12</v>
      </c>
      <c r="C2" t="s">
        <v>13</v>
      </c>
      <c r="D2" t="s">
        <v>14</v>
      </c>
      <c r="E2" t="s">
        <v>19</v>
      </c>
    </row>
    <row r="3" spans="1:5" x14ac:dyDescent="0.25">
      <c r="A3" t="s">
        <v>22</v>
      </c>
      <c r="B3" s="11">
        <v>666666.66</v>
      </c>
      <c r="C3" s="11">
        <v>666666.67000000004</v>
      </c>
      <c r="D3" s="11">
        <v>666666.67000000004</v>
      </c>
      <c r="E3" s="11">
        <f>SUM(B3:D3)</f>
        <v>2000000</v>
      </c>
    </row>
    <row r="5" spans="1:5" x14ac:dyDescent="0.25">
      <c r="D5" t="s">
        <v>18</v>
      </c>
      <c r="E5" s="11">
        <v>2000000</v>
      </c>
    </row>
    <row r="6" spans="1:5" x14ac:dyDescent="0.25">
      <c r="E6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workbookViewId="0">
      <selection activeCell="A22" sqref="A22:A24"/>
    </sheetView>
  </sheetViews>
  <sheetFormatPr defaultRowHeight="15" x14ac:dyDescent="0.25"/>
  <cols>
    <col min="1" max="1" width="20.140625" bestFit="1" customWidth="1"/>
    <col min="2" max="2" width="13.85546875" bestFit="1" customWidth="1"/>
    <col min="3" max="3" width="11.5703125" bestFit="1" customWidth="1"/>
    <col min="4" max="4" width="13" customWidth="1"/>
    <col min="5" max="7" width="17.5703125" customWidth="1"/>
    <col min="8" max="10" width="11.5703125" bestFit="1" customWidth="1"/>
    <col min="11" max="11" width="14.42578125" bestFit="1" customWidth="1"/>
    <col min="12" max="12" width="14.28515625" bestFit="1" customWidth="1"/>
    <col min="13" max="13" width="11.42578125" customWidth="1"/>
    <col min="14" max="14" width="14.28515625" bestFit="1" customWidth="1"/>
    <col min="17" max="17" width="18.5703125" bestFit="1" customWidth="1"/>
    <col min="18" max="18" width="16.5703125" customWidth="1"/>
  </cols>
  <sheetData>
    <row r="1" spans="1:14" x14ac:dyDescent="0.25">
      <c r="A1" s="83" t="s">
        <v>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3" spans="1:14" x14ac:dyDescent="0.25">
      <c r="A3" s="6" t="s">
        <v>0</v>
      </c>
      <c r="B3" s="6" t="s">
        <v>51</v>
      </c>
      <c r="C3" s="6" t="s">
        <v>53</v>
      </c>
      <c r="D3" s="6" t="s">
        <v>57</v>
      </c>
      <c r="E3" s="15" t="s">
        <v>19</v>
      </c>
      <c r="G3" s="6" t="s">
        <v>0</v>
      </c>
      <c r="H3" s="6" t="s">
        <v>12</v>
      </c>
      <c r="I3" s="6" t="s">
        <v>13</v>
      </c>
      <c r="J3" s="6" t="s">
        <v>14</v>
      </c>
      <c r="K3" s="15" t="s">
        <v>19</v>
      </c>
    </row>
    <row r="4" spans="1:14" x14ac:dyDescent="0.25">
      <c r="A4" s="1" t="s">
        <v>1</v>
      </c>
      <c r="B4" s="7">
        <v>25109</v>
      </c>
      <c r="C4" s="7">
        <v>17034.93</v>
      </c>
      <c r="D4" s="24">
        <v>5059</v>
      </c>
      <c r="E4" s="7">
        <f t="shared" ref="E4:E16" si="0">SUM(B4,C4,D4)</f>
        <v>47202.93</v>
      </c>
      <c r="G4" s="1" t="s">
        <v>1</v>
      </c>
      <c r="H4" s="8">
        <f t="shared" ref="H4:H16" si="1">B4*$G$19</f>
        <v>188317.5</v>
      </c>
      <c r="I4" s="8">
        <f t="shared" ref="I4:I16" si="2">C4*$G$19</f>
        <v>127761.97500000001</v>
      </c>
      <c r="J4" s="8">
        <f t="shared" ref="J4:J16" si="3">D4*$G$19</f>
        <v>37942.5</v>
      </c>
      <c r="K4" s="16">
        <f>SUM(H4:J4)</f>
        <v>354021.97499999998</v>
      </c>
    </row>
    <row r="5" spans="1:14" x14ac:dyDescent="0.25">
      <c r="A5" s="1" t="s">
        <v>2</v>
      </c>
      <c r="B5" s="7">
        <v>2119</v>
      </c>
      <c r="C5" s="7">
        <v>3668</v>
      </c>
      <c r="D5" s="24">
        <v>3278</v>
      </c>
      <c r="E5" s="7">
        <f t="shared" si="0"/>
        <v>9065</v>
      </c>
      <c r="G5" s="1" t="s">
        <v>2</v>
      </c>
      <c r="H5" s="8">
        <f t="shared" si="1"/>
        <v>15892.5</v>
      </c>
      <c r="I5" s="8">
        <f t="shared" si="2"/>
        <v>27510</v>
      </c>
      <c r="J5" s="8">
        <f t="shared" si="3"/>
        <v>24585</v>
      </c>
      <c r="K5" s="16">
        <f t="shared" ref="K5:K16" si="4">SUM(H5:J5)</f>
        <v>67987.5</v>
      </c>
    </row>
    <row r="6" spans="1:14" x14ac:dyDescent="0.25">
      <c r="A6" s="1" t="s">
        <v>3</v>
      </c>
      <c r="B6" s="7">
        <v>50205</v>
      </c>
      <c r="C6" s="7">
        <v>45389.78</v>
      </c>
      <c r="D6" s="24">
        <v>41388</v>
      </c>
      <c r="E6" s="7">
        <f t="shared" si="0"/>
        <v>136982.78</v>
      </c>
      <c r="G6" s="1" t="s">
        <v>3</v>
      </c>
      <c r="H6" s="8">
        <f t="shared" si="1"/>
        <v>376537.5</v>
      </c>
      <c r="I6" s="8">
        <f t="shared" si="2"/>
        <v>340423.35</v>
      </c>
      <c r="J6" s="8">
        <f t="shared" si="3"/>
        <v>310410</v>
      </c>
      <c r="K6" s="16">
        <f t="shared" si="4"/>
        <v>1027370.85</v>
      </c>
    </row>
    <row r="7" spans="1:14" x14ac:dyDescent="0.25">
      <c r="A7" s="1" t="s">
        <v>4</v>
      </c>
      <c r="B7" s="7">
        <v>4119</v>
      </c>
      <c r="C7" s="7">
        <v>5050.57</v>
      </c>
      <c r="D7" s="24">
        <v>5031</v>
      </c>
      <c r="E7" s="7">
        <f t="shared" si="0"/>
        <v>14200.57</v>
      </c>
      <c r="G7" s="1" t="s">
        <v>4</v>
      </c>
      <c r="H7" s="8">
        <f t="shared" si="1"/>
        <v>30892.5</v>
      </c>
      <c r="I7" s="8">
        <f t="shared" si="2"/>
        <v>37879.274999999994</v>
      </c>
      <c r="J7" s="8">
        <f t="shared" si="3"/>
        <v>37732.5</v>
      </c>
      <c r="K7" s="16">
        <f t="shared" si="4"/>
        <v>106504.27499999999</v>
      </c>
    </row>
    <row r="8" spans="1:14" x14ac:dyDescent="0.25">
      <c r="A8" s="2" t="s">
        <v>5</v>
      </c>
      <c r="B8" s="5">
        <f>SUM(B4:B7)</f>
        <v>81552</v>
      </c>
      <c r="C8" s="5">
        <f t="shared" ref="C8" si="5">SUM(C4:C7)</f>
        <v>71143.28</v>
      </c>
      <c r="D8" s="4">
        <f t="shared" ref="D8" si="6">SUM(D4:D7)</f>
        <v>54756</v>
      </c>
      <c r="E8" s="4">
        <f t="shared" si="0"/>
        <v>207451.28</v>
      </c>
      <c r="G8" s="2" t="s">
        <v>5</v>
      </c>
      <c r="H8" s="22">
        <f t="shared" si="1"/>
        <v>611640</v>
      </c>
      <c r="I8" s="22">
        <f t="shared" si="2"/>
        <v>533574.6</v>
      </c>
      <c r="J8" s="22">
        <f t="shared" si="3"/>
        <v>410670</v>
      </c>
      <c r="K8" s="22">
        <f t="shared" si="4"/>
        <v>1555884.6</v>
      </c>
    </row>
    <row r="9" spans="1:14" x14ac:dyDescent="0.25">
      <c r="A9" s="1" t="s">
        <v>6</v>
      </c>
      <c r="B9" s="7">
        <v>31712</v>
      </c>
      <c r="C9" s="7">
        <v>88369</v>
      </c>
      <c r="D9" s="24">
        <v>174513.16800000001</v>
      </c>
      <c r="E9" s="7">
        <f t="shared" si="0"/>
        <v>294594.16800000001</v>
      </c>
      <c r="G9" s="1" t="s">
        <v>6</v>
      </c>
      <c r="H9" s="8">
        <f t="shared" si="1"/>
        <v>237840</v>
      </c>
      <c r="I9" s="8">
        <f t="shared" si="2"/>
        <v>662767.5</v>
      </c>
      <c r="J9" s="8">
        <f t="shared" si="3"/>
        <v>1308848.76</v>
      </c>
      <c r="K9" s="16">
        <f t="shared" si="4"/>
        <v>2209456.2599999998</v>
      </c>
    </row>
    <row r="10" spans="1:14" x14ac:dyDescent="0.25">
      <c r="A10" s="1" t="s">
        <v>7</v>
      </c>
      <c r="B10" s="7">
        <v>39410</v>
      </c>
      <c r="C10" s="7">
        <v>63056</v>
      </c>
      <c r="D10" s="24">
        <v>82204.812999999995</v>
      </c>
      <c r="E10" s="7">
        <f t="shared" si="0"/>
        <v>184670.81299999999</v>
      </c>
      <c r="G10" s="1" t="s">
        <v>7</v>
      </c>
      <c r="H10" s="8">
        <f t="shared" si="1"/>
        <v>295575</v>
      </c>
      <c r="I10" s="8">
        <f t="shared" si="2"/>
        <v>472920</v>
      </c>
      <c r="J10" s="8">
        <f t="shared" si="3"/>
        <v>616536.09749999992</v>
      </c>
      <c r="K10" s="16">
        <f t="shared" si="4"/>
        <v>1385031.0974999999</v>
      </c>
    </row>
    <row r="11" spans="1:14" x14ac:dyDescent="0.25">
      <c r="A11" s="1" t="s">
        <v>8</v>
      </c>
      <c r="B11" s="7">
        <v>24</v>
      </c>
      <c r="C11" s="7">
        <v>3494</v>
      </c>
      <c r="D11" s="24">
        <v>6630.4129999999996</v>
      </c>
      <c r="E11" s="7">
        <f t="shared" si="0"/>
        <v>10148.413</v>
      </c>
      <c r="G11" s="1" t="s">
        <v>8</v>
      </c>
      <c r="H11" s="8">
        <f t="shared" si="1"/>
        <v>180</v>
      </c>
      <c r="I11" s="8">
        <f t="shared" si="2"/>
        <v>26205</v>
      </c>
      <c r="J11" s="8">
        <f t="shared" si="3"/>
        <v>49728.097499999996</v>
      </c>
      <c r="K11" s="16">
        <f t="shared" si="4"/>
        <v>76113.097500000003</v>
      </c>
    </row>
    <row r="12" spans="1:14" x14ac:dyDescent="0.25">
      <c r="A12" s="1" t="s">
        <v>9</v>
      </c>
      <c r="B12" s="7">
        <v>1415</v>
      </c>
      <c r="C12" s="7">
        <v>26272</v>
      </c>
      <c r="D12" s="24">
        <v>19732.167000000001</v>
      </c>
      <c r="E12" s="7">
        <f t="shared" si="0"/>
        <v>47419.167000000001</v>
      </c>
      <c r="G12" s="1" t="s">
        <v>9</v>
      </c>
      <c r="H12" s="8">
        <f t="shared" si="1"/>
        <v>10612.5</v>
      </c>
      <c r="I12" s="8">
        <f t="shared" si="2"/>
        <v>197040</v>
      </c>
      <c r="J12" s="8">
        <f t="shared" si="3"/>
        <v>147991.2525</v>
      </c>
      <c r="K12" s="16">
        <f t="shared" si="4"/>
        <v>355643.7525</v>
      </c>
    </row>
    <row r="13" spans="1:14" x14ac:dyDescent="0.25">
      <c r="A13" s="1" t="s">
        <v>10</v>
      </c>
      <c r="B13" s="7">
        <v>2667</v>
      </c>
      <c r="C13" s="7">
        <v>6245</v>
      </c>
      <c r="D13" s="24">
        <v>14565.04</v>
      </c>
      <c r="E13" s="7">
        <f t="shared" si="0"/>
        <v>23477.040000000001</v>
      </c>
      <c r="G13" s="1" t="s">
        <v>10</v>
      </c>
      <c r="H13" s="8">
        <f t="shared" si="1"/>
        <v>20002.5</v>
      </c>
      <c r="I13" s="8">
        <f t="shared" si="2"/>
        <v>46837.5</v>
      </c>
      <c r="J13" s="8">
        <f t="shared" si="3"/>
        <v>109237.8</v>
      </c>
      <c r="K13" s="16">
        <f t="shared" si="4"/>
        <v>176077.8</v>
      </c>
    </row>
    <row r="14" spans="1:14" x14ac:dyDescent="0.25">
      <c r="A14" s="1" t="s">
        <v>16</v>
      </c>
      <c r="B14" s="7">
        <v>0</v>
      </c>
      <c r="C14" s="7">
        <v>838</v>
      </c>
      <c r="D14" s="24">
        <v>4838.1459999999997</v>
      </c>
      <c r="E14" s="7">
        <f t="shared" si="0"/>
        <v>5676.1459999999997</v>
      </c>
      <c r="G14" s="1" t="s">
        <v>16</v>
      </c>
      <c r="H14" s="8">
        <f t="shared" si="1"/>
        <v>0</v>
      </c>
      <c r="I14" s="8">
        <f t="shared" si="2"/>
        <v>6285</v>
      </c>
      <c r="J14" s="8">
        <f t="shared" si="3"/>
        <v>36286.095000000001</v>
      </c>
      <c r="K14" s="16">
        <f t="shared" si="4"/>
        <v>42571.095000000001</v>
      </c>
    </row>
    <row r="15" spans="1:14" x14ac:dyDescent="0.25">
      <c r="A15" s="19" t="s">
        <v>11</v>
      </c>
      <c r="B15" s="20">
        <f>SUM(B9:B14)</f>
        <v>75228</v>
      </c>
      <c r="C15" s="20">
        <f t="shared" ref="C15" si="7">SUM(C9:C14)</f>
        <v>188274</v>
      </c>
      <c r="D15" s="25">
        <f>SUM(D9:D14)</f>
        <v>302483.74699999997</v>
      </c>
      <c r="E15" s="25">
        <f t="shared" si="0"/>
        <v>565985.74699999997</v>
      </c>
      <c r="G15" s="19" t="s">
        <v>11</v>
      </c>
      <c r="H15" s="23">
        <f t="shared" si="1"/>
        <v>564210</v>
      </c>
      <c r="I15" s="23">
        <f t="shared" si="2"/>
        <v>1412055</v>
      </c>
      <c r="J15" s="23">
        <f t="shared" si="3"/>
        <v>2268628.1025</v>
      </c>
      <c r="K15" s="23">
        <f t="shared" si="4"/>
        <v>4244893.1025</v>
      </c>
    </row>
    <row r="16" spans="1:14" x14ac:dyDescent="0.25">
      <c r="A16" s="13" t="s">
        <v>19</v>
      </c>
      <c r="B16" s="18">
        <f>SUM(B15,B8)</f>
        <v>156780</v>
      </c>
      <c r="C16" s="18">
        <f t="shared" ref="C16" si="8">SUM(C15,C8)</f>
        <v>259417.28</v>
      </c>
      <c r="D16" s="26">
        <f t="shared" ref="D16" si="9">SUM(D15,D8)</f>
        <v>357239.74699999997</v>
      </c>
      <c r="E16" s="26">
        <f t="shared" si="0"/>
        <v>773437.027</v>
      </c>
      <c r="G16" s="13" t="s">
        <v>15</v>
      </c>
      <c r="H16" s="14">
        <f t="shared" si="1"/>
        <v>1175850</v>
      </c>
      <c r="I16" s="14">
        <f t="shared" si="2"/>
        <v>1945629.6</v>
      </c>
      <c r="J16" s="8">
        <f t="shared" si="3"/>
        <v>2679298.1025</v>
      </c>
      <c r="K16" s="17">
        <f t="shared" si="4"/>
        <v>5800777.7025000006</v>
      </c>
    </row>
    <row r="17" spans="1:18" x14ac:dyDescent="0.25">
      <c r="D17" s="38"/>
      <c r="E17" s="39"/>
      <c r="F17" s="38"/>
    </row>
    <row r="18" spans="1:18" x14ac:dyDescent="0.25">
      <c r="C18" t="s">
        <v>21</v>
      </c>
      <c r="E18" s="3">
        <f>560258*1.3</f>
        <v>728335.4</v>
      </c>
      <c r="G18" t="s">
        <v>17</v>
      </c>
      <c r="J18" t="s">
        <v>18</v>
      </c>
      <c r="K18" s="11">
        <f>E18*G19</f>
        <v>5462515.5</v>
      </c>
    </row>
    <row r="19" spans="1:18" x14ac:dyDescent="0.25">
      <c r="E19" s="21"/>
      <c r="G19" s="9">
        <v>7.5</v>
      </c>
      <c r="K19" s="12"/>
    </row>
    <row r="20" spans="1:18" x14ac:dyDescent="0.25">
      <c r="A20" t="s">
        <v>52</v>
      </c>
      <c r="E20" s="3"/>
    </row>
    <row r="21" spans="1:18" x14ac:dyDescent="0.25">
      <c r="A21" t="s">
        <v>55</v>
      </c>
      <c r="E21" s="27"/>
    </row>
    <row r="22" spans="1:18" x14ac:dyDescent="0.25">
      <c r="A22" t="s">
        <v>58</v>
      </c>
      <c r="E22" s="10"/>
      <c r="G22" s="21"/>
    </row>
    <row r="23" spans="1:18" x14ac:dyDescent="0.25">
      <c r="A23" t="s">
        <v>59</v>
      </c>
      <c r="E23" s="10"/>
    </row>
    <row r="24" spans="1:18" x14ac:dyDescent="0.25">
      <c r="A24" t="s">
        <v>60</v>
      </c>
    </row>
    <row r="25" spans="1:18" x14ac:dyDescent="0.25">
      <c r="E25" s="29"/>
    </row>
    <row r="31" spans="1:18" x14ac:dyDescent="0.25">
      <c r="R31" s="21"/>
    </row>
    <row r="32" spans="1:18" x14ac:dyDescent="0.25">
      <c r="R32" s="21"/>
    </row>
    <row r="33" spans="18:18" x14ac:dyDescent="0.25">
      <c r="R33" s="21"/>
    </row>
    <row r="34" spans="18:18" x14ac:dyDescent="0.25">
      <c r="R34" s="21"/>
    </row>
  </sheetData>
  <mergeCells count="1">
    <mergeCell ref="A1:N1"/>
  </mergeCells>
  <pageMargins left="0.7" right="0.7" top="0.75" bottom="0.75" header="0.3" footer="0.3"/>
  <pageSetup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workbookViewId="0">
      <selection activeCell="G9" sqref="G9"/>
    </sheetView>
  </sheetViews>
  <sheetFormatPr defaultRowHeight="15" x14ac:dyDescent="0.25"/>
  <cols>
    <col min="1" max="1" width="20.140625" bestFit="1" customWidth="1"/>
    <col min="2" max="2" width="9.140625" bestFit="1" customWidth="1"/>
    <col min="3" max="3" width="11.5703125" bestFit="1" customWidth="1"/>
    <col min="4" max="4" width="17.7109375" hidden="1" customWidth="1"/>
    <col min="5" max="5" width="8.28515625" hidden="1" customWidth="1"/>
    <col min="6" max="6" width="10.85546875" hidden="1" customWidth="1"/>
    <col min="7" max="7" width="8" bestFit="1" customWidth="1"/>
    <col min="8" max="8" width="18.5703125" bestFit="1" customWidth="1"/>
    <col min="9" max="9" width="9" bestFit="1" customWidth="1"/>
    <col min="10" max="10" width="20.140625" bestFit="1" customWidth="1"/>
    <col min="11" max="12" width="11.5703125" bestFit="1" customWidth="1"/>
    <col min="13" max="14" width="12.5703125" bestFit="1" customWidth="1"/>
  </cols>
  <sheetData>
    <row r="1" spans="1:14" x14ac:dyDescent="0.25">
      <c r="A1" s="83" t="s">
        <v>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3" spans="1:14" x14ac:dyDescent="0.25">
      <c r="A3" s="6" t="s">
        <v>0</v>
      </c>
      <c r="B3" s="6" t="s">
        <v>54</v>
      </c>
      <c r="C3" s="6" t="s">
        <v>56</v>
      </c>
      <c r="D3" s="6" t="s">
        <v>20</v>
      </c>
      <c r="E3" s="6" t="s">
        <v>23</v>
      </c>
      <c r="F3" s="6" t="s">
        <v>24</v>
      </c>
      <c r="G3" s="6" t="s">
        <v>57</v>
      </c>
      <c r="H3" s="15" t="s">
        <v>19</v>
      </c>
      <c r="J3" s="6" t="s">
        <v>0</v>
      </c>
      <c r="K3" s="6" t="s">
        <v>12</v>
      </c>
      <c r="L3" s="6" t="s">
        <v>13</v>
      </c>
      <c r="M3" s="6" t="s">
        <v>14</v>
      </c>
      <c r="N3" s="15" t="s">
        <v>19</v>
      </c>
    </row>
    <row r="4" spans="1:14" x14ac:dyDescent="0.25">
      <c r="A4" s="1" t="s">
        <v>1</v>
      </c>
      <c r="B4" s="24">
        <v>3.9630000000000001</v>
      </c>
      <c r="C4" s="24">
        <v>2.524</v>
      </c>
      <c r="D4" s="24">
        <v>1.4068600294176292</v>
      </c>
      <c r="E4" s="28">
        <v>0.51</v>
      </c>
      <c r="F4" s="28">
        <v>0.83</v>
      </c>
      <c r="G4" s="32">
        <v>0.77300000000000002</v>
      </c>
      <c r="H4" s="24">
        <f t="shared" ref="H4:H7" si="0">SUM(B4,C4,G4)</f>
        <v>7.26</v>
      </c>
      <c r="J4" s="1" t="s">
        <v>1</v>
      </c>
      <c r="K4" s="8">
        <f t="shared" ref="K4:K16" si="1">B4*$J$19</f>
        <v>560481.42291000008</v>
      </c>
      <c r="L4" s="8">
        <f t="shared" ref="L4:L16" si="2">C4*$J$19</f>
        <v>356965.71068000002</v>
      </c>
      <c r="M4" s="8">
        <f>G4*$J$19</f>
        <v>109324.28461</v>
      </c>
      <c r="N4" s="16">
        <f>SUM(K4:M4)</f>
        <v>1026771.4182000001</v>
      </c>
    </row>
    <row r="5" spans="1:14" x14ac:dyDescent="0.25">
      <c r="A5" s="1" t="s">
        <v>2</v>
      </c>
      <c r="B5" s="24">
        <v>0.50800000000000001</v>
      </c>
      <c r="C5" s="24">
        <v>0.92800000000000005</v>
      </c>
      <c r="D5" s="24">
        <v>1.11122550700041</v>
      </c>
      <c r="E5" s="28">
        <v>0.75</v>
      </c>
      <c r="F5" s="28">
        <v>0.98</v>
      </c>
      <c r="G5" s="32">
        <v>0.874</v>
      </c>
      <c r="H5" s="24">
        <f t="shared" si="0"/>
        <v>2.31</v>
      </c>
      <c r="J5" s="1" t="s">
        <v>2</v>
      </c>
      <c r="K5" s="8">
        <f t="shared" si="1"/>
        <v>71845.713560000004</v>
      </c>
      <c r="L5" s="8">
        <f t="shared" si="2"/>
        <v>131245.71296</v>
      </c>
      <c r="M5" s="8">
        <f t="shared" ref="M5:M16" si="3">G5*$J$19</f>
        <v>123608.57018000001</v>
      </c>
      <c r="N5" s="16">
        <f t="shared" ref="N5:N16" si="4">SUM(K5:M5)</f>
        <v>326699.99670000002</v>
      </c>
    </row>
    <row r="6" spans="1:14" x14ac:dyDescent="0.25">
      <c r="A6" s="1" t="s">
        <v>3</v>
      </c>
      <c r="B6" s="24">
        <v>30.617999999999999</v>
      </c>
      <c r="C6" s="24">
        <v>19.821000000000002</v>
      </c>
      <c r="D6" s="24">
        <v>38.022801589099601</v>
      </c>
      <c r="E6" s="28">
        <v>0.82</v>
      </c>
      <c r="F6" s="28">
        <v>0.91</v>
      </c>
      <c r="G6" s="24">
        <v>26.992999999999999</v>
      </c>
      <c r="H6" s="24">
        <f t="shared" si="0"/>
        <v>77.432000000000002</v>
      </c>
      <c r="J6" s="1" t="s">
        <v>3</v>
      </c>
      <c r="K6" s="8">
        <f t="shared" si="1"/>
        <v>4330259.9562600004</v>
      </c>
      <c r="L6" s="8">
        <f t="shared" si="2"/>
        <v>2803255.6859700005</v>
      </c>
      <c r="M6" s="8">
        <f t="shared" si="3"/>
        <v>3817581.3900100002</v>
      </c>
      <c r="N6" s="16">
        <f t="shared" si="4"/>
        <v>10951097.03224</v>
      </c>
    </row>
    <row r="7" spans="1:14" x14ac:dyDescent="0.25">
      <c r="A7" s="1" t="s">
        <v>4</v>
      </c>
      <c r="B7" s="24">
        <v>0.82799999999999996</v>
      </c>
      <c r="C7" s="24">
        <v>0.98899999999999999</v>
      </c>
      <c r="D7" s="24">
        <v>0.99117051862727912</v>
      </c>
      <c r="E7" s="28">
        <v>0.92</v>
      </c>
      <c r="F7" s="28">
        <v>1.04</v>
      </c>
      <c r="G7" s="24">
        <v>0.92700000000000005</v>
      </c>
      <c r="H7" s="24">
        <f t="shared" si="0"/>
        <v>2.7439999999999998</v>
      </c>
      <c r="J7" s="1" t="s">
        <v>4</v>
      </c>
      <c r="K7" s="8">
        <f t="shared" si="1"/>
        <v>117102.85596</v>
      </c>
      <c r="L7" s="8">
        <f t="shared" si="2"/>
        <v>139872.85573000001</v>
      </c>
      <c r="M7" s="8">
        <f t="shared" si="3"/>
        <v>131104.28439000002</v>
      </c>
      <c r="N7" s="16">
        <f t="shared" si="4"/>
        <v>388079.99608000007</v>
      </c>
    </row>
    <row r="8" spans="1:14" x14ac:dyDescent="0.25">
      <c r="A8" s="2" t="s">
        <v>5</v>
      </c>
      <c r="B8" s="4">
        <f>SUM(B4:B7)</f>
        <v>35.917000000000002</v>
      </c>
      <c r="C8" s="4">
        <f t="shared" ref="C8:G8" si="5">SUM(C4:C7)</f>
        <v>24.262000000000004</v>
      </c>
      <c r="D8" s="4">
        <f t="shared" si="5"/>
        <v>41.532057644144921</v>
      </c>
      <c r="E8" s="4"/>
      <c r="F8" s="4"/>
      <c r="G8" s="4">
        <f t="shared" si="5"/>
        <v>29.566999999999997</v>
      </c>
      <c r="H8" s="4">
        <f>SUM(B8,C8,G8)</f>
        <v>89.745999999999995</v>
      </c>
      <c r="J8" s="2" t="s">
        <v>5</v>
      </c>
      <c r="K8" s="22">
        <f t="shared" si="1"/>
        <v>5079689.9486900009</v>
      </c>
      <c r="L8" s="22">
        <f t="shared" si="2"/>
        <v>3431339.9653400006</v>
      </c>
      <c r="M8" s="22">
        <f t="shared" si="3"/>
        <v>4181618.5291899997</v>
      </c>
      <c r="N8" s="22">
        <f t="shared" si="4"/>
        <v>12692648.443220001</v>
      </c>
    </row>
    <row r="9" spans="1:14" x14ac:dyDescent="0.25">
      <c r="A9" s="1" t="s">
        <v>6</v>
      </c>
      <c r="B9" s="24">
        <v>5.9710000000000001</v>
      </c>
      <c r="C9" s="24">
        <v>16.677</v>
      </c>
      <c r="D9" s="24">
        <v>35.327014168122702</v>
      </c>
      <c r="E9" s="28">
        <v>0.93</v>
      </c>
      <c r="F9" s="28">
        <v>0.93</v>
      </c>
      <c r="G9" s="24">
        <v>33.003</v>
      </c>
      <c r="H9" s="24">
        <f>B9+C9+G9</f>
        <v>55.650999999999996</v>
      </c>
      <c r="J9" s="1" t="s">
        <v>6</v>
      </c>
      <c r="K9" s="8">
        <f t="shared" si="1"/>
        <v>844469.99147000001</v>
      </c>
      <c r="L9" s="8">
        <f t="shared" si="2"/>
        <v>2358604.2618900002</v>
      </c>
      <c r="M9" s="8">
        <f t="shared" si="3"/>
        <v>4667567.09571</v>
      </c>
      <c r="N9" s="16">
        <f t="shared" si="4"/>
        <v>7870641.3490700005</v>
      </c>
    </row>
    <row r="10" spans="1:14" x14ac:dyDescent="0.25">
      <c r="A10" s="1" t="s">
        <v>7</v>
      </c>
      <c r="B10" s="24">
        <v>11.486000000000001</v>
      </c>
      <c r="C10" s="24">
        <v>16.625</v>
      </c>
      <c r="D10" s="24">
        <v>21.049884249536202</v>
      </c>
      <c r="E10" s="28">
        <v>0.98</v>
      </c>
      <c r="F10" s="28">
        <v>0.98</v>
      </c>
      <c r="G10" s="24">
        <v>23.312999999999999</v>
      </c>
      <c r="H10" s="24">
        <f t="shared" ref="H10:H14" si="6">B10+C10+G10</f>
        <v>51.423999999999999</v>
      </c>
      <c r="J10" s="1" t="s">
        <v>7</v>
      </c>
      <c r="K10" s="8">
        <f t="shared" si="1"/>
        <v>1624448.5550200001</v>
      </c>
      <c r="L10" s="8">
        <f t="shared" si="2"/>
        <v>2351249.9762500003</v>
      </c>
      <c r="M10" s="8">
        <f t="shared" si="3"/>
        <v>3297124.2524100002</v>
      </c>
      <c r="N10" s="16">
        <f t="shared" si="4"/>
        <v>7272822.7836800003</v>
      </c>
    </row>
    <row r="11" spans="1:14" x14ac:dyDescent="0.25">
      <c r="A11" s="1" t="s">
        <v>8</v>
      </c>
      <c r="B11" s="24">
        <v>3.0000000000000001E-3</v>
      </c>
      <c r="C11" s="24">
        <v>1.9359999999999999</v>
      </c>
      <c r="D11" s="24">
        <v>2.8171333787829997</v>
      </c>
      <c r="E11" s="28">
        <v>1</v>
      </c>
      <c r="F11" s="28">
        <v>1.02</v>
      </c>
      <c r="G11" s="24">
        <v>3.129</v>
      </c>
      <c r="H11" s="24">
        <f t="shared" si="6"/>
        <v>5.0679999999999996</v>
      </c>
      <c r="J11" s="1" t="s">
        <v>8</v>
      </c>
      <c r="K11" s="8">
        <f t="shared" si="1"/>
        <v>424.28571000000005</v>
      </c>
      <c r="L11" s="8">
        <f t="shared" si="2"/>
        <v>273805.71152000001</v>
      </c>
      <c r="M11" s="8">
        <f t="shared" si="3"/>
        <v>442529.99553000001</v>
      </c>
      <c r="N11" s="16">
        <f t="shared" si="4"/>
        <v>716759.99276000005</v>
      </c>
    </row>
    <row r="12" spans="1:14" x14ac:dyDescent="0.25">
      <c r="A12" s="1" t="s">
        <v>9</v>
      </c>
      <c r="B12" s="24">
        <v>0.26400000000000001</v>
      </c>
      <c r="C12" s="24">
        <v>4.6349999999999998</v>
      </c>
      <c r="D12" s="24">
        <v>5.5896015697168</v>
      </c>
      <c r="E12" s="28">
        <v>1.02</v>
      </c>
      <c r="F12" s="28">
        <v>0.99</v>
      </c>
      <c r="G12" s="24">
        <v>6.12</v>
      </c>
      <c r="H12" s="24">
        <f t="shared" si="6"/>
        <v>11.019</v>
      </c>
      <c r="J12" s="1" t="s">
        <v>9</v>
      </c>
      <c r="K12" s="8">
        <f t="shared" si="1"/>
        <v>37337.142480000002</v>
      </c>
      <c r="L12" s="8">
        <f t="shared" si="2"/>
        <v>655521.42194999999</v>
      </c>
      <c r="M12" s="8">
        <f t="shared" si="3"/>
        <v>865542.84840000002</v>
      </c>
      <c r="N12" s="16">
        <f t="shared" si="4"/>
        <v>1558401.41283</v>
      </c>
    </row>
    <row r="13" spans="1:14" x14ac:dyDescent="0.25">
      <c r="A13" s="1" t="s">
        <v>10</v>
      </c>
      <c r="B13" s="24">
        <v>0.504</v>
      </c>
      <c r="C13" s="24">
        <v>1.1850000000000001</v>
      </c>
      <c r="D13" s="24">
        <v>3.0355718154811999</v>
      </c>
      <c r="E13" s="28">
        <v>1.01</v>
      </c>
      <c r="F13" s="28">
        <v>1.04</v>
      </c>
      <c r="G13" s="24">
        <v>2.7639999999999998</v>
      </c>
      <c r="H13" s="24">
        <f t="shared" si="6"/>
        <v>4.4529999999999994</v>
      </c>
      <c r="J13" s="1" t="s">
        <v>10</v>
      </c>
      <c r="K13" s="8">
        <f t="shared" si="1"/>
        <v>71279.999280000004</v>
      </c>
      <c r="L13" s="8">
        <f t="shared" si="2"/>
        <v>167592.85545</v>
      </c>
      <c r="M13" s="8">
        <f t="shared" si="3"/>
        <v>390908.56747999997</v>
      </c>
      <c r="N13" s="16">
        <f t="shared" si="4"/>
        <v>629781.42220999999</v>
      </c>
    </row>
    <row r="14" spans="1:14" x14ac:dyDescent="0.25">
      <c r="A14" s="1" t="s">
        <v>16</v>
      </c>
      <c r="B14" s="24">
        <v>0</v>
      </c>
      <c r="C14" s="24">
        <v>0.435</v>
      </c>
      <c r="D14" s="24">
        <v>0.14387957812800001</v>
      </c>
      <c r="E14" s="28">
        <v>0.98</v>
      </c>
      <c r="F14" s="28">
        <v>0.93</v>
      </c>
      <c r="G14" s="24">
        <v>2.8039999999999998</v>
      </c>
      <c r="H14" s="24">
        <f t="shared" si="6"/>
        <v>3.2389999999999999</v>
      </c>
      <c r="J14" s="1" t="s">
        <v>16</v>
      </c>
      <c r="K14" s="8">
        <f t="shared" si="1"/>
        <v>0</v>
      </c>
      <c r="L14" s="8">
        <f t="shared" si="2"/>
        <v>61521.427950000005</v>
      </c>
      <c r="M14" s="8">
        <f t="shared" si="3"/>
        <v>396565.71028</v>
      </c>
      <c r="N14" s="16">
        <f t="shared" si="4"/>
        <v>458087.13822999998</v>
      </c>
    </row>
    <row r="15" spans="1:14" x14ac:dyDescent="0.25">
      <c r="A15" s="19" t="s">
        <v>11</v>
      </c>
      <c r="B15" s="25">
        <f>SUM(B9:B14)</f>
        <v>18.228000000000002</v>
      </c>
      <c r="C15" s="25">
        <f t="shared" ref="C15" si="7">SUM(C9:C14)</f>
        <v>41.493000000000002</v>
      </c>
      <c r="D15" s="25">
        <f>SUM(D9:D14)</f>
        <v>67.963084759767909</v>
      </c>
      <c r="E15" s="25"/>
      <c r="F15" s="25"/>
      <c r="G15" s="25">
        <f>SUM(G9:G14)</f>
        <v>71.132999999999996</v>
      </c>
      <c r="H15" s="25">
        <f>SUM(B15,C15,G15)</f>
        <v>130.85399999999998</v>
      </c>
      <c r="J15" s="19" t="s">
        <v>11</v>
      </c>
      <c r="K15" s="23">
        <f t="shared" si="1"/>
        <v>2577959.9739600006</v>
      </c>
      <c r="L15" s="23">
        <f t="shared" si="2"/>
        <v>5868295.6550100008</v>
      </c>
      <c r="M15" s="23">
        <f t="shared" si="3"/>
        <v>10060238.46981</v>
      </c>
      <c r="N15" s="23">
        <f t="shared" si="4"/>
        <v>18506494.098779999</v>
      </c>
    </row>
    <row r="16" spans="1:14" x14ac:dyDescent="0.25">
      <c r="A16" s="13" t="s">
        <v>15</v>
      </c>
      <c r="B16" s="26">
        <f>SUM(B15,B8)</f>
        <v>54.145000000000003</v>
      </c>
      <c r="C16" s="26">
        <f t="shared" ref="C16:G16" si="8">SUM(C15,C8)</f>
        <v>65.75500000000001</v>
      </c>
      <c r="D16" s="26">
        <f t="shared" si="8"/>
        <v>109.49514240391284</v>
      </c>
      <c r="E16" s="26">
        <f t="shared" si="8"/>
        <v>0</v>
      </c>
      <c r="F16" s="26"/>
      <c r="G16" s="26">
        <f t="shared" si="8"/>
        <v>100.69999999999999</v>
      </c>
      <c r="H16" s="26">
        <f>SUM(H8,H15)</f>
        <v>220.59999999999997</v>
      </c>
      <c r="J16" s="13" t="s">
        <v>15</v>
      </c>
      <c r="K16" s="14">
        <f t="shared" si="1"/>
        <v>7657649.922650001</v>
      </c>
      <c r="L16" s="14">
        <f t="shared" si="2"/>
        <v>9299635.6203500014</v>
      </c>
      <c r="M16" s="14">
        <f t="shared" si="3"/>
        <v>14241856.999</v>
      </c>
      <c r="N16" s="17">
        <f t="shared" si="4"/>
        <v>31199142.542000003</v>
      </c>
    </row>
    <row r="18" spans="1:14" x14ac:dyDescent="0.25">
      <c r="C18" t="s">
        <v>21</v>
      </c>
      <c r="H18" s="3">
        <v>210</v>
      </c>
      <c r="J18" t="s">
        <v>17</v>
      </c>
      <c r="M18" t="s">
        <v>18</v>
      </c>
      <c r="N18" s="11">
        <v>29700000</v>
      </c>
    </row>
    <row r="19" spans="1:14" x14ac:dyDescent="0.25">
      <c r="H19" s="21"/>
      <c r="J19" s="9">
        <v>141428.57</v>
      </c>
      <c r="N19" s="12"/>
    </row>
    <row r="20" spans="1:14" x14ac:dyDescent="0.25">
      <c r="A20" t="s">
        <v>52</v>
      </c>
    </row>
    <row r="21" spans="1:14" x14ac:dyDescent="0.25">
      <c r="A21" t="s">
        <v>55</v>
      </c>
    </row>
    <row r="22" spans="1:14" x14ac:dyDescent="0.25">
      <c r="A22" t="s">
        <v>61</v>
      </c>
    </row>
    <row r="23" spans="1:14" x14ac:dyDescent="0.25">
      <c r="A23" t="s">
        <v>59</v>
      </c>
    </row>
    <row r="24" spans="1:14" x14ac:dyDescent="0.25">
      <c r="A24" t="s">
        <v>62</v>
      </c>
    </row>
    <row r="25" spans="1:14" x14ac:dyDescent="0.25">
      <c r="I25" s="21"/>
    </row>
    <row r="26" spans="1:14" x14ac:dyDescent="0.25">
      <c r="I26" s="21"/>
    </row>
    <row r="27" spans="1:14" x14ac:dyDescent="0.25">
      <c r="I27" s="21"/>
    </row>
    <row r="28" spans="1:14" x14ac:dyDescent="0.25">
      <c r="I28" s="31"/>
    </row>
    <row r="30" spans="1:14" x14ac:dyDescent="0.25">
      <c r="I30" s="30"/>
    </row>
    <row r="31" spans="1:14" x14ac:dyDescent="0.25">
      <c r="I31" s="30"/>
    </row>
    <row r="32" spans="1:14" x14ac:dyDescent="0.25">
      <c r="I32" s="33"/>
    </row>
    <row r="33" spans="9:9" x14ac:dyDescent="0.25">
      <c r="I33" s="30"/>
    </row>
    <row r="34" spans="9:9" x14ac:dyDescent="0.25">
      <c r="I34" s="30"/>
    </row>
  </sheetData>
  <mergeCells count="1">
    <mergeCell ref="A1:N1"/>
  </mergeCells>
  <pageMargins left="0.25" right="0.25" top="0.75" bottom="0.75" header="0.3" footer="0.3"/>
  <pageSetup scale="9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5" x14ac:dyDescent="0.25"/>
  <cols>
    <col min="1" max="1" width="24.7109375" bestFit="1" customWidth="1"/>
    <col min="2" max="2" width="11.85546875" bestFit="1" customWidth="1"/>
  </cols>
  <sheetData>
    <row r="1" spans="1:5" x14ac:dyDescent="0.25">
      <c r="A1" s="6"/>
      <c r="B1" s="6" t="s">
        <v>51</v>
      </c>
      <c r="C1" s="6" t="s">
        <v>56</v>
      </c>
      <c r="D1" s="6" t="s">
        <v>57</v>
      </c>
      <c r="E1" s="15" t="s">
        <v>19</v>
      </c>
    </row>
    <row r="2" spans="1:5" x14ac:dyDescent="0.25">
      <c r="A2" s="6" t="s">
        <v>26</v>
      </c>
      <c r="B2" s="36">
        <v>8200</v>
      </c>
      <c r="C2" s="36">
        <v>13693</v>
      </c>
      <c r="D2" s="36">
        <v>6758</v>
      </c>
      <c r="E2" s="36">
        <f>SUM(B2:D2)</f>
        <v>28651</v>
      </c>
    </row>
    <row r="4" spans="1:5" x14ac:dyDescent="0.25">
      <c r="A4" t="s">
        <v>65</v>
      </c>
    </row>
    <row r="5" spans="1:5" x14ac:dyDescent="0.25">
      <c r="A5" t="s">
        <v>64</v>
      </c>
    </row>
    <row r="6" spans="1:5" x14ac:dyDescent="0.25">
      <c r="A6" t="s">
        <v>63</v>
      </c>
    </row>
    <row r="8" spans="1:5" x14ac:dyDescent="0.25">
      <c r="A8" t="s">
        <v>27</v>
      </c>
      <c r="B8" s="34">
        <v>30.62</v>
      </c>
    </row>
    <row r="9" spans="1:5" x14ac:dyDescent="0.25">
      <c r="A9" t="s">
        <v>29</v>
      </c>
      <c r="B9" s="35">
        <v>750000</v>
      </c>
    </row>
    <row r="10" spans="1:5" x14ac:dyDescent="0.25">
      <c r="A10" t="s">
        <v>28</v>
      </c>
      <c r="B10" s="35">
        <f>MIN(E2*B8,B9)</f>
        <v>750000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E18" sqref="E18"/>
    </sheetView>
  </sheetViews>
  <sheetFormatPr defaultRowHeight="15" x14ac:dyDescent="0.25"/>
  <cols>
    <col min="1" max="1" width="41.28515625" customWidth="1"/>
    <col min="2" max="2" width="14.140625" customWidth="1"/>
    <col min="4" max="4" width="11.7109375" customWidth="1"/>
    <col min="5" max="5" width="17.5703125" bestFit="1" customWidth="1"/>
    <col min="6" max="6" width="11.5703125" customWidth="1"/>
    <col min="7" max="7" width="10.28515625" customWidth="1"/>
    <col min="8" max="8" width="17.5703125" bestFit="1" customWidth="1"/>
    <col min="10" max="10" width="18.140625" customWidth="1"/>
  </cols>
  <sheetData>
    <row r="1" spans="1:10" ht="24" thickTop="1" x14ac:dyDescent="0.35">
      <c r="A1" s="56"/>
      <c r="B1" s="84" t="s">
        <v>49</v>
      </c>
      <c r="C1" s="85"/>
      <c r="D1" s="85"/>
      <c r="E1" s="85"/>
      <c r="F1" s="85"/>
      <c r="G1" s="85"/>
      <c r="H1" s="85"/>
      <c r="I1" s="85"/>
      <c r="J1" s="86"/>
    </row>
    <row r="2" spans="1:10" ht="30.75" thickBot="1" x14ac:dyDescent="0.3">
      <c r="A2" s="57" t="s">
        <v>30</v>
      </c>
      <c r="B2" s="64" t="s">
        <v>27</v>
      </c>
      <c r="C2" s="65" t="s">
        <v>31</v>
      </c>
      <c r="D2" s="65" t="s">
        <v>32</v>
      </c>
      <c r="E2" s="66" t="s">
        <v>33</v>
      </c>
      <c r="F2" s="65" t="s">
        <v>45</v>
      </c>
      <c r="G2" s="65" t="s">
        <v>34</v>
      </c>
      <c r="H2" s="66" t="s">
        <v>35</v>
      </c>
      <c r="I2" s="65" t="s">
        <v>46</v>
      </c>
      <c r="J2" s="67" t="s">
        <v>48</v>
      </c>
    </row>
    <row r="3" spans="1:10" ht="30.75" thickTop="1" x14ac:dyDescent="0.25">
      <c r="A3" s="58" t="s">
        <v>36</v>
      </c>
      <c r="B3" s="63" t="s">
        <v>37</v>
      </c>
      <c r="C3" s="52"/>
      <c r="D3" s="53">
        <f>E3/E$8</f>
        <v>7.1937438886897617E-2</v>
      </c>
      <c r="E3" s="54">
        <v>2000000</v>
      </c>
      <c r="F3" s="55"/>
      <c r="G3" s="55"/>
      <c r="H3" s="54">
        <f>E3</f>
        <v>2000000</v>
      </c>
      <c r="I3" s="52"/>
      <c r="J3" s="68">
        <f>H3</f>
        <v>2000000</v>
      </c>
    </row>
    <row r="4" spans="1:10" ht="60" x14ac:dyDescent="0.25">
      <c r="A4" s="59" t="s">
        <v>38</v>
      </c>
      <c r="B4" s="61">
        <v>7.5</v>
      </c>
      <c r="C4" s="46" t="s">
        <v>39</v>
      </c>
      <c r="D4" s="47">
        <f t="shared" ref="D4:D7" si="0">E4/E$8</f>
        <v>0.15113822113460806</v>
      </c>
      <c r="E4" s="48">
        <v>4201935</v>
      </c>
      <c r="F4" s="49">
        <f>E4/B4</f>
        <v>560258</v>
      </c>
      <c r="G4" s="50">
        <v>1.3</v>
      </c>
      <c r="H4" s="48">
        <f>E4*G4</f>
        <v>5462515.5</v>
      </c>
      <c r="I4" s="51">
        <f>MWh!E16</f>
        <v>773437.027</v>
      </c>
      <c r="J4" s="69">
        <f>MIN(I4*B4,H4)</f>
        <v>5462515.5</v>
      </c>
    </row>
    <row r="5" spans="1:10" ht="60" x14ac:dyDescent="0.25">
      <c r="A5" s="58" t="s">
        <v>40</v>
      </c>
      <c r="B5" s="82">
        <v>141428.57</v>
      </c>
      <c r="C5" s="42" t="s">
        <v>41</v>
      </c>
      <c r="D5" s="43">
        <f t="shared" si="0"/>
        <v>0.71218064498028644</v>
      </c>
      <c r="E5" s="44">
        <v>19800000</v>
      </c>
      <c r="F5" s="80">
        <f>E5/B5</f>
        <v>140.00000141414142</v>
      </c>
      <c r="G5" s="81">
        <v>1.5</v>
      </c>
      <c r="H5" s="44">
        <f t="shared" ref="H5:H6" si="1">E5*G5</f>
        <v>29700000</v>
      </c>
      <c r="I5" s="42">
        <f>MW!H16</f>
        <v>220.59999999999997</v>
      </c>
      <c r="J5" s="70">
        <f>MIN(I5*B5,H5)</f>
        <v>29700000</v>
      </c>
    </row>
    <row r="6" spans="1:10" ht="35.25" customHeight="1" x14ac:dyDescent="0.25">
      <c r="A6" s="59" t="s">
        <v>42</v>
      </c>
      <c r="B6" s="61">
        <v>30.62</v>
      </c>
      <c r="C6" s="46" t="s">
        <v>43</v>
      </c>
      <c r="D6" s="47">
        <f t="shared" si="0"/>
        <v>1.7984359721724404E-2</v>
      </c>
      <c r="E6" s="48">
        <v>500000</v>
      </c>
      <c r="F6" s="49">
        <v>16331</v>
      </c>
      <c r="G6" s="50">
        <v>1.5</v>
      </c>
      <c r="H6" s="48">
        <f t="shared" si="1"/>
        <v>750000</v>
      </c>
      <c r="I6" s="51">
        <f>Tstats!E2</f>
        <v>28651</v>
      </c>
      <c r="J6" s="69">
        <f>MIN(I6*B6,H6)</f>
        <v>750000</v>
      </c>
    </row>
    <row r="7" spans="1:10" ht="30" x14ac:dyDescent="0.25">
      <c r="A7" s="60" t="s">
        <v>44</v>
      </c>
      <c r="B7" s="62" t="s">
        <v>37</v>
      </c>
      <c r="C7" s="42"/>
      <c r="D7" s="43">
        <f t="shared" si="0"/>
        <v>4.6759335276483453E-2</v>
      </c>
      <c r="E7" s="44">
        <v>1300000</v>
      </c>
      <c r="F7" s="45"/>
      <c r="G7" s="45"/>
      <c r="H7" s="44">
        <f>E7</f>
        <v>1300000</v>
      </c>
      <c r="I7" s="42"/>
      <c r="J7" s="70">
        <f>H7</f>
        <v>1300000</v>
      </c>
    </row>
    <row r="8" spans="1:10" ht="18.75" x14ac:dyDescent="0.3">
      <c r="A8" s="71"/>
      <c r="B8" s="72"/>
      <c r="C8" s="73"/>
      <c r="D8" s="73"/>
      <c r="E8" s="74">
        <f>SUM(E3:E7)</f>
        <v>27801935</v>
      </c>
      <c r="F8" s="73"/>
      <c r="G8" s="73"/>
      <c r="H8" s="74">
        <f>SUM(H3:H7)</f>
        <v>39212515.5</v>
      </c>
      <c r="I8" s="73"/>
      <c r="J8" s="75">
        <f>SUM(J3:J7)</f>
        <v>39212515.5</v>
      </c>
    </row>
    <row r="9" spans="1:10" x14ac:dyDescent="0.25">
      <c r="A9" s="76" t="s">
        <v>47</v>
      </c>
      <c r="B9" s="77"/>
      <c r="C9" s="78"/>
      <c r="D9" s="78"/>
      <c r="E9" s="78"/>
      <c r="F9" s="78"/>
      <c r="G9" s="78"/>
      <c r="H9" s="78"/>
      <c r="I9" s="78"/>
      <c r="J9" s="79" t="s">
        <v>50</v>
      </c>
    </row>
    <row r="11" spans="1:10" x14ac:dyDescent="0.25">
      <c r="B11" s="37"/>
    </row>
    <row r="12" spans="1:10" x14ac:dyDescent="0.25">
      <c r="B12" s="37"/>
    </row>
    <row r="13" spans="1:10" x14ac:dyDescent="0.25">
      <c r="B13" s="37"/>
    </row>
    <row r="14" spans="1:10" x14ac:dyDescent="0.25">
      <c r="B14" s="37"/>
    </row>
    <row r="15" spans="1:10" x14ac:dyDescent="0.25">
      <c r="B15" s="37"/>
    </row>
    <row r="16" spans="1:10" x14ac:dyDescent="0.25">
      <c r="A16" s="40"/>
      <c r="B16" s="41"/>
    </row>
  </sheetData>
  <mergeCells count="1">
    <mergeCell ref="B1:J1"/>
  </mergeCells>
  <pageMargins left="0.7" right="0.7" top="0.75" bottom="0.75" header="0.3" footer="0.3"/>
  <pageSetup orientation="portrait" r:id="rId1"/>
  <headerFooter>
    <oddHeader>&amp;RSchedule WRD-5</oddHeader>
    <oddFooter>&amp;RSchedule WRD-5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8f4f7a9ff247d0d0dcde2d3c8032f328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Props1.xml><?xml version="1.0" encoding="utf-8"?>
<ds:datastoreItem xmlns:ds="http://schemas.openxmlformats.org/officeDocument/2006/customXml" ds:itemID="{420273F0-9078-4FA2-8BF0-891FBE9FDC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DA8E92-8BDD-496B-AAA0-59E9869825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E3039A-F726-4523-9FD3-C754A7125BAE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$ListId:Library;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HER</vt:lpstr>
      <vt:lpstr>MWh</vt:lpstr>
      <vt:lpstr>MW</vt:lpstr>
      <vt:lpstr>Tstats</vt:lpstr>
      <vt:lpstr>Total EO</vt:lpstr>
      <vt:lpstr>MW!Print_Area</vt:lpstr>
      <vt:lpstr>MWh!Print_Area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Friedrich, Jeffrey</dc:creator>
  <cp:lastModifiedBy>Best, Geri A</cp:lastModifiedBy>
  <cp:lastPrinted>2019-11-22T21:02:57Z</cp:lastPrinted>
  <dcterms:created xsi:type="dcterms:W3CDTF">2018-09-19T12:34:14Z</dcterms:created>
  <dcterms:modified xsi:type="dcterms:W3CDTF">2019-11-22T21:03:06Z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