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5" yWindow="105" windowWidth="13260" windowHeight="6585" tabRatio="899" activeTab="9"/>
  </bookViews>
  <sheets>
    <sheet name="Attachment 1" sheetId="8" r:id="rId1"/>
    <sheet name="Attachment 2" sheetId="13" r:id="rId2"/>
    <sheet name="Attachment 3" sheetId="14" r:id="rId3"/>
    <sheet name="Swing Price" sheetId="12" r:id="rId4"/>
    <sheet name="Delivery Rates" sheetId="10" r:id="rId5"/>
    <sheet name="Hedges" sheetId="9" r:id="rId6"/>
    <sheet name="Btu Factor Calculations" sheetId="11" r:id="rId7"/>
    <sheet name="Attachment 3 support" sheetId="15" r:id="rId8"/>
    <sheet name="Monthly Usage - Branson" sheetId="3" r:id="rId9"/>
    <sheet name="Monthly Usage - Rogersvile" sheetId="4" r:id="rId10"/>
  </sheets>
  <externalReferences>
    <externalReference r:id="rId11"/>
    <externalReference r:id="rId12"/>
  </externalReferences>
  <definedNames>
    <definedName name="_xlnm.Print_Area" localSheetId="0">'Attachment 1'!$A$1:$N$84</definedName>
    <definedName name="_xlnm.Print_Area" localSheetId="1">'Attachment 2'!$A$1:$G$36</definedName>
    <definedName name="_xlnm.Print_Area" localSheetId="2">'Attachment 3'!$A$2:$E$37</definedName>
    <definedName name="_xlnm.Print_Area" localSheetId="7">'Attachment 3 support'!$A$1:$M$15</definedName>
    <definedName name="_xlnm.Print_Area" localSheetId="4">'Delivery Rates'!$A$1:$F$49</definedName>
    <definedName name="_xlnm.Print_Area" localSheetId="8">'Monthly Usage - Branson'!$A$2:$O$74,'Monthly Usage - Branson'!$A$75:$N$145</definedName>
    <definedName name="_xlnm.Print_Area" localSheetId="9">'Monthly Usage - Rogersvile'!$A$1:$O$68,'Monthly Usage - Rogersvile'!$A$69:$N$141</definedName>
  </definedNames>
  <calcPr calcId="145621" iterate="1"/>
</workbook>
</file>

<file path=xl/calcChain.xml><?xml version="1.0" encoding="utf-8"?>
<calcChain xmlns="http://schemas.openxmlformats.org/spreadsheetml/2006/main">
  <c r="G30" i="13" l="1"/>
  <c r="H10" i="15"/>
  <c r="H11" i="15"/>
  <c r="H12" i="15"/>
  <c r="H9" i="15"/>
  <c r="G10" i="15"/>
  <c r="G11" i="15"/>
  <c r="G12" i="15"/>
  <c r="G9" i="15"/>
  <c r="D7" i="12"/>
  <c r="F32" i="8" s="1"/>
  <c r="D8" i="12"/>
  <c r="G32" i="8"/>
  <c r="D9" i="12"/>
  <c r="H44" i="8" s="1"/>
  <c r="D10" i="12"/>
  <c r="D11" i="12"/>
  <c r="J32" i="8" s="1"/>
  <c r="D12" i="12"/>
  <c r="K32" i="8" s="1"/>
  <c r="D13" i="12"/>
  <c r="L44" i="8" s="1"/>
  <c r="M33" i="8"/>
  <c r="E24" i="8"/>
  <c r="E25" i="8" s="1"/>
  <c r="F24" i="8"/>
  <c r="F25" i="8" s="1"/>
  <c r="G24" i="8"/>
  <c r="G25" i="8" s="1"/>
  <c r="H24" i="8"/>
  <c r="H25" i="8" s="1"/>
  <c r="I24" i="8"/>
  <c r="I25" i="8" s="1"/>
  <c r="J24" i="8"/>
  <c r="J25" i="8" s="1"/>
  <c r="K24" i="8"/>
  <c r="K25" i="8" s="1"/>
  <c r="L24" i="8"/>
  <c r="L25" i="8" s="1"/>
  <c r="M24" i="8"/>
  <c r="M25" i="8" s="1"/>
  <c r="K57" i="8"/>
  <c r="K56" i="8"/>
  <c r="J57" i="8"/>
  <c r="J56" i="8"/>
  <c r="I57" i="8"/>
  <c r="I56" i="8"/>
  <c r="H56" i="8"/>
  <c r="H57" i="8"/>
  <c r="G57" i="8"/>
  <c r="G56" i="8"/>
  <c r="F57" i="8"/>
  <c r="F56" i="8"/>
  <c r="E57" i="8"/>
  <c r="D57" i="8"/>
  <c r="C57" i="8"/>
  <c r="B57" i="8"/>
  <c r="B56" i="8"/>
  <c r="M57" i="8"/>
  <c r="M56" i="8"/>
  <c r="L57" i="8"/>
  <c r="L56" i="8"/>
  <c r="J31" i="8"/>
  <c r="L31" i="8"/>
  <c r="K31" i="8"/>
  <c r="E28" i="8"/>
  <c r="E61" i="8" s="1"/>
  <c r="D28" i="8"/>
  <c r="B28" i="8"/>
  <c r="B61" i="8" s="1"/>
  <c r="C28" i="8"/>
  <c r="B27" i="8"/>
  <c r="E8" i="9"/>
  <c r="D8" i="9"/>
  <c r="D10" i="9" s="1"/>
  <c r="F10" i="9" s="1"/>
  <c r="C8" i="9"/>
  <c r="C13" i="11"/>
  <c r="C12" i="11"/>
  <c r="C11" i="11"/>
  <c r="C10" i="11"/>
  <c r="C9" i="11"/>
  <c r="D9" i="11" s="1"/>
  <c r="C8" i="11"/>
  <c r="C7" i="11"/>
  <c r="C6" i="11"/>
  <c r="C5" i="11"/>
  <c r="C4" i="11"/>
  <c r="C3" i="11"/>
  <c r="C2" i="11"/>
  <c r="B13" i="11"/>
  <c r="D13" i="11" s="1"/>
  <c r="B12" i="11"/>
  <c r="B11" i="11"/>
  <c r="B10" i="11"/>
  <c r="B9" i="11"/>
  <c r="B8" i="11"/>
  <c r="D8" i="11" s="1"/>
  <c r="B7" i="11"/>
  <c r="B6" i="11"/>
  <c r="B5" i="11"/>
  <c r="B4" i="11"/>
  <c r="B3" i="11"/>
  <c r="B2" i="11"/>
  <c r="D32" i="4"/>
  <c r="D54" i="4" s="1"/>
  <c r="D81" i="4" s="1"/>
  <c r="D103" i="4" s="1"/>
  <c r="D33" i="4"/>
  <c r="D34" i="4"/>
  <c r="D56" i="4"/>
  <c r="D83" i="4" s="1"/>
  <c r="D35" i="4"/>
  <c r="D57" i="4" s="1"/>
  <c r="D84" i="4" s="1"/>
  <c r="D106" i="4" s="1"/>
  <c r="D128" i="4" s="1"/>
  <c r="D36" i="4"/>
  <c r="D58" i="4" s="1"/>
  <c r="D37" i="4"/>
  <c r="D59" i="4" s="1"/>
  <c r="D38" i="4"/>
  <c r="D39" i="4"/>
  <c r="D61" i="4" s="1"/>
  <c r="D88" i="4" s="1"/>
  <c r="D110" i="4" s="1"/>
  <c r="D40" i="4"/>
  <c r="D62" i="4" s="1"/>
  <c r="D41" i="4"/>
  <c r="D63" i="4" s="1"/>
  <c r="D90" i="4" s="1"/>
  <c r="D42" i="4"/>
  <c r="D64" i="4" s="1"/>
  <c r="D91" i="4" s="1"/>
  <c r="D43" i="4"/>
  <c r="D65" i="4" s="1"/>
  <c r="D92" i="4" s="1"/>
  <c r="G137" i="4"/>
  <c r="H136" i="4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K137" i="4"/>
  <c r="C43" i="4"/>
  <c r="C65" i="4"/>
  <c r="C92" i="4" s="1"/>
  <c r="C114" i="4" s="1"/>
  <c r="C136" i="4" s="1"/>
  <c r="B43" i="4"/>
  <c r="B65" i="4" s="1"/>
  <c r="B92" i="4" s="1"/>
  <c r="B114" i="4" s="1"/>
  <c r="B136" i="4" s="1"/>
  <c r="C42" i="4"/>
  <c r="C64" i="4" s="1"/>
  <c r="C91" i="4" s="1"/>
  <c r="C113" i="4" s="1"/>
  <c r="C135" i="4" s="1"/>
  <c r="B42" i="4"/>
  <c r="B64" i="4" s="1"/>
  <c r="B91" i="4" s="1"/>
  <c r="B113" i="4" s="1"/>
  <c r="B135" i="4" s="1"/>
  <c r="C41" i="4"/>
  <c r="C63" i="4" s="1"/>
  <c r="C90" i="4" s="1"/>
  <c r="C112" i="4" s="1"/>
  <c r="C134" i="4" s="1"/>
  <c r="B41" i="4"/>
  <c r="B63" i="4" s="1"/>
  <c r="B90" i="4" s="1"/>
  <c r="B112" i="4" s="1"/>
  <c r="B134" i="4" s="1"/>
  <c r="C40" i="4"/>
  <c r="C62" i="4" s="1"/>
  <c r="C89" i="4" s="1"/>
  <c r="C111" i="4" s="1"/>
  <c r="C133" i="4" s="1"/>
  <c r="B40" i="4"/>
  <c r="B62" i="4" s="1"/>
  <c r="B89" i="4" s="1"/>
  <c r="B111" i="4" s="1"/>
  <c r="B133" i="4" s="1"/>
  <c r="C39" i="4"/>
  <c r="C61" i="4" s="1"/>
  <c r="C88" i="4" s="1"/>
  <c r="C110" i="4" s="1"/>
  <c r="C132" i="4" s="1"/>
  <c r="B39" i="4"/>
  <c r="B61" i="4" s="1"/>
  <c r="B88" i="4" s="1"/>
  <c r="B110" i="4" s="1"/>
  <c r="B132" i="4" s="1"/>
  <c r="C38" i="4"/>
  <c r="C60" i="4" s="1"/>
  <c r="C87" i="4" s="1"/>
  <c r="C109" i="4" s="1"/>
  <c r="C131" i="4" s="1"/>
  <c r="B38" i="4"/>
  <c r="B60" i="4" s="1"/>
  <c r="B87" i="4" s="1"/>
  <c r="B109" i="4" s="1"/>
  <c r="B131" i="4" s="1"/>
  <c r="C37" i="4"/>
  <c r="C59" i="4" s="1"/>
  <c r="C86" i="4" s="1"/>
  <c r="C108" i="4" s="1"/>
  <c r="C130" i="4" s="1"/>
  <c r="B37" i="4"/>
  <c r="B59" i="4" s="1"/>
  <c r="B86" i="4" s="1"/>
  <c r="B108" i="4" s="1"/>
  <c r="B130" i="4" s="1"/>
  <c r="C36" i="4"/>
  <c r="C58" i="4" s="1"/>
  <c r="C85" i="4" s="1"/>
  <c r="C107" i="4" s="1"/>
  <c r="C129" i="4" s="1"/>
  <c r="B36" i="4"/>
  <c r="B58" i="4" s="1"/>
  <c r="B85" i="4" s="1"/>
  <c r="B107" i="4" s="1"/>
  <c r="B129" i="4" s="1"/>
  <c r="C35" i="4"/>
  <c r="C57" i="4" s="1"/>
  <c r="C84" i="4" s="1"/>
  <c r="C106" i="4" s="1"/>
  <c r="C128" i="4" s="1"/>
  <c r="B35" i="4"/>
  <c r="B57" i="4" s="1"/>
  <c r="B84" i="4" s="1"/>
  <c r="B106" i="4" s="1"/>
  <c r="B128" i="4" s="1"/>
  <c r="C34" i="4"/>
  <c r="C56" i="4" s="1"/>
  <c r="C83" i="4" s="1"/>
  <c r="C105" i="4" s="1"/>
  <c r="C127" i="4" s="1"/>
  <c r="B34" i="4"/>
  <c r="B56" i="4" s="1"/>
  <c r="B83" i="4" s="1"/>
  <c r="B105" i="4" s="1"/>
  <c r="B127" i="4" s="1"/>
  <c r="C33" i="4"/>
  <c r="C55" i="4" s="1"/>
  <c r="C82" i="4" s="1"/>
  <c r="C104" i="4" s="1"/>
  <c r="C126" i="4" s="1"/>
  <c r="B33" i="4"/>
  <c r="B55" i="4" s="1"/>
  <c r="B82" i="4" s="1"/>
  <c r="B104" i="4" s="1"/>
  <c r="B126" i="4" s="1"/>
  <c r="C32" i="4"/>
  <c r="C54" i="4" s="1"/>
  <c r="C81" i="4" s="1"/>
  <c r="C103" i="4"/>
  <c r="C125" i="4" s="1"/>
  <c r="B32" i="4"/>
  <c r="B54" i="4"/>
  <c r="B81" i="4" s="1"/>
  <c r="B103" i="4" s="1"/>
  <c r="B125" i="4" s="1"/>
  <c r="G115" i="4"/>
  <c r="H114" i="4"/>
  <c r="H103" i="4" s="1"/>
  <c r="K115" i="4"/>
  <c r="G93" i="4"/>
  <c r="H92" i="4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K93" i="4"/>
  <c r="G66" i="4"/>
  <c r="H65" i="4"/>
  <c r="H54" i="4" s="1"/>
  <c r="K66" i="4"/>
  <c r="D23" i="4"/>
  <c r="E32" i="4" s="1"/>
  <c r="G44" i="4"/>
  <c r="E39" i="4"/>
  <c r="G39" i="4" s="1"/>
  <c r="I39" i="4" s="1"/>
  <c r="M39" i="4" s="1"/>
  <c r="E43" i="4"/>
  <c r="H43" i="4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K44" i="4"/>
  <c r="G23" i="4"/>
  <c r="E13" i="4"/>
  <c r="G13" i="4" s="1"/>
  <c r="E17" i="4"/>
  <c r="G17" i="4" s="1"/>
  <c r="E21" i="4"/>
  <c r="G21" i="4" s="1"/>
  <c r="H22" i="4"/>
  <c r="H11" i="4" s="1"/>
  <c r="K23" i="4"/>
  <c r="D35" i="3"/>
  <c r="D36" i="3"/>
  <c r="D37" i="3"/>
  <c r="D62" i="3" s="1"/>
  <c r="D89" i="3" s="1"/>
  <c r="D38" i="3"/>
  <c r="D63" i="3" s="1"/>
  <c r="D39" i="3"/>
  <c r="D64" i="3" s="1"/>
  <c r="D91" i="3" s="1"/>
  <c r="D112" i="3" s="1"/>
  <c r="D40" i="3"/>
  <c r="D65" i="3"/>
  <c r="D41" i="3"/>
  <c r="D66" i="3" s="1"/>
  <c r="D93" i="3" s="1"/>
  <c r="D114" i="3" s="1"/>
  <c r="D42" i="3"/>
  <c r="D67" i="3" s="1"/>
  <c r="D94" i="3" s="1"/>
  <c r="D43" i="3"/>
  <c r="D44" i="3"/>
  <c r="D45" i="3"/>
  <c r="D46" i="3"/>
  <c r="D71" i="3" s="1"/>
  <c r="K130" i="3"/>
  <c r="K131" i="3" s="1"/>
  <c r="H142" i="3"/>
  <c r="C46" i="3"/>
  <c r="C71" i="3" s="1"/>
  <c r="C98" i="3" s="1"/>
  <c r="C119" i="3" s="1"/>
  <c r="C141" i="3" s="1"/>
  <c r="B46" i="3"/>
  <c r="B71" i="3" s="1"/>
  <c r="B98" i="3" s="1"/>
  <c r="B119" i="3" s="1"/>
  <c r="B141" i="3" s="1"/>
  <c r="C45" i="3"/>
  <c r="C70" i="3" s="1"/>
  <c r="C97" i="3" s="1"/>
  <c r="C118" i="3" s="1"/>
  <c r="C140" i="3" s="1"/>
  <c r="B45" i="3"/>
  <c r="B70" i="3" s="1"/>
  <c r="B97" i="3" s="1"/>
  <c r="B118" i="3" s="1"/>
  <c r="B140" i="3" s="1"/>
  <c r="C44" i="3"/>
  <c r="C69" i="3" s="1"/>
  <c r="C96" i="3" s="1"/>
  <c r="C117" i="3" s="1"/>
  <c r="C139" i="3" s="1"/>
  <c r="B44" i="3"/>
  <c r="B69" i="3" s="1"/>
  <c r="B96" i="3" s="1"/>
  <c r="B117" i="3" s="1"/>
  <c r="B139" i="3" s="1"/>
  <c r="C43" i="3"/>
  <c r="C68" i="3" s="1"/>
  <c r="C95" i="3" s="1"/>
  <c r="C116" i="3" s="1"/>
  <c r="C138" i="3" s="1"/>
  <c r="B43" i="3"/>
  <c r="B68" i="3" s="1"/>
  <c r="B95" i="3" s="1"/>
  <c r="B116" i="3" s="1"/>
  <c r="B138" i="3" s="1"/>
  <c r="C42" i="3"/>
  <c r="C67" i="3" s="1"/>
  <c r="C94" i="3" s="1"/>
  <c r="C115" i="3" s="1"/>
  <c r="C137" i="3" s="1"/>
  <c r="B42" i="3"/>
  <c r="B67" i="3" s="1"/>
  <c r="B94" i="3" s="1"/>
  <c r="B115" i="3" s="1"/>
  <c r="B137" i="3" s="1"/>
  <c r="C41" i="3"/>
  <c r="C66" i="3" s="1"/>
  <c r="C93" i="3" s="1"/>
  <c r="C114" i="3" s="1"/>
  <c r="C136" i="3" s="1"/>
  <c r="B41" i="3"/>
  <c r="B66" i="3" s="1"/>
  <c r="B93" i="3" s="1"/>
  <c r="B114" i="3" s="1"/>
  <c r="B136" i="3" s="1"/>
  <c r="C40" i="3"/>
  <c r="C65" i="3" s="1"/>
  <c r="C92" i="3" s="1"/>
  <c r="C113" i="3" s="1"/>
  <c r="C135" i="3" s="1"/>
  <c r="B40" i="3"/>
  <c r="B65" i="3" s="1"/>
  <c r="B92" i="3" s="1"/>
  <c r="B113" i="3" s="1"/>
  <c r="B135" i="3" s="1"/>
  <c r="C39" i="3"/>
  <c r="C64" i="3" s="1"/>
  <c r="C91" i="3" s="1"/>
  <c r="C112" i="3" s="1"/>
  <c r="C134" i="3" s="1"/>
  <c r="B39" i="3"/>
  <c r="B64" i="3" s="1"/>
  <c r="B91" i="3" s="1"/>
  <c r="B112" i="3" s="1"/>
  <c r="B134" i="3" s="1"/>
  <c r="C38" i="3"/>
  <c r="C63" i="3" s="1"/>
  <c r="C90" i="3" s="1"/>
  <c r="C111" i="3" s="1"/>
  <c r="C133" i="3" s="1"/>
  <c r="B38" i="3"/>
  <c r="B63" i="3" s="1"/>
  <c r="B90" i="3" s="1"/>
  <c r="B111" i="3" s="1"/>
  <c r="B133" i="3" s="1"/>
  <c r="C37" i="3"/>
  <c r="C62" i="3" s="1"/>
  <c r="C89" i="3" s="1"/>
  <c r="C110" i="3" s="1"/>
  <c r="C132" i="3" s="1"/>
  <c r="B37" i="3"/>
  <c r="B62" i="3" s="1"/>
  <c r="B89" i="3" s="1"/>
  <c r="B110" i="3" s="1"/>
  <c r="B132" i="3" s="1"/>
  <c r="C36" i="3"/>
  <c r="C61" i="3" s="1"/>
  <c r="C88" i="3" s="1"/>
  <c r="C109" i="3" s="1"/>
  <c r="C131" i="3" s="1"/>
  <c r="B36" i="3"/>
  <c r="B61" i="3" s="1"/>
  <c r="B88" i="3" s="1"/>
  <c r="B109" i="3" s="1"/>
  <c r="B131" i="3" s="1"/>
  <c r="C35" i="3"/>
  <c r="C60" i="3" s="1"/>
  <c r="C87" i="3" s="1"/>
  <c r="C108" i="3" s="1"/>
  <c r="C130" i="3" s="1"/>
  <c r="B35" i="3"/>
  <c r="B60" i="3" s="1"/>
  <c r="B87" i="3" s="1"/>
  <c r="B108" i="3" s="1"/>
  <c r="B130" i="3" s="1"/>
  <c r="G120" i="3"/>
  <c r="H108" i="3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K120" i="3"/>
  <c r="G99" i="3"/>
  <c r="H87" i="3"/>
  <c r="H88" i="3" s="1"/>
  <c r="K99" i="3"/>
  <c r="G72" i="3"/>
  <c r="H60" i="3"/>
  <c r="H61" i="3" s="1"/>
  <c r="K72" i="3"/>
  <c r="D24" i="3"/>
  <c r="E35" i="3" s="1"/>
  <c r="G47" i="3"/>
  <c r="H35" i="3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K47" i="3"/>
  <c r="G24" i="3"/>
  <c r="E16" i="3"/>
  <c r="H12" i="3"/>
  <c r="H13" i="3" s="1"/>
  <c r="K24" i="3"/>
  <c r="F61" i="8"/>
  <c r="G61" i="8"/>
  <c r="H61" i="8"/>
  <c r="I61" i="8"/>
  <c r="J61" i="8"/>
  <c r="K61" i="8"/>
  <c r="L61" i="8"/>
  <c r="C33" i="8"/>
  <c r="D33" i="8"/>
  <c r="E33" i="8"/>
  <c r="B33" i="8"/>
  <c r="D6" i="11"/>
  <c r="L11" i="15" s="1"/>
  <c r="B34" i="8"/>
  <c r="C21" i="8"/>
  <c r="C24" i="8" s="1"/>
  <c r="C25" i="8" s="1"/>
  <c r="C16" i="9"/>
  <c r="D16" i="9"/>
  <c r="E16" i="9"/>
  <c r="D4" i="12"/>
  <c r="C44" i="8" s="1"/>
  <c r="C51" i="8"/>
  <c r="C52" i="8"/>
  <c r="C53" i="8"/>
  <c r="C55" i="8"/>
  <c r="C34" i="8"/>
  <c r="C35" i="8" s="1"/>
  <c r="D5" i="12"/>
  <c r="D44" i="8"/>
  <c r="D51" i="8"/>
  <c r="D52" i="8"/>
  <c r="D53" i="8"/>
  <c r="D55" i="8"/>
  <c r="D34" i="8"/>
  <c r="D35" i="8" s="1"/>
  <c r="D6" i="12"/>
  <c r="E44" i="8" s="1"/>
  <c r="E51" i="8"/>
  <c r="E52" i="8"/>
  <c r="E53" i="8"/>
  <c r="E55" i="8"/>
  <c r="E34" i="8"/>
  <c r="E35" i="8" s="1"/>
  <c r="F51" i="8"/>
  <c r="F52" i="8"/>
  <c r="F53" i="8"/>
  <c r="F55" i="8"/>
  <c r="G44" i="8"/>
  <c r="G51" i="8"/>
  <c r="G52" i="8"/>
  <c r="G53" i="8"/>
  <c r="G55" i="8"/>
  <c r="G34" i="8"/>
  <c r="G35" i="8" s="1"/>
  <c r="H51" i="8"/>
  <c r="H52" i="8"/>
  <c r="H53" i="8"/>
  <c r="H55" i="8"/>
  <c r="I51" i="8"/>
  <c r="I52" i="8"/>
  <c r="I53" i="8"/>
  <c r="I55" i="8"/>
  <c r="J51" i="8"/>
  <c r="J52" i="8"/>
  <c r="J53" i="8"/>
  <c r="J55" i="8"/>
  <c r="K51" i="8"/>
  <c r="K52" i="8"/>
  <c r="K53" i="8"/>
  <c r="K55" i="8"/>
  <c r="L51" i="8"/>
  <c r="L52" i="8"/>
  <c r="L53" i="8"/>
  <c r="L55" i="8"/>
  <c r="D14" i="12"/>
  <c r="M44" i="8"/>
  <c r="M51" i="8"/>
  <c r="M52" i="8"/>
  <c r="M53" i="8"/>
  <c r="M55" i="8"/>
  <c r="B21" i="8"/>
  <c r="D3" i="12"/>
  <c r="B44" i="8" s="1"/>
  <c r="B51" i="8"/>
  <c r="B52" i="8"/>
  <c r="B53" i="8"/>
  <c r="B55" i="8"/>
  <c r="M34" i="8"/>
  <c r="M35" i="8" s="1"/>
  <c r="E23" i="8"/>
  <c r="F23" i="8"/>
  <c r="G23" i="8"/>
  <c r="H23" i="8"/>
  <c r="I23" i="8"/>
  <c r="J23" i="8"/>
  <c r="K23" i="8"/>
  <c r="L23" i="8"/>
  <c r="M23" i="8"/>
  <c r="C10" i="9"/>
  <c r="E10" i="9"/>
  <c r="Q29" i="8"/>
  <c r="D11" i="11"/>
  <c r="D10" i="11"/>
  <c r="D5" i="11"/>
  <c r="L10" i="15" s="1"/>
  <c r="C50" i="8"/>
  <c r="D50" i="8"/>
  <c r="E50" i="8"/>
  <c r="F50" i="8"/>
  <c r="G50" i="8"/>
  <c r="H50" i="8"/>
  <c r="I50" i="8"/>
  <c r="J50" i="8"/>
  <c r="K50" i="8"/>
  <c r="L50" i="8"/>
  <c r="M50" i="8"/>
  <c r="B50" i="8"/>
  <c r="C20" i="8"/>
  <c r="D20" i="8"/>
  <c r="E20" i="8"/>
  <c r="F20" i="8"/>
  <c r="G20" i="8"/>
  <c r="H20" i="8"/>
  <c r="I20" i="8"/>
  <c r="J20" i="8"/>
  <c r="K20" i="8"/>
  <c r="L20" i="8"/>
  <c r="M20" i="8"/>
  <c r="B20" i="8"/>
  <c r="F32" i="10"/>
  <c r="E54" i="8" s="1"/>
  <c r="B10" i="14"/>
  <c r="B11" i="14" s="1"/>
  <c r="B12" i="14" s="1"/>
  <c r="F36" i="10"/>
  <c r="F44" i="10"/>
  <c r="F28" i="10"/>
  <c r="F20" i="10"/>
  <c r="F31" i="8"/>
  <c r="F34" i="8" s="1"/>
  <c r="F35" i="8" s="1"/>
  <c r="G31" i="8"/>
  <c r="H31" i="8"/>
  <c r="H34" i="8" s="1"/>
  <c r="H35" i="8" s="1"/>
  <c r="I31" i="8"/>
  <c r="M28" i="8"/>
  <c r="F13" i="9"/>
  <c r="C13" i="9"/>
  <c r="D13" i="9"/>
  <c r="E13" i="9"/>
  <c r="G54" i="8"/>
  <c r="I54" i="8"/>
  <c r="K54" i="8"/>
  <c r="M54" i="8"/>
  <c r="B54" i="8"/>
  <c r="H54" i="8"/>
  <c r="J54" i="8"/>
  <c r="L54" i="8"/>
  <c r="K44" i="8"/>
  <c r="D21" i="8"/>
  <c r="D24" i="8" s="1"/>
  <c r="F14" i="9"/>
  <c r="P21" i="8"/>
  <c r="D61" i="8"/>
  <c r="B14" i="11"/>
  <c r="D7" i="11"/>
  <c r="L12" i="15" s="1"/>
  <c r="E20" i="4" l="1"/>
  <c r="G20" i="4" s="1"/>
  <c r="E16" i="4"/>
  <c r="G16" i="4" s="1"/>
  <c r="E12" i="4"/>
  <c r="G12" i="4" s="1"/>
  <c r="E11" i="4"/>
  <c r="E40" i="4"/>
  <c r="G40" i="4" s="1"/>
  <c r="I40" i="4" s="1"/>
  <c r="M40" i="4" s="1"/>
  <c r="E35" i="4"/>
  <c r="F9" i="9"/>
  <c r="D3" i="11"/>
  <c r="N56" i="8"/>
  <c r="F33" i="8"/>
  <c r="F44" i="8"/>
  <c r="F16" i="9"/>
  <c r="F15" i="9" s="1"/>
  <c r="G16" i="3"/>
  <c r="E42" i="3"/>
  <c r="G42" i="3" s="1"/>
  <c r="E36" i="4"/>
  <c r="G36" i="4" s="1"/>
  <c r="I36" i="4" s="1"/>
  <c r="M36" i="4" s="1"/>
  <c r="D4" i="11"/>
  <c r="L9" i="15" s="1"/>
  <c r="D12" i="11"/>
  <c r="F8" i="9"/>
  <c r="L32" i="8"/>
  <c r="I10" i="15"/>
  <c r="H58" i="8"/>
  <c r="G58" i="8"/>
  <c r="J58" i="8"/>
  <c r="N53" i="8"/>
  <c r="I9" i="15"/>
  <c r="L58" i="8"/>
  <c r="K58" i="8"/>
  <c r="I58" i="8"/>
  <c r="E58" i="8"/>
  <c r="I11" i="15"/>
  <c r="I12" i="15"/>
  <c r="G35" i="3"/>
  <c r="D132" i="4"/>
  <c r="D125" i="4"/>
  <c r="H62" i="3"/>
  <c r="H63" i="3" s="1"/>
  <c r="H64" i="3" s="1"/>
  <c r="H65" i="3" s="1"/>
  <c r="H66" i="3" s="1"/>
  <c r="H67" i="3" s="1"/>
  <c r="H68" i="3" s="1"/>
  <c r="H69" i="3" s="1"/>
  <c r="H70" i="3" s="1"/>
  <c r="H71" i="3" s="1"/>
  <c r="D134" i="3"/>
  <c r="G32" i="4"/>
  <c r="H104" i="4"/>
  <c r="H105" i="4" s="1"/>
  <c r="H106" i="4" s="1"/>
  <c r="H107" i="4" s="1"/>
  <c r="H108" i="4" s="1"/>
  <c r="H109" i="4" s="1"/>
  <c r="H110" i="4" s="1"/>
  <c r="H111" i="4" s="1"/>
  <c r="H112" i="4" s="1"/>
  <c r="H113" i="4" s="1"/>
  <c r="B35" i="8"/>
  <c r="B36" i="8" s="1"/>
  <c r="C27" i="8" s="1"/>
  <c r="J33" i="8"/>
  <c r="J35" i="8"/>
  <c r="J34" i="8"/>
  <c r="D114" i="4"/>
  <c r="H89" i="3"/>
  <c r="H90" i="3" s="1"/>
  <c r="H91" i="3" s="1"/>
  <c r="H92" i="3" s="1"/>
  <c r="H93" i="3" s="1"/>
  <c r="H94" i="3" s="1"/>
  <c r="H95" i="3" s="1"/>
  <c r="H96" i="3" s="1"/>
  <c r="H97" i="3" s="1"/>
  <c r="H98" i="3" s="1"/>
  <c r="D90" i="3"/>
  <c r="I44" i="8"/>
  <c r="I32" i="8"/>
  <c r="B24" i="8"/>
  <c r="B25" i="8" s="1"/>
  <c r="N21" i="8"/>
  <c r="K132" i="3"/>
  <c r="N28" i="8"/>
  <c r="P28" i="8"/>
  <c r="B30" i="8"/>
  <c r="B37" i="8" s="1"/>
  <c r="B58" i="8"/>
  <c r="N52" i="8"/>
  <c r="E17" i="3"/>
  <c r="G17" i="3" s="1"/>
  <c r="G43" i="4"/>
  <c r="I43" i="4" s="1"/>
  <c r="M43" i="4" s="1"/>
  <c r="E45" i="3"/>
  <c r="G45" i="3" s="1"/>
  <c r="I45" i="3" s="1"/>
  <c r="M45" i="3" s="1"/>
  <c r="H47" i="3"/>
  <c r="D25" i="8"/>
  <c r="H44" i="4"/>
  <c r="E41" i="3"/>
  <c r="G41" i="3" s="1"/>
  <c r="I41" i="3" s="1"/>
  <c r="M41" i="3" s="1"/>
  <c r="N31" i="8"/>
  <c r="G33" i="8"/>
  <c r="D61" i="3"/>
  <c r="E36" i="3"/>
  <c r="G36" i="3" s="1"/>
  <c r="I36" i="3" s="1"/>
  <c r="M36" i="3" s="1"/>
  <c r="L33" i="8"/>
  <c r="L34" i="8"/>
  <c r="L35" i="8" s="1"/>
  <c r="D110" i="3"/>
  <c r="D86" i="4"/>
  <c r="K33" i="8"/>
  <c r="K34" i="8"/>
  <c r="K35" i="8" s="1"/>
  <c r="F18" i="9"/>
  <c r="D85" i="4"/>
  <c r="D70" i="3"/>
  <c r="G35" i="4"/>
  <c r="I35" i="4" s="1"/>
  <c r="M35" i="4" s="1"/>
  <c r="H137" i="4"/>
  <c r="N57" i="8"/>
  <c r="D115" i="3"/>
  <c r="N51" i="8"/>
  <c r="H14" i="3"/>
  <c r="H15" i="3" s="1"/>
  <c r="H16" i="3" s="1"/>
  <c r="H17" i="3" s="1"/>
  <c r="H18" i="3" s="1"/>
  <c r="H19" i="3" s="1"/>
  <c r="H20" i="3" s="1"/>
  <c r="H21" i="3" s="1"/>
  <c r="H22" i="3" s="1"/>
  <c r="H23" i="3" s="1"/>
  <c r="D68" i="3"/>
  <c r="E43" i="3"/>
  <c r="G43" i="3" s="1"/>
  <c r="I43" i="3" s="1"/>
  <c r="M43" i="3" s="1"/>
  <c r="E12" i="3"/>
  <c r="E40" i="3"/>
  <c r="G40" i="3" s="1"/>
  <c r="I40" i="3" s="1"/>
  <c r="M40" i="3" s="1"/>
  <c r="E15" i="3"/>
  <c r="G15" i="3" s="1"/>
  <c r="E19" i="3"/>
  <c r="G19" i="3" s="1"/>
  <c r="I19" i="3" s="1"/>
  <c r="M19" i="3" s="1"/>
  <c r="E23" i="3"/>
  <c r="G23" i="3" s="1"/>
  <c r="E38" i="3"/>
  <c r="G38" i="3" s="1"/>
  <c r="I38" i="3" s="1"/>
  <c r="M38" i="3" s="1"/>
  <c r="E13" i="3"/>
  <c r="G13" i="3" s="1"/>
  <c r="I13" i="3" s="1"/>
  <c r="M13" i="3" s="1"/>
  <c r="D10" i="15" s="1"/>
  <c r="E37" i="3"/>
  <c r="G37" i="3" s="1"/>
  <c r="I37" i="3" s="1"/>
  <c r="M37" i="3" s="1"/>
  <c r="E18" i="3"/>
  <c r="G18" i="3" s="1"/>
  <c r="E46" i="3"/>
  <c r="G46" i="3" s="1"/>
  <c r="I46" i="3" s="1"/>
  <c r="M46" i="3" s="1"/>
  <c r="E14" i="3"/>
  <c r="G14" i="3" s="1"/>
  <c r="E21" i="3"/>
  <c r="G21" i="3" s="1"/>
  <c r="I21" i="3" s="1"/>
  <c r="M21" i="3" s="1"/>
  <c r="E20" i="3"/>
  <c r="G20" i="3" s="1"/>
  <c r="I20" i="3" s="1"/>
  <c r="M20" i="3" s="1"/>
  <c r="H12" i="4"/>
  <c r="H13" i="4" s="1"/>
  <c r="H14" i="4" s="1"/>
  <c r="H15" i="4" s="1"/>
  <c r="H16" i="4" s="1"/>
  <c r="I33" i="8"/>
  <c r="I34" i="8"/>
  <c r="I35" i="8" s="1"/>
  <c r="D136" i="3"/>
  <c r="H55" i="4"/>
  <c r="H56" i="4" s="1"/>
  <c r="H57" i="4" s="1"/>
  <c r="H58" i="4" s="1"/>
  <c r="H59" i="4" s="1"/>
  <c r="H60" i="4" s="1"/>
  <c r="H61" i="4" s="1"/>
  <c r="H62" i="4" s="1"/>
  <c r="H63" i="4" s="1"/>
  <c r="H64" i="4" s="1"/>
  <c r="D112" i="4"/>
  <c r="I42" i="3"/>
  <c r="M42" i="3" s="1"/>
  <c r="I9" i="8" s="1"/>
  <c r="D92" i="3"/>
  <c r="P31" i="8"/>
  <c r="E22" i="3"/>
  <c r="G22" i="3" s="1"/>
  <c r="H93" i="4"/>
  <c r="H32" i="8"/>
  <c r="H33" i="8" s="1"/>
  <c r="D113" i="4"/>
  <c r="D105" i="4"/>
  <c r="C14" i="11"/>
  <c r="D14" i="11" s="1"/>
  <c r="D2" i="11"/>
  <c r="C61" i="8"/>
  <c r="D69" i="3"/>
  <c r="E44" i="3"/>
  <c r="G44" i="3" s="1"/>
  <c r="I44" i="3" s="1"/>
  <c r="M44" i="3" s="1"/>
  <c r="E38" i="4"/>
  <c r="G38" i="4" s="1"/>
  <c r="I38" i="4" s="1"/>
  <c r="M38" i="4" s="1"/>
  <c r="D60" i="4"/>
  <c r="C54" i="8"/>
  <c r="F54" i="8"/>
  <c r="F58" i="8" s="1"/>
  <c r="D54" i="8"/>
  <c r="D58" i="8" s="1"/>
  <c r="E34" i="4"/>
  <c r="G34" i="4" s="1"/>
  <c r="I34" i="4" s="1"/>
  <c r="M34" i="4" s="1"/>
  <c r="E42" i="4"/>
  <c r="G42" i="4" s="1"/>
  <c r="I42" i="4" s="1"/>
  <c r="M42" i="4" s="1"/>
  <c r="E15" i="4"/>
  <c r="G15" i="4" s="1"/>
  <c r="I15" i="4" s="1"/>
  <c r="M15" i="4" s="1"/>
  <c r="E19" i="4"/>
  <c r="G19" i="4" s="1"/>
  <c r="E14" i="4"/>
  <c r="G14" i="4" s="1"/>
  <c r="E18" i="4"/>
  <c r="G18" i="4" s="1"/>
  <c r="E22" i="4"/>
  <c r="G22" i="4" s="1"/>
  <c r="I22" i="4" s="1"/>
  <c r="M22" i="4" s="1"/>
  <c r="N55" i="8"/>
  <c r="E39" i="3"/>
  <c r="G39" i="3" s="1"/>
  <c r="I39" i="3" s="1"/>
  <c r="M39" i="3" s="1"/>
  <c r="H120" i="3"/>
  <c r="E41" i="4"/>
  <c r="G41" i="4" s="1"/>
  <c r="I41" i="4" s="1"/>
  <c r="M41" i="4" s="1"/>
  <c r="D89" i="4"/>
  <c r="E33" i="4"/>
  <c r="G33" i="4" s="1"/>
  <c r="I33" i="4" s="1"/>
  <c r="M33" i="4" s="1"/>
  <c r="D44" i="4"/>
  <c r="D98" i="3"/>
  <c r="M61" i="8"/>
  <c r="M58" i="8"/>
  <c r="G11" i="4"/>
  <c r="D55" i="4"/>
  <c r="D60" i="3"/>
  <c r="D47" i="3"/>
  <c r="J44" i="8"/>
  <c r="E37" i="4"/>
  <c r="G37" i="4" s="1"/>
  <c r="I37" i="4" s="1"/>
  <c r="M37" i="4" s="1"/>
  <c r="K9" i="8" l="1"/>
  <c r="H115" i="4"/>
  <c r="N54" i="8"/>
  <c r="H66" i="4"/>
  <c r="D9" i="8"/>
  <c r="E9" i="8"/>
  <c r="H9" i="8"/>
  <c r="I17" i="3"/>
  <c r="M17" i="3" s="1"/>
  <c r="N25" i="8"/>
  <c r="P61" i="8"/>
  <c r="C58" i="8"/>
  <c r="B38" i="8"/>
  <c r="C29" i="8" s="1"/>
  <c r="C30" i="8" s="1"/>
  <c r="N33" i="8"/>
  <c r="N32" i="8" s="1"/>
  <c r="P33" i="8" s="1"/>
  <c r="Q33" i="8" s="1"/>
  <c r="D96" i="3"/>
  <c r="D136" i="4"/>
  <c r="C36" i="8"/>
  <c r="D27" i="8" s="1"/>
  <c r="P24" i="8"/>
  <c r="N24" i="8"/>
  <c r="P25" i="8" s="1"/>
  <c r="Q25" i="8" s="1"/>
  <c r="D127" i="4"/>
  <c r="D134" i="4"/>
  <c r="D22" i="8"/>
  <c r="D23" i="8" s="1"/>
  <c r="B22" i="8"/>
  <c r="B23" i="8" s="1"/>
  <c r="C22" i="8"/>
  <c r="C23" i="8" s="1"/>
  <c r="P22" i="8"/>
  <c r="Q21" i="8"/>
  <c r="G24" i="4"/>
  <c r="I11" i="4"/>
  <c r="D132" i="3"/>
  <c r="K133" i="3"/>
  <c r="D111" i="3"/>
  <c r="D111" i="4"/>
  <c r="G12" i="3"/>
  <c r="E24" i="3"/>
  <c r="D137" i="3"/>
  <c r="D107" i="4"/>
  <c r="D108" i="4"/>
  <c r="I35" i="3"/>
  <c r="G48" i="3"/>
  <c r="D82" i="4"/>
  <c r="D66" i="4"/>
  <c r="E85" i="4" s="1"/>
  <c r="G85" i="4" s="1"/>
  <c r="I85" i="4" s="1"/>
  <c r="M85" i="4" s="1"/>
  <c r="D119" i="3"/>
  <c r="D97" i="3"/>
  <c r="D88" i="3"/>
  <c r="I32" i="4"/>
  <c r="G45" i="4"/>
  <c r="D87" i="3"/>
  <c r="D72" i="3"/>
  <c r="E90" i="3" s="1"/>
  <c r="G90" i="3" s="1"/>
  <c r="I90" i="3" s="1"/>
  <c r="M90" i="3" s="1"/>
  <c r="D135" i="4"/>
  <c r="P58" i="8"/>
  <c r="N58" i="8"/>
  <c r="F9" i="8"/>
  <c r="I22" i="3"/>
  <c r="M22" i="3" s="1"/>
  <c r="H24" i="3"/>
  <c r="N61" i="8"/>
  <c r="I13" i="4"/>
  <c r="M13" i="4" s="1"/>
  <c r="C11" i="15" s="1"/>
  <c r="N34" i="8"/>
  <c r="I14" i="4"/>
  <c r="M14" i="4" s="1"/>
  <c r="C12" i="15" s="1"/>
  <c r="H99" i="3"/>
  <c r="J9" i="8"/>
  <c r="Q31" i="8"/>
  <c r="P34" i="8"/>
  <c r="I12" i="4"/>
  <c r="M12" i="4" s="1"/>
  <c r="I18" i="3"/>
  <c r="M18" i="3" s="1"/>
  <c r="I16" i="3"/>
  <c r="M16" i="3" s="1"/>
  <c r="E23" i="4"/>
  <c r="M9" i="8"/>
  <c r="G9" i="8"/>
  <c r="L9" i="8"/>
  <c r="E47" i="3"/>
  <c r="I14" i="3"/>
  <c r="M14" i="3" s="1"/>
  <c r="D11" i="15" s="1"/>
  <c r="I15" i="3"/>
  <c r="M15" i="3" s="1"/>
  <c r="D12" i="15" s="1"/>
  <c r="E12" i="15" s="1"/>
  <c r="K12" i="15" s="1"/>
  <c r="M12" i="15" s="1"/>
  <c r="C34" i="14" s="1"/>
  <c r="C9" i="8"/>
  <c r="Q28" i="8"/>
  <c r="E44" i="4"/>
  <c r="E92" i="3"/>
  <c r="G92" i="3" s="1"/>
  <c r="I92" i="3" s="1"/>
  <c r="M92" i="3" s="1"/>
  <c r="D113" i="3"/>
  <c r="H17" i="4"/>
  <c r="I16" i="4"/>
  <c r="M16" i="4" s="1"/>
  <c r="D87" i="4"/>
  <c r="D95" i="3"/>
  <c r="E68" i="3"/>
  <c r="G68" i="3" s="1"/>
  <c r="I68" i="3" s="1"/>
  <c r="M68" i="3" s="1"/>
  <c r="P35" i="8"/>
  <c r="N35" i="8"/>
  <c r="I23" i="3"/>
  <c r="M23" i="3" s="1"/>
  <c r="H72" i="3"/>
  <c r="E60" i="4" l="1"/>
  <c r="G60" i="4" s="1"/>
  <c r="I60" i="4" s="1"/>
  <c r="M60" i="4" s="1"/>
  <c r="E55" i="4"/>
  <c r="G55" i="4" s="1"/>
  <c r="I55" i="4" s="1"/>
  <c r="M55" i="4" s="1"/>
  <c r="E86" i="4"/>
  <c r="G86" i="4" s="1"/>
  <c r="I86" i="4" s="1"/>
  <c r="M86" i="4" s="1"/>
  <c r="E98" i="3"/>
  <c r="G98" i="3" s="1"/>
  <c r="I98" i="3" s="1"/>
  <c r="M98" i="3" s="1"/>
  <c r="C8" i="8"/>
  <c r="C10" i="15"/>
  <c r="E10" i="15" s="1"/>
  <c r="K10" i="15" s="1"/>
  <c r="M10" i="15" s="1"/>
  <c r="C32" i="14" s="1"/>
  <c r="E89" i="4"/>
  <c r="G89" i="4" s="1"/>
  <c r="I89" i="4" s="1"/>
  <c r="M89" i="4" s="1"/>
  <c r="E11" i="15"/>
  <c r="K11" i="15" s="1"/>
  <c r="M11" i="15" s="1"/>
  <c r="C33" i="14" s="1"/>
  <c r="E60" i="3"/>
  <c r="C37" i="8"/>
  <c r="Q34" i="8"/>
  <c r="D129" i="4"/>
  <c r="G60" i="3"/>
  <c r="D141" i="3"/>
  <c r="D133" i="3"/>
  <c r="D99" i="3"/>
  <c r="E87" i="3"/>
  <c r="D108" i="3"/>
  <c r="D133" i="4"/>
  <c r="E96" i="3"/>
  <c r="G96" i="3" s="1"/>
  <c r="I96" i="3" s="1"/>
  <c r="M96" i="3" s="1"/>
  <c r="D117" i="3"/>
  <c r="H18" i="4"/>
  <c r="I17" i="4"/>
  <c r="M17" i="4" s="1"/>
  <c r="F8" i="8"/>
  <c r="E66" i="3"/>
  <c r="G66" i="3" s="1"/>
  <c r="I66" i="3" s="1"/>
  <c r="M66" i="3" s="1"/>
  <c r="H10" i="8" s="1"/>
  <c r="E93" i="3"/>
  <c r="G93" i="3" s="1"/>
  <c r="I93" i="3" s="1"/>
  <c r="M93" i="3" s="1"/>
  <c r="E91" i="3"/>
  <c r="G91" i="3" s="1"/>
  <c r="I91" i="3" s="1"/>
  <c r="M91" i="3" s="1"/>
  <c r="F11" i="8" s="1"/>
  <c r="E62" i="3"/>
  <c r="G62" i="3" s="1"/>
  <c r="I62" i="3" s="1"/>
  <c r="M62" i="3" s="1"/>
  <c r="E71" i="3"/>
  <c r="G71" i="3" s="1"/>
  <c r="I71" i="3" s="1"/>
  <c r="M71" i="3" s="1"/>
  <c r="E94" i="3"/>
  <c r="G94" i="3" s="1"/>
  <c r="I94" i="3" s="1"/>
  <c r="M94" i="3" s="1"/>
  <c r="E63" i="3"/>
  <c r="G63" i="3" s="1"/>
  <c r="I63" i="3" s="1"/>
  <c r="M63" i="3" s="1"/>
  <c r="E64" i="3"/>
  <c r="G64" i="3" s="1"/>
  <c r="I64" i="3" s="1"/>
  <c r="M64" i="3" s="1"/>
  <c r="E89" i="3"/>
  <c r="G89" i="3" s="1"/>
  <c r="I89" i="3" s="1"/>
  <c r="M89" i="3" s="1"/>
  <c r="E67" i="3"/>
  <c r="G67" i="3" s="1"/>
  <c r="I67" i="3" s="1"/>
  <c r="M67" i="3" s="1"/>
  <c r="E65" i="3"/>
  <c r="G65" i="3" s="1"/>
  <c r="I65" i="3" s="1"/>
  <c r="M65" i="3" s="1"/>
  <c r="D130" i="4"/>
  <c r="M11" i="4"/>
  <c r="C9" i="15" s="1"/>
  <c r="D135" i="3"/>
  <c r="Q61" i="8"/>
  <c r="D118" i="3"/>
  <c r="E97" i="3"/>
  <c r="G97" i="3" s="1"/>
  <c r="I97" i="3" s="1"/>
  <c r="M97" i="3" s="1"/>
  <c r="M35" i="3"/>
  <c r="I47" i="3"/>
  <c r="I12" i="3"/>
  <c r="G25" i="3"/>
  <c r="M8" i="8"/>
  <c r="E87" i="4"/>
  <c r="G87" i="4" s="1"/>
  <c r="I87" i="4" s="1"/>
  <c r="M87" i="4" s="1"/>
  <c r="D109" i="4"/>
  <c r="D8" i="8"/>
  <c r="E88" i="3"/>
  <c r="G88" i="3" s="1"/>
  <c r="I88" i="3" s="1"/>
  <c r="M88" i="3" s="1"/>
  <c r="D109" i="3"/>
  <c r="N23" i="8"/>
  <c r="P23" i="8"/>
  <c r="E8" i="8"/>
  <c r="D104" i="4"/>
  <c r="E82" i="4"/>
  <c r="G82" i="4" s="1"/>
  <c r="I82" i="4" s="1"/>
  <c r="M82" i="4" s="1"/>
  <c r="D93" i="4"/>
  <c r="K134" i="3"/>
  <c r="E95" i="3"/>
  <c r="G95" i="3" s="1"/>
  <c r="I95" i="3" s="1"/>
  <c r="M95" i="3" s="1"/>
  <c r="J11" i="8" s="1"/>
  <c r="D116" i="3"/>
  <c r="M32" i="4"/>
  <c r="M44" i="4" s="1"/>
  <c r="I44" i="4"/>
  <c r="E57" i="4"/>
  <c r="G57" i="4" s="1"/>
  <c r="I57" i="4" s="1"/>
  <c r="M57" i="4" s="1"/>
  <c r="E65" i="4"/>
  <c r="G65" i="4" s="1"/>
  <c r="I65" i="4" s="1"/>
  <c r="M65" i="4" s="1"/>
  <c r="E54" i="4"/>
  <c r="E84" i="4"/>
  <c r="G84" i="4" s="1"/>
  <c r="I84" i="4" s="1"/>
  <c r="M84" i="4" s="1"/>
  <c r="E81" i="4"/>
  <c r="E64" i="4"/>
  <c r="G64" i="4" s="1"/>
  <c r="I64" i="4" s="1"/>
  <c r="M64" i="4" s="1"/>
  <c r="E56" i="4"/>
  <c r="G56" i="4" s="1"/>
  <c r="I56" i="4" s="1"/>
  <c r="M56" i="4" s="1"/>
  <c r="E63" i="4"/>
  <c r="G63" i="4" s="1"/>
  <c r="I63" i="4" s="1"/>
  <c r="M63" i="4" s="1"/>
  <c r="E88" i="4"/>
  <c r="G88" i="4" s="1"/>
  <c r="I88" i="4" s="1"/>
  <c r="M88" i="4" s="1"/>
  <c r="E59" i="4"/>
  <c r="G59" i="4" s="1"/>
  <c r="I59" i="4" s="1"/>
  <c r="M59" i="4" s="1"/>
  <c r="E91" i="4"/>
  <c r="G91" i="4" s="1"/>
  <c r="I91" i="4" s="1"/>
  <c r="M91" i="4" s="1"/>
  <c r="E62" i="4"/>
  <c r="G62" i="4" s="1"/>
  <c r="I62" i="4" s="1"/>
  <c r="M62" i="4" s="1"/>
  <c r="J10" i="8" s="1"/>
  <c r="E83" i="4"/>
  <c r="G83" i="4" s="1"/>
  <c r="I83" i="4" s="1"/>
  <c r="M83" i="4" s="1"/>
  <c r="E58" i="4"/>
  <c r="G58" i="4" s="1"/>
  <c r="I58" i="4" s="1"/>
  <c r="M58" i="4" s="1"/>
  <c r="E90" i="4"/>
  <c r="G90" i="4" s="1"/>
  <c r="I90" i="4" s="1"/>
  <c r="M90" i="4" s="1"/>
  <c r="E61" i="4"/>
  <c r="G61" i="4" s="1"/>
  <c r="I61" i="4" s="1"/>
  <c r="M61" i="4" s="1"/>
  <c r="E92" i="4"/>
  <c r="G92" i="4" s="1"/>
  <c r="I92" i="4" s="1"/>
  <c r="M92" i="4" s="1"/>
  <c r="C38" i="8"/>
  <c r="D29" i="8" s="1"/>
  <c r="D30" i="8" s="1"/>
  <c r="M11" i="8"/>
  <c r="E70" i="3"/>
  <c r="G70" i="3" s="1"/>
  <c r="I70" i="3" s="1"/>
  <c r="M70" i="3" s="1"/>
  <c r="Q24" i="8"/>
  <c r="E69" i="3"/>
  <c r="G69" i="3" s="1"/>
  <c r="I69" i="3" s="1"/>
  <c r="M69" i="3" s="1"/>
  <c r="E61" i="3"/>
  <c r="G61" i="3" s="1"/>
  <c r="I61" i="3" s="1"/>
  <c r="M61" i="3" s="1"/>
  <c r="G8" i="8"/>
  <c r="Q58" i="8"/>
  <c r="D36" i="8"/>
  <c r="E27" i="8" s="1"/>
  <c r="E11" i="8"/>
  <c r="Q35" i="8"/>
  <c r="G11" i="8"/>
  <c r="I11" i="8" l="1"/>
  <c r="D10" i="8"/>
  <c r="L11" i="8"/>
  <c r="E10" i="8"/>
  <c r="M10" i="8"/>
  <c r="D37" i="8"/>
  <c r="D38" i="8" s="1"/>
  <c r="E29" i="8" s="1"/>
  <c r="E30" i="8" s="1"/>
  <c r="C10" i="8"/>
  <c r="B9" i="8"/>
  <c r="N9" i="8" s="1"/>
  <c r="M47" i="3"/>
  <c r="P9" i="8" s="1"/>
  <c r="D126" i="4"/>
  <c r="D115" i="4"/>
  <c r="E104" i="4" s="1"/>
  <c r="G104" i="4" s="1"/>
  <c r="I104" i="4" s="1"/>
  <c r="M104" i="4" s="1"/>
  <c r="G87" i="3"/>
  <c r="E99" i="3"/>
  <c r="K10" i="8"/>
  <c r="I24" i="3"/>
  <c r="M12" i="3"/>
  <c r="D9" i="15" s="1"/>
  <c r="E9" i="15" s="1"/>
  <c r="K9" i="15" s="1"/>
  <c r="M9" i="15" s="1"/>
  <c r="C31" i="14" s="1"/>
  <c r="C35" i="14" s="1"/>
  <c r="C36" i="14" s="1"/>
  <c r="D120" i="3"/>
  <c r="D130" i="3"/>
  <c r="G73" i="3"/>
  <c r="I60" i="3"/>
  <c r="D131" i="3"/>
  <c r="G54" i="4"/>
  <c r="E66" i="4"/>
  <c r="I10" i="8"/>
  <c r="K135" i="3"/>
  <c r="Q23" i="8"/>
  <c r="N22" i="8"/>
  <c r="Q22" i="8" s="1"/>
  <c r="G10" i="8"/>
  <c r="L10" i="8"/>
  <c r="H8" i="8"/>
  <c r="C11" i="8"/>
  <c r="F10" i="8"/>
  <c r="D11" i="8"/>
  <c r="E72" i="3"/>
  <c r="H11" i="8"/>
  <c r="K11" i="8"/>
  <c r="D139" i="3"/>
  <c r="G81" i="4"/>
  <c r="E93" i="4"/>
  <c r="D140" i="3"/>
  <c r="D138" i="3"/>
  <c r="D131" i="4"/>
  <c r="H19" i="4"/>
  <c r="I18" i="4"/>
  <c r="E36" i="8"/>
  <c r="F27" i="8" s="1"/>
  <c r="Q9" i="8" l="1"/>
  <c r="E37" i="8"/>
  <c r="E38" i="8" s="1"/>
  <c r="F29" i="8" s="1"/>
  <c r="I87" i="3"/>
  <c r="G100" i="3"/>
  <c r="G67" i="4"/>
  <c r="I54" i="4"/>
  <c r="B8" i="8"/>
  <c r="M24" i="3"/>
  <c r="E103" i="4"/>
  <c r="E110" i="4"/>
  <c r="G110" i="4" s="1"/>
  <c r="I110" i="4" s="1"/>
  <c r="M110" i="4" s="1"/>
  <c r="E106" i="4"/>
  <c r="G106" i="4" s="1"/>
  <c r="I106" i="4" s="1"/>
  <c r="M106" i="4" s="1"/>
  <c r="E112" i="4"/>
  <c r="G112" i="4" s="1"/>
  <c r="I112" i="4" s="1"/>
  <c r="M112" i="4" s="1"/>
  <c r="E105" i="4"/>
  <c r="G105" i="4" s="1"/>
  <c r="I105" i="4" s="1"/>
  <c r="M105" i="4" s="1"/>
  <c r="E114" i="4"/>
  <c r="G114" i="4" s="1"/>
  <c r="I114" i="4" s="1"/>
  <c r="M114" i="4" s="1"/>
  <c r="E113" i="4"/>
  <c r="G113" i="4" s="1"/>
  <c r="I113" i="4" s="1"/>
  <c r="M113" i="4" s="1"/>
  <c r="E108" i="4"/>
  <c r="G108" i="4" s="1"/>
  <c r="I108" i="4" s="1"/>
  <c r="M108" i="4" s="1"/>
  <c r="E111" i="4"/>
  <c r="G111" i="4" s="1"/>
  <c r="I111" i="4" s="1"/>
  <c r="M111" i="4" s="1"/>
  <c r="E107" i="4"/>
  <c r="G107" i="4" s="1"/>
  <c r="I107" i="4" s="1"/>
  <c r="M107" i="4" s="1"/>
  <c r="H20" i="4"/>
  <c r="I19" i="4"/>
  <c r="M19" i="4" s="1"/>
  <c r="I81" i="4"/>
  <c r="G94" i="4"/>
  <c r="E109" i="4"/>
  <c r="G109" i="4" s="1"/>
  <c r="I109" i="4" s="1"/>
  <c r="M109" i="4" s="1"/>
  <c r="K136" i="3"/>
  <c r="I72" i="3"/>
  <c r="M60" i="3"/>
  <c r="M18" i="4"/>
  <c r="D137" i="4"/>
  <c r="E126" i="4" s="1"/>
  <c r="G126" i="4" s="1"/>
  <c r="I126" i="4" s="1"/>
  <c r="M126" i="4" s="1"/>
  <c r="O12" i="4" s="1"/>
  <c r="D142" i="3"/>
  <c r="F36" i="8"/>
  <c r="G27" i="8" s="1"/>
  <c r="F30" i="8" l="1"/>
  <c r="F37" i="8" s="1"/>
  <c r="F38" i="8" s="1"/>
  <c r="G29" i="8" s="1"/>
  <c r="G30" i="8" s="1"/>
  <c r="E112" i="3"/>
  <c r="G112" i="3" s="1"/>
  <c r="I112" i="3" s="1"/>
  <c r="M112" i="3" s="1"/>
  <c r="E114" i="3"/>
  <c r="G114" i="3" s="1"/>
  <c r="I114" i="3" s="1"/>
  <c r="M114" i="3" s="1"/>
  <c r="E115" i="3"/>
  <c r="G115" i="3" s="1"/>
  <c r="I115" i="3" s="1"/>
  <c r="M115" i="3" s="1"/>
  <c r="E110" i="3"/>
  <c r="G110" i="3" s="1"/>
  <c r="I110" i="3" s="1"/>
  <c r="M110" i="3" s="1"/>
  <c r="E134" i="3"/>
  <c r="G134" i="3" s="1"/>
  <c r="I134" i="3" s="1"/>
  <c r="M134" i="3" s="1"/>
  <c r="E136" i="3"/>
  <c r="G136" i="3" s="1"/>
  <c r="I136" i="3" s="1"/>
  <c r="M136" i="3" s="1"/>
  <c r="E111" i="3"/>
  <c r="G111" i="3" s="1"/>
  <c r="I111" i="3" s="1"/>
  <c r="M111" i="3" s="1"/>
  <c r="E119" i="3"/>
  <c r="G119" i="3" s="1"/>
  <c r="I119" i="3" s="1"/>
  <c r="M119" i="3" s="1"/>
  <c r="E132" i="3"/>
  <c r="G132" i="3" s="1"/>
  <c r="I132" i="3" s="1"/>
  <c r="M132" i="3" s="1"/>
  <c r="E113" i="3"/>
  <c r="G113" i="3" s="1"/>
  <c r="I113" i="3" s="1"/>
  <c r="M113" i="3" s="1"/>
  <c r="E137" i="3"/>
  <c r="G137" i="3" s="1"/>
  <c r="I137" i="3" s="1"/>
  <c r="E117" i="3"/>
  <c r="G117" i="3" s="1"/>
  <c r="I117" i="3" s="1"/>
  <c r="M117" i="3" s="1"/>
  <c r="E118" i="3"/>
  <c r="G118" i="3" s="1"/>
  <c r="I118" i="3" s="1"/>
  <c r="M118" i="3" s="1"/>
  <c r="E108" i="3"/>
  <c r="E135" i="3"/>
  <c r="G135" i="3" s="1"/>
  <c r="I135" i="3" s="1"/>
  <c r="M135" i="3" s="1"/>
  <c r="E141" i="3"/>
  <c r="G141" i="3" s="1"/>
  <c r="I141" i="3" s="1"/>
  <c r="M141" i="3" s="1"/>
  <c r="E133" i="3"/>
  <c r="G133" i="3" s="1"/>
  <c r="I133" i="3" s="1"/>
  <c r="M133" i="3" s="1"/>
  <c r="E109" i="3"/>
  <c r="G109" i="3" s="1"/>
  <c r="I109" i="3" s="1"/>
  <c r="M109" i="3" s="1"/>
  <c r="E116" i="3"/>
  <c r="G116" i="3" s="1"/>
  <c r="I116" i="3" s="1"/>
  <c r="M116" i="3" s="1"/>
  <c r="M87" i="3"/>
  <c r="I99" i="3"/>
  <c r="G36" i="8"/>
  <c r="H27" i="8" s="1"/>
  <c r="I8" i="8"/>
  <c r="H21" i="4"/>
  <c r="I21" i="4" s="1"/>
  <c r="M21" i="4" s="1"/>
  <c r="I20" i="4"/>
  <c r="J8" i="8"/>
  <c r="M81" i="4"/>
  <c r="M93" i="4" s="1"/>
  <c r="I93" i="4"/>
  <c r="I66" i="4"/>
  <c r="M54" i="4"/>
  <c r="E128" i="4"/>
  <c r="G128" i="4" s="1"/>
  <c r="I128" i="4" s="1"/>
  <c r="M128" i="4" s="1"/>
  <c r="E125" i="4"/>
  <c r="E132" i="4"/>
  <c r="G132" i="4" s="1"/>
  <c r="I132" i="4" s="1"/>
  <c r="M132" i="4" s="1"/>
  <c r="O18" i="4" s="1"/>
  <c r="E134" i="4"/>
  <c r="G134" i="4" s="1"/>
  <c r="I134" i="4" s="1"/>
  <c r="M134" i="4" s="1"/>
  <c r="E135" i="4"/>
  <c r="G135" i="4" s="1"/>
  <c r="I135" i="4" s="1"/>
  <c r="M135" i="4" s="1"/>
  <c r="E127" i="4"/>
  <c r="G127" i="4" s="1"/>
  <c r="I127" i="4" s="1"/>
  <c r="M127" i="4" s="1"/>
  <c r="O13" i="4" s="1"/>
  <c r="E136" i="4"/>
  <c r="G136" i="4" s="1"/>
  <c r="I136" i="4" s="1"/>
  <c r="M136" i="4" s="1"/>
  <c r="O22" i="4" s="1"/>
  <c r="E129" i="4"/>
  <c r="G129" i="4" s="1"/>
  <c r="I129" i="4" s="1"/>
  <c r="M129" i="4" s="1"/>
  <c r="O15" i="4" s="1"/>
  <c r="E133" i="4"/>
  <c r="G133" i="4" s="1"/>
  <c r="I133" i="4" s="1"/>
  <c r="M133" i="4" s="1"/>
  <c r="O19" i="4" s="1"/>
  <c r="E130" i="4"/>
  <c r="G130" i="4" s="1"/>
  <c r="I130" i="4" s="1"/>
  <c r="M130" i="4" s="1"/>
  <c r="O16" i="4" s="1"/>
  <c r="K137" i="3"/>
  <c r="M72" i="3"/>
  <c r="G103" i="4"/>
  <c r="E115" i="4"/>
  <c r="E139" i="3"/>
  <c r="G139" i="3" s="1"/>
  <c r="I139" i="3" s="1"/>
  <c r="O14" i="4"/>
  <c r="E131" i="3"/>
  <c r="G131" i="3" s="1"/>
  <c r="I131" i="3" s="1"/>
  <c r="M131" i="3" s="1"/>
  <c r="C13" i="8" s="1"/>
  <c r="E138" i="3"/>
  <c r="G138" i="3" s="1"/>
  <c r="I138" i="3" s="1"/>
  <c r="E130" i="3"/>
  <c r="E140" i="3"/>
  <c r="G140" i="3" s="1"/>
  <c r="I140" i="3" s="1"/>
  <c r="E131" i="4"/>
  <c r="G131" i="4" s="1"/>
  <c r="I131" i="4" s="1"/>
  <c r="M131" i="4" s="1"/>
  <c r="O17" i="4" s="1"/>
  <c r="H13" i="8" l="1"/>
  <c r="C12" i="8"/>
  <c r="C14" i="8" s="1"/>
  <c r="C16" i="8" s="1"/>
  <c r="O13" i="3"/>
  <c r="G12" i="8"/>
  <c r="O17" i="3"/>
  <c r="H12" i="8"/>
  <c r="O18" i="3"/>
  <c r="M66" i="4"/>
  <c r="O21" i="4"/>
  <c r="L8" i="8"/>
  <c r="J12" i="8"/>
  <c r="I12" i="8"/>
  <c r="M20" i="4"/>
  <c r="I23" i="4"/>
  <c r="M99" i="3"/>
  <c r="P11" i="8" s="1"/>
  <c r="B11" i="8"/>
  <c r="N11" i="8" s="1"/>
  <c r="K12" i="8"/>
  <c r="D12" i="8"/>
  <c r="O14" i="3"/>
  <c r="G125" i="4"/>
  <c r="E137" i="4"/>
  <c r="L12" i="8"/>
  <c r="G130" i="3"/>
  <c r="E142" i="3"/>
  <c r="G116" i="4"/>
  <c r="I103" i="4"/>
  <c r="E120" i="3"/>
  <c r="G108" i="3"/>
  <c r="K138" i="3"/>
  <c r="M137" i="3"/>
  <c r="I13" i="8" s="1"/>
  <c r="H36" i="8"/>
  <c r="I27" i="8" s="1"/>
  <c r="E12" i="8"/>
  <c r="O15" i="3"/>
  <c r="M12" i="8"/>
  <c r="O23" i="3"/>
  <c r="F12" i="8"/>
  <c r="O16" i="3"/>
  <c r="P10" i="8"/>
  <c r="B10" i="8"/>
  <c r="H23" i="4"/>
  <c r="F13" i="8"/>
  <c r="G37" i="8"/>
  <c r="G38" i="8" s="1"/>
  <c r="H29" i="8" s="1"/>
  <c r="H30" i="8" s="1"/>
  <c r="G13" i="8"/>
  <c r="M13" i="8"/>
  <c r="E13" i="8"/>
  <c r="D13" i="8"/>
  <c r="E14" i="8" l="1"/>
  <c r="E16" i="8" s="1"/>
  <c r="E26" i="8" s="1"/>
  <c r="E39" i="8" s="1"/>
  <c r="H14" i="8"/>
  <c r="H16" i="8" s="1"/>
  <c r="D14" i="8"/>
  <c r="D16" i="8" s="1"/>
  <c r="D17" i="8" s="1"/>
  <c r="I14" i="8"/>
  <c r="I16" i="8" s="1"/>
  <c r="I26" i="8" s="1"/>
  <c r="I39" i="8" s="1"/>
  <c r="Q11" i="8"/>
  <c r="F14" i="8"/>
  <c r="F16" i="8" s="1"/>
  <c r="F26" i="8" s="1"/>
  <c r="F39" i="8" s="1"/>
  <c r="H37" i="8"/>
  <c r="H38" i="8" s="1"/>
  <c r="I29" i="8" s="1"/>
  <c r="I30" i="8" s="1"/>
  <c r="I63" i="8"/>
  <c r="K139" i="3"/>
  <c r="M138" i="3"/>
  <c r="I130" i="3"/>
  <c r="G143" i="3"/>
  <c r="I36" i="8"/>
  <c r="J27" i="8" s="1"/>
  <c r="H64" i="8"/>
  <c r="H17" i="8"/>
  <c r="H65" i="8"/>
  <c r="H26" i="8"/>
  <c r="H39" i="8" s="1"/>
  <c r="H63" i="8"/>
  <c r="N10" i="8"/>
  <c r="Q10" i="8" s="1"/>
  <c r="E64" i="8"/>
  <c r="E63" i="8"/>
  <c r="D65" i="8"/>
  <c r="I115" i="4"/>
  <c r="M103" i="4"/>
  <c r="O20" i="4"/>
  <c r="K8" i="8"/>
  <c r="M23" i="4"/>
  <c r="P8" i="8" s="1"/>
  <c r="I125" i="4"/>
  <c r="G138" i="4"/>
  <c r="I108" i="3"/>
  <c r="G121" i="3"/>
  <c r="C26" i="8"/>
  <c r="C39" i="8" s="1"/>
  <c r="C64" i="8"/>
  <c r="C65" i="8"/>
  <c r="C17" i="8"/>
  <c r="C63" i="8"/>
  <c r="G14" i="8"/>
  <c r="G16" i="8" s="1"/>
  <c r="O19" i="3"/>
  <c r="M14" i="8"/>
  <c r="M16" i="8" s="1"/>
  <c r="E65" i="8" l="1"/>
  <c r="E17" i="8"/>
  <c r="F17" i="8"/>
  <c r="D26" i="8"/>
  <c r="D39" i="8" s="1"/>
  <c r="D63" i="8"/>
  <c r="D64" i="8"/>
  <c r="I65" i="8"/>
  <c r="I17" i="8"/>
  <c r="I64" i="8"/>
  <c r="I37" i="8"/>
  <c r="I38" i="8" s="1"/>
  <c r="J29" i="8" s="1"/>
  <c r="J30" i="8" s="1"/>
  <c r="F63" i="8"/>
  <c r="F65" i="8"/>
  <c r="F64" i="8"/>
  <c r="N8" i="8"/>
  <c r="Q8" i="8" s="1"/>
  <c r="F40" i="8"/>
  <c r="F41" i="8" s="1"/>
  <c r="D40" i="8"/>
  <c r="D41" i="8" s="1"/>
  <c r="J36" i="8"/>
  <c r="K27" i="8" s="1"/>
  <c r="M125" i="4"/>
  <c r="M137" i="4" s="1"/>
  <c r="I137" i="4"/>
  <c r="E40" i="8"/>
  <c r="E41" i="8" s="1"/>
  <c r="G26" i="8"/>
  <c r="G39" i="8" s="1"/>
  <c r="G65" i="8"/>
  <c r="G63" i="8"/>
  <c r="G17" i="8"/>
  <c r="G64" i="8"/>
  <c r="I120" i="3"/>
  <c r="M108" i="3"/>
  <c r="K140" i="3"/>
  <c r="M139" i="3"/>
  <c r="C40" i="8"/>
  <c r="C41" i="8" s="1"/>
  <c r="M115" i="4"/>
  <c r="O11" i="4"/>
  <c r="O23" i="4" s="1"/>
  <c r="J13" i="8"/>
  <c r="J14" i="8" s="1"/>
  <c r="J16" i="8" s="1"/>
  <c r="O20" i="3"/>
  <c r="I40" i="8"/>
  <c r="I41" i="8" s="1"/>
  <c r="M17" i="8"/>
  <c r="M26" i="8"/>
  <c r="M39" i="8" s="1"/>
  <c r="M65" i="8"/>
  <c r="M63" i="8"/>
  <c r="M64" i="8"/>
  <c r="H40" i="8"/>
  <c r="H41" i="8" s="1"/>
  <c r="M130" i="3"/>
  <c r="I142" i="3"/>
  <c r="H42" i="8" l="1"/>
  <c r="H43" i="8" s="1"/>
  <c r="C42" i="8"/>
  <c r="C43" i="8" s="1"/>
  <c r="F42" i="8"/>
  <c r="F43" i="8" s="1"/>
  <c r="D42" i="8"/>
  <c r="D43" i="8" s="1"/>
  <c r="B12" i="8"/>
  <c r="M120" i="3"/>
  <c r="P12" i="8" s="1"/>
  <c r="O12" i="3"/>
  <c r="M140" i="3"/>
  <c r="K142" i="3"/>
  <c r="J65" i="8"/>
  <c r="J17" i="8"/>
  <c r="J64" i="8"/>
  <c r="J63" i="8"/>
  <c r="J26" i="8"/>
  <c r="J39" i="8" s="1"/>
  <c r="I42" i="8"/>
  <c r="I43" i="8" s="1"/>
  <c r="E42" i="8"/>
  <c r="E43" i="8" s="1"/>
  <c r="M142" i="3"/>
  <c r="P13" i="8" s="1"/>
  <c r="B13" i="8"/>
  <c r="K13" i="8"/>
  <c r="K14" i="8" s="1"/>
  <c r="K16" i="8" s="1"/>
  <c r="O21" i="3"/>
  <c r="G40" i="8"/>
  <c r="G41" i="8" s="1"/>
  <c r="M40" i="8"/>
  <c r="M41" i="8" s="1"/>
  <c r="K36" i="8"/>
  <c r="L27" i="8" s="1"/>
  <c r="J37" i="8"/>
  <c r="J38" i="8" s="1"/>
  <c r="K29" i="8" s="1"/>
  <c r="K30" i="8" s="1"/>
  <c r="K37" i="8" l="1"/>
  <c r="K38" i="8" s="1"/>
  <c r="L29" i="8" s="1"/>
  <c r="L30" i="8" s="1"/>
  <c r="P14" i="8"/>
  <c r="F45" i="8"/>
  <c r="F46" i="8" s="1"/>
  <c r="F62" i="8"/>
  <c r="F66" i="8" s="1"/>
  <c r="F67" i="8" s="1"/>
  <c r="F68" i="8" s="1"/>
  <c r="D45" i="8"/>
  <c r="D46" i="8" s="1"/>
  <c r="D62" i="8"/>
  <c r="D66" i="8" s="1"/>
  <c r="D67" i="8" s="1"/>
  <c r="D68" i="8" s="1"/>
  <c r="M42" i="8"/>
  <c r="M43" i="8" s="1"/>
  <c r="I62" i="8"/>
  <c r="I66" i="8" s="1"/>
  <c r="I67" i="8" s="1"/>
  <c r="I68" i="8" s="1"/>
  <c r="I45" i="8"/>
  <c r="I46" i="8" s="1"/>
  <c r="E45" i="8"/>
  <c r="E46" i="8" s="1"/>
  <c r="E62" i="8"/>
  <c r="E66" i="8" s="1"/>
  <c r="E67" i="8" s="1"/>
  <c r="E68" i="8" s="1"/>
  <c r="H62" i="8"/>
  <c r="H66" i="8" s="1"/>
  <c r="H67" i="8" s="1"/>
  <c r="H68" i="8" s="1"/>
  <c r="H45" i="8"/>
  <c r="H46" i="8" s="1"/>
  <c r="K63" i="8"/>
  <c r="K26" i="8"/>
  <c r="K39" i="8" s="1"/>
  <c r="K65" i="8"/>
  <c r="K64" i="8"/>
  <c r="K17" i="8"/>
  <c r="J40" i="8"/>
  <c r="J41" i="8" s="1"/>
  <c r="L36" i="8"/>
  <c r="M27" i="8" s="1"/>
  <c r="C45" i="8"/>
  <c r="C46" i="8" s="1"/>
  <c r="C62" i="8"/>
  <c r="C66" i="8" s="1"/>
  <c r="C67" i="8" s="1"/>
  <c r="C68" i="8" s="1"/>
  <c r="G42" i="8"/>
  <c r="G43" i="8" s="1"/>
  <c r="L13" i="8"/>
  <c r="L14" i="8" s="1"/>
  <c r="L16" i="8" s="1"/>
  <c r="O22" i="3"/>
  <c r="O24" i="3" s="1"/>
  <c r="P16" i="8" s="1"/>
  <c r="P17" i="8" s="1"/>
  <c r="N12" i="8"/>
  <c r="Q12" i="8" s="1"/>
  <c r="B14" i="8"/>
  <c r="L37" i="8" l="1"/>
  <c r="L38" i="8" s="1"/>
  <c r="M29" i="8" s="1"/>
  <c r="M30" i="8" s="1"/>
  <c r="N30" i="8" s="1"/>
  <c r="J42" i="8"/>
  <c r="J43" i="8" s="1"/>
  <c r="G45" i="8"/>
  <c r="G46" i="8" s="1"/>
  <c r="G62" i="8"/>
  <c r="G66" i="8" s="1"/>
  <c r="G67" i="8" s="1"/>
  <c r="G68" i="8" s="1"/>
  <c r="H71" i="8"/>
  <c r="H47" i="8"/>
  <c r="L26" i="8"/>
  <c r="L39" i="8" s="1"/>
  <c r="L64" i="8"/>
  <c r="L65" i="8"/>
  <c r="L17" i="8"/>
  <c r="L63" i="8"/>
  <c r="M62" i="8"/>
  <c r="M66" i="8" s="1"/>
  <c r="M67" i="8" s="1"/>
  <c r="M68" i="8" s="1"/>
  <c r="M45" i="8"/>
  <c r="K40" i="8"/>
  <c r="K41" i="8" s="1"/>
  <c r="M36" i="8"/>
  <c r="N36" i="8" s="1"/>
  <c r="N27" i="8"/>
  <c r="I71" i="8"/>
  <c r="I47" i="8"/>
  <c r="B16" i="8"/>
  <c r="N14" i="8"/>
  <c r="C47" i="8"/>
  <c r="C71" i="8"/>
  <c r="E71" i="8"/>
  <c r="E47" i="8"/>
  <c r="F47" i="8"/>
  <c r="F71" i="8"/>
  <c r="D71" i="8"/>
  <c r="D47" i="8"/>
  <c r="N13" i="8"/>
  <c r="Q13" i="8" s="1"/>
  <c r="P27" i="8"/>
  <c r="M37" i="8" l="1"/>
  <c r="M38" i="8" s="1"/>
  <c r="Q27" i="8"/>
  <c r="M46" i="8"/>
  <c r="M47" i="8" s="1"/>
  <c r="K42" i="8"/>
  <c r="K43" i="8" s="1"/>
  <c r="I73" i="8"/>
  <c r="I72" i="8"/>
  <c r="H72" i="8"/>
  <c r="H73" i="8"/>
  <c r="F72" i="8"/>
  <c r="F73" i="8"/>
  <c r="D72" i="8"/>
  <c r="D73" i="8"/>
  <c r="N16" i="8"/>
  <c r="B26" i="8"/>
  <c r="B64" i="8"/>
  <c r="B17" i="8"/>
  <c r="N17" i="8" s="1"/>
  <c r="B65" i="8"/>
  <c r="B63" i="8"/>
  <c r="L40" i="8"/>
  <c r="L41" i="8" s="1"/>
  <c r="J62" i="8"/>
  <c r="J66" i="8" s="1"/>
  <c r="J67" i="8" s="1"/>
  <c r="J68" i="8" s="1"/>
  <c r="J45" i="8"/>
  <c r="J46" i="8" s="1"/>
  <c r="C73" i="8"/>
  <c r="C72" i="8"/>
  <c r="E72" i="8"/>
  <c r="E73" i="8"/>
  <c r="G71" i="8"/>
  <c r="G47" i="8"/>
  <c r="M71" i="8" l="1"/>
  <c r="M73" i="8" s="1"/>
  <c r="N37" i="8"/>
  <c r="N38" i="8" s="1"/>
  <c r="L42" i="8"/>
  <c r="L43" i="8" s="1"/>
  <c r="K62" i="8"/>
  <c r="K66" i="8" s="1"/>
  <c r="K67" i="8" s="1"/>
  <c r="K68" i="8" s="1"/>
  <c r="K45" i="8"/>
  <c r="K46" i="8" s="1"/>
  <c r="G28" i="13"/>
  <c r="G32" i="13" s="1"/>
  <c r="Q17" i="8"/>
  <c r="P65" i="8"/>
  <c r="N65" i="8"/>
  <c r="N63" i="8"/>
  <c r="P63" i="8"/>
  <c r="G72" i="8"/>
  <c r="G73" i="8"/>
  <c r="N15" i="8"/>
  <c r="P26" i="8"/>
  <c r="Q16" i="8"/>
  <c r="J71" i="8"/>
  <c r="J47" i="8"/>
  <c r="N26" i="8"/>
  <c r="B39" i="8"/>
  <c r="N64" i="8"/>
  <c r="P64" i="8"/>
  <c r="M72" i="8" l="1"/>
  <c r="Q26" i="8"/>
  <c r="Q64" i="8"/>
  <c r="L45" i="8"/>
  <c r="L46" i="8" s="1"/>
  <c r="L62" i="8"/>
  <c r="L66" i="8" s="1"/>
  <c r="L67" i="8" s="1"/>
  <c r="L68" i="8" s="1"/>
  <c r="J73" i="8"/>
  <c r="J72" i="8"/>
  <c r="Q65" i="8"/>
  <c r="Q63" i="8"/>
  <c r="K71" i="8"/>
  <c r="K47" i="8"/>
  <c r="N39" i="8"/>
  <c r="B40" i="8"/>
  <c r="N40" i="8" s="1"/>
  <c r="K73" i="8" l="1"/>
  <c r="K72" i="8"/>
  <c r="L71" i="8"/>
  <c r="L47" i="8"/>
  <c r="B41" i="8"/>
  <c r="L72" i="8" l="1"/>
  <c r="L73" i="8"/>
  <c r="B42" i="8"/>
  <c r="N42" i="8" s="1"/>
  <c r="N41" i="8"/>
  <c r="B43" i="8" l="1"/>
  <c r="B45" i="8" s="1"/>
  <c r="P43" i="8"/>
  <c r="N43" i="8" l="1"/>
  <c r="Q43" i="8" s="1"/>
  <c r="B62" i="8"/>
  <c r="B66" i="8" s="1"/>
  <c r="N45" i="8"/>
  <c r="B46" i="8"/>
  <c r="P62" i="8" l="1"/>
  <c r="N62" i="8"/>
  <c r="P66" i="8" s="1"/>
  <c r="P46" i="8"/>
  <c r="P47" i="8" s="1"/>
  <c r="N44" i="8"/>
  <c r="P45" i="8" s="1"/>
  <c r="Q45" i="8" s="1"/>
  <c r="N46" i="8"/>
  <c r="B47" i="8"/>
  <c r="N66" i="8"/>
  <c r="B67" i="8"/>
  <c r="Q62" i="8" l="1"/>
  <c r="P67" i="8"/>
  <c r="Q66" i="8"/>
  <c r="B68" i="8"/>
  <c r="N67" i="8"/>
  <c r="Q46" i="8"/>
  <c r="N47" i="8"/>
  <c r="Q47" i="8" s="1"/>
  <c r="B71" i="8"/>
  <c r="N68" i="8" l="1"/>
  <c r="Q67" i="8"/>
  <c r="B72" i="8"/>
  <c r="N71" i="8"/>
  <c r="P71" i="8"/>
  <c r="B73" i="8"/>
  <c r="P73" i="8" l="1"/>
  <c r="P72" i="8"/>
  <c r="N72" i="8"/>
  <c r="N73" i="8"/>
  <c r="Q71" i="8"/>
  <c r="F75" i="8" l="1"/>
  <c r="Q72" i="8"/>
  <c r="F76" i="8"/>
  <c r="C9" i="14" s="1"/>
  <c r="Q73" i="8"/>
  <c r="Q74" i="8" l="1"/>
  <c r="C10" i="14"/>
  <c r="C11" i="14" s="1"/>
  <c r="C12" i="14" s="1"/>
  <c r="D9" i="14"/>
  <c r="D10" i="14" l="1"/>
  <c r="E9" i="14"/>
  <c r="D11" i="14" l="1"/>
  <c r="E10" i="14"/>
  <c r="D12" i="14" l="1"/>
  <c r="E11" i="14"/>
  <c r="E17" i="14" l="1"/>
  <c r="E20" i="14"/>
  <c r="E24" i="14"/>
  <c r="E12" i="14"/>
  <c r="E15" i="14" s="1"/>
</calcChain>
</file>

<file path=xl/sharedStrings.xml><?xml version="1.0" encoding="utf-8"?>
<sst xmlns="http://schemas.openxmlformats.org/spreadsheetml/2006/main" count="560" uniqueCount="217">
  <si>
    <t>Total</t>
  </si>
  <si>
    <t xml:space="preserve">Monthly </t>
  </si>
  <si>
    <t>30 Year Normal</t>
  </si>
  <si>
    <t>Excess</t>
  </si>
  <si>
    <t>Monthly</t>
  </si>
  <si>
    <t>30 year</t>
  </si>
  <si>
    <t>Ave</t>
  </si>
  <si>
    <t>Usage per</t>
  </si>
  <si>
    <t>Base</t>
  </si>
  <si>
    <t>Customer</t>
  </si>
  <si>
    <t>normal</t>
  </si>
  <si>
    <t>Percent</t>
  </si>
  <si>
    <t>Volume</t>
  </si>
  <si>
    <t>Usage</t>
  </si>
  <si>
    <t>GS - residential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</si>
  <si>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</si>
  <si>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</si>
  <si>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</si>
  <si>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</si>
  <si>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</si>
  <si>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</si>
  <si>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</si>
  <si>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</si>
  <si>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</si>
  <si>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</si>
  <si>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</si>
  <si>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</si>
  <si>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AVG</t>
  </si>
  <si>
    <t>LVS</t>
  </si>
  <si>
    <t>Southern Missouri Natural Gas</t>
  </si>
  <si>
    <t>Springfield</t>
  </si>
  <si>
    <t>LGS</t>
  </si>
  <si>
    <t>Branson System</t>
  </si>
  <si>
    <t>Branson</t>
  </si>
  <si>
    <t xml:space="preserve"> </t>
  </si>
  <si>
    <t>Volumes Hedged</t>
  </si>
  <si>
    <t>Pricing</t>
  </si>
  <si>
    <t>Total/Avg</t>
  </si>
  <si>
    <t>Total Cost</t>
  </si>
  <si>
    <t>Description</t>
  </si>
  <si>
    <t>GS - Residential</t>
  </si>
  <si>
    <t>GS - Residential (Optional)</t>
  </si>
  <si>
    <t>Commercial General</t>
  </si>
  <si>
    <t>Commercial (Optional)</t>
  </si>
  <si>
    <t>Weighted Average Fixed Price Hedge ($/Dth)</t>
  </si>
  <si>
    <t>Southern Star Central Gas Pipeline Fuel Percentages</t>
  </si>
  <si>
    <t>Storage Fuel</t>
  </si>
  <si>
    <t>Production Zone</t>
  </si>
  <si>
    <t>Market Zone</t>
  </si>
  <si>
    <t>Southern Star Central Gas Pipeline Contracts</t>
  </si>
  <si>
    <t>Storage Contract - SA16455</t>
  </si>
  <si>
    <t>Reservation Charges ($/Dth)</t>
  </si>
  <si>
    <t>Commodity Charges (CMB)</t>
  </si>
  <si>
    <t>Commodity Charges (CMD)</t>
  </si>
  <si>
    <t>Gas Transportation Contract - TA814 (Production Zone)</t>
  </si>
  <si>
    <t>Firm Reservation Demand (Dth/Day)</t>
  </si>
  <si>
    <t>Gas Transportation Contract - TA16345 (Market Zone) - Branson</t>
  </si>
  <si>
    <t>Gas Transportation Contract - TA10757 (Market Zone) - Rogersville</t>
  </si>
  <si>
    <t>Gas Transportation Contract - TA797 (Market Zone) - Rogersville</t>
  </si>
  <si>
    <t>Commodity Charges (ORI)</t>
  </si>
  <si>
    <t>Surcharge (ACA)</t>
  </si>
  <si>
    <t>Net Delivered Volume to Market Zone</t>
  </si>
  <si>
    <t>Net Volumes Required to Meet Demand Requirements</t>
  </si>
  <si>
    <t>Net Purchase Volumes Required to Meet Demand Requirements</t>
  </si>
  <si>
    <t>Storage Withdrawals</t>
  </si>
  <si>
    <t>EOM Storage Balance</t>
  </si>
  <si>
    <t>Net Storage Injection</t>
  </si>
  <si>
    <t>Gross Volumes Required at Market Zone</t>
  </si>
  <si>
    <t>Estimated Storage WACOG</t>
  </si>
  <si>
    <t>Total Cost of Gas Delivered to Market Zone</t>
  </si>
  <si>
    <t>Estimated Storage Value</t>
  </si>
  <si>
    <t>TOTAL COST OF GAS SUPPLY TO MEET DEMAND REQUIREMENTS</t>
  </si>
  <si>
    <t>Weighted Average Cost of Gas to Meet Demand Requirements ($/Dth)</t>
  </si>
  <si>
    <t>Total Estimated Cost of Swing Purchases</t>
  </si>
  <si>
    <t>Storage Contract - SA16455 (3,000 dth/day)</t>
  </si>
  <si>
    <t>Gas Transportation Contract/Market Zone - TA797 (10,100 dth/day)</t>
  </si>
  <si>
    <t>Gas Transportation Contract/Production Zone - TA814 (10,000 dth/day)</t>
  </si>
  <si>
    <t>Gas Transportation Contract/Market Zone - TA10757 (5,000 dth/day)</t>
  </si>
  <si>
    <t>Gas Transportation Contract/Market Zone - TA16345 (5,000 dth/day)</t>
  </si>
  <si>
    <t>Southern Star Firm Reservation Demand Charges</t>
  </si>
  <si>
    <t>Total Firm Demand Reservation Costs (All Contracts)</t>
  </si>
  <si>
    <t>Southern Star Firm Commodity Charges</t>
  </si>
  <si>
    <t>Gas Transportation Contract/Production Zone - TA814</t>
  </si>
  <si>
    <t>Total Commodity Charges</t>
  </si>
  <si>
    <t>Gas Transportation Contract/Market Zone - TA797 (Based on 50% of Requirement)</t>
  </si>
  <si>
    <t>Gas Transportation Contract/Market Zone - TA10757 (based on 25% of Requirement)</t>
  </si>
  <si>
    <t>Gas Transportation Contract/Market Zone - TA16345 (Based on 25% of Requirement)</t>
  </si>
  <si>
    <t>Total Firm Commodity Costs (All Contracts)</t>
  </si>
  <si>
    <t>TOTAL DELIVERED COST OF GAS</t>
  </si>
  <si>
    <t>Total Estimated SMNG Delivered Gas Costs</t>
  </si>
  <si>
    <t>Total Estimated SMNG Upstream Delivery Costs</t>
  </si>
  <si>
    <t>Total Estimated SMNG Gas Supply Requirements (Flowing and Storage)</t>
  </si>
  <si>
    <t>Notes:</t>
  </si>
  <si>
    <t xml:space="preserve">Swing Purchases - Gross Volumes Required at Production Zone </t>
  </si>
  <si>
    <t>Storage Purchases (Dth) (see Note 3)</t>
  </si>
  <si>
    <t>Cost of Gas Withdrawn From Storage (see Note 3)</t>
  </si>
  <si>
    <t>Mcf</t>
  </si>
  <si>
    <t>Dth</t>
  </si>
  <si>
    <t>Btu Factor</t>
  </si>
  <si>
    <t>Month</t>
  </si>
  <si>
    <t>Weighted Average Cost of Gas to Meet Demand Requirements ($/Mcf)</t>
  </si>
  <si>
    <t>Estimated Total SMNG Retail Sales - Dth</t>
  </si>
  <si>
    <t>NYMEX</t>
  </si>
  <si>
    <t>Basis</t>
  </si>
  <si>
    <t>Commodity</t>
  </si>
  <si>
    <t>Est. Fixed</t>
  </si>
  <si>
    <t>Price</t>
  </si>
  <si>
    <t>Commodity Charges (INJ/WD)</t>
  </si>
  <si>
    <t>Estimated Capacity Release Credits (Production Zone) - See Note 4</t>
  </si>
  <si>
    <t>Estimated Capacity Release Credits (Market Zone) - See Note 4</t>
  </si>
  <si>
    <r>
      <t>(1)</t>
    </r>
    <r>
      <rPr>
        <sz val="8"/>
        <color indexed="8"/>
        <rFont val="Calibri"/>
        <family val="2"/>
      </rPr>
      <t xml:space="preserve"> Estimated NYMEX Basis Differential and</t>
    </r>
  </si>
  <si>
    <t>Historical Btu Factor (See Note 1)</t>
  </si>
  <si>
    <t>Estimated Price of Storage Purchases Delivered to Production Zone</t>
  </si>
  <si>
    <t>Estimated Price of Swing Purchases Delivered to Production Zone</t>
  </si>
  <si>
    <t>RPGA $/Dth - see Note 5</t>
  </si>
  <si>
    <t>RPGA $/Mcf - see Note 6</t>
  </si>
  <si>
    <t>Attachment 2</t>
  </si>
  <si>
    <t>EOM Balances</t>
  </si>
  <si>
    <t>in Acct 191</t>
  </si>
  <si>
    <t>(note 1)</t>
  </si>
  <si>
    <t>Total projected sales volume - Mcf</t>
  </si>
  <si>
    <t xml:space="preserve">(1)  End of month account 191 balance taken from general ledger and includes monthly </t>
  </si>
  <si>
    <t xml:space="preserve">      interest accruals based on instructions in SMNG tariff Revised Sheet No. 22</t>
  </si>
  <si>
    <t>Attachment 3</t>
  </si>
  <si>
    <t>Existing</t>
  </si>
  <si>
    <t>Proposed</t>
  </si>
  <si>
    <t>PGA</t>
  </si>
  <si>
    <t>Revenue Impact</t>
  </si>
  <si>
    <t>Factor</t>
  </si>
  <si>
    <t>Change</t>
  </si>
  <si>
    <t>(Winter Season)</t>
  </si>
  <si>
    <t>Estimated Winter Season Change in Revenue</t>
  </si>
  <si>
    <t>Percent Change between PGA Factors</t>
  </si>
  <si>
    <t>Change in ave winter month residential bill</t>
  </si>
  <si>
    <t xml:space="preserve">Percent change on ave winter </t>
  </si>
  <si>
    <t xml:space="preserve">  residential bill (note 1)</t>
  </si>
  <si>
    <t xml:space="preserve">              (1)    average winter usage per residential meter in ccf</t>
  </si>
  <si>
    <t xml:space="preserve">      total</t>
  </si>
  <si>
    <t>average</t>
  </si>
  <si>
    <t>Customers</t>
  </si>
  <si>
    <t>Average</t>
  </si>
  <si>
    <t>System</t>
  </si>
  <si>
    <t>Attachment 1 - RPGA Calculation Spreadsheet</t>
  </si>
  <si>
    <r>
      <t xml:space="preserve">(1) </t>
    </r>
    <r>
      <rPr>
        <sz val="10"/>
        <color indexed="8"/>
        <rFont val="Calibri"/>
        <family val="2"/>
      </rPr>
      <t>The reservation rate for Contract # 10757 consists of the following:</t>
    </r>
  </si>
  <si>
    <r>
      <t>(a)</t>
    </r>
    <r>
      <rPr>
        <sz val="10"/>
        <color indexed="8"/>
        <rFont val="Calibri"/>
        <family val="2"/>
      </rPr>
      <t xml:space="preserve"> - Southern Star FTS-M Firm Reservation of $ .137/dth</t>
    </r>
  </si>
  <si>
    <r>
      <t>(b)</t>
    </r>
    <r>
      <rPr>
        <sz val="10"/>
        <color indexed="8"/>
        <rFont val="Calibri"/>
        <family val="2"/>
      </rPr>
      <t xml:space="preserve"> - Southern Star FTS-M Ozark Trails Incremental Charge 2 </t>
    </r>
  </si>
  <si>
    <t>of $ .1201/dth</t>
  </si>
  <si>
    <r>
      <t xml:space="preserve">Reservation Charges ($/Dth) - </t>
    </r>
    <r>
      <rPr>
        <b/>
        <sz val="8"/>
        <color indexed="10"/>
        <rFont val="Calibri"/>
        <family val="2"/>
      </rPr>
      <t>See Note 1</t>
    </r>
  </si>
  <si>
    <t>Check Sum</t>
  </si>
  <si>
    <t>- Delivery Rates and Fuel Percentages</t>
  </si>
  <si>
    <t>- Capacity Release Credits</t>
  </si>
  <si>
    <t>- Demand Requirements</t>
  </si>
  <si>
    <t>Summit Natural Gas of Missouri</t>
  </si>
  <si>
    <t xml:space="preserve">Calculation of Percent of Total Natural Gas By Customer Class Assigned to Each Month - HDD </t>
  </si>
  <si>
    <t>Volumes in Dt's</t>
  </si>
  <si>
    <t>Total Retail</t>
  </si>
  <si>
    <t>Demand</t>
  </si>
  <si>
    <t>GS - residential - optional</t>
  </si>
  <si>
    <r>
      <t xml:space="preserve">Count </t>
    </r>
    <r>
      <rPr>
        <b/>
        <sz val="10"/>
        <color indexed="10"/>
        <rFont val="Arial"/>
        <family val="2"/>
      </rPr>
      <t>(1)</t>
    </r>
  </si>
  <si>
    <t>GS -  commercial</t>
  </si>
  <si>
    <t>GS -  commercial - optional</t>
  </si>
  <si>
    <t xml:space="preserve">Count </t>
  </si>
  <si>
    <r>
      <rPr>
        <b/>
        <sz val="10"/>
        <color indexed="10"/>
        <rFont val="Arial"/>
        <family val="2"/>
      </rPr>
      <t>(1)</t>
    </r>
    <r>
      <rPr>
        <sz val="10"/>
        <rFont val="Arial"/>
        <family val="2"/>
      </rPr>
      <t xml:space="preserve"> Customer counts taken from the customer shaping SMNG file.</t>
    </r>
  </si>
  <si>
    <t>Rogersville System</t>
  </si>
  <si>
    <t>Rogersville</t>
  </si>
  <si>
    <r>
      <t>Count</t>
    </r>
    <r>
      <rPr>
        <b/>
        <sz val="10"/>
        <color indexed="10"/>
        <rFont val="Arial"/>
        <family val="2"/>
      </rPr>
      <t xml:space="preserve"> (1)</t>
    </r>
  </si>
  <si>
    <t xml:space="preserve">Notes: </t>
  </si>
  <si>
    <t>Total Estimated SMNG Gas Demand Requirements in Dth</t>
  </si>
  <si>
    <t>Fixed Price Weighted Average</t>
  </si>
  <si>
    <r>
      <t xml:space="preserve">(1) </t>
    </r>
    <r>
      <rPr>
        <sz val="9"/>
        <color indexed="8"/>
        <rFont val="Calibri"/>
        <family val="2"/>
      </rPr>
      <t>Btu factor of 1.00 used for calculation purposes since demand requirements have been developed in MMBtu rather than Mcf.  NO BTU CONVERSION NECESSARY.</t>
    </r>
  </si>
  <si>
    <r>
      <t xml:space="preserve">(2) </t>
    </r>
    <r>
      <rPr>
        <sz val="9"/>
        <color indexed="8"/>
        <rFont val="Calibri"/>
        <family val="2"/>
      </rPr>
      <t>Cost of Swing Purchases into the Production Zone are based on current NYMEX Basis Differentials netted against the current NYMEX Commodity Price (estimated price is subject to change).</t>
    </r>
  </si>
  <si>
    <r>
      <t xml:space="preserve">(3) </t>
    </r>
    <r>
      <rPr>
        <sz val="9"/>
        <color indexed="8"/>
        <rFont val="Calibri"/>
        <family val="2"/>
      </rPr>
      <t>Storage management is based on Southern Star withdrawal and injection schedules and assumes compliance which results in overrun charge avoidance.</t>
    </r>
  </si>
  <si>
    <t>Total Volumes Hedged @ Production Zone</t>
  </si>
  <si>
    <t>Estimated Total SMNG Retail Sales - Mcf</t>
  </si>
  <si>
    <t>Commodity).  Prices are subject to change.</t>
  </si>
  <si>
    <t>(P-O)</t>
  </si>
  <si>
    <t>Deferred Natural Gas Cost Recovery</t>
  </si>
  <si>
    <t>Winter Residential Volume (dt)</t>
  </si>
  <si>
    <t>BTU</t>
  </si>
  <si>
    <t>conversion</t>
  </si>
  <si>
    <t>factor</t>
  </si>
  <si>
    <t>in Mcf</t>
  </si>
  <si>
    <t>TOTAL COST OF UPSTREAM DELIVERY SERVICES TO MEET DEMAND REQUIREMENTS</t>
  </si>
  <si>
    <t>Weighted Average Cost of Upstream Costs to Meet Demand Requirements ($/Dth)</t>
  </si>
  <si>
    <t>Storage Contract - SA16455 (Withdrawal)</t>
  </si>
  <si>
    <t>Estimated Annual Cost of Natural Gas Delivered Ended November 30, 2014</t>
  </si>
  <si>
    <t>January 2013</t>
  </si>
  <si>
    <t>August 31, 2013 balance to be recovered</t>
  </si>
  <si>
    <t>FOM Storage Balance (assumes a 10,000 withdrawal in Nov. 2013)</t>
  </si>
  <si>
    <t>2013 PGA - Attachment 3 Support</t>
  </si>
  <si>
    <t>2013/2014 Winter Strip and Storage Hedging Data</t>
  </si>
  <si>
    <t>2013-2014 Winter Season Revenue Impact from Winter PGA Filing</t>
  </si>
  <si>
    <r>
      <t>(1)</t>
    </r>
    <r>
      <rPr>
        <sz val="8"/>
        <color indexed="8"/>
        <rFont val="Calibri"/>
        <family val="2"/>
      </rPr>
      <t xml:space="preserve"> Usage updated per Southern Star monthly usage </t>
    </r>
  </si>
  <si>
    <t>reports (updated 10/8/13).</t>
  </si>
  <si>
    <t>Tier 1 - Fixed Price (Transaction completed on 4/29/13)</t>
  </si>
  <si>
    <t>Tier 2 - Fixed Price (N/A)</t>
  </si>
  <si>
    <t>Production Zone Fuel of 1.35% (Hedged Volumes)</t>
  </si>
  <si>
    <t>Storage Fuel of 4.41%</t>
  </si>
  <si>
    <t>Market Zone Fuel of 1.22%</t>
  </si>
  <si>
    <t>Production Zone Fuel of 1.35%</t>
  </si>
  <si>
    <t>FOM Storage WACOG ($/Dth) per Summit as of 9/30/13.</t>
  </si>
  <si>
    <t>Total Cost of Storage Injections (includes Storage Injection Comm Charges)</t>
  </si>
  <si>
    <r>
      <t xml:space="preserve">(4) </t>
    </r>
    <r>
      <rPr>
        <sz val="9"/>
        <color indexed="8"/>
        <rFont val="Calibri"/>
        <family val="2"/>
      </rPr>
      <t>Capacity release credits are based on previous year's actuals, per Southern Star invoices October 2012 - September 2013.</t>
    </r>
  </si>
  <si>
    <r>
      <t xml:space="preserve">(5) </t>
    </r>
    <r>
      <rPr>
        <sz val="9"/>
        <rFont val="Calibri"/>
        <family val="2"/>
      </rPr>
      <t>The RPGA $/Dth is the Total Cost of gas delivered to the Citygate divided by the Total Dth Retail Sales (December 2013 - November 2014).</t>
    </r>
  </si>
  <si>
    <t>As of October 8, 2013, the following has been updated:</t>
  </si>
  <si>
    <t>NYMEX Commodity prices as of October 8, 2013</t>
  </si>
  <si>
    <t>at approximately 10:48 PM MT (NYMEX Basis)</t>
  </si>
  <si>
    <t xml:space="preserve">and at approximately 9:48 AM MT (NYMEX </t>
  </si>
  <si>
    <t>Effective Rates as of October 2013 (verified &amp; updated 10/8/13)</t>
  </si>
  <si>
    <r>
      <t xml:space="preserve">(6) </t>
    </r>
    <r>
      <rPr>
        <sz val="9"/>
        <rFont val="Calibri"/>
        <family val="2"/>
      </rPr>
      <t xml:space="preserve">The RPGA $/Mcf is the projected RPGA $/Dth Rate multiplied by the monthly Btu Factor for the October 2012 - September 2013 period per Btu Factor Calculations Tab. </t>
    </r>
  </si>
  <si>
    <t>2012 - 2013 ACA Year</t>
  </si>
  <si>
    <t>August 2012</t>
  </si>
  <si>
    <t>Amount per Ccf to  thirty first Revised Sheet No. 27</t>
  </si>
  <si>
    <t xml:space="preserve">Summit Natural Gas of Missouri </t>
  </si>
  <si>
    <t>Previously Southern Missouri Natural Gas</t>
  </si>
  <si>
    <t>Previously Southern Missouri Natural Gas, LLC</t>
  </si>
  <si>
    <t>Previously Southen Missouri Natural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</si>
</sst>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\ yy"/>
    <numFmt numFmtId="166" formatCode="_(* #,##0.00_);_(* \(#,##0.00\);_(* &quot;-&quot;_);_(@_)"/>
    <numFmt numFmtId="167" formatCode="_(&quot;$&quot;* #,##0.000_);_(&quot;$&quot;* \(#,##0.000\);_(&quot;$&quot;* &quot;-&quot;???_);_(@_)"/>
    <numFmt numFmtId="168" formatCode="_(&quot;$&quot;* #,##0_);_(&quot;$&quot;* \(#,##0\);_(&quot;$&quot;* &quot;-&quot;??_);_(@_)"/>
    <numFmt numFmtId="169" formatCode="_(* #,##0.000_);_(* \(#,##0.000\);_(* &quot;-&quot;??_);_(@_)"/>
    <numFmt numFmtId="170" formatCode="0.000"/>
    <numFmt numFmtId="171" formatCode="0.0000"/>
    <numFmt numFmtId="172" formatCode="_(&quot;$&quot;* #,##0.000_);_(&quot;$&quot;* \(#,##0.000\);_(&quot;$&quot;* &quot;-&quot;??_);_(@_)"/>
    <numFmt numFmtId="173" formatCode="_(&quot;$&quot;* #,##0.0000_);_(&quot;$&quot;* \(#,##0.0000\);_(&quot;$&quot;* &quot;-&quot;??_);_(@_)"/>
    <numFmt numFmtId="174" formatCode="&quot;$&quot;#,##0.0000_);[Red]\(&quot;$&quot;#,##0.0000\)"/>
    <numFmt numFmtId="175" formatCode="#,##0.0000_);\(#,##0.0000\)"/>
    <numFmt numFmtId="176" formatCode="_(* #,##0.0000_);_(* \(#,##0.0000\);_(* &quot;-&quot;??_);_(@_)"/>
    <numFmt numFmtId="177" formatCode="&quot;$&quot;#,##0.0000_);\(&quot;$&quot;#,##0.0000\)"/>
  </numFmts>
  <fonts count="6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</font>
    <font>
      <sz val="10"/>
      <color indexed="12"/>
      <name val="Arial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color indexed="12"/>
      <name val="Century Gothic"/>
      <family val="2"/>
    </font>
    <font>
      <b/>
      <sz val="11"/>
      <color indexed="57"/>
      <name val="Calibri"/>
      <family val="2"/>
    </font>
    <font>
      <sz val="14"/>
      <color indexed="9"/>
      <name val="Arial Black"/>
      <family val="2"/>
    </font>
    <font>
      <b/>
      <sz val="12"/>
      <color indexed="9"/>
      <name val="Arial Black"/>
      <family val="2"/>
    </font>
    <font>
      <b/>
      <sz val="11"/>
      <color indexed="10"/>
      <name val="Calibri"/>
      <family val="2"/>
    </font>
    <font>
      <b/>
      <sz val="11"/>
      <color indexed="12"/>
      <name val="Calibri"/>
      <family val="2"/>
    </font>
    <font>
      <b/>
      <sz val="12"/>
      <color indexed="10"/>
      <name val="Calibri"/>
      <family val="2"/>
    </font>
    <font>
      <b/>
      <sz val="12"/>
      <color indexed="12"/>
      <name val="Calibri"/>
      <family val="2"/>
    </font>
    <font>
      <b/>
      <sz val="12"/>
      <color indexed="20"/>
      <name val="Calibri"/>
      <family val="2"/>
    </font>
    <font>
      <b/>
      <sz val="12"/>
      <color indexed="17"/>
      <name val="Calibri"/>
      <family val="2"/>
    </font>
    <font>
      <sz val="11"/>
      <color indexed="8"/>
      <name val="Calibri"/>
      <family val="2"/>
    </font>
    <font>
      <sz val="11"/>
      <color indexed="53"/>
      <name val="Calibri"/>
      <family val="2"/>
    </font>
    <font>
      <b/>
      <sz val="11"/>
      <color indexed="53"/>
      <name val="Calibri"/>
      <family val="2"/>
    </font>
    <font>
      <sz val="14"/>
      <color indexed="8"/>
      <name val="Arial Black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26"/>
      <color indexed="8"/>
      <name val="Arial Black"/>
      <family val="2"/>
    </font>
    <font>
      <sz val="20"/>
      <color indexed="8"/>
      <name val="Arial Black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indexed="17"/>
      <name val="Calibri"/>
      <family val="2"/>
    </font>
    <font>
      <sz val="10"/>
      <name val="Geneva"/>
    </font>
    <font>
      <b/>
      <sz val="10"/>
      <name val="Geneva"/>
    </font>
    <font>
      <sz val="14"/>
      <name val="Geneva"/>
    </font>
    <font>
      <b/>
      <sz val="14"/>
      <name val="Geneva"/>
    </font>
    <font>
      <sz val="14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9"/>
      <name val="Calibri"/>
      <family val="2"/>
    </font>
    <font>
      <sz val="14"/>
      <color indexed="8"/>
      <name val="Arial"/>
      <family val="2"/>
    </font>
    <font>
      <b/>
      <sz val="14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8"/>
      <color indexed="10"/>
      <name val="Calibri"/>
      <family val="2"/>
    </font>
    <font>
      <b/>
      <sz val="10"/>
      <color indexed="10"/>
      <name val="Arial"/>
      <family val="2"/>
    </font>
    <font>
      <sz val="10"/>
      <color indexed="10"/>
      <name val="Century Gothic"/>
      <family val="2"/>
    </font>
    <font>
      <b/>
      <sz val="10"/>
      <color indexed="10"/>
      <name val="Century Gothic"/>
      <family val="2"/>
    </font>
    <font>
      <b/>
      <sz val="11"/>
      <color indexed="48"/>
      <name val="Calibri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0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40" fillId="0" borderId="0" applyFont="0" applyFill="0" applyBorder="0" applyAlignment="0" applyProtection="0"/>
    <xf numFmtId="44" fontId="14" fillId="0" borderId="0" applyFont="0" applyFill="0" applyBorder="0" applyAlignment="0" applyProtection="0"/>
    <xf numFmtId="8" fontId="40" fillId="0" borderId="0" applyFont="0" applyFill="0" applyBorder="0" applyAlignment="0" applyProtection="0"/>
    <xf numFmtId="0" fontId="58" fillId="0" borderId="0"/>
    <xf numFmtId="0" fontId="4" fillId="0" borderId="0"/>
    <xf numFmtId="0" fontId="9" fillId="0" borderId="0"/>
    <xf numFmtId="0" fontId="40" fillId="0" borderId="0"/>
    <xf numFmtId="0" fontId="8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314">
    <xf numFmtId="0" fontId="0" fillId="0" borderId="0" xfId="0"/>
    <xf numFmtId="164" fontId="4" fillId="0" borderId="0" xfId="1" applyNumberFormat="1" applyFont="1" applyFill="1"/>
    <xf numFmtId="164" fontId="4" fillId="0" borderId="0" xfId="1" applyNumberFormat="1" applyFont="1" applyFill="1" applyBorder="1"/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/>
    <xf numFmtId="17" fontId="8" fillId="0" borderId="0" xfId="11" applyNumberFormat="1" applyFont="1" applyFill="1" applyBorder="1"/>
    <xf numFmtId="164" fontId="45" fillId="0" borderId="0" xfId="1" applyNumberFormat="1" applyFont="1"/>
    <xf numFmtId="164" fontId="0" fillId="0" borderId="0" xfId="0" applyNumberFormat="1"/>
    <xf numFmtId="164" fontId="10" fillId="0" borderId="0" xfId="0" applyNumberFormat="1" applyFont="1"/>
    <xf numFmtId="43" fontId="0" fillId="0" borderId="0" xfId="0" applyNumberFormat="1"/>
    <xf numFmtId="164" fontId="11" fillId="0" borderId="0" xfId="0" applyNumberFormat="1" applyFont="1"/>
    <xf numFmtId="0" fontId="12" fillId="0" borderId="0" xfId="0" applyFont="1" applyAlignment="1">
      <alignment horizontal="centerContinuous"/>
    </xf>
    <xf numFmtId="0" fontId="11" fillId="0" borderId="0" xfId="0" applyFont="1"/>
    <xf numFmtId="164" fontId="11" fillId="0" borderId="0" xfId="1" applyNumberFormat="1" applyFont="1"/>
    <xf numFmtId="0" fontId="17" fillId="0" borderId="0" xfId="0" applyFont="1"/>
    <xf numFmtId="41" fontId="17" fillId="0" borderId="0" xfId="0" applyNumberFormat="1" applyFont="1"/>
    <xf numFmtId="164" fontId="17" fillId="0" borderId="0" xfId="1" applyNumberFormat="1" applyFont="1"/>
    <xf numFmtId="0" fontId="18" fillId="0" borderId="0" xfId="0" applyFont="1"/>
    <xf numFmtId="43" fontId="17" fillId="0" borderId="0" xfId="0" applyNumberFormat="1" applyFont="1"/>
    <xf numFmtId="164" fontId="17" fillId="0" borderId="0" xfId="0" applyNumberFormat="1" applyFont="1"/>
    <xf numFmtId="165" fontId="18" fillId="0" borderId="2" xfId="0" applyNumberFormat="1" applyFont="1" applyBorder="1" applyAlignment="1">
      <alignment horizontal="center"/>
    </xf>
    <xf numFmtId="0" fontId="18" fillId="2" borderId="3" xfId="0" applyFont="1" applyFill="1" applyBorder="1"/>
    <xf numFmtId="0" fontId="17" fillId="2" borderId="2" xfId="0" applyFont="1" applyFill="1" applyBorder="1"/>
    <xf numFmtId="0" fontId="17" fillId="2" borderId="4" xfId="0" applyFont="1" applyFill="1" applyBorder="1"/>
    <xf numFmtId="0" fontId="17" fillId="0" borderId="5" xfId="0" applyFont="1" applyBorder="1"/>
    <xf numFmtId="0" fontId="17" fillId="0" borderId="0" xfId="0" applyFont="1" applyBorder="1"/>
    <xf numFmtId="165" fontId="18" fillId="0" borderId="4" xfId="0" applyNumberFormat="1" applyFont="1" applyBorder="1" applyAlignment="1">
      <alignment horizontal="center"/>
    </xf>
    <xf numFmtId="41" fontId="19" fillId="0" borderId="0" xfId="0" applyNumberFormat="1" applyFont="1" applyBorder="1"/>
    <xf numFmtId="41" fontId="17" fillId="0" borderId="6" xfId="0" applyNumberFormat="1" applyFont="1" applyBorder="1"/>
    <xf numFmtId="167" fontId="19" fillId="0" borderId="0" xfId="0" applyNumberFormat="1" applyFont="1" applyBorder="1"/>
    <xf numFmtId="167" fontId="17" fillId="0" borderId="6" xfId="0" applyNumberFormat="1" applyFont="1" applyBorder="1"/>
    <xf numFmtId="166" fontId="18" fillId="0" borderId="0" xfId="0" applyNumberFormat="1" applyFont="1"/>
    <xf numFmtId="0" fontId="17" fillId="0" borderId="7" xfId="0" applyFont="1" applyBorder="1"/>
    <xf numFmtId="0" fontId="18" fillId="0" borderId="8" xfId="0" applyFont="1" applyBorder="1"/>
    <xf numFmtId="168" fontId="18" fillId="0" borderId="8" xfId="5" applyNumberFormat="1" applyFont="1" applyBorder="1"/>
    <xf numFmtId="168" fontId="18" fillId="0" borderId="9" xfId="0" applyNumberFormat="1" applyFont="1" applyBorder="1"/>
    <xf numFmtId="0" fontId="18" fillId="0" borderId="7" xfId="0" applyFont="1" applyBorder="1"/>
    <xf numFmtId="0" fontId="11" fillId="0" borderId="0" xfId="0" applyFont="1" applyAlignment="1">
      <alignment horizontal="center"/>
    </xf>
    <xf numFmtId="0" fontId="11" fillId="0" borderId="8" xfId="0" applyFont="1" applyBorder="1"/>
    <xf numFmtId="164" fontId="11" fillId="0" borderId="8" xfId="0" applyNumberFormat="1" applyFont="1" applyBorder="1"/>
    <xf numFmtId="164" fontId="20" fillId="0" borderId="8" xfId="0" applyNumberFormat="1" applyFont="1" applyBorder="1"/>
    <xf numFmtId="0" fontId="11" fillId="0" borderId="10" xfId="0" applyFont="1" applyBorder="1" applyAlignment="1">
      <alignment horizontal="center"/>
    </xf>
    <xf numFmtId="17" fontId="11" fillId="0" borderId="10" xfId="0" applyNumberFormat="1" applyFont="1" applyBorder="1" applyAlignment="1">
      <alignment horizontal="center"/>
    </xf>
    <xf numFmtId="0" fontId="0" fillId="0" borderId="10" xfId="0" applyBorder="1"/>
    <xf numFmtId="164" fontId="45" fillId="0" borderId="10" xfId="1" applyNumberFormat="1" applyFont="1" applyBorder="1"/>
    <xf numFmtId="164" fontId="20" fillId="0" borderId="10" xfId="0" applyNumberFormat="1" applyFont="1" applyBorder="1"/>
    <xf numFmtId="41" fontId="0" fillId="0" borderId="0" xfId="0" applyNumberFormat="1"/>
    <xf numFmtId="44" fontId="45" fillId="0" borderId="0" xfId="5" applyFont="1"/>
    <xf numFmtId="172" fontId="45" fillId="0" borderId="0" xfId="5" applyNumberFormat="1" applyFont="1"/>
    <xf numFmtId="10" fontId="45" fillId="0" borderId="10" xfId="12" applyNumberFormat="1" applyFont="1" applyBorder="1"/>
    <xf numFmtId="173" fontId="45" fillId="0" borderId="10" xfId="5" applyNumberFormat="1" applyFont="1" applyBorder="1"/>
    <xf numFmtId="173" fontId="11" fillId="0" borderId="10" xfId="5" applyNumberFormat="1" applyFont="1" applyBorder="1"/>
    <xf numFmtId="164" fontId="11" fillId="0" borderId="10" xfId="1" applyNumberFormat="1" applyFont="1" applyBorder="1"/>
    <xf numFmtId="0" fontId="0" fillId="0" borderId="0" xfId="0" applyFill="1" applyBorder="1"/>
    <xf numFmtId="0" fontId="1" fillId="0" borderId="0" xfId="0" applyFont="1" applyBorder="1"/>
    <xf numFmtId="0" fontId="29" fillId="0" borderId="0" xfId="0" applyFont="1"/>
    <xf numFmtId="38" fontId="0" fillId="0" borderId="0" xfId="0" applyNumberFormat="1"/>
    <xf numFmtId="3" fontId="0" fillId="0" borderId="0" xfId="0" applyNumberFormat="1"/>
    <xf numFmtId="0" fontId="11" fillId="0" borderId="0" xfId="0" applyFont="1" applyFill="1" applyBorder="1"/>
    <xf numFmtId="168" fontId="45" fillId="0" borderId="0" xfId="5" applyNumberFormat="1" applyFont="1"/>
    <xf numFmtId="164" fontId="0" fillId="0" borderId="0" xfId="0" applyNumberFormat="1" applyBorder="1"/>
    <xf numFmtId="0" fontId="31" fillId="0" borderId="0" xfId="0" applyFont="1"/>
    <xf numFmtId="0" fontId="30" fillId="0" borderId="0" xfId="0" applyFont="1"/>
    <xf numFmtId="0" fontId="31" fillId="0" borderId="8" xfId="0" applyFont="1" applyFill="1" applyBorder="1"/>
    <xf numFmtId="168" fontId="31" fillId="0" borderId="8" xfId="5" applyNumberFormat="1" applyFont="1" applyBorder="1"/>
    <xf numFmtId="0" fontId="31" fillId="0" borderId="8" xfId="0" applyFont="1" applyBorder="1"/>
    <xf numFmtId="0" fontId="31" fillId="0" borderId="0" xfId="0" applyFont="1" applyFill="1" applyBorder="1"/>
    <xf numFmtId="168" fontId="31" fillId="0" borderId="0" xfId="5" applyNumberFormat="1" applyFont="1"/>
    <xf numFmtId="168" fontId="0" fillId="0" borderId="0" xfId="0" applyNumberFormat="1"/>
    <xf numFmtId="168" fontId="45" fillId="0" borderId="0" xfId="5" applyNumberFormat="1" applyFont="1" applyBorder="1"/>
    <xf numFmtId="44" fontId="45" fillId="0" borderId="0" xfId="5" applyNumberFormat="1" applyFont="1" applyBorder="1"/>
    <xf numFmtId="0" fontId="11" fillId="0" borderId="0" xfId="0" applyFont="1" applyFill="1" applyBorder="1" applyAlignment="1">
      <alignment horizontal="right"/>
    </xf>
    <xf numFmtId="168" fontId="11" fillId="0" borderId="0" xfId="0" applyNumberFormat="1" applyFont="1"/>
    <xf numFmtId="0" fontId="0" fillId="0" borderId="0" xfId="0" applyAlignment="1">
      <alignment horizontal="right"/>
    </xf>
    <xf numFmtId="41" fontId="45" fillId="0" borderId="0" xfId="5" applyNumberFormat="1" applyFont="1"/>
    <xf numFmtId="0" fontId="31" fillId="0" borderId="8" xfId="0" applyFont="1" applyBorder="1" applyAlignment="1">
      <alignment horizontal="right"/>
    </xf>
    <xf numFmtId="168" fontId="31" fillId="0" borderId="8" xfId="0" applyNumberFormat="1" applyFont="1" applyBorder="1"/>
    <xf numFmtId="0" fontId="11" fillId="0" borderId="11" xfId="0" applyFont="1" applyFill="1" applyBorder="1" applyAlignment="1">
      <alignment horizontal="right"/>
    </xf>
    <xf numFmtId="172" fontId="11" fillId="0" borderId="12" xfId="5" applyNumberFormat="1" applyFont="1" applyFill="1" applyBorder="1"/>
    <xf numFmtId="0" fontId="11" fillId="0" borderId="11" xfId="0" applyFont="1" applyBorder="1"/>
    <xf numFmtId="164" fontId="11" fillId="0" borderId="12" xfId="0" applyNumberFormat="1" applyFont="1" applyBorder="1"/>
    <xf numFmtId="0" fontId="33" fillId="0" borderId="0" xfId="0" applyFont="1" applyAlignment="1">
      <alignment horizontal="right"/>
    </xf>
    <xf numFmtId="0" fontId="11" fillId="0" borderId="13" xfId="0" applyFont="1" applyBorder="1" applyAlignment="1">
      <alignment horizontal="center"/>
    </xf>
    <xf numFmtId="17" fontId="0" fillId="0" borderId="10" xfId="0" applyNumberFormat="1" applyBorder="1"/>
    <xf numFmtId="170" fontId="0" fillId="0" borderId="10" xfId="0" applyNumberFormat="1" applyBorder="1"/>
    <xf numFmtId="17" fontId="0" fillId="0" borderId="0" xfId="0" applyNumberFormat="1"/>
    <xf numFmtId="41" fontId="15" fillId="0" borderId="0" xfId="0" applyNumberFormat="1" applyFont="1"/>
    <xf numFmtId="164" fontId="39" fillId="0" borderId="13" xfId="1" applyNumberFormat="1" applyFont="1" applyBorder="1"/>
    <xf numFmtId="169" fontId="15" fillId="0" borderId="0" xfId="0" applyNumberFormat="1" applyFont="1" applyBorder="1"/>
    <xf numFmtId="0" fontId="38" fillId="0" borderId="0" xfId="0" applyFont="1" applyAlignment="1">
      <alignment horizontal="right"/>
    </xf>
    <xf numFmtId="0" fontId="47" fillId="0" borderId="0" xfId="10" applyFont="1" applyFill="1" applyAlignment="1">
      <alignment horizontal="left"/>
    </xf>
    <xf numFmtId="0" fontId="40" fillId="0" borderId="0" xfId="10" applyFill="1" applyBorder="1"/>
    <xf numFmtId="38" fontId="40" fillId="0" borderId="0" xfId="4" applyNumberFormat="1" applyFont="1" applyFill="1" applyBorder="1"/>
    <xf numFmtId="0" fontId="40" fillId="0" borderId="0" xfId="10" applyBorder="1" applyAlignment="1">
      <alignment horizontal="center"/>
    </xf>
    <xf numFmtId="0" fontId="40" fillId="0" borderId="0" xfId="10"/>
    <xf numFmtId="0" fontId="40" fillId="0" borderId="0" xfId="10" applyAlignment="1">
      <alignment horizontal="center"/>
    </xf>
    <xf numFmtId="0" fontId="40" fillId="0" borderId="1" xfId="10" applyBorder="1" applyAlignment="1">
      <alignment horizontal="center"/>
    </xf>
    <xf numFmtId="0" fontId="43" fillId="0" borderId="0" xfId="10" applyFont="1" applyAlignment="1">
      <alignment horizontal="centerContinuous"/>
    </xf>
    <xf numFmtId="0" fontId="40" fillId="0" borderId="0" xfId="10" applyFill="1"/>
    <xf numFmtId="0" fontId="40" fillId="0" borderId="0" xfId="10" applyBorder="1"/>
    <xf numFmtId="0" fontId="40" fillId="0" borderId="0" xfId="10" quotePrefix="1"/>
    <xf numFmtId="0" fontId="43" fillId="0" borderId="0" xfId="10" applyFont="1" applyAlignment="1">
      <alignment horizontal="left"/>
    </xf>
    <xf numFmtId="0" fontId="40" fillId="0" borderId="0" xfId="10" applyAlignment="1">
      <alignment horizontal="left"/>
    </xf>
    <xf numFmtId="0" fontId="40" fillId="0" borderId="0" xfId="10" applyFill="1" applyBorder="1" applyAlignment="1">
      <alignment horizontal="center"/>
    </xf>
    <xf numFmtId="10" fontId="40" fillId="0" borderId="0" xfId="15" applyNumberFormat="1" applyFont="1" applyBorder="1"/>
    <xf numFmtId="168" fontId="40" fillId="0" borderId="0" xfId="6" applyNumberFormat="1" applyFont="1" applyBorder="1"/>
    <xf numFmtId="168" fontId="40" fillId="0" borderId="0" xfId="4" applyNumberFormat="1" applyFont="1" applyBorder="1"/>
    <xf numFmtId="164" fontId="40" fillId="0" borderId="0" xfId="4" applyNumberFormat="1" applyFont="1" applyBorder="1"/>
    <xf numFmtId="40" fontId="40" fillId="0" borderId="0" xfId="4" applyFont="1" applyBorder="1"/>
    <xf numFmtId="6" fontId="41" fillId="0" borderId="0" xfId="10" applyNumberFormat="1" applyFont="1" applyBorder="1"/>
    <xf numFmtId="38" fontId="40" fillId="0" borderId="0" xfId="4" applyNumberFormat="1" applyFont="1" applyBorder="1"/>
    <xf numFmtId="168" fontId="40" fillId="0" borderId="13" xfId="6" applyNumberFormat="1" applyFont="1" applyBorder="1"/>
    <xf numFmtId="8" fontId="40" fillId="0" borderId="0" xfId="6" applyFont="1" applyBorder="1"/>
    <xf numFmtId="173" fontId="40" fillId="0" borderId="0" xfId="6" applyNumberFormat="1" applyFont="1" applyBorder="1"/>
    <xf numFmtId="174" fontId="40" fillId="0" borderId="0" xfId="6" applyNumberFormat="1" applyFont="1" applyBorder="1"/>
    <xf numFmtId="38" fontId="40" fillId="0" borderId="1" xfId="4" applyNumberFormat="1" applyFont="1" applyFill="1" applyBorder="1"/>
    <xf numFmtId="173" fontId="40" fillId="0" borderId="13" xfId="6" applyNumberFormat="1" applyFont="1" applyBorder="1" applyAlignment="1">
      <alignment horizontal="center"/>
    </xf>
    <xf numFmtId="168" fontId="40" fillId="0" borderId="0" xfId="6" applyNumberFormat="1" applyFont="1" applyFill="1" applyBorder="1"/>
    <xf numFmtId="0" fontId="42" fillId="0" borderId="0" xfId="10" applyFont="1"/>
    <xf numFmtId="0" fontId="42" fillId="0" borderId="0" xfId="10" applyFont="1" applyAlignment="1">
      <alignment horizontal="centerContinuous"/>
    </xf>
    <xf numFmtId="0" fontId="4" fillId="0" borderId="0" xfId="10" applyFont="1"/>
    <xf numFmtId="0" fontId="44" fillId="0" borderId="0" xfId="10" applyFont="1"/>
    <xf numFmtId="0" fontId="13" fillId="0" borderId="0" xfId="10" applyFont="1"/>
    <xf numFmtId="0" fontId="44" fillId="0" borderId="0" xfId="10" applyFont="1" applyAlignment="1">
      <alignment horizontal="center"/>
    </xf>
    <xf numFmtId="0" fontId="44" fillId="0" borderId="1" xfId="10" applyFont="1" applyBorder="1" applyAlignment="1">
      <alignment horizontal="center"/>
    </xf>
    <xf numFmtId="17" fontId="44" fillId="0" borderId="0" xfId="10" applyNumberFormat="1" applyFont="1" applyAlignment="1">
      <alignment horizontal="center"/>
    </xf>
    <xf numFmtId="171" fontId="44" fillId="0" borderId="0" xfId="10" applyNumberFormat="1" applyFont="1" applyAlignment="1">
      <alignment horizontal="center"/>
    </xf>
    <xf numFmtId="2" fontId="44" fillId="0" borderId="0" xfId="10" applyNumberFormat="1" applyFont="1"/>
    <xf numFmtId="170" fontId="44" fillId="0" borderId="0" xfId="10" applyNumberFormat="1" applyFont="1"/>
    <xf numFmtId="38" fontId="4" fillId="0" borderId="0" xfId="4" applyNumberFormat="1" applyFont="1" applyBorder="1" applyAlignment="1">
      <alignment horizontal="right"/>
    </xf>
    <xf numFmtId="0" fontId="13" fillId="0" borderId="0" xfId="10" applyFont="1" applyAlignment="1"/>
    <xf numFmtId="10" fontId="13" fillId="0" borderId="0" xfId="10" applyNumberFormat="1" applyFont="1" applyBorder="1" applyAlignment="1"/>
    <xf numFmtId="10" fontId="13" fillId="0" borderId="13" xfId="15" applyNumberFormat="1" applyFont="1" applyBorder="1"/>
    <xf numFmtId="37" fontId="44" fillId="0" borderId="0" xfId="4" applyNumberFormat="1" applyFont="1" applyBorder="1" applyAlignment="1">
      <alignment horizontal="right"/>
    </xf>
    <xf numFmtId="175" fontId="44" fillId="0" borderId="0" xfId="4" applyNumberFormat="1" applyFont="1" applyAlignment="1">
      <alignment horizontal="center"/>
    </xf>
    <xf numFmtId="5" fontId="13" fillId="0" borderId="13" xfId="6" applyNumberFormat="1" applyFont="1" applyBorder="1" applyAlignment="1"/>
    <xf numFmtId="7" fontId="13" fillId="0" borderId="13" xfId="6" applyNumberFormat="1" applyFont="1" applyBorder="1"/>
    <xf numFmtId="10" fontId="13" fillId="0" borderId="13" xfId="15" applyNumberFormat="1" applyFont="1" applyFill="1" applyBorder="1"/>
    <xf numFmtId="172" fontId="46" fillId="0" borderId="16" xfId="0" applyNumberFormat="1" applyFont="1" applyBorder="1"/>
    <xf numFmtId="175" fontId="48" fillId="0" borderId="0" xfId="0" applyNumberFormat="1" applyFont="1" applyAlignment="1">
      <alignment horizontal="center"/>
    </xf>
    <xf numFmtId="0" fontId="0" fillId="0" borderId="1" xfId="0" applyBorder="1"/>
    <xf numFmtId="0" fontId="49" fillId="0" borderId="0" xfId="0" applyFont="1" applyAlignment="1">
      <alignment horizontal="centerContinuous"/>
    </xf>
    <xf numFmtId="173" fontId="45" fillId="3" borderId="10" xfId="5" applyNumberFormat="1" applyFont="1" applyFill="1" applyBorder="1"/>
    <xf numFmtId="0" fontId="50" fillId="0" borderId="0" xfId="0" applyFont="1"/>
    <xf numFmtId="0" fontId="4" fillId="0" borderId="0" xfId="0" applyFont="1" applyAlignment="1">
      <alignment horizontal="center"/>
    </xf>
    <xf numFmtId="17" fontId="40" fillId="0" borderId="0" xfId="10" quotePrefix="1" applyNumberFormat="1" applyFont="1"/>
    <xf numFmtId="170" fontId="39" fillId="0" borderId="8" xfId="0" applyNumberFormat="1" applyFont="1" applyBorder="1"/>
    <xf numFmtId="0" fontId="24" fillId="0" borderId="0" xfId="0" applyFont="1" applyAlignment="1">
      <alignment horizontal="center"/>
    </xf>
    <xf numFmtId="0" fontId="4" fillId="0" borderId="0" xfId="0" applyFont="1" applyFill="1" applyAlignment="1">
      <alignment horizontal="left" wrapText="1"/>
    </xf>
    <xf numFmtId="170" fontId="0" fillId="0" borderId="0" xfId="0" applyNumberFormat="1"/>
    <xf numFmtId="0" fontId="0" fillId="0" borderId="0" xfId="0" quotePrefix="1"/>
    <xf numFmtId="0" fontId="0" fillId="0" borderId="0" xfId="0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0" xfId="1" applyNumberFormat="1" applyFont="1"/>
    <xf numFmtId="10" fontId="4" fillId="0" borderId="14" xfId="12" applyNumberFormat="1" applyFont="1" applyBorder="1"/>
    <xf numFmtId="0" fontId="3" fillId="0" borderId="0" xfId="0" applyFont="1"/>
    <xf numFmtId="0" fontId="13" fillId="0" borderId="0" xfId="11" applyFont="1" applyFill="1" applyBorder="1" applyAlignment="1" applyProtection="1">
      <alignment horizontal="centerContinuous"/>
      <protection locked="0"/>
    </xf>
    <xf numFmtId="0" fontId="4" fillId="0" borderId="0" xfId="0" applyFont="1" applyFill="1" applyAlignment="1">
      <alignment horizontal="centerContinuous"/>
    </xf>
    <xf numFmtId="0" fontId="6" fillId="0" borderId="0" xfId="0" applyFont="1" applyFill="1" applyAlignment="1">
      <alignment horizontal="centerContinuous"/>
    </xf>
    <xf numFmtId="164" fontId="4" fillId="0" borderId="14" xfId="1" applyNumberFormat="1" applyFont="1" applyFill="1" applyBorder="1"/>
    <xf numFmtId="10" fontId="4" fillId="0" borderId="14" xfId="12" applyNumberFormat="1" applyFont="1" applyFill="1" applyBorder="1"/>
    <xf numFmtId="164" fontId="10" fillId="0" borderId="0" xfId="0" applyNumberFormat="1" applyFont="1" applyFill="1"/>
    <xf numFmtId="164" fontId="0" fillId="0" borderId="0" xfId="1" applyNumberFormat="1" applyFont="1"/>
    <xf numFmtId="0" fontId="3" fillId="0" borderId="0" xfId="0" applyFont="1" applyAlignment="1">
      <alignment horizontal="right"/>
    </xf>
    <xf numFmtId="164" fontId="0" fillId="0" borderId="10" xfId="1" applyNumberFormat="1" applyFont="1" applyBorder="1"/>
    <xf numFmtId="164" fontId="0" fillId="0" borderId="8" xfId="0" applyNumberFormat="1" applyBorder="1"/>
    <xf numFmtId="167" fontId="54" fillId="0" borderId="0" xfId="0" applyNumberFormat="1" applyFont="1" applyBorder="1"/>
    <xf numFmtId="172" fontId="55" fillId="0" borderId="10" xfId="5" applyNumberFormat="1" applyFont="1" applyBorder="1"/>
    <xf numFmtId="169" fontId="20" fillId="0" borderId="0" xfId="0" applyNumberFormat="1" applyFont="1" applyBorder="1"/>
    <xf numFmtId="0" fontId="46" fillId="0" borderId="0" xfId="0" applyFont="1"/>
    <xf numFmtId="0" fontId="46" fillId="0" borderId="10" xfId="0" applyFont="1" applyBorder="1" applyAlignment="1">
      <alignment horizontal="center"/>
    </xf>
    <xf numFmtId="41" fontId="46" fillId="0" borderId="17" xfId="0" applyNumberFormat="1" applyFont="1" applyBorder="1"/>
    <xf numFmtId="172" fontId="46" fillId="0" borderId="18" xfId="5" applyNumberFormat="1" applyFont="1" applyBorder="1"/>
    <xf numFmtId="168" fontId="31" fillId="0" borderId="19" xfId="0" applyNumberFormat="1" applyFont="1" applyBorder="1"/>
    <xf numFmtId="38" fontId="46" fillId="0" borderId="18" xfId="0" applyNumberFormat="1" applyFont="1" applyBorder="1"/>
    <xf numFmtId="41" fontId="46" fillId="0" borderId="18" xfId="0" applyNumberFormat="1" applyFont="1" applyBorder="1"/>
    <xf numFmtId="168" fontId="46" fillId="0" borderId="18" xfId="0" applyNumberFormat="1" applyFont="1" applyBorder="1"/>
    <xf numFmtId="43" fontId="46" fillId="0" borderId="18" xfId="0" applyNumberFormat="1" applyFont="1" applyBorder="1"/>
    <xf numFmtId="164" fontId="46" fillId="0" borderId="18" xfId="0" applyNumberFormat="1" applyFont="1" applyBorder="1"/>
    <xf numFmtId="17" fontId="11" fillId="0" borderId="3" xfId="0" applyNumberFormat="1" applyFont="1" applyBorder="1" applyAlignment="1">
      <alignment horizontal="center"/>
    </xf>
    <xf numFmtId="41" fontId="23" fillId="0" borderId="18" xfId="0" applyNumberFormat="1" applyFont="1" applyBorder="1"/>
    <xf numFmtId="168" fontId="46" fillId="0" borderId="17" xfId="0" applyNumberFormat="1" applyFont="1" applyBorder="1"/>
    <xf numFmtId="173" fontId="45" fillId="4" borderId="20" xfId="5" applyNumberFormat="1" applyFont="1" applyFill="1" applyBorder="1"/>
    <xf numFmtId="173" fontId="45" fillId="4" borderId="21" xfId="5" applyNumberFormat="1" applyFont="1" applyFill="1" applyBorder="1"/>
    <xf numFmtId="173" fontId="45" fillId="4" borderId="22" xfId="5" applyNumberFormat="1" applyFont="1" applyFill="1" applyBorder="1"/>
    <xf numFmtId="17" fontId="0" fillId="0" borderId="23" xfId="0" applyNumberFormat="1" applyBorder="1"/>
    <xf numFmtId="164" fontId="45" fillId="0" borderId="23" xfId="1" applyNumberFormat="1" applyFont="1" applyBorder="1"/>
    <xf numFmtId="170" fontId="0" fillId="0" borderId="23" xfId="0" applyNumberFormat="1" applyBorder="1"/>
    <xf numFmtId="17" fontId="0" fillId="0" borderId="24" xfId="0" applyNumberFormat="1" applyBorder="1"/>
    <xf numFmtId="164" fontId="45" fillId="0" borderId="24" xfId="1" applyNumberFormat="1" applyFont="1" applyBorder="1"/>
    <xf numFmtId="170" fontId="0" fillId="0" borderId="24" xfId="0" applyNumberFormat="1" applyBorder="1"/>
    <xf numFmtId="0" fontId="37" fillId="0" borderId="0" xfId="0" applyFont="1" applyAlignment="1">
      <alignment horizontal="left"/>
    </xf>
    <xf numFmtId="172" fontId="11" fillId="0" borderId="0" xfId="5" applyNumberFormat="1" applyFont="1"/>
    <xf numFmtId="172" fontId="0" fillId="0" borderId="0" xfId="5" applyNumberFormat="1" applyFont="1"/>
    <xf numFmtId="168" fontId="0" fillId="0" borderId="0" xfId="5" applyNumberFormat="1" applyFont="1"/>
    <xf numFmtId="176" fontId="0" fillId="0" borderId="0" xfId="1" applyNumberFormat="1" applyFont="1"/>
    <xf numFmtId="168" fontId="44" fillId="0" borderId="0" xfId="5" applyNumberFormat="1" applyFont="1" applyBorder="1" applyAlignment="1">
      <alignment horizontal="right"/>
    </xf>
    <xf numFmtId="41" fontId="0" fillId="3" borderId="0" xfId="0" applyNumberFormat="1" applyFill="1"/>
    <xf numFmtId="0" fontId="0" fillId="0" borderId="0" xfId="0" applyAlignment="1">
      <alignment horizontal="centerContinuous"/>
    </xf>
    <xf numFmtId="0" fontId="0" fillId="0" borderId="1" xfId="0" applyFill="1" applyBorder="1" applyAlignment="1">
      <alignment horizontal="center"/>
    </xf>
    <xf numFmtId="164" fontId="0" fillId="0" borderId="0" xfId="1" applyNumberFormat="1" applyFont="1" applyFill="1"/>
    <xf numFmtId="10" fontId="0" fillId="0" borderId="0" xfId="12" applyNumberFormat="1" applyFont="1" applyFill="1"/>
    <xf numFmtId="2" fontId="0" fillId="0" borderId="0" xfId="0" applyNumberFormat="1"/>
    <xf numFmtId="43" fontId="0" fillId="0" borderId="0" xfId="0" applyNumberFormat="1" applyFill="1"/>
    <xf numFmtId="164" fontId="0" fillId="0" borderId="0" xfId="1" applyNumberFormat="1" applyFont="1" applyFill="1" applyBorder="1"/>
    <xf numFmtId="10" fontId="0" fillId="0" borderId="0" xfId="12" applyNumberFormat="1" applyFont="1" applyFill="1" applyBorder="1"/>
    <xf numFmtId="0" fontId="0" fillId="0" borderId="0" xfId="0" applyBorder="1"/>
    <xf numFmtId="2" fontId="0" fillId="0" borderId="0" xfId="0" applyNumberFormat="1" applyBorder="1"/>
    <xf numFmtId="43" fontId="0" fillId="0" borderId="0" xfId="0" applyNumberFormat="1" applyBorder="1"/>
    <xf numFmtId="164" fontId="0" fillId="0" borderId="14" xfId="1" applyNumberFormat="1" applyFont="1" applyFill="1" applyBorder="1"/>
    <xf numFmtId="2" fontId="0" fillId="0" borderId="14" xfId="0" applyNumberFormat="1" applyBorder="1"/>
    <xf numFmtId="43" fontId="0" fillId="0" borderId="14" xfId="0" applyNumberFormat="1" applyBorder="1"/>
    <xf numFmtId="164" fontId="0" fillId="0" borderId="14" xfId="0" applyNumberFormat="1" applyBorder="1"/>
    <xf numFmtId="0" fontId="0" fillId="0" borderId="0" xfId="0" applyFill="1"/>
    <xf numFmtId="2" fontId="0" fillId="0" borderId="0" xfId="0" applyNumberFormat="1" applyFill="1" applyBorder="1"/>
    <xf numFmtId="43" fontId="0" fillId="0" borderId="0" xfId="0" applyNumberFormat="1" applyFill="1" applyBorder="1"/>
    <xf numFmtId="1" fontId="0" fillId="0" borderId="0" xfId="0" applyNumberFormat="1"/>
    <xf numFmtId="1" fontId="0" fillId="0" borderId="0" xfId="0" applyNumberFormat="1" applyBorder="1"/>
    <xf numFmtId="0" fontId="4" fillId="0" borderId="0" xfId="0" applyFont="1" applyFill="1" applyAlignment="1"/>
    <xf numFmtId="164" fontId="0" fillId="0" borderId="0" xfId="0" applyNumberFormat="1" applyFill="1"/>
    <xf numFmtId="164" fontId="0" fillId="0" borderId="1" xfId="0" applyNumberFormat="1" applyFill="1" applyBorder="1"/>
    <xf numFmtId="164" fontId="0" fillId="0" borderId="14" xfId="0" applyNumberFormat="1" applyFill="1" applyBorder="1"/>
    <xf numFmtId="164" fontId="0" fillId="0" borderId="13" xfId="0" applyNumberFormat="1" applyFill="1" applyBorder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43" fontId="0" fillId="0" borderId="14" xfId="0" applyNumberFormat="1" applyFill="1" applyBorder="1"/>
    <xf numFmtId="1" fontId="0" fillId="0" borderId="0" xfId="0" applyNumberFormat="1" applyFill="1"/>
    <xf numFmtId="1" fontId="0" fillId="0" borderId="0" xfId="0" applyNumberFormat="1" applyFill="1" applyBorder="1"/>
    <xf numFmtId="43" fontId="0" fillId="0" borderId="14" xfId="1" applyFont="1" applyBorder="1"/>
    <xf numFmtId="43" fontId="0" fillId="0" borderId="0" xfId="1" applyFont="1"/>
    <xf numFmtId="164" fontId="0" fillId="0" borderId="0" xfId="1" applyNumberFormat="1" applyFont="1" applyBorder="1"/>
    <xf numFmtId="164" fontId="0" fillId="0" borderId="14" xfId="1" applyNumberFormat="1" applyFont="1" applyBorder="1"/>
    <xf numFmtId="0" fontId="4" fillId="0" borderId="0" xfId="0" applyFont="1" applyAlignment="1"/>
    <xf numFmtId="0" fontId="38" fillId="0" borderId="0" xfId="0" applyFont="1" applyAlignment="1">
      <alignment horizontal="right"/>
    </xf>
    <xf numFmtId="44" fontId="56" fillId="3" borderId="16" xfId="5" applyFont="1" applyFill="1" applyBorder="1"/>
    <xf numFmtId="0" fontId="0" fillId="2" borderId="0" xfId="0" applyFill="1"/>
    <xf numFmtId="0" fontId="0" fillId="0" borderId="0" xfId="0" applyFill="1" applyAlignment="1">
      <alignment horizontal="right"/>
    </xf>
    <xf numFmtId="41" fontId="15" fillId="0" borderId="0" xfId="0" applyNumberFormat="1" applyFont="1" applyFill="1"/>
    <xf numFmtId="41" fontId="23" fillId="0" borderId="18" xfId="0" applyNumberFormat="1" applyFont="1" applyFill="1" applyBorder="1"/>
    <xf numFmtId="0" fontId="0" fillId="0" borderId="0" xfId="0" applyFill="1"/>
    <xf numFmtId="41" fontId="0" fillId="0" borderId="0" xfId="0" applyNumberFormat="1" applyFill="1"/>
    <xf numFmtId="164" fontId="0" fillId="0" borderId="0" xfId="0" applyNumberFormat="1" applyFill="1"/>
    <xf numFmtId="0" fontId="0" fillId="0" borderId="0" xfId="0" applyFill="1" applyAlignment="1">
      <alignment horizontal="center"/>
    </xf>
    <xf numFmtId="168" fontId="59" fillId="0" borderId="0" xfId="5" applyNumberFormat="1" applyFont="1" applyFill="1"/>
    <xf numFmtId="164" fontId="59" fillId="0" borderId="0" xfId="1" applyNumberFormat="1" applyFont="1" applyFill="1"/>
    <xf numFmtId="175" fontId="44" fillId="0" borderId="0" xfId="4" applyNumberFormat="1" applyFont="1" applyFill="1" applyAlignment="1">
      <alignment horizontal="center"/>
    </xf>
    <xf numFmtId="171" fontId="44" fillId="0" borderId="0" xfId="10" applyNumberFormat="1" applyFont="1" applyFill="1" applyAlignment="1">
      <alignment horizontal="center"/>
    </xf>
    <xf numFmtId="0" fontId="60" fillId="0" borderId="0" xfId="10" applyFont="1" applyBorder="1" applyAlignment="1">
      <alignment horizontal="center"/>
    </xf>
    <xf numFmtId="0" fontId="44" fillId="0" borderId="0" xfId="10" applyFont="1" applyFill="1"/>
    <xf numFmtId="40" fontId="44" fillId="0" borderId="0" xfId="4" applyFont="1" applyFill="1"/>
    <xf numFmtId="40" fontId="44" fillId="0" borderId="0" xfId="4" applyFont="1"/>
    <xf numFmtId="40" fontId="44" fillId="0" borderId="14" xfId="4" applyFont="1" applyBorder="1"/>
    <xf numFmtId="40" fontId="44" fillId="0" borderId="15" xfId="4" applyFont="1" applyBorder="1"/>
    <xf numFmtId="177" fontId="44" fillId="0" borderId="0" xfId="5" applyNumberFormat="1" applyFont="1" applyAlignment="1">
      <alignment horizontal="center"/>
    </xf>
    <xf numFmtId="177" fontId="44" fillId="0" borderId="0" xfId="5" applyNumberFormat="1" applyFont="1" applyFill="1" applyAlignment="1">
      <alignment horizontal="center"/>
    </xf>
    <xf numFmtId="177" fontId="48" fillId="0" borderId="0" xfId="5" applyNumberFormat="1" applyFont="1" applyAlignment="1">
      <alignment horizontal="center"/>
    </xf>
    <xf numFmtId="0" fontId="44" fillId="0" borderId="0" xfId="10" applyFont="1" applyBorder="1" applyAlignment="1">
      <alignment horizontal="center"/>
    </xf>
    <xf numFmtId="0" fontId="21" fillId="5" borderId="10" xfId="0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0" fontId="33" fillId="0" borderId="0" xfId="0" quotePrefix="1" applyFont="1" applyAlignment="1">
      <alignment horizontal="left"/>
    </xf>
    <xf numFmtId="0" fontId="34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40" fillId="0" borderId="0" xfId="10" applyBorder="1" applyAlignment="1">
      <alignment horizontal="center"/>
    </xf>
    <xf numFmtId="0" fontId="43" fillId="0" borderId="0" xfId="10" applyFont="1" applyAlignment="1">
      <alignment horizontal="center"/>
    </xf>
    <xf numFmtId="0" fontId="38" fillId="0" borderId="0" xfId="0" quotePrefix="1" applyFont="1" applyAlignment="1">
      <alignment horizontal="left"/>
    </xf>
    <xf numFmtId="0" fontId="37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50" fillId="0" borderId="0" xfId="0" quotePrefix="1" applyFont="1" applyAlignment="1">
      <alignment horizontal="left"/>
    </xf>
    <xf numFmtId="0" fontId="51" fillId="0" borderId="0" xfId="0" applyFont="1" applyAlignment="1">
      <alignment horizontal="left"/>
    </xf>
    <xf numFmtId="0" fontId="0" fillId="0" borderId="10" xfId="0" applyBorder="1" applyAlignment="1">
      <alignment horizontal="right"/>
    </xf>
    <xf numFmtId="0" fontId="11" fillId="0" borderId="23" xfId="0" applyFont="1" applyBorder="1" applyAlignment="1">
      <alignment horizontal="right"/>
    </xf>
    <xf numFmtId="0" fontId="25" fillId="0" borderId="3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5" fillId="0" borderId="4" xfId="0" applyFont="1" applyBorder="1" applyAlignment="1">
      <alignment horizontal="left"/>
    </xf>
    <xf numFmtId="0" fontId="0" fillId="0" borderId="23" xfId="0" applyBorder="1" applyAlignment="1">
      <alignment horizontal="right"/>
    </xf>
    <xf numFmtId="0" fontId="11" fillId="0" borderId="10" xfId="0" applyFont="1" applyBorder="1" applyAlignment="1">
      <alignment horizontal="right"/>
    </xf>
    <xf numFmtId="0" fontId="26" fillId="0" borderId="3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22" fillId="6" borderId="25" xfId="0" applyFont="1" applyFill="1" applyBorder="1" applyAlignment="1">
      <alignment horizontal="center"/>
    </xf>
    <xf numFmtId="0" fontId="28" fillId="0" borderId="3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4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7" fillId="0" borderId="4" xfId="0" applyFont="1" applyBorder="1" applyAlignment="1">
      <alignment horizontal="left"/>
    </xf>
    <xf numFmtId="0" fontId="18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left" wrapText="1"/>
    </xf>
    <xf numFmtId="0" fontId="0" fillId="0" borderId="0" xfId="0" applyFill="1" applyAlignment="1">
      <alignment horizontal="center"/>
    </xf>
    <xf numFmtId="164" fontId="46" fillId="0" borderId="16" xfId="0" applyNumberFormat="1" applyFont="1" applyFill="1" applyBorder="1"/>
    <xf numFmtId="164" fontId="0" fillId="0" borderId="16" xfId="0" applyNumberFormat="1" applyFill="1" applyBorder="1"/>
    <xf numFmtId="164" fontId="0" fillId="0" borderId="0" xfId="0" applyNumberFormat="1" applyFill="1" applyBorder="1"/>
    <xf numFmtId="168" fontId="45" fillId="0" borderId="0" xfId="5" applyNumberFormat="1" applyFont="1" applyFill="1" applyBorder="1"/>
    <xf numFmtId="41" fontId="46" fillId="0" borderId="18" xfId="0" applyNumberFormat="1" applyFont="1" applyFill="1" applyBorder="1"/>
    <xf numFmtId="0" fontId="46" fillId="0" borderId="18" xfId="0" applyFont="1" applyFill="1" applyBorder="1"/>
    <xf numFmtId="168" fontId="31" fillId="0" borderId="18" xfId="0" applyNumberFormat="1" applyFont="1" applyFill="1" applyBorder="1"/>
    <xf numFmtId="164" fontId="46" fillId="0" borderId="18" xfId="1" applyNumberFormat="1" applyFont="1" applyFill="1" applyBorder="1"/>
    <xf numFmtId="44" fontId="46" fillId="0" borderId="18" xfId="5" applyFont="1" applyFill="1" applyBorder="1"/>
    <xf numFmtId="168" fontId="46" fillId="0" borderId="18" xfId="0" applyNumberFormat="1" applyFont="1" applyFill="1" applyBorder="1"/>
    <xf numFmtId="38" fontId="46" fillId="0" borderId="18" xfId="0" applyNumberFormat="1" applyFont="1" applyFill="1" applyBorder="1"/>
    <xf numFmtId="172" fontId="46" fillId="0" borderId="16" xfId="5" applyNumberFormat="1" applyFont="1" applyFill="1" applyBorder="1"/>
    <xf numFmtId="0" fontId="24" fillId="0" borderId="0" xfId="0" applyFont="1" applyFill="1" applyBorder="1"/>
    <xf numFmtId="164" fontId="46" fillId="0" borderId="18" xfId="0" applyNumberFormat="1" applyFont="1" applyFill="1" applyBorder="1"/>
    <xf numFmtId="0" fontId="4" fillId="0" borderId="0" xfId="0" applyFont="1" applyFill="1" applyAlignment="1">
      <alignment horizontal="center"/>
    </xf>
  </cellXfs>
  <cellStyles count="16">
    <cellStyle name="Comma" xfId="1" builtinId="3"/>
    <cellStyle name="Comma 14" xfId="2"/>
    <cellStyle name="Comma 2" xfId="3"/>
    <cellStyle name="Comma 3" xfId="4"/>
    <cellStyle name="Currency" xfId="5" builtinId="4"/>
    <cellStyle name="Currency 2" xfId="6"/>
    <cellStyle name="Normal" xfId="0" builtinId="0"/>
    <cellStyle name="Normal 2" xfId="7"/>
    <cellStyle name="Normal 2 2" xfId="8"/>
    <cellStyle name="Normal 3" xfId="9"/>
    <cellStyle name="Normal 4" xfId="10"/>
    <cellStyle name="Normal_historical volumes  customer counts" xfId="11"/>
    <cellStyle name="Percent" xfId="12" builtinId="5"/>
    <cellStyle name="Percent 2" xfId="13"/>
    <cellStyle name="Percent 3" xfId="14"/>
    <cellStyle name="Percent 4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RENATO~1.KTM\LOCALS~1\Temp\Xl00004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RENATO~1.KTM\LOCALS~1\Temp\Xl00004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narrative"/>
      <sheetName val="HDD &amp; Dth-HDD Chart (GS-Res)"/>
      <sheetName val="HDD &amp; Dth-HDD Chart (GS-Com)"/>
      <sheetName val="Dth-Cust &amp; Dth-HDD Chart (Res)"/>
      <sheetName val="Dth-Cust &amp; Dth-HDD Chart (Com)"/>
      <sheetName val="Base-excess Branson"/>
      <sheetName val="annual customer usage - Branson"/>
      <sheetName val="monthly usage Branson-HDD%"/>
      <sheetName val="alt annual cust usage-Branson"/>
      <sheetName val="alt monthly usage Branson-HDD%"/>
      <sheetName val="Base-excess  - Rogersville"/>
      <sheetName val="annual customer usage-Rogersvil"/>
      <sheetName val="monthly usage Rogersvi-HDD% "/>
      <sheetName val="Springfield HDD Actual"/>
      <sheetName val="Springfield 30-yr HDD"/>
      <sheetName val="Customer Counts"/>
      <sheetName val="Consumption Report 2012"/>
      <sheetName val="BLO042 Dec 2011"/>
      <sheetName val="BLO042 Nov 2011"/>
      <sheetName val="BLO042 Oct 2011"/>
      <sheetName val="BLO042 Sep 2011"/>
      <sheetName val="BLO042 Aug 2011"/>
      <sheetName val="BLO042 Jul 2011"/>
      <sheetName val="BLO042 Jun 2011"/>
      <sheetName val="BLO042 May 2011"/>
      <sheetName val="BLO042 Apr 2011"/>
      <sheetName val="BLO042 Mar 2011"/>
      <sheetName val=" BLO042 Feb 2011"/>
      <sheetName val="BLO042 Jan 2011"/>
      <sheetName val="budget comparis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I11">
            <v>52.414707741590952</v>
          </cell>
        </row>
        <row r="12">
          <cell r="I12">
            <v>29.124585555255454</v>
          </cell>
        </row>
        <row r="13">
          <cell r="I13">
            <v>86.644602036142572</v>
          </cell>
        </row>
        <row r="14">
          <cell r="I14">
            <v>61.030624174276127</v>
          </cell>
        </row>
        <row r="15">
          <cell r="I15">
            <v>223.97256314122086</v>
          </cell>
        </row>
        <row r="27">
          <cell r="K27">
            <v>0.80467999650746524</v>
          </cell>
        </row>
        <row r="28">
          <cell r="K28">
            <v>0.42550289805659736</v>
          </cell>
        </row>
        <row r="29">
          <cell r="K29">
            <v>17.167327517842981</v>
          </cell>
        </row>
        <row r="30">
          <cell r="K30">
            <v>1.4469565217391305</v>
          </cell>
        </row>
        <row r="31">
          <cell r="K31">
            <v>80.795334629269647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narrative"/>
      <sheetName val="HDD &amp; Dth-HDD Chart (GS-Res)"/>
      <sheetName val="HDD &amp; Dth-HDD Chart (GS-Com)"/>
      <sheetName val="Dth-Cust &amp; Dth-HDD Chart (Res)"/>
      <sheetName val="Dth-Cust &amp; Dth-HDD Chart (Com)"/>
      <sheetName val="Base-excess Branson"/>
      <sheetName val="annual customer usage - Branson"/>
      <sheetName val="monthly usage Branson-HDD%"/>
      <sheetName val="alt annual cust usage-Branson"/>
      <sheetName val="alt monthly usage Branson-HDD%"/>
      <sheetName val="Base-excess  - Rogersville"/>
      <sheetName val="annual customer usage-Rogersvil"/>
      <sheetName val="monthly usage Rogersvi-HDD% "/>
      <sheetName val="Springfield HDD Actual"/>
      <sheetName val="Springfield 30-yr HDD"/>
      <sheetName val="Customer Counts"/>
      <sheetName val="Consumption Report 2012"/>
      <sheetName val="BLO042 Dec 2011"/>
      <sheetName val="BLO042 Nov 2011"/>
      <sheetName val="BLO042 Oct 2011"/>
      <sheetName val="BLO042 Sep 2011"/>
      <sheetName val="BLO042 Aug 2011"/>
      <sheetName val="BLO042 Jul 2011"/>
      <sheetName val="BLO042 Jun 2011"/>
      <sheetName val="BLO042 May 2011"/>
      <sheetName val="BLO042 Apr 2011"/>
      <sheetName val="BLO042 Mar 2011"/>
      <sheetName val=" BLO042 Feb 2011"/>
      <sheetName val="BLO042 Jan 2011"/>
      <sheetName val="budget comparis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2">
          <cell r="I12">
            <v>52.121779225698127</v>
          </cell>
        </row>
        <row r="13">
          <cell r="I13">
            <v>43.16938510586597</v>
          </cell>
        </row>
        <row r="14">
          <cell r="I14">
            <v>139.66624589687746</v>
          </cell>
        </row>
        <row r="15">
          <cell r="I15">
            <v>67.94973023771017</v>
          </cell>
        </row>
        <row r="16">
          <cell r="I16">
            <v>1427.2083403284639</v>
          </cell>
        </row>
        <row r="17">
          <cell r="I17">
            <v>8641.3846082675245</v>
          </cell>
        </row>
        <row r="27">
          <cell r="K27">
            <v>0.91621577455782122</v>
          </cell>
        </row>
        <row r="28">
          <cell r="K28">
            <v>0.68804796437759119</v>
          </cell>
        </row>
        <row r="29">
          <cell r="K29">
            <v>5.926751618588133</v>
          </cell>
        </row>
        <row r="30">
          <cell r="K30">
            <v>1.3229453613866784</v>
          </cell>
        </row>
        <row r="31">
          <cell r="K31">
            <v>38.578803272377279</v>
          </cell>
        </row>
        <row r="32">
          <cell r="K32">
            <v>588.22707124999999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88"/>
  <sheetViews>
    <sheetView view="pageBreakPreview" zoomScale="60" zoomScaleNormal="75" workbookViewId="0">
      <pane xSplit="1" ySplit="7" topLeftCell="B47" activePane="bottomRight" state="frozen"/>
      <selection activeCell="M13" sqref="M13"/>
      <selection pane="topRight" activeCell="M13" sqref="M13"/>
      <selection pane="bottomLeft" activeCell="M13" sqref="M13"/>
      <selection pane="bottomRight" activeCell="V67" sqref="V67"/>
    </sheetView>
  </sheetViews>
  <sheetFormatPr defaultRowHeight="15" x14ac:dyDescent="0.25"/>
  <cols>
    <col min="1" max="1" width="76.140625" bestFit="1" customWidth="1"/>
    <col min="2" max="2" width="12.5703125" bestFit="1" customWidth="1"/>
    <col min="3" max="4" width="12.7109375" bestFit="1" customWidth="1"/>
    <col min="5" max="5" width="11.5703125" bestFit="1" customWidth="1"/>
    <col min="6" max="6" width="11.7109375" bestFit="1" customWidth="1"/>
    <col min="7" max="13" width="12.7109375" bestFit="1" customWidth="1"/>
    <col min="14" max="14" width="12.85546875" style="173" customWidth="1"/>
    <col min="15" max="15" width="3" customWidth="1"/>
    <col min="16" max="16" width="12.7109375" hidden="1" customWidth="1"/>
    <col min="17" max="17" width="11.5703125" hidden="1" customWidth="1"/>
  </cols>
  <sheetData>
    <row r="1" spans="1:17" ht="41.25" x14ac:dyDescent="0.8">
      <c r="A1" s="262" t="s">
        <v>213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7" ht="41.25" x14ac:dyDescent="0.8">
      <c r="A2" s="262" t="s">
        <v>214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</row>
    <row r="3" spans="1:17" ht="31.5" x14ac:dyDescent="0.6">
      <c r="A3" s="265" t="s">
        <v>185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</row>
    <row r="4" spans="1:17" ht="21" customHeight="1" x14ac:dyDescent="0.45">
      <c r="A4" s="266" t="s">
        <v>142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</row>
    <row r="6" spans="1:17" ht="22.5" x14ac:dyDescent="0.45">
      <c r="A6" s="261" t="s">
        <v>167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</row>
    <row r="7" spans="1:17" s="40" customFormat="1" x14ac:dyDescent="0.25">
      <c r="A7" s="44" t="s">
        <v>39</v>
      </c>
      <c r="B7" s="45">
        <v>41609</v>
      </c>
      <c r="C7" s="45">
        <v>41640</v>
      </c>
      <c r="D7" s="45">
        <v>41671</v>
      </c>
      <c r="E7" s="45">
        <v>41699</v>
      </c>
      <c r="F7" s="45">
        <v>41730</v>
      </c>
      <c r="G7" s="45">
        <v>41760</v>
      </c>
      <c r="H7" s="45">
        <v>41791</v>
      </c>
      <c r="I7" s="45">
        <v>41821</v>
      </c>
      <c r="J7" s="45">
        <v>41852</v>
      </c>
      <c r="K7" s="45">
        <v>41883</v>
      </c>
      <c r="L7" s="45">
        <v>41913</v>
      </c>
      <c r="M7" s="45">
        <v>41944</v>
      </c>
      <c r="N7" s="44" t="s">
        <v>37</v>
      </c>
      <c r="P7" s="150" t="s">
        <v>148</v>
      </c>
      <c r="Q7" s="40" t="s">
        <v>175</v>
      </c>
    </row>
    <row r="8" spans="1:17" x14ac:dyDescent="0.25">
      <c r="A8" s="46" t="s">
        <v>40</v>
      </c>
      <c r="B8" s="47">
        <f>'Monthly Usage - Branson'!M12+'Monthly Usage - Rogersvile'!M11</f>
        <v>56814.859695488274</v>
      </c>
      <c r="C8" s="47">
        <f>'Monthly Usage - Branson'!M13+'Monthly Usage - Rogersvile'!M12</f>
        <v>65203.361538524936</v>
      </c>
      <c r="D8" s="47">
        <f>'Monthly Usage - Branson'!M14+'Monthly Usage - Rogersvile'!M13</f>
        <v>51397.530647636566</v>
      </c>
      <c r="E8" s="47">
        <f>'Monthly Usage - Branson'!M15+'Monthly Usage - Rogersvile'!M14</f>
        <v>39202.744618954028</v>
      </c>
      <c r="F8" s="47">
        <f>'Monthly Usage - Branson'!M16+'Monthly Usage - Rogersvile'!M15</f>
        <v>22585.129581494934</v>
      </c>
      <c r="G8" s="47">
        <f>'Monthly Usage - Branson'!M17+'Monthly Usage - Rogersvile'!M16</f>
        <v>10587.243937497366</v>
      </c>
      <c r="H8" s="47">
        <f>'Monthly Usage - Branson'!M18+'Monthly Usage - Rogersvile'!M17</f>
        <v>5078.2666402825944</v>
      </c>
      <c r="I8" s="47">
        <f>'Monthly Usage - Branson'!M19+'Monthly Usage - Rogersvile'!M18</f>
        <v>4583.4822673697472</v>
      </c>
      <c r="J8" s="47">
        <f>'Monthly Usage - Branson'!M20+'Monthly Usage - Rogersvile'!M19</f>
        <v>4541.8901289301339</v>
      </c>
      <c r="K8" s="47">
        <f>'Monthly Usage - Branson'!M21+'Monthly Usage - Rogersvile'!M20</f>
        <v>7936.8439453865612</v>
      </c>
      <c r="L8" s="47">
        <f>'Monthly Usage - Branson'!M22+'Monthly Usage - Rogersvile'!M21</f>
        <v>18335.800351092352</v>
      </c>
      <c r="M8" s="47">
        <f>'Monthly Usage - Branson'!M23+'Monthly Usage - Rogersvile'!M22</f>
        <v>37294.896628423521</v>
      </c>
      <c r="N8" s="48">
        <f t="shared" ref="N8:N14" si="0">SUM(B8:M8)</f>
        <v>323562.04998108104</v>
      </c>
      <c r="P8" s="166">
        <f>'Monthly Usage - Branson'!M24+'Monthly Usage - Rogersvile'!M23</f>
        <v>323562.04998108099</v>
      </c>
      <c r="Q8" s="10">
        <f>N8-P8</f>
        <v>0</v>
      </c>
    </row>
    <row r="9" spans="1:17" x14ac:dyDescent="0.25">
      <c r="A9" s="46" t="s">
        <v>41</v>
      </c>
      <c r="B9" s="47">
        <f>'Monthly Usage - Branson'!M35+'Monthly Usage - Rogersvile'!M32</f>
        <v>41277.139119137559</v>
      </c>
      <c r="C9" s="47">
        <f>'Monthly Usage - Branson'!M36+'Monthly Usage - Rogersvile'!M33</f>
        <v>48192.800038320172</v>
      </c>
      <c r="D9" s="47">
        <f>'Monthly Usage - Branson'!M37+'Monthly Usage - Rogersvile'!M34</f>
        <v>38463.608738239454</v>
      </c>
      <c r="E9" s="47">
        <f>'Monthly Usage - Branson'!M38+'Monthly Usage - Rogersvile'!M35</f>
        <v>29390.657055721851</v>
      </c>
      <c r="F9" s="47">
        <f>'Monthly Usage - Branson'!M39+'Monthly Usage - Rogersvile'!M36</f>
        <v>16879.507680247007</v>
      </c>
      <c r="G9" s="47">
        <f>'Monthly Usage - Branson'!M40+'Monthly Usage - Rogersvile'!M37</f>
        <v>7742.2855484247948</v>
      </c>
      <c r="H9" s="47">
        <f>'Monthly Usage - Branson'!M41+'Monthly Usage - Rogersvile'!M38</f>
        <v>3561.5501323633812</v>
      </c>
      <c r="I9" s="47">
        <f>'Monthly Usage - Branson'!M42+'Monthly Usage - Rogersvile'!M39</f>
        <v>3168.9259984203272</v>
      </c>
      <c r="J9" s="47">
        <f>'Monthly Usage - Branson'!M43+'Monthly Usage - Rogersvile'!M40</f>
        <v>3002.9380071367923</v>
      </c>
      <c r="K9" s="47">
        <f>'Monthly Usage - Branson'!M44+'Monthly Usage - Rogersvile'!M41</f>
        <v>5475.342163924267</v>
      </c>
      <c r="L9" s="47">
        <f>'Monthly Usage - Branson'!M45+'Monthly Usage - Rogersvile'!M42</f>
        <v>13077.98824619574</v>
      </c>
      <c r="M9" s="47">
        <f>'Monthly Usage - Branson'!M46+'Monthly Usage - Rogersvile'!M43</f>
        <v>26909.642792512928</v>
      </c>
      <c r="N9" s="48">
        <f t="shared" si="0"/>
        <v>237142.38552064428</v>
      </c>
      <c r="P9" s="166">
        <f>'Monthly Usage - Branson'!M47+'Monthly Usage - Rogersvile'!M44</f>
        <v>237142.38552064428</v>
      </c>
      <c r="Q9" s="10">
        <f t="shared" ref="Q9:Q73" si="1">N9-P9</f>
        <v>0</v>
      </c>
    </row>
    <row r="10" spans="1:17" x14ac:dyDescent="0.25">
      <c r="A10" s="46" t="s">
        <v>42</v>
      </c>
      <c r="B10" s="47">
        <f>'Monthly Usage - Branson'!M60+'Monthly Usage - Rogersvile'!M54</f>
        <v>40935.258104190165</v>
      </c>
      <c r="C10" s="47">
        <f>'Monthly Usage - Branson'!M61+'Monthly Usage - Rogersvile'!M55</f>
        <v>46219.744649453627</v>
      </c>
      <c r="D10" s="47">
        <f>'Monthly Usage - Branson'!M62+'Monthly Usage - Rogersvile'!M56</f>
        <v>37807.898842449111</v>
      </c>
      <c r="E10" s="47">
        <f>'Monthly Usage - Branson'!M63+'Monthly Usage - Rogersvile'!M57</f>
        <v>30306.668365600621</v>
      </c>
      <c r="F10" s="47">
        <f>'Monthly Usage - Branson'!M64+'Monthly Usage - Rogersvile'!M58</f>
        <v>20241.203957800506</v>
      </c>
      <c r="G10" s="47">
        <f>'Monthly Usage - Branson'!M65+'Monthly Usage - Rogersvile'!M59</f>
        <v>12974.252310028389</v>
      </c>
      <c r="H10" s="47">
        <f>'Monthly Usage - Branson'!M66+'Monthly Usage - Rogersvile'!M60</f>
        <v>9517.2129316304981</v>
      </c>
      <c r="I10" s="47">
        <f>'Monthly Usage - Branson'!M67+'Monthly Usage - Rogersvile'!M61</f>
        <v>9103.0614044886752</v>
      </c>
      <c r="J10" s="47">
        <f>'Monthly Usage - Branson'!M68+'Monthly Usage - Rogersvile'!M62</f>
        <v>9037.5332973306922</v>
      </c>
      <c r="K10" s="47">
        <f>'Monthly Usage - Branson'!M69+'Monthly Usage - Rogersvile'!M63</f>
        <v>11105.218344397839</v>
      </c>
      <c r="L10" s="47">
        <f>'Monthly Usage - Branson'!M70+'Monthly Usage - Rogersvile'!M64</f>
        <v>17419.384839196835</v>
      </c>
      <c r="M10" s="47">
        <f>'Monthly Usage - Branson'!M71+'Monthly Usage - Rogersvile'!M65</f>
        <v>29025.141368855831</v>
      </c>
      <c r="N10" s="48">
        <f t="shared" si="0"/>
        <v>273692.57841542276</v>
      </c>
      <c r="P10" s="166">
        <f>'Monthly Usage - Branson'!M72+'Monthly Usage - Rogersvile'!M66</f>
        <v>273692.57841542282</v>
      </c>
      <c r="Q10" s="10">
        <f t="shared" si="1"/>
        <v>0</v>
      </c>
    </row>
    <row r="11" spans="1:17" x14ac:dyDescent="0.25">
      <c r="A11" s="46" t="s">
        <v>43</v>
      </c>
      <c r="B11" s="168">
        <f>'Monthly Usage - Branson'!M87+'Monthly Usage - Rogersvile'!M81</f>
        <v>5520.9125891603881</v>
      </c>
      <c r="C11" s="168">
        <f>'Monthly Usage - Branson'!M88+'Monthly Usage - Rogersvile'!M82</f>
        <v>6273.6656872186286</v>
      </c>
      <c r="D11" s="168">
        <f>'Monthly Usage - Branson'!M89+'Monthly Usage - Rogersvile'!M83</f>
        <v>4913.1341618392898</v>
      </c>
      <c r="E11" s="168">
        <f>'Monthly Usage - Branson'!M90+'Monthly Usage - Rogersvile'!M84</f>
        <v>3747.7608470676432</v>
      </c>
      <c r="F11" s="168">
        <f>'Monthly Usage - Branson'!M91+'Monthly Usage - Rogersvile'!M85</f>
        <v>2180.9192133316014</v>
      </c>
      <c r="G11" s="168">
        <f>'Monthly Usage - Branson'!M92+'Monthly Usage - Rogersvile'!M86</f>
        <v>1065.7294384305042</v>
      </c>
      <c r="H11" s="168">
        <f>'Monthly Usage - Branson'!M93+'Monthly Usage - Rogersvile'!M87</f>
        <v>552.74214197599929</v>
      </c>
      <c r="I11" s="168">
        <f>'Monthly Usage - Branson'!M94+'Monthly Usage - Rogersvile'!M88</f>
        <v>513.71049985446086</v>
      </c>
      <c r="J11" s="168">
        <f>'Monthly Usage - Branson'!M95+'Monthly Usage - Rogersvile'!M89</f>
        <v>513.71049985446086</v>
      </c>
      <c r="K11" s="168">
        <f>'Monthly Usage - Branson'!M96+'Monthly Usage - Rogersvile'!M90</f>
        <v>853.84338119929578</v>
      </c>
      <c r="L11" s="168">
        <f>'Monthly Usage - Branson'!M97+'Monthly Usage - Rogersvile'!M91</f>
        <v>1890.9698718573163</v>
      </c>
      <c r="M11" s="168">
        <f>'Monthly Usage - Branson'!M98+'Monthly Usage - Rogersvile'!M92</f>
        <v>3731.0330004441262</v>
      </c>
      <c r="N11" s="48">
        <f t="shared" si="0"/>
        <v>31758.131332233712</v>
      </c>
      <c r="P11" s="166">
        <f>'Monthly Usage - Branson'!M99+'Monthly Usage - Rogersvile'!M93</f>
        <v>31758.131332233716</v>
      </c>
      <c r="Q11" s="10">
        <f t="shared" si="1"/>
        <v>0</v>
      </c>
    </row>
    <row r="12" spans="1:17" x14ac:dyDescent="0.25">
      <c r="A12" s="46" t="s">
        <v>31</v>
      </c>
      <c r="B12" s="47">
        <f>'Monthly Usage - Branson'!M108+'Monthly Usage - Rogersvile'!M103</f>
        <v>35463.22112411238</v>
      </c>
      <c r="C12" s="47">
        <f>'Monthly Usage - Branson'!M109+'Monthly Usage - Rogersvile'!M104</f>
        <v>39017.336114337144</v>
      </c>
      <c r="D12" s="47">
        <f>'Monthly Usage - Branson'!M110+'Monthly Usage - Rogersvile'!M105</f>
        <v>32593.602354227209</v>
      </c>
      <c r="E12" s="47">
        <f>'Monthly Usage - Branson'!M111+'Monthly Usage - Rogersvile'!M106</f>
        <v>27091.305813805171</v>
      </c>
      <c r="F12" s="47">
        <f>'Monthly Usage - Branson'!M112+'Monthly Usage - Rogersvile'!M107</f>
        <v>19693.481278596595</v>
      </c>
      <c r="G12" s="47">
        <f>'Monthly Usage - Branson'!M113+'Monthly Usage - Rogersvile'!M108</f>
        <v>14428.125737522878</v>
      </c>
      <c r="H12" s="47">
        <f>'Monthly Usage - Branson'!M114+'Monthly Usage - Rogersvile'!M109</f>
        <v>12006.062188628966</v>
      </c>
      <c r="I12" s="47">
        <f>'Monthly Usage - Branson'!M115+'Monthly Usage - Rogersvile'!M110</f>
        <v>11821.774744691385</v>
      </c>
      <c r="J12" s="47">
        <f>'Monthly Usage - Branson'!M116+'Monthly Usage - Rogersvile'!M111</f>
        <v>11821.774744691385</v>
      </c>
      <c r="K12" s="47">
        <f>'Monthly Usage - Branson'!M117+'Monthly Usage - Rogersvile'!M112</f>
        <v>13427.708184718869</v>
      </c>
      <c r="L12" s="47">
        <f>'Monthly Usage - Branson'!M118+'Monthly Usage - Rogersvile'!M113</f>
        <v>18324.48883791743</v>
      </c>
      <c r="M12" s="47">
        <f>'Monthly Usage - Branson'!M119+'Monthly Usage - Rogersvile'!M114</f>
        <v>27012.325480689062</v>
      </c>
      <c r="N12" s="48">
        <f t="shared" si="0"/>
        <v>262701.20660393848</v>
      </c>
      <c r="P12" s="166">
        <f>'Monthly Usage - Branson'!M120+'Monthly Usage - Rogersvile'!M115</f>
        <v>262701.20660393848</v>
      </c>
      <c r="Q12" s="10">
        <f t="shared" si="1"/>
        <v>0</v>
      </c>
    </row>
    <row r="13" spans="1:17" x14ac:dyDescent="0.25">
      <c r="A13" s="46" t="s">
        <v>28</v>
      </c>
      <c r="B13" s="47">
        <f>'Monthly Usage - Branson'!M130+'Monthly Usage - Rogersvile'!M125</f>
        <v>18210.561920425909</v>
      </c>
      <c r="C13" s="47">
        <f>'Monthly Usage - Branson'!M131+'Monthly Usage - Rogersvile'!M126</f>
        <v>20238.527017542146</v>
      </c>
      <c r="D13" s="47">
        <f>'Monthly Usage - Branson'!M132+'Monthly Usage - Rogersvile'!M127</f>
        <v>16573.167879050576</v>
      </c>
      <c r="E13" s="47">
        <f>'Monthly Usage - Branson'!M133+'Monthly Usage - Rogersvile'!M128</f>
        <v>13433.577469440996</v>
      </c>
      <c r="F13" s="47">
        <f>'Monthly Usage - Branson'!M134+'Monthly Usage - Rogersvile'!M129</f>
        <v>9212.4056747027498</v>
      </c>
      <c r="G13" s="47">
        <f>'Monthly Usage - Branson'!M135+'Monthly Usage - Rogersvile'!M130</f>
        <v>6208.0129382342502</v>
      </c>
      <c r="H13" s="47">
        <f>'Monthly Usage - Branson'!M136+'Monthly Usage - Rogersvile'!M131</f>
        <v>4825.9922794587401</v>
      </c>
      <c r="I13" s="47">
        <f>'Monthly Usage - Branson'!M137+'Monthly Usage - Rogersvile'!M132</f>
        <v>4720.8385336823421</v>
      </c>
      <c r="J13" s="47">
        <f>'Monthly Usage - Branson'!M138+'Monthly Usage - Rogersvile'!M133</f>
        <v>4720.8385336823421</v>
      </c>
      <c r="K13" s="47">
        <f>'Monthly Usage - Branson'!M139+'Monthly Usage - Rogersvile'!M134</f>
        <v>5637.1783183052348</v>
      </c>
      <c r="L13" s="47">
        <f>'Monthly Usage - Branson'!M140+'Monthly Usage - Rogersvile'!M135</f>
        <v>8431.2635632209403</v>
      </c>
      <c r="M13" s="47">
        <f>'Monthly Usage - Branson'!M141+'Monthly Usage - Rogersvile'!M136</f>
        <v>13388.511578393965</v>
      </c>
      <c r="N13" s="48">
        <f t="shared" si="0"/>
        <v>125600.8757061402</v>
      </c>
      <c r="P13" s="166">
        <f>'Monthly Usage - Branson'!M142+'Monthly Usage - Rogersvile'!M137</f>
        <v>125600.8757061402</v>
      </c>
      <c r="Q13" s="10">
        <f t="shared" si="1"/>
        <v>0</v>
      </c>
    </row>
    <row r="14" spans="1:17" s="15" customFormat="1" ht="15.75" thickBot="1" x14ac:dyDescent="0.3">
      <c r="A14" s="41" t="s">
        <v>101</v>
      </c>
      <c r="B14" s="42">
        <f>SUM(B8:B13)</f>
        <v>198221.95255251467</v>
      </c>
      <c r="C14" s="42">
        <f t="shared" ref="C14:M14" si="2">SUM(C8:C13)</f>
        <v>225145.43504539662</v>
      </c>
      <c r="D14" s="42">
        <f t="shared" si="2"/>
        <v>181748.94262344218</v>
      </c>
      <c r="E14" s="42">
        <f t="shared" si="2"/>
        <v>143172.71417059031</v>
      </c>
      <c r="F14" s="42">
        <f t="shared" si="2"/>
        <v>90792.647386173398</v>
      </c>
      <c r="G14" s="42">
        <f t="shared" si="2"/>
        <v>53005.649910138185</v>
      </c>
      <c r="H14" s="42">
        <f t="shared" si="2"/>
        <v>35541.826314340178</v>
      </c>
      <c r="I14" s="42">
        <f t="shared" si="2"/>
        <v>33911.793448506935</v>
      </c>
      <c r="J14" s="42">
        <f t="shared" si="2"/>
        <v>33638.685211625809</v>
      </c>
      <c r="K14" s="42">
        <f t="shared" si="2"/>
        <v>44436.134337932061</v>
      </c>
      <c r="L14" s="42">
        <f t="shared" si="2"/>
        <v>77479.895709480625</v>
      </c>
      <c r="M14" s="42">
        <f t="shared" si="2"/>
        <v>137361.55084931941</v>
      </c>
      <c r="N14" s="43">
        <f t="shared" si="0"/>
        <v>1254457.2275594603</v>
      </c>
      <c r="P14" s="13">
        <f>SUM(P8:P13)</f>
        <v>1254457.2275594606</v>
      </c>
      <c r="Q14" s="10"/>
    </row>
    <row r="15" spans="1:17" s="58" customFormat="1" ht="16.5" thickTop="1" thickBot="1" x14ac:dyDescent="0.3">
      <c r="A15" s="57" t="s">
        <v>111</v>
      </c>
      <c r="B15" s="91">
        <v>1</v>
      </c>
      <c r="C15" s="91">
        <v>1</v>
      </c>
      <c r="D15" s="91">
        <v>1</v>
      </c>
      <c r="E15" s="91">
        <v>1</v>
      </c>
      <c r="F15" s="91">
        <v>1</v>
      </c>
      <c r="G15" s="91">
        <v>1</v>
      </c>
      <c r="H15" s="91">
        <v>1</v>
      </c>
      <c r="I15" s="91">
        <v>1</v>
      </c>
      <c r="J15" s="91">
        <v>1</v>
      </c>
      <c r="K15" s="91">
        <v>1</v>
      </c>
      <c r="L15" s="91">
        <v>1</v>
      </c>
      <c r="M15" s="91">
        <v>1</v>
      </c>
      <c r="N15" s="172">
        <f>N16/N14</f>
        <v>1</v>
      </c>
      <c r="Q15" s="10"/>
    </row>
    <row r="16" spans="1:17" s="15" customFormat="1" ht="15.75" thickBot="1" x14ac:dyDescent="0.3">
      <c r="A16" s="82" t="s">
        <v>101</v>
      </c>
      <c r="B16" s="83">
        <f>B14*B15</f>
        <v>198221.95255251467</v>
      </c>
      <c r="C16" s="83">
        <f t="shared" ref="C16:M16" si="3">C14*C15</f>
        <v>225145.43504539662</v>
      </c>
      <c r="D16" s="83">
        <f t="shared" si="3"/>
        <v>181748.94262344218</v>
      </c>
      <c r="E16" s="83">
        <f t="shared" si="3"/>
        <v>143172.71417059031</v>
      </c>
      <c r="F16" s="83">
        <f t="shared" si="3"/>
        <v>90792.647386173398</v>
      </c>
      <c r="G16" s="83">
        <f t="shared" si="3"/>
        <v>53005.649910138185</v>
      </c>
      <c r="H16" s="83">
        <f t="shared" si="3"/>
        <v>35541.826314340178</v>
      </c>
      <c r="I16" s="83">
        <f t="shared" si="3"/>
        <v>33911.793448506935</v>
      </c>
      <c r="J16" s="83">
        <f t="shared" si="3"/>
        <v>33638.685211625809</v>
      </c>
      <c r="K16" s="83">
        <f t="shared" si="3"/>
        <v>44436.134337932061</v>
      </c>
      <c r="L16" s="83">
        <f t="shared" si="3"/>
        <v>77479.895709480625</v>
      </c>
      <c r="M16" s="83">
        <f t="shared" si="3"/>
        <v>137361.55084931941</v>
      </c>
      <c r="N16" s="299">
        <f>SUM(B16:M16)</f>
        <v>1254457.2275594603</v>
      </c>
      <c r="P16" s="16">
        <f>'Monthly Usage - Branson'!O24+'Monthly Usage - Rogersvile'!O23</f>
        <v>1254457.2275594606</v>
      </c>
      <c r="Q16" s="10">
        <f t="shared" si="1"/>
        <v>0</v>
      </c>
    </row>
    <row r="17" spans="1:17" s="15" customFormat="1" ht="15.75" thickBot="1" x14ac:dyDescent="0.3">
      <c r="A17" s="82" t="s">
        <v>173</v>
      </c>
      <c r="B17" s="83">
        <f>ROUND(B16/'Btu Factor Calculations'!D4,0)</f>
        <v>191931</v>
      </c>
      <c r="C17" s="83">
        <f>ROUND(C16/'Btu Factor Calculations'!D5,0)</f>
        <v>218173</v>
      </c>
      <c r="D17" s="83">
        <f>ROUND(D16/'Btu Factor Calculations'!D6,0)</f>
        <v>176673</v>
      </c>
      <c r="E17" s="83">
        <f>ROUND(E16/'Btu Factor Calculations'!D7,0)</f>
        <v>139985</v>
      </c>
      <c r="F17" s="83">
        <f>ROUND(F16/'Btu Factor Calculations'!D8,0)</f>
        <v>88953</v>
      </c>
      <c r="G17" s="83">
        <f>ROUND(G16/'Btu Factor Calculations'!D9,0)</f>
        <v>52105</v>
      </c>
      <c r="H17" s="83">
        <f>ROUND(H16/'Btu Factor Calculations'!D10,0)</f>
        <v>34897</v>
      </c>
      <c r="I17" s="83">
        <f>ROUND(I16/'Btu Factor Calculations'!D11,0)</f>
        <v>33094</v>
      </c>
      <c r="J17" s="83">
        <f>ROUND(J16/'Btu Factor Calculations'!D12,0)</f>
        <v>32981</v>
      </c>
      <c r="K17" s="83">
        <f>ROUND(K16/'Btu Factor Calculations'!D13,0)</f>
        <v>43674</v>
      </c>
      <c r="L17" s="83">
        <f>ROUND(L16/'Btu Factor Calculations'!D2,0)</f>
        <v>76139</v>
      </c>
      <c r="M17" s="83">
        <f>ROUND(M16/'Btu Factor Calculations'!D3,0)</f>
        <v>133414</v>
      </c>
      <c r="N17" s="299">
        <f>SUM(B17:M17)</f>
        <v>1222019</v>
      </c>
      <c r="P17" s="16">
        <f>ROUND(P16/'Btu Factor Calculations'!D14,0)</f>
        <v>1223791</v>
      </c>
      <c r="Q17" s="10">
        <f>N17-P17</f>
        <v>-1772</v>
      </c>
    </row>
    <row r="18" spans="1:17" x14ac:dyDescent="0.25">
      <c r="Q18" s="10"/>
    </row>
    <row r="19" spans="1:17" ht="22.5" x14ac:dyDescent="0.45">
      <c r="A19" s="261" t="s">
        <v>91</v>
      </c>
      <c r="B19" s="261"/>
      <c r="C19" s="261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Q19" s="10"/>
    </row>
    <row r="20" spans="1:17" x14ac:dyDescent="0.25">
      <c r="A20" s="44" t="s">
        <v>39</v>
      </c>
      <c r="B20" s="45">
        <f>B7</f>
        <v>41609</v>
      </c>
      <c r="C20" s="45">
        <f t="shared" ref="C20:M20" si="4">C7</f>
        <v>41640</v>
      </c>
      <c r="D20" s="45">
        <f t="shared" si="4"/>
        <v>41671</v>
      </c>
      <c r="E20" s="45">
        <f t="shared" si="4"/>
        <v>41699</v>
      </c>
      <c r="F20" s="45">
        <f t="shared" si="4"/>
        <v>41730</v>
      </c>
      <c r="G20" s="45">
        <f t="shared" si="4"/>
        <v>41760</v>
      </c>
      <c r="H20" s="45">
        <f t="shared" si="4"/>
        <v>41791</v>
      </c>
      <c r="I20" s="45">
        <f t="shared" si="4"/>
        <v>41821</v>
      </c>
      <c r="J20" s="45">
        <f t="shared" si="4"/>
        <v>41852</v>
      </c>
      <c r="K20" s="45">
        <f t="shared" si="4"/>
        <v>41883</v>
      </c>
      <c r="L20" s="45">
        <f t="shared" si="4"/>
        <v>41913</v>
      </c>
      <c r="M20" s="45">
        <f t="shared" si="4"/>
        <v>41944</v>
      </c>
      <c r="N20" s="174" t="s">
        <v>37</v>
      </c>
      <c r="P20" s="150" t="s">
        <v>148</v>
      </c>
      <c r="Q20" s="40" t="s">
        <v>175</v>
      </c>
    </row>
    <row r="21" spans="1:17" x14ac:dyDescent="0.25">
      <c r="A21" t="s">
        <v>172</v>
      </c>
      <c r="B21" s="49">
        <f>Hedges!C8+Hedges!C14</f>
        <v>74400</v>
      </c>
      <c r="C21" s="49">
        <f>Hedges!D8+Hedges!D14</f>
        <v>74400</v>
      </c>
      <c r="D21" s="49">
        <f>Hedges!E8+Hedges!E14</f>
        <v>67200</v>
      </c>
      <c r="E21" s="239"/>
      <c r="F21" s="239"/>
      <c r="G21" s="239"/>
      <c r="H21" s="239"/>
      <c r="I21" s="239"/>
      <c r="J21" s="239"/>
      <c r="K21" s="239"/>
      <c r="L21" s="239"/>
      <c r="M21" s="239"/>
      <c r="N21" s="175">
        <f>SUM(B21:M21)</f>
        <v>216000</v>
      </c>
      <c r="P21" s="49">
        <f>Hedges!C8+Hedges!D8+Hedges!E8+Hedges!C14+Hedges!D14+Hedges!E14</f>
        <v>216000</v>
      </c>
      <c r="Q21" s="10">
        <f t="shared" si="1"/>
        <v>0</v>
      </c>
    </row>
    <row r="22" spans="1:17" x14ac:dyDescent="0.25">
      <c r="A22" t="s">
        <v>44</v>
      </c>
      <c r="B22" s="51">
        <f>Hedges!$F$18</f>
        <v>4.5330000000000004</v>
      </c>
      <c r="C22" s="51">
        <f>Hedges!$F$18</f>
        <v>4.5330000000000004</v>
      </c>
      <c r="D22" s="51">
        <f>Hedges!$F$18</f>
        <v>4.5330000000000004</v>
      </c>
      <c r="E22" s="239"/>
      <c r="F22" s="239"/>
      <c r="G22" s="239"/>
      <c r="H22" s="239"/>
      <c r="I22" s="239"/>
      <c r="J22" s="239"/>
      <c r="K22" s="239"/>
      <c r="L22" s="239"/>
      <c r="M22" s="239"/>
      <c r="N22" s="176">
        <f>N23/N21</f>
        <v>4.5330000000000004</v>
      </c>
      <c r="P22" s="152">
        <f>Hedges!F18</f>
        <v>4.5330000000000004</v>
      </c>
      <c r="Q22" s="10">
        <f t="shared" si="1"/>
        <v>0</v>
      </c>
    </row>
    <row r="23" spans="1:17" s="64" customFormat="1" ht="15.75" thickBot="1" x14ac:dyDescent="0.3">
      <c r="A23" s="68" t="s">
        <v>69</v>
      </c>
      <c r="B23" s="67">
        <f>B21*B22</f>
        <v>337255.2</v>
      </c>
      <c r="C23" s="67">
        <f t="shared" ref="C23:M23" si="5">C21*C22</f>
        <v>337255.2</v>
      </c>
      <c r="D23" s="67">
        <f t="shared" si="5"/>
        <v>304617.60000000003</v>
      </c>
      <c r="E23" s="67">
        <f t="shared" si="5"/>
        <v>0</v>
      </c>
      <c r="F23" s="67">
        <f t="shared" si="5"/>
        <v>0</v>
      </c>
      <c r="G23" s="67">
        <f t="shared" si="5"/>
        <v>0</v>
      </c>
      <c r="H23" s="67">
        <f t="shared" si="5"/>
        <v>0</v>
      </c>
      <c r="I23" s="67">
        <f t="shared" si="5"/>
        <v>0</v>
      </c>
      <c r="J23" s="67">
        <f t="shared" si="5"/>
        <v>0</v>
      </c>
      <c r="K23" s="67">
        <f t="shared" si="5"/>
        <v>0</v>
      </c>
      <c r="L23" s="67">
        <f t="shared" si="5"/>
        <v>0</v>
      </c>
      <c r="M23" s="67">
        <f t="shared" si="5"/>
        <v>0</v>
      </c>
      <c r="N23" s="177">
        <f t="shared" ref="N23:N28" si="6">SUM(B23:M23)</f>
        <v>979128</v>
      </c>
      <c r="P23" s="49">
        <f>B23+C23+D23+E23+F23+G23+H23+I23+J23+K23+L23+M23</f>
        <v>979128</v>
      </c>
      <c r="Q23" s="10">
        <f t="shared" si="1"/>
        <v>0</v>
      </c>
    </row>
    <row r="24" spans="1:17" ht="15.75" thickTop="1" x14ac:dyDescent="0.25">
      <c r="A24" s="56" t="s">
        <v>196</v>
      </c>
      <c r="B24" s="59">
        <f>((B21-ROUND(B21*(1-'Delivery Rates'!$F$5),0)))*-1</f>
        <v>-1004</v>
      </c>
      <c r="C24" s="59">
        <f>((C21-ROUND(C21*(1-'Delivery Rates'!$F$5),0)))*-1</f>
        <v>-1004</v>
      </c>
      <c r="D24" s="59">
        <f>((D21-ROUND(D21*(1-'Delivery Rates'!$F$5),0)))*-1</f>
        <v>-907</v>
      </c>
      <c r="E24" s="59">
        <f>((E21-ROUND(E21*(1-'Delivery Rates'!$F$5),0)))*-1</f>
        <v>0</v>
      </c>
      <c r="F24" s="59">
        <f>((F21-ROUND(F21*(1-'Delivery Rates'!$F$5),0)))*-1</f>
        <v>0</v>
      </c>
      <c r="G24" s="59">
        <f>((G21-ROUND(G21*(1-'Delivery Rates'!$F$5),0)))*-1</f>
        <v>0</v>
      </c>
      <c r="H24" s="59">
        <f>((H21-ROUND(H21*(1-'Delivery Rates'!$F$5),0)))*-1</f>
        <v>0</v>
      </c>
      <c r="I24" s="59">
        <f>((I21-ROUND(I21*(1-'Delivery Rates'!$F$5),0)))*-1</f>
        <v>0</v>
      </c>
      <c r="J24" s="59">
        <f>((J21-ROUND(J21*(1-'Delivery Rates'!$F$5),0)))*-1</f>
        <v>0</v>
      </c>
      <c r="K24" s="59">
        <f>((K21-ROUND(K21*(1-'Delivery Rates'!$F$5),0)))*-1</f>
        <v>0</v>
      </c>
      <c r="L24" s="59">
        <f>((L21-ROUND(L21*(1-'Delivery Rates'!$F$5),0)))*-1</f>
        <v>0</v>
      </c>
      <c r="M24" s="59">
        <f>((M21-ROUND(M21*(1-'Delivery Rates'!$F$5),0)))*-1</f>
        <v>0</v>
      </c>
      <c r="N24" s="178">
        <f t="shared" si="6"/>
        <v>-2915</v>
      </c>
      <c r="P24" s="49">
        <f t="shared" ref="P24:P35" si="7">B24+C24+D24+E24+F24+G24+H24+I24+J24+K24+L24+M24</f>
        <v>-2915</v>
      </c>
      <c r="Q24" s="10">
        <f t="shared" si="1"/>
        <v>0</v>
      </c>
    </row>
    <row r="25" spans="1:17" x14ac:dyDescent="0.25">
      <c r="A25" s="56" t="s">
        <v>61</v>
      </c>
      <c r="B25" s="49">
        <f t="shared" ref="B25:M25" si="8">B21+B24</f>
        <v>73396</v>
      </c>
      <c r="C25" s="49">
        <f t="shared" si="8"/>
        <v>73396</v>
      </c>
      <c r="D25" s="49">
        <f t="shared" si="8"/>
        <v>66293</v>
      </c>
      <c r="E25" s="49">
        <f t="shared" si="8"/>
        <v>0</v>
      </c>
      <c r="F25" s="49">
        <f t="shared" si="8"/>
        <v>0</v>
      </c>
      <c r="G25" s="49">
        <f t="shared" si="8"/>
        <v>0</v>
      </c>
      <c r="H25" s="49">
        <f t="shared" si="8"/>
        <v>0</v>
      </c>
      <c r="I25" s="49">
        <f t="shared" si="8"/>
        <v>0</v>
      </c>
      <c r="J25" s="49">
        <f t="shared" si="8"/>
        <v>0</v>
      </c>
      <c r="K25" s="49">
        <f t="shared" si="8"/>
        <v>0</v>
      </c>
      <c r="L25" s="49">
        <f t="shared" si="8"/>
        <v>0</v>
      </c>
      <c r="M25" s="49">
        <f t="shared" si="8"/>
        <v>0</v>
      </c>
      <c r="N25" s="179">
        <f t="shared" si="6"/>
        <v>213085</v>
      </c>
      <c r="P25" s="49">
        <f>+N21+N24</f>
        <v>213085</v>
      </c>
      <c r="Q25" s="10">
        <f t="shared" si="1"/>
        <v>0</v>
      </c>
    </row>
    <row r="26" spans="1:17" x14ac:dyDescent="0.25">
      <c r="A26" s="56" t="s">
        <v>62</v>
      </c>
      <c r="B26" s="10">
        <f t="shared" ref="B26:M26" si="9">B16-B25</f>
        <v>124825.95255251467</v>
      </c>
      <c r="C26" s="10">
        <f t="shared" si="9"/>
        <v>151749.43504539662</v>
      </c>
      <c r="D26" s="10">
        <f t="shared" si="9"/>
        <v>115455.94262344218</v>
      </c>
      <c r="E26" s="10">
        <f t="shared" si="9"/>
        <v>143172.71417059031</v>
      </c>
      <c r="F26" s="10">
        <f t="shared" si="9"/>
        <v>90792.647386173398</v>
      </c>
      <c r="G26" s="10">
        <f t="shared" si="9"/>
        <v>53005.649910138185</v>
      </c>
      <c r="H26" s="10">
        <f t="shared" si="9"/>
        <v>35541.826314340178</v>
      </c>
      <c r="I26" s="10">
        <f t="shared" si="9"/>
        <v>33911.793448506935</v>
      </c>
      <c r="J26" s="10">
        <f t="shared" si="9"/>
        <v>33638.685211625809</v>
      </c>
      <c r="K26" s="10">
        <f t="shared" si="9"/>
        <v>44436.134337932061</v>
      </c>
      <c r="L26" s="10">
        <f t="shared" si="9"/>
        <v>77479.895709480625</v>
      </c>
      <c r="M26" s="10">
        <f t="shared" si="9"/>
        <v>137361.55084931941</v>
      </c>
      <c r="N26" s="179">
        <f t="shared" si="6"/>
        <v>1041372.2275594604</v>
      </c>
      <c r="P26" s="49">
        <f>+N16-N25</f>
        <v>1041372.2275594603</v>
      </c>
      <c r="Q26" s="10">
        <f t="shared" si="1"/>
        <v>0</v>
      </c>
    </row>
    <row r="27" spans="1:17" x14ac:dyDescent="0.25">
      <c r="A27" s="56" t="s">
        <v>188</v>
      </c>
      <c r="B27" s="9">
        <f>300000-10000</f>
        <v>290000</v>
      </c>
      <c r="C27" s="9">
        <f>B36</f>
        <v>243500</v>
      </c>
      <c r="D27" s="9">
        <f t="shared" ref="D27:M27" si="10">C36</f>
        <v>166000</v>
      </c>
      <c r="E27" s="9">
        <f t="shared" si="10"/>
        <v>118400</v>
      </c>
      <c r="F27" s="9">
        <f t="shared" si="10"/>
        <v>56400</v>
      </c>
      <c r="G27" s="9">
        <f t="shared" si="10"/>
        <v>120923</v>
      </c>
      <c r="H27" s="9">
        <f t="shared" si="10"/>
        <v>180189</v>
      </c>
      <c r="I27" s="9">
        <f t="shared" si="10"/>
        <v>217469</v>
      </c>
      <c r="J27" s="9">
        <f t="shared" si="10"/>
        <v>247102</v>
      </c>
      <c r="K27" s="9">
        <f t="shared" si="10"/>
        <v>267845</v>
      </c>
      <c r="L27" s="9">
        <f t="shared" si="10"/>
        <v>282184</v>
      </c>
      <c r="M27" s="9">
        <f t="shared" si="10"/>
        <v>297000</v>
      </c>
      <c r="N27" s="303">
        <f t="shared" si="6"/>
        <v>2487012</v>
      </c>
      <c r="O27" s="243"/>
      <c r="P27" s="201">
        <f t="shared" si="7"/>
        <v>2487012</v>
      </c>
      <c r="Q27" s="10">
        <f t="shared" si="1"/>
        <v>0</v>
      </c>
    </row>
    <row r="28" spans="1:17" ht="15.75" thickBot="1" x14ac:dyDescent="0.3">
      <c r="A28" s="56" t="s">
        <v>64</v>
      </c>
      <c r="B28" s="59">
        <f>-1500*31</f>
        <v>-46500</v>
      </c>
      <c r="C28" s="59">
        <f>-2500*31</f>
        <v>-77500</v>
      </c>
      <c r="D28" s="59">
        <f>-1700*28</f>
        <v>-47600</v>
      </c>
      <c r="E28" s="59">
        <f>-2000*31</f>
        <v>-62000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59">
        <v>0</v>
      </c>
      <c r="L28" s="59">
        <v>0</v>
      </c>
      <c r="M28" s="59">
        <f>-500*30</f>
        <v>-15000</v>
      </c>
      <c r="N28" s="303">
        <f t="shared" si="6"/>
        <v>-248600</v>
      </c>
      <c r="P28" s="49">
        <f t="shared" si="7"/>
        <v>-248600</v>
      </c>
      <c r="Q28" s="10">
        <f t="shared" si="1"/>
        <v>0</v>
      </c>
    </row>
    <row r="29" spans="1:17" ht="15.75" thickBot="1" x14ac:dyDescent="0.3">
      <c r="A29" s="56" t="s">
        <v>200</v>
      </c>
      <c r="B29" s="238">
        <v>3.5579999999999998</v>
      </c>
      <c r="C29" s="50">
        <f>B38</f>
        <v>3.5579999999999998</v>
      </c>
      <c r="D29" s="50">
        <f t="shared" ref="D29:M29" si="11">C38</f>
        <v>3.5579999999999998</v>
      </c>
      <c r="E29" s="50">
        <f t="shared" si="11"/>
        <v>3.5580000000000003</v>
      </c>
      <c r="F29" s="50">
        <f t="shared" si="11"/>
        <v>3.5579999999999998</v>
      </c>
      <c r="G29" s="50">
        <f t="shared" si="11"/>
        <v>3.6902508207702418</v>
      </c>
      <c r="H29" s="50">
        <f t="shared" si="11"/>
        <v>3.7354899577665672</v>
      </c>
      <c r="I29" s="50">
        <f t="shared" si="11"/>
        <v>3.7565179404880693</v>
      </c>
      <c r="J29" s="50">
        <f t="shared" si="11"/>
        <v>3.7723417859831163</v>
      </c>
      <c r="K29" s="50">
        <f t="shared" si="11"/>
        <v>3.7826328660232593</v>
      </c>
      <c r="L29" s="50">
        <f t="shared" si="11"/>
        <v>3.788536203328325</v>
      </c>
      <c r="M29" s="50">
        <f t="shared" si="11"/>
        <v>3.7946760942760944</v>
      </c>
      <c r="N29" s="304"/>
      <c r="P29" s="49"/>
      <c r="Q29" s="10">
        <f t="shared" si="1"/>
        <v>0</v>
      </c>
    </row>
    <row r="30" spans="1:17" s="64" customFormat="1" x14ac:dyDescent="0.25">
      <c r="A30" s="69" t="s">
        <v>95</v>
      </c>
      <c r="B30" s="70">
        <f t="shared" ref="B30:M30" si="12">-B28*B29</f>
        <v>165447</v>
      </c>
      <c r="C30" s="70">
        <f t="shared" si="12"/>
        <v>275745</v>
      </c>
      <c r="D30" s="70">
        <f t="shared" si="12"/>
        <v>169360.8</v>
      </c>
      <c r="E30" s="70">
        <f t="shared" si="12"/>
        <v>220596.00000000003</v>
      </c>
      <c r="F30" s="70">
        <f t="shared" si="12"/>
        <v>0</v>
      </c>
      <c r="G30" s="70">
        <f t="shared" si="12"/>
        <v>0</v>
      </c>
      <c r="H30" s="70">
        <f t="shared" si="12"/>
        <v>0</v>
      </c>
      <c r="I30" s="70">
        <f t="shared" si="12"/>
        <v>0</v>
      </c>
      <c r="J30" s="70">
        <f t="shared" si="12"/>
        <v>0</v>
      </c>
      <c r="K30" s="70">
        <f t="shared" si="12"/>
        <v>0</v>
      </c>
      <c r="L30" s="70">
        <f t="shared" si="12"/>
        <v>0</v>
      </c>
      <c r="M30" s="70">
        <f t="shared" si="12"/>
        <v>56920.141414141413</v>
      </c>
      <c r="N30" s="305">
        <f>SUM(B30:M30)</f>
        <v>888068.94141414145</v>
      </c>
      <c r="P30" s="49"/>
      <c r="Q30" s="10"/>
    </row>
    <row r="31" spans="1:17" x14ac:dyDescent="0.25">
      <c r="A31" s="56" t="s">
        <v>94</v>
      </c>
      <c r="B31">
        <v>0</v>
      </c>
      <c r="C31">
        <v>0</v>
      </c>
      <c r="D31">
        <v>0</v>
      </c>
      <c r="E31">
        <v>0</v>
      </c>
      <c r="F31" s="9">
        <f>2250*30</f>
        <v>67500</v>
      </c>
      <c r="G31" s="9">
        <f>2000*31</f>
        <v>62000</v>
      </c>
      <c r="H31" s="9">
        <f>1300*30</f>
        <v>39000</v>
      </c>
      <c r="I31" s="9">
        <f>1000*31</f>
        <v>31000</v>
      </c>
      <c r="J31" s="9">
        <f>700*31</f>
        <v>21700</v>
      </c>
      <c r="K31" s="9">
        <f>500*30</f>
        <v>15000</v>
      </c>
      <c r="L31" s="9">
        <f>500*31</f>
        <v>15500</v>
      </c>
      <c r="M31" s="9">
        <v>0</v>
      </c>
      <c r="N31" s="306">
        <f>SUM(B31:M31)</f>
        <v>251700</v>
      </c>
      <c r="P31" s="49">
        <f t="shared" si="7"/>
        <v>251700</v>
      </c>
      <c r="Q31" s="10">
        <f t="shared" si="1"/>
        <v>0</v>
      </c>
    </row>
    <row r="32" spans="1:17" x14ac:dyDescent="0.25">
      <c r="A32" s="56" t="s">
        <v>112</v>
      </c>
      <c r="B32" s="50">
        <v>0</v>
      </c>
      <c r="C32" s="50">
        <v>0</v>
      </c>
      <c r="D32" s="50">
        <v>0</v>
      </c>
      <c r="E32" s="50">
        <v>0</v>
      </c>
      <c r="F32" s="50">
        <f>'Swing Price'!D7</f>
        <v>3.6379999999999999</v>
      </c>
      <c r="G32" s="50">
        <f>'Swing Price'!D8</f>
        <v>3.6589999999999998</v>
      </c>
      <c r="H32" s="50">
        <f>'Swing Price'!D9</f>
        <v>3.6879999999999997</v>
      </c>
      <c r="I32" s="50">
        <f>'Swing Price'!D10</f>
        <v>3.7169999999999996</v>
      </c>
      <c r="J32" s="50">
        <f>'Swing Price'!D11</f>
        <v>3.7329999999999997</v>
      </c>
      <c r="K32" s="50">
        <f>'Swing Price'!D12</f>
        <v>3.7270000000000003</v>
      </c>
      <c r="L32" s="50">
        <f>'Swing Price'!D13</f>
        <v>3.7389999999999999</v>
      </c>
      <c r="M32" s="50">
        <v>0</v>
      </c>
      <c r="N32" s="307">
        <f>N33/N31</f>
        <v>3.6917639253079062</v>
      </c>
      <c r="P32" s="49"/>
      <c r="Q32" s="10"/>
    </row>
    <row r="33" spans="1:17" x14ac:dyDescent="0.25">
      <c r="A33" s="56" t="s">
        <v>201</v>
      </c>
      <c r="B33" s="71">
        <f>(B31*B32)+(B31*'Delivery Rates'!$F$12)</f>
        <v>0</v>
      </c>
      <c r="C33" s="71">
        <f>(C31*C32)+(C31*'Delivery Rates'!$F$12)</f>
        <v>0</v>
      </c>
      <c r="D33" s="71">
        <f>(D31*D32)+(D31*'Delivery Rates'!$F$12)</f>
        <v>0</v>
      </c>
      <c r="E33" s="71">
        <f>(E31*E32)+(E31*'Delivery Rates'!$F$12)</f>
        <v>0</v>
      </c>
      <c r="F33" s="71">
        <f>(F31*F32)+(F31*'Delivery Rates'!$F$12)</f>
        <v>246334.5</v>
      </c>
      <c r="G33" s="71">
        <f>(G31*G32)+(G31*'Delivery Rates'!$F$12)</f>
        <v>227564.79999999999</v>
      </c>
      <c r="H33" s="71">
        <f>(H31*H32)+(H31*'Delivery Rates'!$F$12)</f>
        <v>144276.6</v>
      </c>
      <c r="I33" s="71">
        <f>(I31*I32)+(I31*'Delivery Rates'!$F$12)</f>
        <v>115580.39999999998</v>
      </c>
      <c r="J33" s="71">
        <f>(J31*J32)+(J31*'Delivery Rates'!$F$12)</f>
        <v>81253.48</v>
      </c>
      <c r="K33" s="71">
        <f>(K31*K32)+(K31*'Delivery Rates'!$F$12)</f>
        <v>56076.000000000007</v>
      </c>
      <c r="L33" s="71">
        <f>(L31*L32)+(L31*'Delivery Rates'!$F$12)</f>
        <v>58131.199999999997</v>
      </c>
      <c r="M33" s="71">
        <f>(M31*M32)+(M31*'Delivery Rates'!$F$12)</f>
        <v>0</v>
      </c>
      <c r="N33" s="308">
        <f>SUM(B33:M33)</f>
        <v>929216.98</v>
      </c>
      <c r="P33" s="49">
        <f>+N32*N31</f>
        <v>929216.98</v>
      </c>
      <c r="Q33" s="10">
        <f t="shared" si="1"/>
        <v>0</v>
      </c>
    </row>
    <row r="34" spans="1:17" x14ac:dyDescent="0.25">
      <c r="A34" s="56" t="s">
        <v>197</v>
      </c>
      <c r="B34" s="59">
        <f>((B31-ROUND(B31*(1-'Delivery Rates'!$F$4),0))*-1)</f>
        <v>0</v>
      </c>
      <c r="C34" s="59">
        <f>((C31-ROUND(C31*(1-'Delivery Rates'!$F$4),0))*-1)</f>
        <v>0</v>
      </c>
      <c r="D34" s="59">
        <f>((D31-ROUND(D31*(1-'Delivery Rates'!$F$4),0))*-1)</f>
        <v>0</v>
      </c>
      <c r="E34" s="59">
        <f>((E31-ROUND(E31*(1-'Delivery Rates'!$F$4),0))*-1)</f>
        <v>0</v>
      </c>
      <c r="F34" s="59">
        <f>((F31-ROUND(F31*(1-'Delivery Rates'!$F$4),0))*-1)</f>
        <v>-2977</v>
      </c>
      <c r="G34" s="59">
        <f>((G31-ROUND(G31*(1-'Delivery Rates'!$F$4),0))*-1)</f>
        <v>-2734</v>
      </c>
      <c r="H34" s="59">
        <f>((H31-ROUND(H31*(1-'Delivery Rates'!$F$4),0))*-1)</f>
        <v>-1720</v>
      </c>
      <c r="I34" s="59">
        <f>((I31-ROUND(I31*(1-'Delivery Rates'!$F$4),0))*-1)</f>
        <v>-1367</v>
      </c>
      <c r="J34" s="59">
        <f>((J31-ROUND(J31*(1-'Delivery Rates'!$F$4),0))*-1)</f>
        <v>-957</v>
      </c>
      <c r="K34" s="59">
        <f>((K31-ROUND(K31*(1-'Delivery Rates'!$F$4),0))*-1)</f>
        <v>-661</v>
      </c>
      <c r="L34" s="59">
        <f>((L31-ROUND(L31*(1-'Delivery Rates'!$F$4),0))*-1)</f>
        <v>-684</v>
      </c>
      <c r="M34" s="59">
        <f>((M31-ROUND(M31*(1-'Delivery Rates'!$F$4),0))*-1)</f>
        <v>0</v>
      </c>
      <c r="N34" s="309">
        <f>SUM(B34:M34)</f>
        <v>-11100</v>
      </c>
      <c r="P34" s="49">
        <f t="shared" si="7"/>
        <v>-11100</v>
      </c>
      <c r="Q34" s="10">
        <f t="shared" si="1"/>
        <v>0</v>
      </c>
    </row>
    <row r="35" spans="1:17" ht="15.75" thickBot="1" x14ac:dyDescent="0.3">
      <c r="A35" s="56" t="s">
        <v>66</v>
      </c>
      <c r="B35" s="60">
        <f>B31+B34</f>
        <v>0</v>
      </c>
      <c r="C35" s="60">
        <f t="shared" ref="C35:M35" si="13">C31+C34</f>
        <v>0</v>
      </c>
      <c r="D35" s="60">
        <f t="shared" si="13"/>
        <v>0</v>
      </c>
      <c r="E35" s="60">
        <f t="shared" si="13"/>
        <v>0</v>
      </c>
      <c r="F35" s="60">
        <f t="shared" si="13"/>
        <v>64523</v>
      </c>
      <c r="G35" s="60">
        <f t="shared" si="13"/>
        <v>59266</v>
      </c>
      <c r="H35" s="60">
        <f t="shared" si="13"/>
        <v>37280</v>
      </c>
      <c r="I35" s="60">
        <f t="shared" si="13"/>
        <v>29633</v>
      </c>
      <c r="J35" s="60">
        <f t="shared" si="13"/>
        <v>20743</v>
      </c>
      <c r="K35" s="60">
        <f t="shared" si="13"/>
        <v>14339</v>
      </c>
      <c r="L35" s="60">
        <f t="shared" si="13"/>
        <v>14816</v>
      </c>
      <c r="M35" s="60">
        <f t="shared" si="13"/>
        <v>0</v>
      </c>
      <c r="N35" s="309">
        <f>SUM(B35:M35)</f>
        <v>240600</v>
      </c>
      <c r="P35" s="49">
        <f t="shared" si="7"/>
        <v>240600</v>
      </c>
      <c r="Q35" s="10">
        <f t="shared" si="1"/>
        <v>0</v>
      </c>
    </row>
    <row r="36" spans="1:17" ht="15.75" thickBot="1" x14ac:dyDescent="0.3">
      <c r="A36" s="56" t="s">
        <v>65</v>
      </c>
      <c r="B36" s="63">
        <f>B27+B28+B35</f>
        <v>243500</v>
      </c>
      <c r="C36" s="63">
        <f t="shared" ref="C36:M36" si="14">C27+C28+C35</f>
        <v>166000</v>
      </c>
      <c r="D36" s="63">
        <f t="shared" si="14"/>
        <v>118400</v>
      </c>
      <c r="E36" s="300">
        <f t="shared" si="14"/>
        <v>56400</v>
      </c>
      <c r="F36" s="301">
        <f t="shared" si="14"/>
        <v>120923</v>
      </c>
      <c r="G36" s="301">
        <f t="shared" si="14"/>
        <v>180189</v>
      </c>
      <c r="H36" s="301">
        <f t="shared" si="14"/>
        <v>217469</v>
      </c>
      <c r="I36" s="301">
        <f t="shared" si="14"/>
        <v>247102</v>
      </c>
      <c r="J36" s="301">
        <f t="shared" si="14"/>
        <v>267845</v>
      </c>
      <c r="K36" s="301">
        <f t="shared" si="14"/>
        <v>282184</v>
      </c>
      <c r="L36" s="300">
        <f t="shared" si="14"/>
        <v>297000</v>
      </c>
      <c r="M36" s="63">
        <f t="shared" si="14"/>
        <v>282000</v>
      </c>
      <c r="N36" s="309">
        <f>M36</f>
        <v>282000</v>
      </c>
      <c r="Q36" s="10"/>
    </row>
    <row r="37" spans="1:17" x14ac:dyDescent="0.25">
      <c r="A37" s="56" t="s">
        <v>70</v>
      </c>
      <c r="B37" s="72">
        <f>(B27*B29)-B30+(B31*B32)</f>
        <v>866373</v>
      </c>
      <c r="C37" s="72">
        <f t="shared" ref="C37:M37" si="15">(C27*C29)-C30+(C31*C32)</f>
        <v>590628</v>
      </c>
      <c r="D37" s="72">
        <f t="shared" si="15"/>
        <v>421267.20000000001</v>
      </c>
      <c r="E37" s="302">
        <f t="shared" si="15"/>
        <v>200671.19999999998</v>
      </c>
      <c r="F37" s="302">
        <f t="shared" si="15"/>
        <v>446236.19999999995</v>
      </c>
      <c r="G37" s="302">
        <f t="shared" si="15"/>
        <v>673094.2</v>
      </c>
      <c r="H37" s="302">
        <f t="shared" si="15"/>
        <v>816926.2</v>
      </c>
      <c r="I37" s="302">
        <f t="shared" si="15"/>
        <v>932153.2</v>
      </c>
      <c r="J37" s="302">
        <f t="shared" si="15"/>
        <v>1013159.2999999999</v>
      </c>
      <c r="K37" s="302">
        <f t="shared" si="15"/>
        <v>1069064.3</v>
      </c>
      <c r="L37" s="302">
        <f t="shared" si="15"/>
        <v>1127018.8</v>
      </c>
      <c r="M37" s="72">
        <f t="shared" si="15"/>
        <v>1070098.6585858585</v>
      </c>
      <c r="N37" s="180">
        <f>M37</f>
        <v>1070098.6585858585</v>
      </c>
      <c r="Q37" s="10"/>
    </row>
    <row r="38" spans="1:17" x14ac:dyDescent="0.25">
      <c r="A38" s="56" t="s">
        <v>68</v>
      </c>
      <c r="B38" s="73">
        <f t="shared" ref="B38:N38" si="16">B37/B36</f>
        <v>3.5579999999999998</v>
      </c>
      <c r="C38" s="73">
        <f t="shared" si="16"/>
        <v>3.5579999999999998</v>
      </c>
      <c r="D38" s="73">
        <f t="shared" si="16"/>
        <v>3.5580000000000003</v>
      </c>
      <c r="E38" s="73">
        <f t="shared" si="16"/>
        <v>3.5579999999999998</v>
      </c>
      <c r="F38" s="73">
        <f t="shared" si="16"/>
        <v>3.6902508207702418</v>
      </c>
      <c r="G38" s="73">
        <f t="shared" si="16"/>
        <v>3.7354899577665672</v>
      </c>
      <c r="H38" s="73">
        <f t="shared" si="16"/>
        <v>3.7565179404880693</v>
      </c>
      <c r="I38" s="73">
        <f t="shared" si="16"/>
        <v>3.7723417859831163</v>
      </c>
      <c r="J38" s="73">
        <f t="shared" si="16"/>
        <v>3.7826328660232593</v>
      </c>
      <c r="K38" s="73">
        <f t="shared" si="16"/>
        <v>3.788536203328325</v>
      </c>
      <c r="L38" s="73">
        <f t="shared" si="16"/>
        <v>3.7946760942760944</v>
      </c>
      <c r="M38" s="73">
        <f t="shared" si="16"/>
        <v>3.794676094276094</v>
      </c>
      <c r="N38" s="181">
        <f t="shared" si="16"/>
        <v>3.794676094276094</v>
      </c>
      <c r="Q38" s="10"/>
    </row>
    <row r="39" spans="1:17" s="15" customFormat="1" x14ac:dyDescent="0.25">
      <c r="A39" s="61" t="s">
        <v>63</v>
      </c>
      <c r="B39" s="13">
        <f>B26+B28</f>
        <v>78325.952552514675</v>
      </c>
      <c r="C39" s="13">
        <f t="shared" ref="C39:M39" si="17">C26+C28</f>
        <v>74249.435045396618</v>
      </c>
      <c r="D39" s="13">
        <f t="shared" si="17"/>
        <v>67855.942623442184</v>
      </c>
      <c r="E39" s="13">
        <f t="shared" si="17"/>
        <v>81172.714170590305</v>
      </c>
      <c r="F39" s="13">
        <f t="shared" si="17"/>
        <v>90792.647386173398</v>
      </c>
      <c r="G39" s="13">
        <f t="shared" si="17"/>
        <v>53005.649910138185</v>
      </c>
      <c r="H39" s="13">
        <f t="shared" si="17"/>
        <v>35541.826314340178</v>
      </c>
      <c r="I39" s="13">
        <f t="shared" si="17"/>
        <v>33911.793448506935</v>
      </c>
      <c r="J39" s="13">
        <f t="shared" si="17"/>
        <v>33638.685211625809</v>
      </c>
      <c r="K39" s="13">
        <f t="shared" si="17"/>
        <v>44436.134337932061</v>
      </c>
      <c r="L39" s="13">
        <f t="shared" si="17"/>
        <v>77479.895709480625</v>
      </c>
      <c r="M39" s="13">
        <f t="shared" si="17"/>
        <v>122361.55084931941</v>
      </c>
      <c r="N39" s="182">
        <f>SUM(B39:M39)</f>
        <v>792772.22755946044</v>
      </c>
      <c r="P39" s="49"/>
      <c r="Q39" s="10"/>
    </row>
    <row r="40" spans="1:17" x14ac:dyDescent="0.25">
      <c r="A40" s="56" t="s">
        <v>198</v>
      </c>
      <c r="B40" s="9">
        <f>((B39/(1-'Delivery Rates'!$F$6))-B39)</f>
        <v>967.37864055545651</v>
      </c>
      <c r="C40" s="9">
        <f>((C39/(1-'Delivery Rates'!$F$6))-C39)</f>
        <v>917.03088434282108</v>
      </c>
      <c r="D40" s="9">
        <f>((D39/(1-'Delivery Rates'!$F$6))-D39)</f>
        <v>838.06691638589837</v>
      </c>
      <c r="E40" s="9">
        <f>((E39/(1-'Delivery Rates'!$F$6))-E39)</f>
        <v>1002.5380774257937</v>
      </c>
      <c r="F40" s="9">
        <f>((F39/(1-'Delivery Rates'!$F$6))-F39)</f>
        <v>1121.3507775980106</v>
      </c>
      <c r="G40" s="9">
        <f>((G39/(1-'Delivery Rates'!$F$6))-G39)</f>
        <v>654.65572879498359</v>
      </c>
      <c r="H40" s="9">
        <f>((H39/(1-'Delivery Rates'!$F$6))-H39)</f>
        <v>438.96566211272147</v>
      </c>
      <c r="I40" s="9">
        <f>((I39/(1-'Delivery Rates'!$F$6))-I39)</f>
        <v>418.83365060921642</v>
      </c>
      <c r="J40" s="9">
        <f>((J39/(1-'Delivery Rates'!$F$6))-J39)</f>
        <v>415.4605786412576</v>
      </c>
      <c r="K40" s="9">
        <f>((K39/(1-'Delivery Rates'!$F$6))-K39)</f>
        <v>548.81639899045695</v>
      </c>
      <c r="L40" s="9">
        <f>((L39/(1-'Delivery Rates'!$F$6))-L39)</f>
        <v>956.92926468481892</v>
      </c>
      <c r="M40" s="9">
        <f>((M39/(1-'Delivery Rates'!$F$6))-M39)</f>
        <v>1511.2481477644178</v>
      </c>
      <c r="N40" s="182">
        <f>SUM(B40:M40)</f>
        <v>9791.2747279058531</v>
      </c>
      <c r="P40" s="49"/>
      <c r="Q40" s="10"/>
    </row>
    <row r="41" spans="1:17" x14ac:dyDescent="0.25">
      <c r="A41" s="56" t="s">
        <v>67</v>
      </c>
      <c r="B41" s="10">
        <f t="shared" ref="B41:M41" si="18">B39+B40</f>
        <v>79293.331193070131</v>
      </c>
      <c r="C41" s="10">
        <f t="shared" si="18"/>
        <v>75166.465929739439</v>
      </c>
      <c r="D41" s="10">
        <f t="shared" si="18"/>
        <v>68694.009539828083</v>
      </c>
      <c r="E41" s="10">
        <f t="shared" si="18"/>
        <v>82175.252248016099</v>
      </c>
      <c r="F41" s="10">
        <f t="shared" si="18"/>
        <v>91913.998163771408</v>
      </c>
      <c r="G41" s="10">
        <f t="shared" si="18"/>
        <v>53660.305638933169</v>
      </c>
      <c r="H41" s="10">
        <f t="shared" si="18"/>
        <v>35980.7919764529</v>
      </c>
      <c r="I41" s="10">
        <f t="shared" si="18"/>
        <v>34330.627099116151</v>
      </c>
      <c r="J41" s="10">
        <f t="shared" si="18"/>
        <v>34054.145790267066</v>
      </c>
      <c r="K41" s="10">
        <f t="shared" si="18"/>
        <v>44984.950736922518</v>
      </c>
      <c r="L41" s="10">
        <f t="shared" si="18"/>
        <v>78436.824974165444</v>
      </c>
      <c r="M41" s="10">
        <f t="shared" si="18"/>
        <v>123872.79899708382</v>
      </c>
      <c r="N41" s="182">
        <f>SUM(B41:M41)</f>
        <v>802563.50228736619</v>
      </c>
      <c r="P41" s="49"/>
      <c r="Q41" s="10"/>
    </row>
    <row r="42" spans="1:17" x14ac:dyDescent="0.25">
      <c r="A42" s="56" t="s">
        <v>199</v>
      </c>
      <c r="B42" s="9">
        <f>((B41/(1-'Delivery Rates'!$F$5))-B41)</f>
        <v>1085.1089418210322</v>
      </c>
      <c r="C42" s="9">
        <f>((C41/(1-'Delivery Rates'!$F$5))-C41)</f>
        <v>1028.6338469857874</v>
      </c>
      <c r="D42" s="9">
        <f>((D41/(1-'Delivery Rates'!$F$5))-D41)</f>
        <v>940.05993795000541</v>
      </c>
      <c r="E42" s="9">
        <f>((E41/(1-'Delivery Rates'!$F$5))-E41)</f>
        <v>1124.5472938147141</v>
      </c>
      <c r="F42" s="9">
        <f>((F41/(1-'Delivery Rates'!$F$5))-F41)</f>
        <v>1257.8195389872417</v>
      </c>
      <c r="G42" s="9">
        <f>((G41/(1-'Delivery Rates'!$F$5))-G41)</f>
        <v>734.32754802391719</v>
      </c>
      <c r="H42" s="9">
        <f>((H41/(1-'Delivery Rates'!$F$5))-H41)</f>
        <v>492.38792871982878</v>
      </c>
      <c r="I42" s="9">
        <f>((I41/(1-'Delivery Rates'!$F$5))-I41)</f>
        <v>469.80584474208445</v>
      </c>
      <c r="J42" s="9">
        <f>((J41/(1-'Delivery Rates'!$F$5))-J41)</f>
        <v>466.02226879736554</v>
      </c>
      <c r="K42" s="9">
        <f>((K41/(1-'Delivery Rates'!$F$5))-K41)</f>
        <v>615.60753669381666</v>
      </c>
      <c r="L42" s="9">
        <f>((L41/(1-'Delivery Rates'!$F$5))-L41)</f>
        <v>1073.3878734427126</v>
      </c>
      <c r="M42" s="9">
        <f>((M41/(1-'Delivery Rates'!$F$5))-M41)</f>
        <v>1695.1675483635336</v>
      </c>
      <c r="N42" s="182">
        <f>SUM(B42:M42)</f>
        <v>10982.87610834204</v>
      </c>
      <c r="P42" s="49"/>
      <c r="Q42" s="10"/>
    </row>
    <row r="43" spans="1:17" s="243" customFormat="1" x14ac:dyDescent="0.25">
      <c r="A43" s="311" t="s">
        <v>93</v>
      </c>
      <c r="B43" s="245">
        <f t="shared" ref="B43:M43" si="19">B41+B42</f>
        <v>80378.440134891163</v>
      </c>
      <c r="C43" s="245">
        <f t="shared" si="19"/>
        <v>76195.099776725227</v>
      </c>
      <c r="D43" s="245">
        <f t="shared" si="19"/>
        <v>69634.069477778088</v>
      </c>
      <c r="E43" s="245">
        <f t="shared" si="19"/>
        <v>83299.799541830813</v>
      </c>
      <c r="F43" s="245">
        <f t="shared" si="19"/>
        <v>93171.81770275865</v>
      </c>
      <c r="G43" s="245">
        <f t="shared" si="19"/>
        <v>54394.633186957086</v>
      </c>
      <c r="H43" s="245">
        <f t="shared" si="19"/>
        <v>36473.179905172728</v>
      </c>
      <c r="I43" s="245">
        <f t="shared" si="19"/>
        <v>34800.432943858235</v>
      </c>
      <c r="J43" s="245">
        <f t="shared" si="19"/>
        <v>34520.168059064432</v>
      </c>
      <c r="K43" s="245">
        <f t="shared" si="19"/>
        <v>45600.558273616334</v>
      </c>
      <c r="L43" s="245">
        <f t="shared" si="19"/>
        <v>79510.212847608156</v>
      </c>
      <c r="M43" s="245">
        <f t="shared" si="19"/>
        <v>125567.96654544736</v>
      </c>
      <c r="N43" s="312">
        <f>SUM(B43:M43)</f>
        <v>813546.37839570828</v>
      </c>
      <c r="P43" s="244">
        <f>+N41+N42</f>
        <v>813546.37839570828</v>
      </c>
      <c r="Q43" s="245">
        <f t="shared" si="1"/>
        <v>0</v>
      </c>
    </row>
    <row r="44" spans="1:17" x14ac:dyDescent="0.25">
      <c r="A44" s="56" t="s">
        <v>113</v>
      </c>
      <c r="B44" s="51">
        <f>'Swing Price'!D3</f>
        <v>3.6990000000000003</v>
      </c>
      <c r="C44" s="51">
        <f>'Swing Price'!D4</f>
        <v>3.802</v>
      </c>
      <c r="D44" s="51">
        <f>'Swing Price'!D5</f>
        <v>3.8069999999999999</v>
      </c>
      <c r="E44" s="51">
        <f>'Swing Price'!D6</f>
        <v>3.7800000000000002</v>
      </c>
      <c r="F44" s="51">
        <f>'Swing Price'!D7</f>
        <v>3.6379999999999999</v>
      </c>
      <c r="G44" s="51">
        <f>'Swing Price'!D8</f>
        <v>3.6589999999999998</v>
      </c>
      <c r="H44" s="51">
        <f>'Swing Price'!D9</f>
        <v>3.6879999999999997</v>
      </c>
      <c r="I44" s="51">
        <f>'Swing Price'!D10</f>
        <v>3.7169999999999996</v>
      </c>
      <c r="J44" s="51">
        <f>'Swing Price'!D11</f>
        <v>3.7329999999999997</v>
      </c>
      <c r="K44" s="51">
        <f>'Swing Price'!D12</f>
        <v>3.7270000000000003</v>
      </c>
      <c r="L44" s="51">
        <f>'Swing Price'!D13</f>
        <v>3.7389999999999999</v>
      </c>
      <c r="M44" s="51">
        <f>'Swing Price'!D14</f>
        <v>3.903</v>
      </c>
      <c r="N44" s="176">
        <f>N45/N43</f>
        <v>3.755208928463547</v>
      </c>
      <c r="P44" s="49"/>
      <c r="Q44" s="10"/>
    </row>
    <row r="45" spans="1:17" s="64" customFormat="1" ht="15.75" thickBot="1" x14ac:dyDescent="0.3">
      <c r="A45" s="66" t="s">
        <v>73</v>
      </c>
      <c r="B45" s="67">
        <f>B43*B44</f>
        <v>297319.85005896242</v>
      </c>
      <c r="C45" s="67">
        <f t="shared" ref="C45:M45" si="20">C43*C44</f>
        <v>289693.76935110934</v>
      </c>
      <c r="D45" s="67">
        <f t="shared" si="20"/>
        <v>265096.9025019012</v>
      </c>
      <c r="E45" s="67">
        <f t="shared" si="20"/>
        <v>314873.24226812052</v>
      </c>
      <c r="F45" s="67">
        <f t="shared" si="20"/>
        <v>338959.07280263596</v>
      </c>
      <c r="G45" s="67">
        <f t="shared" si="20"/>
        <v>199029.96283107597</v>
      </c>
      <c r="H45" s="67">
        <f t="shared" si="20"/>
        <v>134513.08749027702</v>
      </c>
      <c r="I45" s="67">
        <f t="shared" si="20"/>
        <v>129353.20925232104</v>
      </c>
      <c r="J45" s="67">
        <f t="shared" si="20"/>
        <v>128863.78736448751</v>
      </c>
      <c r="K45" s="67">
        <f t="shared" si="20"/>
        <v>169953.28068576808</v>
      </c>
      <c r="L45" s="67">
        <f t="shared" si="20"/>
        <v>297288.6858372069</v>
      </c>
      <c r="M45" s="67">
        <f t="shared" si="20"/>
        <v>490091.77342688106</v>
      </c>
      <c r="N45" s="177">
        <f>SUM(B45:M45)</f>
        <v>3055036.6238707472</v>
      </c>
      <c r="P45" s="49">
        <f>+P43*N44</f>
        <v>3055036.6238707472</v>
      </c>
      <c r="Q45" s="10">
        <f t="shared" si="1"/>
        <v>0</v>
      </c>
    </row>
    <row r="46" spans="1:17" ht="16.5" thickTop="1" thickBot="1" x14ac:dyDescent="0.3">
      <c r="A46" s="74" t="s">
        <v>71</v>
      </c>
      <c r="B46" s="75">
        <f>B23+B30+B45</f>
        <v>800022.05005896243</v>
      </c>
      <c r="C46" s="75">
        <f t="shared" ref="C46:M46" si="21">C23+C30+C45</f>
        <v>902693.96935110935</v>
      </c>
      <c r="D46" s="75">
        <f t="shared" si="21"/>
        <v>739075.30250190129</v>
      </c>
      <c r="E46" s="75">
        <f t="shared" si="21"/>
        <v>535469.24226812052</v>
      </c>
      <c r="F46" s="75">
        <f t="shared" si="21"/>
        <v>338959.07280263596</v>
      </c>
      <c r="G46" s="75">
        <f t="shared" si="21"/>
        <v>199029.96283107597</v>
      </c>
      <c r="H46" s="75">
        <f t="shared" si="21"/>
        <v>134513.08749027702</v>
      </c>
      <c r="I46" s="75">
        <f t="shared" si="21"/>
        <v>129353.20925232104</v>
      </c>
      <c r="J46" s="75">
        <f t="shared" si="21"/>
        <v>128863.78736448751</v>
      </c>
      <c r="K46" s="75">
        <f t="shared" si="21"/>
        <v>169953.28068576808</v>
      </c>
      <c r="L46" s="75">
        <f t="shared" si="21"/>
        <v>297288.6858372069</v>
      </c>
      <c r="M46" s="75">
        <f t="shared" si="21"/>
        <v>547011.91484102246</v>
      </c>
      <c r="N46" s="180">
        <f>SUM(B46:M46)</f>
        <v>4922233.5652848873</v>
      </c>
      <c r="P46" s="49">
        <f>+N45+N30+N23</f>
        <v>4922233.5652848892</v>
      </c>
      <c r="Q46" s="10">
        <f t="shared" si="1"/>
        <v>0</v>
      </c>
    </row>
    <row r="47" spans="1:17" ht="15.75" thickBot="1" x14ac:dyDescent="0.3">
      <c r="A47" s="80" t="s">
        <v>72</v>
      </c>
      <c r="B47" s="81">
        <f>B46/B16</f>
        <v>4.0359911692778514</v>
      </c>
      <c r="C47" s="81">
        <f t="shared" ref="C47:M47" si="22">C46/C16</f>
        <v>4.0093816211245725</v>
      </c>
      <c r="D47" s="81">
        <f t="shared" si="22"/>
        <v>4.0664627360895276</v>
      </c>
      <c r="E47" s="81">
        <f t="shared" si="22"/>
        <v>3.7400229881100731</v>
      </c>
      <c r="F47" s="81">
        <f t="shared" si="22"/>
        <v>3.7333317461371354</v>
      </c>
      <c r="G47" s="81">
        <f t="shared" si="22"/>
        <v>3.7548820393391362</v>
      </c>
      <c r="H47" s="81">
        <f t="shared" si="22"/>
        <v>3.7846419680466612</v>
      </c>
      <c r="I47" s="81">
        <f t="shared" si="22"/>
        <v>3.8144018967541866</v>
      </c>
      <c r="J47" s="81">
        <f t="shared" si="22"/>
        <v>3.8308211677652344</v>
      </c>
      <c r="K47" s="81">
        <f t="shared" si="22"/>
        <v>3.8246639411360923</v>
      </c>
      <c r="L47" s="81">
        <f t="shared" si="22"/>
        <v>3.8369783943943792</v>
      </c>
      <c r="M47" s="81">
        <f t="shared" si="22"/>
        <v>3.9822782391345779</v>
      </c>
      <c r="N47" s="310">
        <f>N46/N16</f>
        <v>3.9237954528438292</v>
      </c>
      <c r="P47" s="197">
        <f>P46/P16</f>
        <v>3.9237954528438301</v>
      </c>
      <c r="Q47" s="10">
        <f t="shared" si="1"/>
        <v>0</v>
      </c>
    </row>
    <row r="48" spans="1:17" x14ac:dyDescent="0.25">
      <c r="Q48" s="10"/>
    </row>
    <row r="49" spans="1:17" ht="22.5" x14ac:dyDescent="0.45">
      <c r="A49" s="261" t="s">
        <v>90</v>
      </c>
      <c r="B49" s="261"/>
      <c r="C49" s="261"/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  <c r="Q49" s="10"/>
    </row>
    <row r="50" spans="1:17" x14ac:dyDescent="0.25">
      <c r="A50" s="15" t="s">
        <v>79</v>
      </c>
      <c r="B50" s="45">
        <f>B7</f>
        <v>41609</v>
      </c>
      <c r="C50" s="45">
        <f t="shared" ref="C50:M50" si="23">C7</f>
        <v>41640</v>
      </c>
      <c r="D50" s="45">
        <f t="shared" si="23"/>
        <v>41671</v>
      </c>
      <c r="E50" s="45">
        <f t="shared" si="23"/>
        <v>41699</v>
      </c>
      <c r="F50" s="45">
        <f t="shared" si="23"/>
        <v>41730</v>
      </c>
      <c r="G50" s="45">
        <f t="shared" si="23"/>
        <v>41760</v>
      </c>
      <c r="H50" s="45">
        <f t="shared" si="23"/>
        <v>41791</v>
      </c>
      <c r="I50" s="45">
        <f t="shared" si="23"/>
        <v>41821</v>
      </c>
      <c r="J50" s="45">
        <f t="shared" si="23"/>
        <v>41852</v>
      </c>
      <c r="K50" s="45">
        <f t="shared" si="23"/>
        <v>41883</v>
      </c>
      <c r="L50" s="45">
        <f t="shared" si="23"/>
        <v>41913</v>
      </c>
      <c r="M50" s="183">
        <f t="shared" si="23"/>
        <v>41944</v>
      </c>
      <c r="N50" s="174" t="s">
        <v>37</v>
      </c>
      <c r="P50" s="150" t="s">
        <v>148</v>
      </c>
      <c r="Q50" s="40" t="s">
        <v>175</v>
      </c>
    </row>
    <row r="51" spans="1:17" x14ac:dyDescent="0.25">
      <c r="A51" s="76" t="s">
        <v>74</v>
      </c>
      <c r="B51" s="62">
        <f>(3000*31)*'Delivery Rates'!$F$11</f>
        <v>34410</v>
      </c>
      <c r="C51" s="62">
        <f>(3000*31)*'Delivery Rates'!$F$11</f>
        <v>34410</v>
      </c>
      <c r="D51" s="62">
        <f>(3000*28)*'Delivery Rates'!$F$11</f>
        <v>31080</v>
      </c>
      <c r="E51" s="62">
        <f>(3000*31)*'Delivery Rates'!$F$11</f>
        <v>34410</v>
      </c>
      <c r="F51" s="62">
        <f>(3000*30)*'Delivery Rates'!$F$11</f>
        <v>33300</v>
      </c>
      <c r="G51" s="62">
        <f>(3000*31)*'Delivery Rates'!$F$11</f>
        <v>34410</v>
      </c>
      <c r="H51" s="62">
        <f>(3000*30)*'Delivery Rates'!$F$11</f>
        <v>33300</v>
      </c>
      <c r="I51" s="62">
        <f>(3000*31)*'Delivery Rates'!$F$11</f>
        <v>34410</v>
      </c>
      <c r="J51" s="62">
        <f>(3000*31)*'Delivery Rates'!$F$11</f>
        <v>34410</v>
      </c>
      <c r="K51" s="62">
        <f>(3000*30)*'Delivery Rates'!$F$11</f>
        <v>33300</v>
      </c>
      <c r="L51" s="62">
        <f>(3000*31)*'Delivery Rates'!$F$11</f>
        <v>34410</v>
      </c>
      <c r="M51" s="62">
        <f>(3000*30)*'Delivery Rates'!$F$11</f>
        <v>33300</v>
      </c>
      <c r="N51" s="180">
        <f t="shared" ref="N51:N57" si="24">SUM(B51:M51)</f>
        <v>405150</v>
      </c>
      <c r="P51" s="49"/>
      <c r="Q51" s="10"/>
    </row>
    <row r="52" spans="1:17" x14ac:dyDescent="0.25">
      <c r="A52" s="76" t="s">
        <v>76</v>
      </c>
      <c r="B52" s="77">
        <f>(10000*31)*'Delivery Rates'!$F$17</f>
        <v>59055</v>
      </c>
      <c r="C52" s="77">
        <f>(10000*31)*'Delivery Rates'!$F$17</f>
        <v>59055</v>
      </c>
      <c r="D52" s="77">
        <f>(10000*28)*'Delivery Rates'!$F$17</f>
        <v>53340</v>
      </c>
      <c r="E52" s="77">
        <f>(10000*31)*'Delivery Rates'!$F$17</f>
        <v>59055</v>
      </c>
      <c r="F52" s="77">
        <f>(10000*30)*'Delivery Rates'!$F$17</f>
        <v>57150</v>
      </c>
      <c r="G52" s="77">
        <f>(10000*31)*'Delivery Rates'!$F$17</f>
        <v>59055</v>
      </c>
      <c r="H52" s="77">
        <f>(10000*30)*'Delivery Rates'!$F$17</f>
        <v>57150</v>
      </c>
      <c r="I52" s="77">
        <f>(10000*31)*'Delivery Rates'!$F$17</f>
        <v>59055</v>
      </c>
      <c r="J52" s="77">
        <f>(10000*31)*'Delivery Rates'!$F$17</f>
        <v>59055</v>
      </c>
      <c r="K52" s="77">
        <f>(10000*30)*'Delivery Rates'!$F$17</f>
        <v>57150</v>
      </c>
      <c r="L52" s="77">
        <f>(10000*31)*'Delivery Rates'!$F$17</f>
        <v>59055</v>
      </c>
      <c r="M52" s="77">
        <f>(10000*30)*'Delivery Rates'!$F$17</f>
        <v>57150</v>
      </c>
      <c r="N52" s="179">
        <f t="shared" si="24"/>
        <v>695325</v>
      </c>
      <c r="P52" s="49"/>
      <c r="Q52" s="10"/>
    </row>
    <row r="53" spans="1:17" x14ac:dyDescent="0.25">
      <c r="A53" s="76" t="s">
        <v>75</v>
      </c>
      <c r="B53" s="49">
        <f>(10100*31)*'Delivery Rates'!$F$24</f>
        <v>42894.700000000004</v>
      </c>
      <c r="C53" s="49">
        <f>(10100*31)*'Delivery Rates'!$F$24</f>
        <v>42894.700000000004</v>
      </c>
      <c r="D53" s="49">
        <f>(10100*28)*'Delivery Rates'!$F$24</f>
        <v>38743.600000000006</v>
      </c>
      <c r="E53" s="49">
        <f>(10100*31)*'Delivery Rates'!$F$24</f>
        <v>42894.700000000004</v>
      </c>
      <c r="F53" s="49">
        <f>(10100*30)*'Delivery Rates'!$F$24</f>
        <v>41511</v>
      </c>
      <c r="G53" s="49">
        <f>(10100*31)*'Delivery Rates'!$F$24</f>
        <v>42894.700000000004</v>
      </c>
      <c r="H53" s="49">
        <f>(10100*30)*'Delivery Rates'!$F$24</f>
        <v>41511</v>
      </c>
      <c r="I53" s="49">
        <f>(10100*31)*'Delivery Rates'!$F$24</f>
        <v>42894.700000000004</v>
      </c>
      <c r="J53" s="49">
        <f>(10100*31)*'Delivery Rates'!$F$24</f>
        <v>42894.700000000004</v>
      </c>
      <c r="K53" s="49">
        <f>(10100*30)*'Delivery Rates'!$F$24</f>
        <v>41511</v>
      </c>
      <c r="L53" s="49">
        <f>(10100*31)*'Delivery Rates'!$F$24</f>
        <v>42894.700000000004</v>
      </c>
      <c r="M53" s="49">
        <f>(10100*30)*'Delivery Rates'!$F$24</f>
        <v>41511</v>
      </c>
      <c r="N53" s="179">
        <f t="shared" si="24"/>
        <v>505050.50000000006</v>
      </c>
      <c r="P53" s="49"/>
      <c r="Q53" s="10"/>
    </row>
    <row r="54" spans="1:17" x14ac:dyDescent="0.25">
      <c r="A54" s="76" t="s">
        <v>77</v>
      </c>
      <c r="B54" s="49">
        <f>(5000*31)*'Delivery Rates'!$F$32</f>
        <v>39850.5</v>
      </c>
      <c r="C54" s="49">
        <f>(5000*31)*'Delivery Rates'!$F$32</f>
        <v>39850.5</v>
      </c>
      <c r="D54" s="49">
        <f>(5000*28)*'Delivery Rates'!$F$32</f>
        <v>35994</v>
      </c>
      <c r="E54" s="49">
        <f>(5000*31)*'Delivery Rates'!$F$32</f>
        <v>39850.5</v>
      </c>
      <c r="F54" s="49">
        <f>(5000*30)*'Delivery Rates'!$F$32</f>
        <v>38565</v>
      </c>
      <c r="G54" s="49">
        <f>(5000*31)*'Delivery Rates'!$F$32</f>
        <v>39850.5</v>
      </c>
      <c r="H54" s="49">
        <f>(5000*30)*'Delivery Rates'!$F$32</f>
        <v>38565</v>
      </c>
      <c r="I54" s="49">
        <f>(5000*31)*'Delivery Rates'!$F$32</f>
        <v>39850.5</v>
      </c>
      <c r="J54" s="49">
        <f>(5000*31)*'Delivery Rates'!$F$32</f>
        <v>39850.5</v>
      </c>
      <c r="K54" s="49">
        <f>(5000*30)*'Delivery Rates'!$F$32</f>
        <v>38565</v>
      </c>
      <c r="L54" s="49">
        <f>(5000*31)*'Delivery Rates'!$F$32</f>
        <v>39850.5</v>
      </c>
      <c r="M54" s="49">
        <f>(5000*30)*'Delivery Rates'!$F$32</f>
        <v>38565</v>
      </c>
      <c r="N54" s="179">
        <f t="shared" si="24"/>
        <v>469207.5</v>
      </c>
      <c r="P54" s="49"/>
      <c r="Q54" s="10"/>
    </row>
    <row r="55" spans="1:17" x14ac:dyDescent="0.25">
      <c r="A55" s="76" t="s">
        <v>78</v>
      </c>
      <c r="B55" s="49">
        <f>(5000*31)*'Delivery Rates'!$F$40</f>
        <v>21235</v>
      </c>
      <c r="C55" s="49">
        <f>(5000*31)*'Delivery Rates'!$F$40</f>
        <v>21235</v>
      </c>
      <c r="D55" s="49">
        <f>(5000*28)*'Delivery Rates'!$F$40</f>
        <v>19180</v>
      </c>
      <c r="E55" s="49">
        <f>(5000*31)*'Delivery Rates'!$F$40</f>
        <v>21235</v>
      </c>
      <c r="F55" s="49">
        <f>(5000*30)*'Delivery Rates'!$F$40</f>
        <v>20550</v>
      </c>
      <c r="G55" s="49">
        <f>(5000*31)*'Delivery Rates'!$F$40</f>
        <v>21235</v>
      </c>
      <c r="H55" s="49">
        <f>(5000*30)*'Delivery Rates'!$F$40</f>
        <v>20550</v>
      </c>
      <c r="I55" s="49">
        <f>(5000*31)*'Delivery Rates'!$F$40</f>
        <v>21235</v>
      </c>
      <c r="J55" s="49">
        <f>(5000*31)*'Delivery Rates'!$F$40</f>
        <v>21235</v>
      </c>
      <c r="K55" s="49">
        <f>(5000*30)*'Delivery Rates'!$F$40</f>
        <v>20550</v>
      </c>
      <c r="L55" s="49">
        <f>(5000*31)*'Delivery Rates'!$F$40</f>
        <v>21235</v>
      </c>
      <c r="M55" s="49">
        <f>(5000*30)*'Delivery Rates'!$F$40</f>
        <v>20550</v>
      </c>
      <c r="N55" s="179">
        <f t="shared" si="24"/>
        <v>250025</v>
      </c>
      <c r="P55" s="49"/>
      <c r="Q55" s="10"/>
    </row>
    <row r="56" spans="1:17" s="243" customFormat="1" x14ac:dyDescent="0.25">
      <c r="A56" s="240" t="s">
        <v>108</v>
      </c>
      <c r="B56" s="241">
        <f>-16411.4</f>
        <v>-16411.400000000001</v>
      </c>
      <c r="C56" s="241">
        <v>-14804.98</v>
      </c>
      <c r="D56" s="241">
        <v>-13351.24</v>
      </c>
      <c r="E56" s="241">
        <v>-12744.1</v>
      </c>
      <c r="F56" s="241">
        <f>-9892.5</f>
        <v>-9892.5</v>
      </c>
      <c r="G56" s="241">
        <f>-8846.47</f>
        <v>-8846.4699999999993</v>
      </c>
      <c r="H56" s="241">
        <f>-9121.1</f>
        <v>-9121.1</v>
      </c>
      <c r="I56" s="241">
        <f>-8073.02</f>
        <v>-8073.02</v>
      </c>
      <c r="J56" s="241">
        <f>--9094.47</f>
        <v>9094.4699999999993</v>
      </c>
      <c r="K56" s="241">
        <f>-8829.9</f>
        <v>-8829.9</v>
      </c>
      <c r="L56" s="241">
        <f>-8167.57</f>
        <v>-8167.57</v>
      </c>
      <c r="M56" s="241">
        <f>-11247.3</f>
        <v>-11247.3</v>
      </c>
      <c r="N56" s="242">
        <f t="shared" si="24"/>
        <v>-112395.11</v>
      </c>
      <c r="P56" s="244"/>
      <c r="Q56" s="245"/>
    </row>
    <row r="57" spans="1:17" x14ac:dyDescent="0.25">
      <c r="A57" s="76" t="s">
        <v>109</v>
      </c>
      <c r="B57" s="89">
        <f>-8812.68-2892.3</f>
        <v>-11704.98</v>
      </c>
      <c r="C57" s="89">
        <f>-7610.5-2947.48</f>
        <v>-10557.98</v>
      </c>
      <c r="D57" s="89">
        <f>-6613.32-2907.8</f>
        <v>-9521.119999999999</v>
      </c>
      <c r="E57" s="89">
        <f>-6480.86-2607.72</f>
        <v>-9088.58</v>
      </c>
      <c r="F57" s="89">
        <f>-4126.5-2901.6</f>
        <v>-7028.1</v>
      </c>
      <c r="G57" s="89">
        <f>-3592.9-2688.32</f>
        <v>-6281.22</v>
      </c>
      <c r="H57" s="89">
        <f>-4521-1956.3</f>
        <v>-6477.3</v>
      </c>
      <c r="I57" s="89">
        <f>-4081.46-1651.99</f>
        <v>-5733.45</v>
      </c>
      <c r="J57" s="89">
        <f>-4956.28-1503.5</f>
        <v>-6459.78</v>
      </c>
      <c r="K57" s="89">
        <f>-4352.4-1919.4</f>
        <v>-6271.7999999999993</v>
      </c>
      <c r="L57" s="89">
        <f>-4166.4-1656.33</f>
        <v>-5822.73</v>
      </c>
      <c r="M57" s="89">
        <f>-5351.1-2671.5</f>
        <v>-8022.6</v>
      </c>
      <c r="N57" s="184">
        <f t="shared" si="24"/>
        <v>-92969.64</v>
      </c>
      <c r="P57" s="49"/>
      <c r="Q57" s="10"/>
    </row>
    <row r="58" spans="1:17" s="65" customFormat="1" ht="15.75" thickBot="1" x14ac:dyDescent="0.3">
      <c r="A58" s="78" t="s">
        <v>80</v>
      </c>
      <c r="B58" s="79">
        <f>SUM(B51:B57)</f>
        <v>169328.82</v>
      </c>
      <c r="C58" s="79">
        <f t="shared" ref="C58:M58" si="25">SUM(C51:C57)</f>
        <v>172082.24</v>
      </c>
      <c r="D58" s="79">
        <f t="shared" si="25"/>
        <v>155465.24000000002</v>
      </c>
      <c r="E58" s="79">
        <f t="shared" si="25"/>
        <v>175612.52000000002</v>
      </c>
      <c r="F58" s="79">
        <f t="shared" si="25"/>
        <v>174155.4</v>
      </c>
      <c r="G58" s="79">
        <f t="shared" si="25"/>
        <v>182317.51</v>
      </c>
      <c r="H58" s="79">
        <f t="shared" si="25"/>
        <v>175477.6</v>
      </c>
      <c r="I58" s="79">
        <f t="shared" si="25"/>
        <v>183638.73</v>
      </c>
      <c r="J58" s="79">
        <f t="shared" si="25"/>
        <v>200079.89</v>
      </c>
      <c r="K58" s="79">
        <f t="shared" si="25"/>
        <v>175974.30000000002</v>
      </c>
      <c r="L58" s="79">
        <f t="shared" si="25"/>
        <v>183454.9</v>
      </c>
      <c r="M58" s="79">
        <f t="shared" si="25"/>
        <v>171806.1</v>
      </c>
      <c r="N58" s="177">
        <f>SUM(N51:N57)</f>
        <v>2119393.25</v>
      </c>
      <c r="P58" s="49">
        <f>SUM(N51:N57)</f>
        <v>2119393.25</v>
      </c>
      <c r="Q58" s="10">
        <f t="shared" si="1"/>
        <v>0</v>
      </c>
    </row>
    <row r="59" spans="1:17" ht="15.75" thickTop="1" x14ac:dyDescent="0.25">
      <c r="Q59" s="10"/>
    </row>
    <row r="60" spans="1:17" x14ac:dyDescent="0.25">
      <c r="A60" s="15" t="s">
        <v>81</v>
      </c>
      <c r="Q60" s="10"/>
    </row>
    <row r="61" spans="1:17" x14ac:dyDescent="0.25">
      <c r="A61" s="76" t="s">
        <v>184</v>
      </c>
      <c r="B61" s="62">
        <f>(-B28*'Delivery Rates'!$F$12)</f>
        <v>530.1</v>
      </c>
      <c r="C61" s="62">
        <f>(-C28*'Delivery Rates'!$F$12)</f>
        <v>883.5</v>
      </c>
      <c r="D61" s="62">
        <f>(-D28*'Delivery Rates'!$F$12)</f>
        <v>542.64</v>
      </c>
      <c r="E61" s="62">
        <f>(-E28*'Delivery Rates'!$F$12)</f>
        <v>706.80000000000007</v>
      </c>
      <c r="F61" s="62">
        <f>(-F28*'Delivery Rates'!$F$12)</f>
        <v>0</v>
      </c>
      <c r="G61" s="62">
        <f>(-G28*'Delivery Rates'!$F$12)</f>
        <v>0</v>
      </c>
      <c r="H61" s="62">
        <f>(-H28*'Delivery Rates'!$F$12)</f>
        <v>0</v>
      </c>
      <c r="I61" s="62">
        <f>(-I28*'Delivery Rates'!$F$12)</f>
        <v>0</v>
      </c>
      <c r="J61" s="62">
        <f>(-J28*'Delivery Rates'!$F$12)</f>
        <v>0</v>
      </c>
      <c r="K61" s="62">
        <f>(-K28*'Delivery Rates'!$F$12)</f>
        <v>0</v>
      </c>
      <c r="L61" s="62">
        <f>(-L28*'Delivery Rates'!$F$12)</f>
        <v>0</v>
      </c>
      <c r="M61" s="62">
        <f>(-M28*'Delivery Rates'!$F$12)</f>
        <v>171</v>
      </c>
      <c r="N61" s="185">
        <f t="shared" ref="N61:N67" si="26">SUM(B61:M61)</f>
        <v>2834.04</v>
      </c>
      <c r="P61" s="49">
        <f>B61+C61+D61+E61+F61+G61+H61+I61+J61+K61+L61+M61</f>
        <v>2834.04</v>
      </c>
      <c r="Q61" s="10">
        <f t="shared" si="1"/>
        <v>0</v>
      </c>
    </row>
    <row r="62" spans="1:17" x14ac:dyDescent="0.25">
      <c r="A62" s="76" t="s">
        <v>82</v>
      </c>
      <c r="B62" s="49">
        <f>B43*'Delivery Rates'!$F$20</f>
        <v>843.9736214163571</v>
      </c>
      <c r="C62" s="49">
        <f>C43*'Delivery Rates'!$F$20</f>
        <v>800.04854765561481</v>
      </c>
      <c r="D62" s="49">
        <f>D43*'Delivery Rates'!$F$20</f>
        <v>731.15772951666986</v>
      </c>
      <c r="E62" s="49">
        <f>E43*'Delivery Rates'!$F$20</f>
        <v>874.64789518922339</v>
      </c>
      <c r="F62" s="49">
        <f>F43*'Delivery Rates'!$F$20</f>
        <v>978.30408587896568</v>
      </c>
      <c r="G62" s="49">
        <f>G43*'Delivery Rates'!$F$20</f>
        <v>571.14364846304932</v>
      </c>
      <c r="H62" s="49">
        <f>H43*'Delivery Rates'!$F$20</f>
        <v>382.96838900431362</v>
      </c>
      <c r="I62" s="49">
        <f>I43*'Delivery Rates'!$F$20</f>
        <v>365.40454591051144</v>
      </c>
      <c r="J62" s="49">
        <f>J43*'Delivery Rates'!$F$20</f>
        <v>362.4617646201765</v>
      </c>
      <c r="K62" s="49">
        <f>K43*'Delivery Rates'!$F$20</f>
        <v>478.80586187297143</v>
      </c>
      <c r="L62" s="49">
        <f>L43*'Delivery Rates'!$F$20</f>
        <v>834.8572348998855</v>
      </c>
      <c r="M62" s="49">
        <f>M43*'Delivery Rates'!$F$20</f>
        <v>1318.4636487271971</v>
      </c>
      <c r="N62" s="180">
        <f t="shared" si="26"/>
        <v>8542.2369731549352</v>
      </c>
      <c r="P62" s="49">
        <f>B62+C62+D62+E62+F62+G62+H62+I62+J62+K62+L62+M62</f>
        <v>8542.2369731549352</v>
      </c>
      <c r="Q62" s="10">
        <f t="shared" si="1"/>
        <v>0</v>
      </c>
    </row>
    <row r="63" spans="1:17" x14ac:dyDescent="0.25">
      <c r="A63" s="76" t="s">
        <v>84</v>
      </c>
      <c r="B63" s="49">
        <f>(B$16*0.5)*'Delivery Rates'!$F$28</f>
        <v>1020.8430556454506</v>
      </c>
      <c r="C63" s="49">
        <f>(C$16*0.5)*'Delivery Rates'!$F$28</f>
        <v>1159.4989904837926</v>
      </c>
      <c r="D63" s="49">
        <f>(D$16*0.5)*'Delivery Rates'!$F$28</f>
        <v>936.00705451072724</v>
      </c>
      <c r="E63" s="49">
        <f>(E$16*0.5)*'Delivery Rates'!$F$28</f>
        <v>737.33947797854012</v>
      </c>
      <c r="F63" s="49">
        <f>(F$16*0.5)*'Delivery Rates'!$F$28</f>
        <v>467.58213403879301</v>
      </c>
      <c r="G63" s="49">
        <f>(G$16*0.5)*'Delivery Rates'!$F$28</f>
        <v>272.97909703721166</v>
      </c>
      <c r="H63" s="49">
        <f>(H$16*0.5)*'Delivery Rates'!$F$28</f>
        <v>183.04040551885191</v>
      </c>
      <c r="I63" s="49">
        <f>(I$16*0.5)*'Delivery Rates'!$F$28</f>
        <v>174.64573625981072</v>
      </c>
      <c r="J63" s="49">
        <f>(J$16*0.5)*'Delivery Rates'!$F$28</f>
        <v>173.23922883987291</v>
      </c>
      <c r="K63" s="49">
        <f>(K$16*0.5)*'Delivery Rates'!$F$28</f>
        <v>228.84609184035011</v>
      </c>
      <c r="L63" s="49">
        <f>(L$16*0.5)*'Delivery Rates'!$F$28</f>
        <v>399.02146290382524</v>
      </c>
      <c r="M63" s="49">
        <f>(M$16*0.5)*'Delivery Rates'!$F$28</f>
        <v>707.41198687399492</v>
      </c>
      <c r="N63" s="180">
        <f t="shared" si="26"/>
        <v>6460.4547219312208</v>
      </c>
      <c r="P63" s="49">
        <f>B63+C63+D63+E63+F63+G63+H63+I63+J63+K63+L63+M63</f>
        <v>6460.4547219312208</v>
      </c>
      <c r="Q63" s="10">
        <f t="shared" si="1"/>
        <v>0</v>
      </c>
    </row>
    <row r="64" spans="1:17" x14ac:dyDescent="0.25">
      <c r="A64" s="76" t="s">
        <v>85</v>
      </c>
      <c r="B64" s="49">
        <f>(B$16*0.25)*'Delivery Rates'!$F$36</f>
        <v>510.4215278227253</v>
      </c>
      <c r="C64" s="49">
        <f>(C$16*0.25)*'Delivery Rates'!$F$36</f>
        <v>579.74949524189628</v>
      </c>
      <c r="D64" s="49">
        <f>(D$16*0.25)*'Delivery Rates'!$F$36</f>
        <v>468.00352725536362</v>
      </c>
      <c r="E64" s="49">
        <f>(E$16*0.25)*'Delivery Rates'!$F$36</f>
        <v>368.66973898927006</v>
      </c>
      <c r="F64" s="49">
        <f>(F$16*0.25)*'Delivery Rates'!$F$36</f>
        <v>233.79106701939651</v>
      </c>
      <c r="G64" s="49">
        <f>(G$16*0.25)*'Delivery Rates'!$F$36</f>
        <v>136.48954851860583</v>
      </c>
      <c r="H64" s="49">
        <f>(H$16*0.25)*'Delivery Rates'!$F$36</f>
        <v>91.520202759425956</v>
      </c>
      <c r="I64" s="49">
        <f>(I$16*0.25)*'Delivery Rates'!$F$36</f>
        <v>87.322868129905359</v>
      </c>
      <c r="J64" s="49">
        <f>(J$16*0.25)*'Delivery Rates'!$F$36</f>
        <v>86.619614419936454</v>
      </c>
      <c r="K64" s="49">
        <f>(K$16*0.25)*'Delivery Rates'!$F$36</f>
        <v>114.42304592017506</v>
      </c>
      <c r="L64" s="49">
        <f>(L$16*0.25)*'Delivery Rates'!$F$36</f>
        <v>199.51073145191262</v>
      </c>
      <c r="M64" s="49">
        <f>(M$16*0.25)*'Delivery Rates'!$F$36</f>
        <v>353.70599343699746</v>
      </c>
      <c r="N64" s="180">
        <f t="shared" si="26"/>
        <v>3230.2273609656104</v>
      </c>
      <c r="P64" s="49">
        <f>B64+C64+D64+E64+F64+G64+H64+I64+J64+K64+L64+M64</f>
        <v>3230.2273609656104</v>
      </c>
      <c r="Q64" s="10">
        <f t="shared" si="1"/>
        <v>0</v>
      </c>
    </row>
    <row r="65" spans="1:17" x14ac:dyDescent="0.25">
      <c r="A65" s="76" t="s">
        <v>86</v>
      </c>
      <c r="B65" s="49">
        <f>(B$16*0.25)*'Delivery Rates'!$F$44</f>
        <v>510.4215278227253</v>
      </c>
      <c r="C65" s="49">
        <f>(C$16*0.25)*'Delivery Rates'!$F$44</f>
        <v>579.74949524189628</v>
      </c>
      <c r="D65" s="49">
        <f>(D$16*0.25)*'Delivery Rates'!$F$44</f>
        <v>468.00352725536362</v>
      </c>
      <c r="E65" s="49">
        <f>(E$16*0.25)*'Delivery Rates'!$F$44</f>
        <v>368.66973898927006</v>
      </c>
      <c r="F65" s="49">
        <f>(F$16*0.25)*'Delivery Rates'!$F$44</f>
        <v>233.79106701939651</v>
      </c>
      <c r="G65" s="49">
        <f>(G$16*0.25)*'Delivery Rates'!$F$44</f>
        <v>136.48954851860583</v>
      </c>
      <c r="H65" s="49">
        <f>(H$16*0.25)*'Delivery Rates'!$F$44</f>
        <v>91.520202759425956</v>
      </c>
      <c r="I65" s="49">
        <f>(I$16*0.25)*'Delivery Rates'!$F$44</f>
        <v>87.322868129905359</v>
      </c>
      <c r="J65" s="49">
        <f>(J$16*0.25)*'Delivery Rates'!$F$44</f>
        <v>86.619614419936454</v>
      </c>
      <c r="K65" s="49">
        <f>(K$16*0.25)*'Delivery Rates'!$F$44</f>
        <v>114.42304592017506</v>
      </c>
      <c r="L65" s="49">
        <f>(L$16*0.25)*'Delivery Rates'!$F$44</f>
        <v>199.51073145191262</v>
      </c>
      <c r="M65" s="49">
        <f>(M$16*0.25)*'Delivery Rates'!$F$44</f>
        <v>353.70599343699746</v>
      </c>
      <c r="N65" s="180">
        <f t="shared" si="26"/>
        <v>3230.2273609656104</v>
      </c>
      <c r="P65" s="49">
        <f>B65+C65+D65+E65+F65+G65+H65+I65+J65+K65+L65+M65</f>
        <v>3230.2273609656104</v>
      </c>
      <c r="Q65" s="10">
        <f t="shared" si="1"/>
        <v>0</v>
      </c>
    </row>
    <row r="66" spans="1:17" ht="15.75" thickBot="1" x14ac:dyDescent="0.3">
      <c r="A66" s="78" t="s">
        <v>87</v>
      </c>
      <c r="B66" s="79">
        <f>SUM(B61:B65)</f>
        <v>3415.7597327072581</v>
      </c>
      <c r="C66" s="79">
        <f t="shared" ref="C66:M66" si="27">SUM(C61:C65)</f>
        <v>4002.5465286232002</v>
      </c>
      <c r="D66" s="79">
        <f t="shared" si="27"/>
        <v>3145.8118385381244</v>
      </c>
      <c r="E66" s="79">
        <f t="shared" si="27"/>
        <v>3056.126851146304</v>
      </c>
      <c r="F66" s="79">
        <f t="shared" si="27"/>
        <v>1913.4683539565517</v>
      </c>
      <c r="G66" s="79">
        <f t="shared" si="27"/>
        <v>1117.1018425374727</v>
      </c>
      <c r="H66" s="79">
        <f t="shared" si="27"/>
        <v>749.04920004201745</v>
      </c>
      <c r="I66" s="79">
        <f t="shared" si="27"/>
        <v>714.69601843013288</v>
      </c>
      <c r="J66" s="79">
        <f t="shared" si="27"/>
        <v>708.9402222999222</v>
      </c>
      <c r="K66" s="79">
        <f t="shared" si="27"/>
        <v>936.49804555367155</v>
      </c>
      <c r="L66" s="79">
        <f t="shared" si="27"/>
        <v>1632.9001607075359</v>
      </c>
      <c r="M66" s="79">
        <f t="shared" si="27"/>
        <v>2904.2876224751863</v>
      </c>
      <c r="N66" s="177">
        <f t="shared" si="26"/>
        <v>24297.186417017376</v>
      </c>
      <c r="P66" s="49">
        <f>SUM(N61:N65)</f>
        <v>24297.186417017379</v>
      </c>
      <c r="Q66" s="10">
        <f t="shared" si="1"/>
        <v>0</v>
      </c>
    </row>
    <row r="67" spans="1:17" ht="16.5" thickTop="1" thickBot="1" x14ac:dyDescent="0.3">
      <c r="A67" s="74" t="s">
        <v>182</v>
      </c>
      <c r="B67" s="75">
        <f>B58+B66</f>
        <v>172744.57973270727</v>
      </c>
      <c r="C67" s="75">
        <f t="shared" ref="C67:M67" si="28">C58+C66</f>
        <v>176084.7865286232</v>
      </c>
      <c r="D67" s="75">
        <f t="shared" si="28"/>
        <v>158611.05183853814</v>
      </c>
      <c r="E67" s="75">
        <f t="shared" si="28"/>
        <v>178668.64685114633</v>
      </c>
      <c r="F67" s="75">
        <f t="shared" si="28"/>
        <v>176068.86835395655</v>
      </c>
      <c r="G67" s="75">
        <f t="shared" si="28"/>
        <v>183434.61184253747</v>
      </c>
      <c r="H67" s="75">
        <f t="shared" si="28"/>
        <v>176226.64920004201</v>
      </c>
      <c r="I67" s="75">
        <f t="shared" si="28"/>
        <v>184353.42601843015</v>
      </c>
      <c r="J67" s="75">
        <f t="shared" si="28"/>
        <v>200788.83022229993</v>
      </c>
      <c r="K67" s="75">
        <f t="shared" si="28"/>
        <v>176910.79804555367</v>
      </c>
      <c r="L67" s="75">
        <f t="shared" si="28"/>
        <v>185087.80016070753</v>
      </c>
      <c r="M67" s="75">
        <f t="shared" si="28"/>
        <v>174710.38762247519</v>
      </c>
      <c r="N67" s="180">
        <f t="shared" si="26"/>
        <v>2143690.4364170176</v>
      </c>
      <c r="P67" s="49">
        <f>+N66+N58</f>
        <v>2143690.4364170176</v>
      </c>
      <c r="Q67" s="10">
        <f t="shared" si="1"/>
        <v>0</v>
      </c>
    </row>
    <row r="68" spans="1:17" ht="15.75" thickBot="1" x14ac:dyDescent="0.3">
      <c r="A68" s="80" t="s">
        <v>183</v>
      </c>
      <c r="B68" s="81">
        <f>B67/B16</f>
        <v>0.87147047795799648</v>
      </c>
      <c r="C68" s="81">
        <f t="shared" ref="C68:M68" si="29">C67/C16</f>
        <v>0.78209352320698311</v>
      </c>
      <c r="D68" s="81">
        <f t="shared" si="29"/>
        <v>0.87269312024091139</v>
      </c>
      <c r="E68" s="81">
        <f t="shared" si="29"/>
        <v>1.2479238651455795</v>
      </c>
      <c r="F68" s="81">
        <f t="shared" si="29"/>
        <v>1.9392414851069721</v>
      </c>
      <c r="G68" s="81">
        <f t="shared" si="29"/>
        <v>3.4606614984160897</v>
      </c>
      <c r="H68" s="81">
        <f t="shared" si="29"/>
        <v>4.9582890772537276</v>
      </c>
      <c r="I68" s="81">
        <f t="shared" si="29"/>
        <v>5.4362629419278576</v>
      </c>
      <c r="J68" s="81">
        <f t="shared" si="29"/>
        <v>5.9689856770295426</v>
      </c>
      <c r="K68" s="81">
        <f t="shared" si="29"/>
        <v>3.9812373574210107</v>
      </c>
      <c r="L68" s="81">
        <f t="shared" si="29"/>
        <v>2.3888493713867991</v>
      </c>
      <c r="M68" s="81">
        <f t="shared" si="29"/>
        <v>1.2719016824011116</v>
      </c>
      <c r="N68" s="310">
        <f>N67/N16</f>
        <v>1.7088589306369222</v>
      </c>
      <c r="Q68" s="10"/>
    </row>
    <row r="69" spans="1:17" x14ac:dyDescent="0.25">
      <c r="Q69" s="10"/>
    </row>
    <row r="70" spans="1:17" ht="22.5" x14ac:dyDescent="0.45">
      <c r="A70" s="261" t="s">
        <v>89</v>
      </c>
      <c r="B70" s="261"/>
      <c r="C70" s="261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P70" s="150" t="s">
        <v>148</v>
      </c>
      <c r="Q70" s="40" t="s">
        <v>175</v>
      </c>
    </row>
    <row r="71" spans="1:17" ht="15.75" thickBot="1" x14ac:dyDescent="0.3">
      <c r="A71" s="74" t="s">
        <v>88</v>
      </c>
      <c r="B71" s="75">
        <f>B46+B67</f>
        <v>972766.62979166966</v>
      </c>
      <c r="C71" s="75">
        <f t="shared" ref="C71:M71" si="30">C46+C67</f>
        <v>1078778.7558797325</v>
      </c>
      <c r="D71" s="75">
        <f t="shared" si="30"/>
        <v>897686.35434043943</v>
      </c>
      <c r="E71" s="75">
        <f t="shared" si="30"/>
        <v>714137.88911926688</v>
      </c>
      <c r="F71" s="75">
        <f t="shared" si="30"/>
        <v>515027.94115659251</v>
      </c>
      <c r="G71" s="75">
        <f t="shared" si="30"/>
        <v>382464.57467361342</v>
      </c>
      <c r="H71" s="75">
        <f t="shared" si="30"/>
        <v>310739.73669031903</v>
      </c>
      <c r="I71" s="75">
        <f t="shared" si="30"/>
        <v>313706.6352707512</v>
      </c>
      <c r="J71" s="75">
        <f t="shared" si="30"/>
        <v>329652.61758678744</v>
      </c>
      <c r="K71" s="75">
        <f t="shared" si="30"/>
        <v>346864.07873132173</v>
      </c>
      <c r="L71" s="75">
        <f t="shared" si="30"/>
        <v>482376.48599791445</v>
      </c>
      <c r="M71" s="75">
        <f t="shared" si="30"/>
        <v>721722.30246349762</v>
      </c>
      <c r="N71" s="185">
        <f>SUM(B71:M71)</f>
        <v>7065924.0017019073</v>
      </c>
      <c r="P71" s="198">
        <f>B71+C71+D71+E71+F71+G71+H71+I71+J71+K71+L71+M71</f>
        <v>7065924.0017019073</v>
      </c>
      <c r="Q71" s="10">
        <f t="shared" si="1"/>
        <v>0</v>
      </c>
    </row>
    <row r="72" spans="1:17" ht="15.75" thickBot="1" x14ac:dyDescent="0.3">
      <c r="A72" s="80" t="s">
        <v>72</v>
      </c>
      <c r="B72" s="81">
        <f t="shared" ref="B72:N72" si="31">B71/B16</f>
        <v>4.9074616472358477</v>
      </c>
      <c r="C72" s="81">
        <f t="shared" si="31"/>
        <v>4.7914751443315549</v>
      </c>
      <c r="D72" s="81">
        <f t="shared" si="31"/>
        <v>4.939155856330439</v>
      </c>
      <c r="E72" s="81">
        <f t="shared" si="31"/>
        <v>4.9879468532556528</v>
      </c>
      <c r="F72" s="81">
        <f t="shared" si="31"/>
        <v>5.6725732312441073</v>
      </c>
      <c r="G72" s="81">
        <f t="shared" si="31"/>
        <v>7.2155435377552255</v>
      </c>
      <c r="H72" s="81">
        <f t="shared" si="31"/>
        <v>8.7429310453003879</v>
      </c>
      <c r="I72" s="81">
        <f t="shared" si="31"/>
        <v>9.2506648386820434</v>
      </c>
      <c r="J72" s="81">
        <f t="shared" si="31"/>
        <v>9.7998068447947766</v>
      </c>
      <c r="K72" s="81">
        <f t="shared" si="31"/>
        <v>7.805901298557103</v>
      </c>
      <c r="L72" s="81">
        <f t="shared" si="31"/>
        <v>6.2258277657811778</v>
      </c>
      <c r="M72" s="81">
        <f t="shared" si="31"/>
        <v>5.2541799215356892</v>
      </c>
      <c r="N72" s="310">
        <f t="shared" si="31"/>
        <v>5.6326543834807534</v>
      </c>
      <c r="P72" s="197">
        <f>P71/P16</f>
        <v>5.6326543834807525</v>
      </c>
      <c r="Q72" s="10">
        <f t="shared" si="1"/>
        <v>0</v>
      </c>
    </row>
    <row r="73" spans="1:17" ht="15.75" thickBot="1" x14ac:dyDescent="0.3">
      <c r="A73" s="80" t="s">
        <v>100</v>
      </c>
      <c r="B73" s="81">
        <f>B71/(B16/'Btu Factor Calculations'!D4)</f>
        <v>5.0683073592932386</v>
      </c>
      <c r="C73" s="81">
        <f>C71/(C16/'Btu Factor Calculations'!D5)</f>
        <v>4.9446029322654015</v>
      </c>
      <c r="D73" s="81">
        <f>D71/(D16/'Btu Factor Calculations'!D6)</f>
        <v>5.0810674960358657</v>
      </c>
      <c r="E73" s="81">
        <f>E71/(E16/'Btu Factor Calculations'!D7)</f>
        <v>5.1015395099336454</v>
      </c>
      <c r="F73" s="81">
        <f>F71/(F16/'Btu Factor Calculations'!D8)</f>
        <v>5.7898825394702165</v>
      </c>
      <c r="G73" s="81">
        <f>G71/(G16/'Btu Factor Calculations'!D9)</f>
        <v>7.340221152898363</v>
      </c>
      <c r="H73" s="81">
        <f>H71/(H16/'Btu Factor Calculations'!D10)</f>
        <v>8.9045967403176789</v>
      </c>
      <c r="I73" s="81">
        <f>I71/(I16/'Btu Factor Calculations'!D11)</f>
        <v>9.4792028566490174</v>
      </c>
      <c r="J73" s="81">
        <f>J71/(J16/'Btu Factor Calculations'!D12)</f>
        <v>9.9953155441690278</v>
      </c>
      <c r="K73" s="81">
        <f>K71/(K16/'Btu Factor Calculations'!D13)</f>
        <v>7.9421631296095407</v>
      </c>
      <c r="L73" s="81">
        <f>L71/(L16/'Btu Factor Calculations'!D2)</f>
        <v>6.3354685497824601</v>
      </c>
      <c r="M73" s="81">
        <f>M71/(M16/'Btu Factor Calculations'!D3)</f>
        <v>5.4096333263866194</v>
      </c>
      <c r="N73" s="310">
        <f>N71/(N16/'Btu Factor Calculations'!D14)</f>
        <v>5.7738005667130352</v>
      </c>
      <c r="P73" s="197">
        <f>P71/(P16/'Btu Factor Calculations'!D14)</f>
        <v>5.7738005667130343</v>
      </c>
      <c r="Q73" s="10">
        <f t="shared" si="1"/>
        <v>0</v>
      </c>
    </row>
    <row r="74" spans="1:17" ht="15.75" thickBot="1" x14ac:dyDescent="0.3">
      <c r="Q74" s="169">
        <f>SUM(Q8:Q16)+SUM(Q21:Q47)+SUM(Q51:Q58)+SUM(Q61:Q67)+SUM(Q71:Q73)</f>
        <v>0</v>
      </c>
    </row>
    <row r="75" spans="1:17" ht="16.5" thickTop="1" thickBot="1" x14ac:dyDescent="0.3">
      <c r="A75" s="74" t="s">
        <v>114</v>
      </c>
      <c r="F75" s="141">
        <f>+N72</f>
        <v>5.6326543834807534</v>
      </c>
    </row>
    <row r="76" spans="1:17" ht="15.75" thickBot="1" x14ac:dyDescent="0.3">
      <c r="A76" s="74" t="s">
        <v>115</v>
      </c>
      <c r="F76" s="141">
        <f>+N73</f>
        <v>5.7738005667130352</v>
      </c>
    </row>
    <row r="79" spans="1:17" x14ac:dyDescent="0.25">
      <c r="A79" s="84" t="s">
        <v>92</v>
      </c>
      <c r="B79" s="263" t="s">
        <v>169</v>
      </c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</row>
    <row r="80" spans="1:17" x14ac:dyDescent="0.25">
      <c r="B80" s="263" t="s">
        <v>170</v>
      </c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</row>
    <row r="81" spans="1:14" x14ac:dyDescent="0.25">
      <c r="B81" s="263" t="s">
        <v>171</v>
      </c>
      <c r="C81" s="264"/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</row>
    <row r="82" spans="1:14" x14ac:dyDescent="0.25">
      <c r="B82" s="263" t="s">
        <v>202</v>
      </c>
      <c r="C82" s="264"/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</row>
    <row r="83" spans="1:14" x14ac:dyDescent="0.25">
      <c r="B83" s="93" t="s">
        <v>203</v>
      </c>
    </row>
    <row r="84" spans="1:14" x14ac:dyDescent="0.25">
      <c r="B84" s="93" t="s">
        <v>209</v>
      </c>
    </row>
    <row r="86" spans="1:14" x14ac:dyDescent="0.25">
      <c r="A86" s="76" t="s">
        <v>204</v>
      </c>
      <c r="B86" s="153" t="s">
        <v>149</v>
      </c>
    </row>
    <row r="87" spans="1:14" x14ac:dyDescent="0.25">
      <c r="B87" s="153" t="s">
        <v>150</v>
      </c>
    </row>
    <row r="88" spans="1:14" x14ac:dyDescent="0.25">
      <c r="A88" s="76"/>
      <c r="B88" s="153" t="s">
        <v>151</v>
      </c>
    </row>
  </sheetData>
  <mergeCells count="12">
    <mergeCell ref="A1:N1"/>
    <mergeCell ref="A6:N6"/>
    <mergeCell ref="A19:N19"/>
    <mergeCell ref="A49:N49"/>
    <mergeCell ref="A2:N2"/>
    <mergeCell ref="B82:N82"/>
    <mergeCell ref="A3:N3"/>
    <mergeCell ref="A4:N4"/>
    <mergeCell ref="A70:N70"/>
    <mergeCell ref="B79:N79"/>
    <mergeCell ref="B80:N80"/>
    <mergeCell ref="B81:N81"/>
  </mergeCells>
  <phoneticPr fontId="5" type="noConversion"/>
  <printOptions horizontalCentered="1"/>
  <pageMargins left="0.25" right="0.25" top="0.25" bottom="0.25" header="0.5" footer="0.5"/>
  <pageSetup scale="42" orientation="landscape" r:id="rId1"/>
  <headerFooter alignWithMargins="0">
    <oddFooter>&amp;L&amp;F&amp;C&amp;A&amp;R&amp;D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4"/>
  <sheetViews>
    <sheetView tabSelected="1" view="pageBreakPreview" topLeftCell="A57" zoomScale="60" zoomScaleNormal="100" workbookViewId="0">
      <selection activeCell="V63" sqref="V63"/>
    </sheetView>
  </sheetViews>
  <sheetFormatPr defaultColWidth="9.140625" defaultRowHeight="15" x14ac:dyDescent="0.25"/>
  <cols>
    <col min="2" max="2" width="11.7109375" customWidth="1"/>
    <col min="3" max="3" width="11.28515625" customWidth="1"/>
    <col min="4" max="4" width="9.28515625" customWidth="1"/>
    <col min="6" max="6" width="1.28515625" customWidth="1"/>
    <col min="7" max="7" width="9.7109375" customWidth="1"/>
    <col min="8" max="8" width="11.28515625" customWidth="1"/>
    <col min="9" max="9" width="10.5703125" customWidth="1"/>
    <col min="10" max="10" width="2.28515625" customWidth="1"/>
    <col min="11" max="11" width="9.42578125" bestFit="1" customWidth="1"/>
    <col min="12" max="12" width="1.42578125" customWidth="1"/>
    <col min="13" max="13" width="10.42578125" bestFit="1" customWidth="1"/>
    <col min="15" max="15" width="10.85546875" customWidth="1"/>
  </cols>
  <sheetData>
    <row r="1" spans="1:22" ht="18" x14ac:dyDescent="0.25">
      <c r="A1" s="160" t="s">
        <v>152</v>
      </c>
      <c r="B1" s="3"/>
      <c r="C1" s="3"/>
      <c r="D1" s="3"/>
      <c r="E1" s="3"/>
      <c r="F1" s="202"/>
      <c r="G1" s="202"/>
      <c r="H1" s="202"/>
      <c r="I1" s="202"/>
      <c r="J1" s="202"/>
      <c r="K1" s="202"/>
      <c r="L1" s="202"/>
      <c r="M1" s="202"/>
    </row>
    <row r="2" spans="1:22" ht="15.75" x14ac:dyDescent="0.25">
      <c r="A2" s="3" t="s">
        <v>163</v>
      </c>
      <c r="B2" s="3"/>
      <c r="C2" s="3"/>
      <c r="D2" s="3"/>
      <c r="E2" s="3"/>
      <c r="F2" s="202"/>
      <c r="G2" s="202"/>
      <c r="H2" s="202"/>
      <c r="I2" s="202"/>
      <c r="J2" s="202"/>
      <c r="K2" s="202"/>
      <c r="L2" s="202"/>
      <c r="M2" s="202"/>
    </row>
    <row r="3" spans="1:22" ht="15.75" x14ac:dyDescent="0.25">
      <c r="A3" s="3" t="s">
        <v>153</v>
      </c>
      <c r="B3" s="3"/>
      <c r="C3" s="3"/>
      <c r="D3" s="3"/>
      <c r="E3" s="3"/>
      <c r="F3" s="202"/>
      <c r="G3" s="202"/>
      <c r="H3" s="202"/>
      <c r="I3" s="202"/>
      <c r="J3" s="202"/>
      <c r="K3" s="202"/>
      <c r="L3" s="202"/>
      <c r="M3" s="202"/>
    </row>
    <row r="4" spans="1:22" ht="15.75" x14ac:dyDescent="0.25">
      <c r="A4" s="3" t="s">
        <v>154</v>
      </c>
      <c r="B4" s="3"/>
      <c r="C4" s="3"/>
      <c r="D4" s="3"/>
      <c r="E4" s="3"/>
      <c r="F4" s="202"/>
      <c r="G4" s="202"/>
      <c r="H4" s="202"/>
      <c r="I4" s="202"/>
      <c r="J4" s="202"/>
      <c r="K4" s="202"/>
      <c r="L4" s="202"/>
      <c r="M4" s="202"/>
    </row>
    <row r="5" spans="1:22" ht="15.75" x14ac:dyDescent="0.25">
      <c r="A5" s="3"/>
      <c r="B5" s="3"/>
      <c r="C5" s="3"/>
      <c r="D5" s="161" t="s">
        <v>30</v>
      </c>
      <c r="E5" s="162"/>
      <c r="F5" s="202"/>
      <c r="G5" s="5" t="s">
        <v>1</v>
      </c>
    </row>
    <row r="6" spans="1:22" ht="15.75" thickBot="1" x14ac:dyDescent="0.3">
      <c r="D6" s="295" t="s">
        <v>2</v>
      </c>
      <c r="E6" s="295"/>
      <c r="G6" s="5" t="s">
        <v>3</v>
      </c>
      <c r="H6" s="5" t="s">
        <v>4</v>
      </c>
      <c r="I6" s="5" t="s">
        <v>0</v>
      </c>
      <c r="O6" s="147" t="s">
        <v>164</v>
      </c>
    </row>
    <row r="7" spans="1:22" x14ac:dyDescent="0.25">
      <c r="D7" s="5" t="s">
        <v>5</v>
      </c>
      <c r="E7" s="5" t="s">
        <v>6</v>
      </c>
      <c r="G7" s="5" t="s">
        <v>7</v>
      </c>
      <c r="H7" s="5" t="s">
        <v>8</v>
      </c>
      <c r="I7" s="5" t="s">
        <v>4</v>
      </c>
      <c r="K7" s="5" t="s">
        <v>9</v>
      </c>
      <c r="M7" s="154" t="s">
        <v>4</v>
      </c>
      <c r="O7" s="147" t="s">
        <v>155</v>
      </c>
    </row>
    <row r="8" spans="1:22" ht="15.75" thickBot="1" x14ac:dyDescent="0.3">
      <c r="D8" s="6" t="s">
        <v>10</v>
      </c>
      <c r="E8" s="6" t="s">
        <v>11</v>
      </c>
      <c r="G8" s="203" t="s">
        <v>9</v>
      </c>
      <c r="H8" s="203" t="s">
        <v>12</v>
      </c>
      <c r="I8" s="203" t="s">
        <v>12</v>
      </c>
      <c r="K8" s="155" t="s">
        <v>158</v>
      </c>
      <c r="M8" s="6" t="s">
        <v>13</v>
      </c>
      <c r="O8" s="156" t="s">
        <v>156</v>
      </c>
    </row>
    <row r="9" spans="1:22" ht="15.75" x14ac:dyDescent="0.25">
      <c r="A9" s="7" t="s">
        <v>14</v>
      </c>
    </row>
    <row r="10" spans="1:22" ht="15.75" x14ac:dyDescent="0.25">
      <c r="B10" s="8"/>
    </row>
    <row r="11" spans="1:22" ht="15.75" x14ac:dyDescent="0.25">
      <c r="B11" s="8" t="s">
        <v>15</v>
      </c>
      <c r="C11">
        <v>2013</v>
      </c>
      <c r="D11" s="204">
        <v>899</v>
      </c>
      <c r="E11" s="205">
        <f t="shared" ref="E11:E21" si="0">+D11/$D$23</f>
        <v>0.19534984789222076</v>
      </c>
      <c r="G11" s="206">
        <f t="shared" ref="G11:G21" si="1">+E11*$G$23</f>
        <v>10.181981643612041</v>
      </c>
      <c r="H11" s="207">
        <f>+H22</f>
        <v>0.91621577455782122</v>
      </c>
      <c r="I11" s="12">
        <f t="shared" ref="I11:I21" si="2">+G11+H11</f>
        <v>11.098197418169862</v>
      </c>
      <c r="K11" s="1">
        <v>4771</v>
      </c>
      <c r="L11" s="217"/>
      <c r="M11" s="1">
        <f t="shared" ref="M11:M20" si="3">+K11*I11</f>
        <v>52949.499882088414</v>
      </c>
      <c r="N11" s="217"/>
      <c r="O11" s="223">
        <f>M11+M54+M32+M81+M103+M125</f>
        <v>173139.98482674095</v>
      </c>
    </row>
    <row r="12" spans="1:22" ht="15.75" x14ac:dyDescent="0.25">
      <c r="B12" s="8" t="s">
        <v>16</v>
      </c>
      <c r="C12">
        <v>2014</v>
      </c>
      <c r="D12" s="204">
        <v>1034</v>
      </c>
      <c r="E12" s="205">
        <f t="shared" si="0"/>
        <v>0.22468491960017384</v>
      </c>
      <c r="G12" s="206">
        <f t="shared" si="1"/>
        <v>11.710977774743995</v>
      </c>
      <c r="H12" s="207">
        <f t="shared" ref="H12:H21" si="4">+H11</f>
        <v>0.91621577455782122</v>
      </c>
      <c r="I12" s="12">
        <f t="shared" si="2"/>
        <v>12.627193549301817</v>
      </c>
      <c r="K12" s="1">
        <v>4813</v>
      </c>
      <c r="L12" s="217"/>
      <c r="M12" s="1">
        <f t="shared" si="3"/>
        <v>60774.682552789644</v>
      </c>
      <c r="N12" s="217"/>
      <c r="O12" s="223">
        <f>M12+M55+M33+M82+M104+M126</f>
        <v>198157.504563511</v>
      </c>
    </row>
    <row r="13" spans="1:22" ht="15.75" x14ac:dyDescent="0.25">
      <c r="B13" s="8" t="s">
        <v>17</v>
      </c>
      <c r="C13">
        <v>2014</v>
      </c>
      <c r="D13" s="204">
        <v>790</v>
      </c>
      <c r="E13" s="205">
        <f t="shared" si="0"/>
        <v>0.17166449369839201</v>
      </c>
      <c r="G13" s="206">
        <f t="shared" si="1"/>
        <v>8.9474588414388361</v>
      </c>
      <c r="H13" s="207">
        <f t="shared" si="4"/>
        <v>0.91621577455782122</v>
      </c>
      <c r="I13" s="12">
        <f t="shared" si="2"/>
        <v>9.8636746159966577</v>
      </c>
      <c r="K13" s="1">
        <v>4857</v>
      </c>
      <c r="L13" s="217"/>
      <c r="M13" s="1">
        <f t="shared" si="3"/>
        <v>47907.867609895766</v>
      </c>
      <c r="N13" s="217"/>
      <c r="O13" s="223">
        <f>M13+M56+M34+M83+M105+M127</f>
        <v>158126.7320483767</v>
      </c>
      <c r="T13" s="8"/>
      <c r="V13" s="204"/>
    </row>
    <row r="14" spans="1:22" ht="15.75" x14ac:dyDescent="0.25">
      <c r="B14" s="8" t="s">
        <v>18</v>
      </c>
      <c r="C14">
        <v>2014</v>
      </c>
      <c r="D14" s="204">
        <v>581</v>
      </c>
      <c r="E14" s="205">
        <f t="shared" si="0"/>
        <v>0.12624945675793134</v>
      </c>
      <c r="G14" s="206">
        <f t="shared" si="1"/>
        <v>6.58034631250122</v>
      </c>
      <c r="H14" s="207">
        <f t="shared" si="4"/>
        <v>0.91621577455782122</v>
      </c>
      <c r="I14" s="12">
        <f t="shared" si="2"/>
        <v>7.4965620870590417</v>
      </c>
      <c r="K14" s="1">
        <v>4874</v>
      </c>
      <c r="L14" s="217"/>
      <c r="M14" s="1">
        <f t="shared" si="3"/>
        <v>36538.243612325772</v>
      </c>
      <c r="N14" s="217"/>
      <c r="O14" s="223">
        <f>M14+M57+M35+M84+M106+M128</f>
        <v>122454.27680448392</v>
      </c>
      <c r="T14" s="8"/>
      <c r="V14" s="204"/>
    </row>
    <row r="15" spans="1:22" ht="15.75" x14ac:dyDescent="0.25">
      <c r="B15" s="8" t="s">
        <v>19</v>
      </c>
      <c r="C15">
        <v>2014</v>
      </c>
      <c r="D15" s="204">
        <v>300</v>
      </c>
      <c r="E15" s="205">
        <f t="shared" si="0"/>
        <v>6.51890482398957E-2</v>
      </c>
      <c r="G15" s="206">
        <f t="shared" si="1"/>
        <v>3.3977691802932286</v>
      </c>
      <c r="H15" s="207">
        <f t="shared" si="4"/>
        <v>0.91621577455782122</v>
      </c>
      <c r="I15" s="12">
        <f t="shared" si="2"/>
        <v>4.3139849548510494</v>
      </c>
      <c r="K15" s="1">
        <v>4885</v>
      </c>
      <c r="L15" s="217"/>
      <c r="M15" s="1">
        <f>+K15*I15</f>
        <v>21073.816504447375</v>
      </c>
      <c r="N15" s="217"/>
      <c r="O15" s="223">
        <f>M15+M58+M36+M85+M107+M129</f>
        <v>74022.085705508391</v>
      </c>
      <c r="T15" s="8"/>
      <c r="V15" s="204"/>
    </row>
    <row r="16" spans="1:22" ht="15.75" x14ac:dyDescent="0.25">
      <c r="B16" s="8" t="s">
        <v>20</v>
      </c>
      <c r="C16">
        <v>2014</v>
      </c>
      <c r="D16" s="204">
        <v>100</v>
      </c>
      <c r="E16" s="205">
        <f t="shared" si="0"/>
        <v>2.1729682746631899E-2</v>
      </c>
      <c r="G16" s="206">
        <f t="shared" si="1"/>
        <v>1.1325897267644096</v>
      </c>
      <c r="H16" s="207">
        <f t="shared" si="4"/>
        <v>0.91621577455782122</v>
      </c>
      <c r="I16" s="12">
        <f t="shared" si="2"/>
        <v>2.0488055013222306</v>
      </c>
      <c r="K16" s="1">
        <v>4826</v>
      </c>
      <c r="L16" s="217"/>
      <c r="M16" s="1">
        <f t="shared" si="3"/>
        <v>9887.5353493810853</v>
      </c>
      <c r="N16" s="217"/>
      <c r="O16" s="223">
        <f>M16+M59+M37+M86+M108+M130</f>
        <v>39035.794323999253</v>
      </c>
      <c r="T16" s="8"/>
      <c r="V16" s="204"/>
    </row>
    <row r="17" spans="1:22" ht="15.75" x14ac:dyDescent="0.25">
      <c r="B17" s="8" t="s">
        <v>21</v>
      </c>
      <c r="C17">
        <v>2014</v>
      </c>
      <c r="D17" s="204">
        <v>8</v>
      </c>
      <c r="E17" s="205">
        <f t="shared" si="0"/>
        <v>1.738374619730552E-3</v>
      </c>
      <c r="G17" s="206">
        <f t="shared" si="1"/>
        <v>9.0607178141152767E-2</v>
      </c>
      <c r="H17" s="207">
        <f t="shared" si="4"/>
        <v>0.91621577455782122</v>
      </c>
      <c r="I17" s="12">
        <f t="shared" si="2"/>
        <v>1.006822952698974</v>
      </c>
      <c r="K17" s="1">
        <v>4728</v>
      </c>
      <c r="L17" s="217"/>
      <c r="M17" s="1">
        <f t="shared" si="3"/>
        <v>4760.2589203607495</v>
      </c>
      <c r="N17" s="217"/>
      <c r="O17" s="223">
        <f>M17+M60+M38+M87+M109+M131</f>
        <v>22868.658334969292</v>
      </c>
      <c r="T17" s="8"/>
      <c r="V17" s="204"/>
    </row>
    <row r="18" spans="1:22" ht="15.75" x14ac:dyDescent="0.25">
      <c r="B18" s="8" t="s">
        <v>22</v>
      </c>
      <c r="C18">
        <v>2014</v>
      </c>
      <c r="D18" s="204">
        <v>1</v>
      </c>
      <c r="E18" s="205">
        <f t="shared" si="0"/>
        <v>2.17296827466319E-4</v>
      </c>
      <c r="G18" s="206">
        <f t="shared" si="1"/>
        <v>1.1325897267644096E-2</v>
      </c>
      <c r="H18" s="207">
        <f t="shared" si="4"/>
        <v>0.91621577455782122</v>
      </c>
      <c r="I18" s="12">
        <f t="shared" si="2"/>
        <v>0.92754167182546532</v>
      </c>
      <c r="K18" s="1">
        <v>4638</v>
      </c>
      <c r="L18" s="217"/>
      <c r="M18" s="1">
        <f t="shared" si="3"/>
        <v>4301.9382739265084</v>
      </c>
      <c r="N18" s="217"/>
      <c r="O18" s="223">
        <f>M18+M61+M39+M88+M110+M132</f>
        <v>21344.707751810474</v>
      </c>
      <c r="T18" s="8"/>
      <c r="V18" s="204"/>
    </row>
    <row r="19" spans="1:22" ht="15.75" x14ac:dyDescent="0.25">
      <c r="B19" s="8" t="s">
        <v>23</v>
      </c>
      <c r="C19">
        <v>2014</v>
      </c>
      <c r="D19" s="204">
        <v>1</v>
      </c>
      <c r="E19" s="205">
        <f t="shared" si="0"/>
        <v>2.17296827466319E-4</v>
      </c>
      <c r="G19" s="206">
        <f t="shared" si="1"/>
        <v>1.1325897267644096E-2</v>
      </c>
      <c r="H19" s="207">
        <f t="shared" si="4"/>
        <v>0.91621577455782122</v>
      </c>
      <c r="I19" s="12">
        <f t="shared" si="2"/>
        <v>0.92754167182546532</v>
      </c>
      <c r="K19" s="1">
        <v>4587</v>
      </c>
      <c r="L19" s="217"/>
      <c r="M19" s="1">
        <f t="shared" si="3"/>
        <v>4254.6336486634091</v>
      </c>
      <c r="N19" s="217"/>
      <c r="O19" s="223">
        <f>M19+M62+M40+M89+M111+M133</f>
        <v>21065.887028105859</v>
      </c>
      <c r="T19" s="8"/>
      <c r="V19" s="204"/>
    </row>
    <row r="20" spans="1:22" ht="15.75" x14ac:dyDescent="0.25">
      <c r="B20" s="8" t="s">
        <v>24</v>
      </c>
      <c r="C20">
        <v>2014</v>
      </c>
      <c r="D20" s="204">
        <v>62</v>
      </c>
      <c r="E20" s="205">
        <f t="shared" si="0"/>
        <v>1.3472403302911778E-2</v>
      </c>
      <c r="G20" s="206">
        <f t="shared" si="1"/>
        <v>0.70220563059393393</v>
      </c>
      <c r="H20" s="207">
        <f t="shared" si="4"/>
        <v>0.91621577455782122</v>
      </c>
      <c r="I20" s="12">
        <f t="shared" si="2"/>
        <v>1.6184214051517551</v>
      </c>
      <c r="K20" s="1">
        <v>4582</v>
      </c>
      <c r="L20" s="217"/>
      <c r="M20" s="1">
        <f t="shared" si="3"/>
        <v>7415.6068784053423</v>
      </c>
      <c r="N20" s="217"/>
      <c r="O20" s="223">
        <f>M20+M63+M41+M90+M112+M134</f>
        <v>31022.679577991214</v>
      </c>
      <c r="T20" s="8"/>
      <c r="V20" s="208"/>
    </row>
    <row r="21" spans="1:22" ht="15.75" x14ac:dyDescent="0.25">
      <c r="B21" s="8" t="s">
        <v>25</v>
      </c>
      <c r="C21">
        <v>2014</v>
      </c>
      <c r="D21" s="208">
        <v>248</v>
      </c>
      <c r="E21" s="209">
        <f t="shared" si="0"/>
        <v>5.3889613211647112E-2</v>
      </c>
      <c r="F21" s="210"/>
      <c r="G21" s="211">
        <f t="shared" si="1"/>
        <v>2.8088225223757357</v>
      </c>
      <c r="H21" s="219">
        <f t="shared" si="4"/>
        <v>0.91621577455782122</v>
      </c>
      <c r="I21" s="212">
        <f t="shared" si="2"/>
        <v>3.7250382969335569</v>
      </c>
      <c r="J21" s="210"/>
      <c r="K21" s="2">
        <v>4593</v>
      </c>
      <c r="L21" s="56"/>
      <c r="M21" s="2">
        <f>+K21*I21</f>
        <v>17109.100897815828</v>
      </c>
      <c r="N21" s="56"/>
      <c r="O21" s="223">
        <f>M21+M64+M42+M91+M113+M135</f>
        <v>61511.114070041294</v>
      </c>
      <c r="T21" s="8"/>
      <c r="V21" s="204"/>
    </row>
    <row r="22" spans="1:22" ht="16.5" thickBot="1" x14ac:dyDescent="0.3">
      <c r="B22" s="8" t="s">
        <v>26</v>
      </c>
      <c r="C22">
        <v>2014</v>
      </c>
      <c r="D22" s="204">
        <v>578</v>
      </c>
      <c r="E22" s="205">
        <f>+D22/$D$23</f>
        <v>0.12559756627553237</v>
      </c>
      <c r="G22" s="206">
        <f>+E22*$G$23</f>
        <v>6.5463686206982867</v>
      </c>
      <c r="H22" s="207">
        <f>+'[2]annual customer usage-Rogersvil'!K27</f>
        <v>0.91621577455782122</v>
      </c>
      <c r="I22" s="12">
        <f>+G22+H22</f>
        <v>7.4625843952561084</v>
      </c>
      <c r="K22" s="1">
        <v>4660</v>
      </c>
      <c r="L22" s="217"/>
      <c r="M22" s="1">
        <f>+K22*I22</f>
        <v>34775.643281893463</v>
      </c>
      <c r="N22" s="217"/>
      <c r="O22" s="224">
        <f>M22+M65+M43+M92+M114+M136</f>
        <v>116818.19766739517</v>
      </c>
      <c r="T22" s="8"/>
      <c r="V22" s="204"/>
    </row>
    <row r="23" spans="1:22" ht="16.5" thickBot="1" x14ac:dyDescent="0.3">
      <c r="D23" s="163">
        <f>SUM(D11:D22)</f>
        <v>4602</v>
      </c>
      <c r="E23" s="164">
        <f>SUM(E11:E22)</f>
        <v>1</v>
      </c>
      <c r="G23" s="214">
        <f>+'[2]annual customer usage-Rogersvil'!I12</f>
        <v>52.121779225698127</v>
      </c>
      <c r="H23" s="215">
        <f>SUM(H11:H22)</f>
        <v>10.994589294693858</v>
      </c>
      <c r="I23" s="215">
        <f>SUM(I11:I22)</f>
        <v>63.116368520391987</v>
      </c>
      <c r="K23" s="165">
        <f>AVERAGE(K11:K22)</f>
        <v>4734.5</v>
      </c>
      <c r="L23" s="217"/>
      <c r="M23" s="225">
        <f>SUM(M11:M22)</f>
        <v>301748.82741199335</v>
      </c>
      <c r="N23" s="217"/>
      <c r="O23" s="226">
        <f>SUM(O11:O22)</f>
        <v>1039567.6227029336</v>
      </c>
      <c r="T23" s="8"/>
      <c r="V23" s="204"/>
    </row>
    <row r="24" spans="1:22" ht="16.5" thickTop="1" x14ac:dyDescent="0.25">
      <c r="D24" s="217"/>
      <c r="E24" s="217"/>
      <c r="G24" s="206">
        <f>SUM(G11:G22)</f>
        <v>52.121779225698141</v>
      </c>
      <c r="K24" s="227" t="s">
        <v>27</v>
      </c>
      <c r="L24" s="217"/>
      <c r="M24" s="217"/>
      <c r="N24" s="217"/>
      <c r="O24" s="217"/>
      <c r="T24" s="8"/>
      <c r="V24" s="204"/>
    </row>
    <row r="25" spans="1:22" x14ac:dyDescent="0.25">
      <c r="D25" s="217"/>
      <c r="E25" s="217"/>
      <c r="G25" s="206"/>
      <c r="K25" s="227"/>
      <c r="L25" s="217"/>
      <c r="M25" s="217"/>
      <c r="N25" s="217"/>
      <c r="O25" s="217"/>
    </row>
    <row r="26" spans="1:22" ht="15.75" x14ac:dyDescent="0.25">
      <c r="A26" s="3"/>
      <c r="B26" s="3"/>
      <c r="C26" s="3"/>
      <c r="D26" s="161" t="s">
        <v>30</v>
      </c>
      <c r="E26" s="162"/>
      <c r="F26" s="202"/>
      <c r="G26" s="5" t="s">
        <v>1</v>
      </c>
      <c r="K26" s="217"/>
      <c r="L26" s="217"/>
      <c r="M26" s="217"/>
      <c r="N26" s="217"/>
      <c r="O26" s="217"/>
    </row>
    <row r="27" spans="1:22" ht="15.75" thickBot="1" x14ac:dyDescent="0.3">
      <c r="D27" s="295" t="s">
        <v>2</v>
      </c>
      <c r="E27" s="295"/>
      <c r="G27" s="5" t="s">
        <v>3</v>
      </c>
      <c r="H27" s="5" t="s">
        <v>4</v>
      </c>
      <c r="I27" s="5" t="s">
        <v>0</v>
      </c>
      <c r="K27" s="217"/>
      <c r="L27" s="217"/>
      <c r="M27" s="217"/>
      <c r="N27" s="217"/>
      <c r="O27" s="217"/>
    </row>
    <row r="28" spans="1:22" x14ac:dyDescent="0.25">
      <c r="D28" s="5" t="s">
        <v>5</v>
      </c>
      <c r="E28" s="5" t="s">
        <v>6</v>
      </c>
      <c r="G28" s="5" t="s">
        <v>7</v>
      </c>
      <c r="H28" s="5" t="s">
        <v>8</v>
      </c>
      <c r="I28" s="5" t="s">
        <v>4</v>
      </c>
      <c r="K28" s="227" t="s">
        <v>9</v>
      </c>
      <c r="L28" s="217"/>
      <c r="M28" s="228" t="s">
        <v>4</v>
      </c>
      <c r="N28" s="217"/>
      <c r="O28" s="217"/>
    </row>
    <row r="29" spans="1:22" ht="15.75" thickBot="1" x14ac:dyDescent="0.3">
      <c r="D29" s="6" t="s">
        <v>10</v>
      </c>
      <c r="E29" s="6" t="s">
        <v>11</v>
      </c>
      <c r="G29" s="203" t="s">
        <v>9</v>
      </c>
      <c r="H29" s="203" t="s">
        <v>12</v>
      </c>
      <c r="I29" s="203" t="s">
        <v>12</v>
      </c>
      <c r="K29" s="155" t="s">
        <v>165</v>
      </c>
      <c r="L29" s="217"/>
      <c r="M29" s="203" t="s">
        <v>13</v>
      </c>
      <c r="N29" s="217"/>
      <c r="O29" s="217"/>
    </row>
    <row r="30" spans="1:22" ht="15.75" x14ac:dyDescent="0.25">
      <c r="A30" s="7" t="s">
        <v>157</v>
      </c>
      <c r="K30" s="217"/>
      <c r="L30" s="217"/>
      <c r="M30" s="217"/>
      <c r="N30" s="217"/>
      <c r="O30" s="217"/>
    </row>
    <row r="31" spans="1:22" x14ac:dyDescent="0.25">
      <c r="K31" s="217"/>
      <c r="L31" s="217"/>
      <c r="M31" s="217"/>
      <c r="N31" s="217"/>
      <c r="O31" s="217"/>
    </row>
    <row r="32" spans="1:22" ht="15.75" x14ac:dyDescent="0.25">
      <c r="B32" s="8" t="str">
        <f t="shared" ref="B32:D43" si="5">B11</f>
        <v>December</v>
      </c>
      <c r="C32">
        <f t="shared" si="5"/>
        <v>2013</v>
      </c>
      <c r="D32" s="204">
        <f t="shared" si="5"/>
        <v>899</v>
      </c>
      <c r="E32" s="205">
        <f t="shared" ref="E32:E42" si="6">+D32/$D$23</f>
        <v>0.19534984789222076</v>
      </c>
      <c r="G32" s="206">
        <f t="shared" ref="G32:G42" si="7">+E32*$G$44</f>
        <v>8.4331328140316177</v>
      </c>
      <c r="H32" s="207">
        <f>+H43</f>
        <v>0.68804796437759119</v>
      </c>
      <c r="I32" s="12">
        <f t="shared" ref="I32:I42" si="8">+G32+H32</f>
        <v>9.121180778409208</v>
      </c>
      <c r="K32" s="1">
        <v>4451</v>
      </c>
      <c r="L32" s="217"/>
      <c r="M32" s="1">
        <f t="shared" ref="M32:M42" si="9">+K32*I32</f>
        <v>40598.375644699387</v>
      </c>
      <c r="N32" s="217"/>
      <c r="O32" s="217"/>
    </row>
    <row r="33" spans="2:15" ht="15.75" x14ac:dyDescent="0.25">
      <c r="B33" s="8" t="str">
        <f t="shared" si="5"/>
        <v>January</v>
      </c>
      <c r="C33">
        <f t="shared" si="5"/>
        <v>2014</v>
      </c>
      <c r="D33" s="204">
        <f t="shared" si="5"/>
        <v>1034</v>
      </c>
      <c r="E33" s="205">
        <f t="shared" si="6"/>
        <v>0.22468491960017384</v>
      </c>
      <c r="G33" s="206">
        <f t="shared" si="7"/>
        <v>9.6995098217004383</v>
      </c>
      <c r="H33" s="207">
        <f t="shared" ref="H33:H42" si="10">+H32</f>
        <v>0.68804796437759119</v>
      </c>
      <c r="I33" s="12">
        <f t="shared" si="8"/>
        <v>10.38755778607803</v>
      </c>
      <c r="K33" s="1">
        <v>4565</v>
      </c>
      <c r="L33" s="217"/>
      <c r="M33" s="1">
        <f t="shared" si="9"/>
        <v>47419.201293446211</v>
      </c>
      <c r="N33" s="217"/>
      <c r="O33" s="217"/>
    </row>
    <row r="34" spans="2:15" ht="15.75" x14ac:dyDescent="0.25">
      <c r="B34" s="8" t="str">
        <f t="shared" si="5"/>
        <v>February</v>
      </c>
      <c r="C34">
        <f t="shared" si="5"/>
        <v>2014</v>
      </c>
      <c r="D34" s="204">
        <f t="shared" si="5"/>
        <v>790</v>
      </c>
      <c r="E34" s="205">
        <f t="shared" si="6"/>
        <v>0.17166449369839201</v>
      </c>
      <c r="G34" s="206">
        <f t="shared" si="7"/>
        <v>7.410650637469387</v>
      </c>
      <c r="H34" s="207">
        <f t="shared" si="10"/>
        <v>0.68804796437759119</v>
      </c>
      <c r="I34" s="12">
        <f t="shared" si="8"/>
        <v>8.0986986018469782</v>
      </c>
      <c r="K34" s="1">
        <v>4675</v>
      </c>
      <c r="L34" s="217"/>
      <c r="M34" s="1">
        <f t="shared" si="9"/>
        <v>37861.415963634623</v>
      </c>
      <c r="N34" s="217"/>
      <c r="O34" s="217"/>
    </row>
    <row r="35" spans="2:15" ht="15.75" x14ac:dyDescent="0.25">
      <c r="B35" s="8" t="str">
        <f t="shared" si="5"/>
        <v>March</v>
      </c>
      <c r="C35">
        <f t="shared" si="5"/>
        <v>2014</v>
      </c>
      <c r="D35" s="204">
        <f t="shared" si="5"/>
        <v>581</v>
      </c>
      <c r="E35" s="205">
        <f t="shared" si="6"/>
        <v>0.12624945675793134</v>
      </c>
      <c r="G35" s="206">
        <f t="shared" si="7"/>
        <v>5.4501114181895112</v>
      </c>
      <c r="H35" s="207">
        <f t="shared" si="10"/>
        <v>0.68804796437759119</v>
      </c>
      <c r="I35" s="12">
        <f t="shared" si="8"/>
        <v>6.1381593825671024</v>
      </c>
      <c r="K35" s="1">
        <v>4714</v>
      </c>
      <c r="L35" s="217"/>
      <c r="M35" s="1">
        <f t="shared" si="9"/>
        <v>28935.28332942132</v>
      </c>
      <c r="N35" s="217"/>
      <c r="O35" s="217"/>
    </row>
    <row r="36" spans="2:15" ht="15.75" x14ac:dyDescent="0.25">
      <c r="B36" s="8" t="str">
        <f t="shared" si="5"/>
        <v>April</v>
      </c>
      <c r="C36">
        <f t="shared" si="5"/>
        <v>2014</v>
      </c>
      <c r="D36" s="204">
        <f t="shared" si="5"/>
        <v>300</v>
      </c>
      <c r="E36" s="205">
        <f t="shared" si="6"/>
        <v>6.51890482398957E-2</v>
      </c>
      <c r="G36" s="206">
        <f t="shared" si="7"/>
        <v>2.8141711281529318</v>
      </c>
      <c r="H36" s="207">
        <f t="shared" si="10"/>
        <v>0.68804796437759119</v>
      </c>
      <c r="I36" s="12">
        <f t="shared" si="8"/>
        <v>3.502219092530523</v>
      </c>
      <c r="K36" s="1">
        <v>4746</v>
      </c>
      <c r="L36" s="217"/>
      <c r="M36" s="1">
        <f t="shared" si="9"/>
        <v>16621.531813149861</v>
      </c>
      <c r="N36" s="217"/>
      <c r="O36" s="217"/>
    </row>
    <row r="37" spans="2:15" ht="15.75" x14ac:dyDescent="0.25">
      <c r="B37" s="8" t="str">
        <f t="shared" si="5"/>
        <v>May</v>
      </c>
      <c r="C37">
        <f t="shared" si="5"/>
        <v>2014</v>
      </c>
      <c r="D37" s="204">
        <f t="shared" si="5"/>
        <v>100</v>
      </c>
      <c r="E37" s="205">
        <f t="shared" si="6"/>
        <v>2.1729682746631899E-2</v>
      </c>
      <c r="G37" s="206">
        <f t="shared" si="7"/>
        <v>0.9380570427176439</v>
      </c>
      <c r="H37" s="207">
        <f t="shared" si="10"/>
        <v>0.68804796437759119</v>
      </c>
      <c r="I37" s="12">
        <f t="shared" si="8"/>
        <v>1.626105007095235</v>
      </c>
      <c r="K37" s="1">
        <v>4689</v>
      </c>
      <c r="L37" s="217"/>
      <c r="M37" s="1">
        <f t="shared" si="9"/>
        <v>7624.8063782695572</v>
      </c>
      <c r="N37" s="217"/>
      <c r="O37" s="217"/>
    </row>
    <row r="38" spans="2:15" ht="15.75" x14ac:dyDescent="0.25">
      <c r="B38" s="8" t="str">
        <f t="shared" si="5"/>
        <v>June</v>
      </c>
      <c r="C38">
        <f t="shared" si="5"/>
        <v>2014</v>
      </c>
      <c r="D38" s="204">
        <f t="shared" si="5"/>
        <v>8</v>
      </c>
      <c r="E38" s="205">
        <f t="shared" si="6"/>
        <v>1.738374619730552E-3</v>
      </c>
      <c r="G38" s="206">
        <f t="shared" si="7"/>
        <v>7.5044563417411517E-2</v>
      </c>
      <c r="H38" s="207">
        <f t="shared" si="10"/>
        <v>0.68804796437759119</v>
      </c>
      <c r="I38" s="12">
        <f t="shared" si="8"/>
        <v>0.7630925277950027</v>
      </c>
      <c r="K38" s="1">
        <v>4598</v>
      </c>
      <c r="L38" s="217"/>
      <c r="M38" s="1">
        <f t="shared" si="9"/>
        <v>3508.6994428014223</v>
      </c>
      <c r="N38" s="217"/>
      <c r="O38" s="217"/>
    </row>
    <row r="39" spans="2:15" ht="15.75" x14ac:dyDescent="0.25">
      <c r="B39" s="8" t="str">
        <f t="shared" si="5"/>
        <v>July</v>
      </c>
      <c r="C39">
        <f t="shared" si="5"/>
        <v>2014</v>
      </c>
      <c r="D39" s="204">
        <f t="shared" si="5"/>
        <v>1</v>
      </c>
      <c r="E39" s="205">
        <f t="shared" si="6"/>
        <v>2.17296827466319E-4</v>
      </c>
      <c r="G39" s="206">
        <f t="shared" si="7"/>
        <v>9.3805704271764396E-3</v>
      </c>
      <c r="H39" s="207">
        <f t="shared" si="10"/>
        <v>0.68804796437759119</v>
      </c>
      <c r="I39" s="12">
        <f t="shared" si="8"/>
        <v>0.69742853480476763</v>
      </c>
      <c r="K39" s="1">
        <v>4475</v>
      </c>
      <c r="L39" s="217"/>
      <c r="M39" s="1">
        <f t="shared" si="9"/>
        <v>3120.9926932513354</v>
      </c>
      <c r="N39" s="217"/>
      <c r="O39" s="217"/>
    </row>
    <row r="40" spans="2:15" ht="15.75" x14ac:dyDescent="0.25">
      <c r="B40" s="8" t="str">
        <f t="shared" si="5"/>
        <v>August</v>
      </c>
      <c r="C40">
        <f t="shared" si="5"/>
        <v>2014</v>
      </c>
      <c r="D40" s="204">
        <f t="shared" si="5"/>
        <v>1</v>
      </c>
      <c r="E40" s="205">
        <f t="shared" si="6"/>
        <v>2.17296827466319E-4</v>
      </c>
      <c r="G40" s="206">
        <f t="shared" si="7"/>
        <v>9.3805704271764396E-3</v>
      </c>
      <c r="H40" s="207">
        <f t="shared" si="10"/>
        <v>0.68804796437759119</v>
      </c>
      <c r="I40" s="12">
        <f t="shared" si="8"/>
        <v>0.69742853480476763</v>
      </c>
      <c r="K40" s="1">
        <v>4237</v>
      </c>
      <c r="L40" s="217"/>
      <c r="M40" s="1">
        <f t="shared" si="9"/>
        <v>2955.0047019678004</v>
      </c>
      <c r="N40" s="217"/>
      <c r="O40" s="217"/>
    </row>
    <row r="41" spans="2:15" ht="15.75" x14ac:dyDescent="0.25">
      <c r="B41" s="8" t="str">
        <f t="shared" si="5"/>
        <v>September</v>
      </c>
      <c r="C41">
        <f t="shared" si="5"/>
        <v>2014</v>
      </c>
      <c r="D41" s="204">
        <f t="shared" si="5"/>
        <v>62</v>
      </c>
      <c r="E41" s="205">
        <f t="shared" si="6"/>
        <v>1.3472403302911778E-2</v>
      </c>
      <c r="G41" s="206">
        <f t="shared" si="7"/>
        <v>0.58159536648493926</v>
      </c>
      <c r="H41" s="207">
        <f t="shared" si="10"/>
        <v>0.68804796437759119</v>
      </c>
      <c r="I41" s="12">
        <f t="shared" si="8"/>
        <v>1.2696433308625306</v>
      </c>
      <c r="K41" s="1">
        <v>4241</v>
      </c>
      <c r="L41" s="217"/>
      <c r="M41" s="1">
        <f t="shared" si="9"/>
        <v>5384.5573661879926</v>
      </c>
      <c r="N41" s="217"/>
      <c r="O41" s="217"/>
    </row>
    <row r="42" spans="2:15" ht="15.75" x14ac:dyDescent="0.25">
      <c r="B42" s="8" t="str">
        <f t="shared" si="5"/>
        <v>October</v>
      </c>
      <c r="C42">
        <f t="shared" si="5"/>
        <v>2014</v>
      </c>
      <c r="D42" s="204">
        <f t="shared" si="5"/>
        <v>248</v>
      </c>
      <c r="E42" s="209">
        <f t="shared" si="6"/>
        <v>5.3889613211647112E-2</v>
      </c>
      <c r="F42" s="210"/>
      <c r="G42" s="211">
        <f t="shared" si="7"/>
        <v>2.326381465939757</v>
      </c>
      <c r="H42" s="219">
        <f t="shared" si="10"/>
        <v>0.68804796437759119</v>
      </c>
      <c r="I42" s="212">
        <f t="shared" si="8"/>
        <v>3.0144294303173482</v>
      </c>
      <c r="J42" s="210"/>
      <c r="K42" s="2">
        <v>4265</v>
      </c>
      <c r="L42" s="217"/>
      <c r="M42" s="1">
        <f t="shared" si="9"/>
        <v>12856.54152030349</v>
      </c>
      <c r="N42" s="217"/>
      <c r="O42" s="217"/>
    </row>
    <row r="43" spans="2:15" ht="16.5" thickBot="1" x14ac:dyDescent="0.3">
      <c r="B43" s="8" t="str">
        <f t="shared" si="5"/>
        <v>November</v>
      </c>
      <c r="C43">
        <f t="shared" si="5"/>
        <v>2014</v>
      </c>
      <c r="D43" s="204">
        <f t="shared" si="5"/>
        <v>578</v>
      </c>
      <c r="E43" s="205">
        <f>+D43/$D$23</f>
        <v>0.12559756627553237</v>
      </c>
      <c r="G43" s="206">
        <f>+E43*$G$44</f>
        <v>5.4219697069079809</v>
      </c>
      <c r="H43" s="207">
        <f>+'[2]annual customer usage-Rogersvil'!K28</f>
        <v>0.68804796437759119</v>
      </c>
      <c r="I43" s="12">
        <f>+G43+H43</f>
        <v>6.110017671285572</v>
      </c>
      <c r="K43" s="1">
        <v>4330</v>
      </c>
      <c r="L43" s="217"/>
      <c r="M43" s="1">
        <f>+K43*I43</f>
        <v>26456.376516666525</v>
      </c>
      <c r="N43" s="217"/>
      <c r="O43" s="217"/>
    </row>
    <row r="44" spans="2:15" ht="15.75" thickBot="1" x14ac:dyDescent="0.3">
      <c r="D44" s="163">
        <f>SUM(D32:D43)</f>
        <v>4602</v>
      </c>
      <c r="E44" s="164">
        <f>SUM(E32:E43)</f>
        <v>1</v>
      </c>
      <c r="G44" s="214">
        <f>+'[2]annual customer usage-Rogersvil'!I13</f>
        <v>43.16938510586597</v>
      </c>
      <c r="H44" s="229">
        <f>SUM(H32:H43)</f>
        <v>8.2565755725310943</v>
      </c>
      <c r="I44" s="215">
        <f>SUM(I32:I43)</f>
        <v>51.425960678397061</v>
      </c>
      <c r="K44" s="165">
        <f>AVERAGE(K32:K43)</f>
        <v>4498.833333333333</v>
      </c>
      <c r="L44" s="217"/>
      <c r="M44" s="225">
        <f>SUM(M32:M43)</f>
        <v>233342.78666379955</v>
      </c>
      <c r="N44" s="217"/>
      <c r="O44" s="217"/>
    </row>
    <row r="45" spans="2:15" ht="15.75" thickTop="1" x14ac:dyDescent="0.25">
      <c r="D45" s="217"/>
      <c r="E45" s="217"/>
      <c r="G45" s="206">
        <f>SUM(G32:G43)</f>
        <v>43.16938510586597</v>
      </c>
      <c r="H45" s="217"/>
      <c r="K45" s="227" t="s">
        <v>27</v>
      </c>
      <c r="L45" s="217"/>
      <c r="M45" s="217"/>
      <c r="N45" s="217"/>
      <c r="O45" s="217"/>
    </row>
    <row r="46" spans="2:15" x14ac:dyDescent="0.25">
      <c r="D46" s="217"/>
      <c r="E46" s="217"/>
      <c r="G46" s="206"/>
      <c r="H46" s="217"/>
      <c r="K46" s="227"/>
      <c r="L46" s="217"/>
      <c r="M46" s="217"/>
      <c r="N46" s="217"/>
      <c r="O46" s="217"/>
    </row>
    <row r="47" spans="2:15" x14ac:dyDescent="0.25">
      <c r="D47" s="217"/>
      <c r="E47" s="217"/>
      <c r="G47" s="206"/>
      <c r="H47" s="217"/>
      <c r="K47" s="217"/>
      <c r="L47" s="217"/>
      <c r="M47" s="217"/>
      <c r="N47" s="217"/>
      <c r="O47" s="217"/>
    </row>
    <row r="48" spans="2:15" ht="15.75" x14ac:dyDescent="0.25">
      <c r="D48" s="161" t="s">
        <v>30</v>
      </c>
      <c r="E48" s="162"/>
      <c r="G48" s="5" t="s">
        <v>1</v>
      </c>
      <c r="H48" s="217"/>
      <c r="K48" s="217"/>
      <c r="L48" s="217"/>
      <c r="M48" s="217"/>
      <c r="N48" s="217"/>
      <c r="O48" s="217"/>
    </row>
    <row r="49" spans="1:15" ht="15.75" thickBot="1" x14ac:dyDescent="0.3">
      <c r="D49" s="295" t="s">
        <v>2</v>
      </c>
      <c r="E49" s="295"/>
      <c r="G49" s="5" t="s">
        <v>3</v>
      </c>
      <c r="H49" s="227" t="s">
        <v>4</v>
      </c>
      <c r="I49" s="5" t="s">
        <v>0</v>
      </c>
      <c r="K49" s="217"/>
      <c r="L49" s="217"/>
      <c r="M49" s="217"/>
      <c r="N49" s="217"/>
      <c r="O49" s="217"/>
    </row>
    <row r="50" spans="1:15" x14ac:dyDescent="0.25">
      <c r="D50" s="5" t="s">
        <v>5</v>
      </c>
      <c r="E50" s="5" t="s">
        <v>6</v>
      </c>
      <c r="G50" s="5" t="s">
        <v>7</v>
      </c>
      <c r="H50" s="227" t="s">
        <v>8</v>
      </c>
      <c r="I50" s="5" t="s">
        <v>4</v>
      </c>
      <c r="K50" s="227" t="s">
        <v>9</v>
      </c>
      <c r="L50" s="217"/>
      <c r="M50" s="228" t="s">
        <v>4</v>
      </c>
      <c r="N50" s="217"/>
      <c r="O50" s="217"/>
    </row>
    <row r="51" spans="1:15" ht="15.75" thickBot="1" x14ac:dyDescent="0.3">
      <c r="D51" s="6" t="s">
        <v>10</v>
      </c>
      <c r="E51" s="6" t="s">
        <v>11</v>
      </c>
      <c r="G51" s="203" t="s">
        <v>9</v>
      </c>
      <c r="H51" s="203" t="s">
        <v>12</v>
      </c>
      <c r="I51" s="203" t="s">
        <v>12</v>
      </c>
      <c r="K51" s="155" t="s">
        <v>158</v>
      </c>
      <c r="L51" s="217"/>
      <c r="M51" s="203" t="s">
        <v>13</v>
      </c>
      <c r="N51" s="217"/>
      <c r="O51" s="217"/>
    </row>
    <row r="52" spans="1:15" ht="15.75" x14ac:dyDescent="0.25">
      <c r="A52" s="7" t="s">
        <v>159</v>
      </c>
      <c r="D52" s="217"/>
      <c r="E52" s="217"/>
      <c r="H52" s="217"/>
      <c r="K52" s="217"/>
      <c r="L52" s="217"/>
      <c r="M52" s="217"/>
      <c r="N52" s="217"/>
      <c r="O52" s="217"/>
    </row>
    <row r="53" spans="1:15" x14ac:dyDescent="0.25">
      <c r="K53" s="217"/>
      <c r="L53" s="217"/>
      <c r="M53" s="217"/>
      <c r="N53" s="217"/>
      <c r="O53" s="217"/>
    </row>
    <row r="54" spans="1:15" ht="15.75" x14ac:dyDescent="0.25">
      <c r="B54" s="8" t="str">
        <f t="shared" ref="B54:D65" si="11">B32</f>
        <v>December</v>
      </c>
      <c r="C54">
        <f t="shared" si="11"/>
        <v>2013</v>
      </c>
      <c r="D54" s="204">
        <f t="shared" si="11"/>
        <v>899</v>
      </c>
      <c r="E54" s="205">
        <f t="shared" ref="E54:E64" si="12">+D54/$D$66</f>
        <v>0.19534984789222076</v>
      </c>
      <c r="G54" s="206">
        <f t="shared" ref="G54:G64" si="13">+E54*$G$66</f>
        <v>27.283779891632513</v>
      </c>
      <c r="H54" s="207">
        <f>+H65</f>
        <v>5.926751618588133</v>
      </c>
      <c r="I54" s="12">
        <f t="shared" ref="I54:I64" si="14">+G54+H54</f>
        <v>33.210531510220648</v>
      </c>
      <c r="K54" s="230">
        <v>1055</v>
      </c>
      <c r="L54" s="217"/>
      <c r="M54" s="1">
        <f t="shared" ref="M54:M64" si="15">+K54*I54</f>
        <v>35037.110743282785</v>
      </c>
      <c r="N54" s="217"/>
      <c r="O54" s="217"/>
    </row>
    <row r="55" spans="1:15" ht="15.75" x14ac:dyDescent="0.25">
      <c r="B55" s="8" t="str">
        <f t="shared" si="11"/>
        <v>January</v>
      </c>
      <c r="C55">
        <f t="shared" si="11"/>
        <v>2014</v>
      </c>
      <c r="D55" s="204">
        <f t="shared" si="11"/>
        <v>1034</v>
      </c>
      <c r="E55" s="205">
        <f t="shared" si="12"/>
        <v>0.22468491960017384</v>
      </c>
      <c r="G55" s="206">
        <f t="shared" si="13"/>
        <v>31.380899230198022</v>
      </c>
      <c r="H55" s="207">
        <f t="shared" ref="H55:H64" si="16">+H54</f>
        <v>5.926751618588133</v>
      </c>
      <c r="I55" s="12">
        <f t="shared" si="14"/>
        <v>37.307650848786153</v>
      </c>
      <c r="K55" s="230">
        <v>1069</v>
      </c>
      <c r="L55" s="217"/>
      <c r="M55" s="1">
        <f t="shared" si="15"/>
        <v>39881.878757352395</v>
      </c>
      <c r="N55" s="217"/>
      <c r="O55" s="217"/>
    </row>
    <row r="56" spans="1:15" ht="15.75" x14ac:dyDescent="0.25">
      <c r="B56" s="8" t="str">
        <f t="shared" si="11"/>
        <v>February</v>
      </c>
      <c r="C56">
        <f t="shared" si="11"/>
        <v>2014</v>
      </c>
      <c r="D56" s="204">
        <f t="shared" si="11"/>
        <v>790</v>
      </c>
      <c r="E56" s="205">
        <f t="shared" si="12"/>
        <v>0.17166449369839201</v>
      </c>
      <c r="G56" s="206">
        <f t="shared" si="13"/>
        <v>23.97573538864259</v>
      </c>
      <c r="H56" s="207">
        <f t="shared" si="16"/>
        <v>5.926751618588133</v>
      </c>
      <c r="I56" s="12">
        <f t="shared" si="14"/>
        <v>29.902487007230725</v>
      </c>
      <c r="K56" s="230">
        <v>1079</v>
      </c>
      <c r="L56" s="217"/>
      <c r="M56" s="1">
        <f t="shared" si="15"/>
        <v>32264.783480801951</v>
      </c>
      <c r="N56" s="217"/>
      <c r="O56" s="217"/>
    </row>
    <row r="57" spans="1:15" ht="15.75" x14ac:dyDescent="0.25">
      <c r="B57" s="8" t="str">
        <f t="shared" si="11"/>
        <v>March</v>
      </c>
      <c r="C57">
        <f t="shared" si="11"/>
        <v>2014</v>
      </c>
      <c r="D57" s="204">
        <f t="shared" si="11"/>
        <v>581</v>
      </c>
      <c r="E57" s="205">
        <f t="shared" si="12"/>
        <v>0.12624945675793134</v>
      </c>
      <c r="G57" s="206">
        <f t="shared" si="13"/>
        <v>17.632787671900434</v>
      </c>
      <c r="H57" s="207">
        <f t="shared" si="16"/>
        <v>5.926751618588133</v>
      </c>
      <c r="I57" s="12">
        <f t="shared" si="14"/>
        <v>23.559539290488566</v>
      </c>
      <c r="K57" s="230">
        <v>1080</v>
      </c>
      <c r="L57" s="217"/>
      <c r="M57" s="1">
        <f t="shared" si="15"/>
        <v>25444.302433727651</v>
      </c>
      <c r="N57" s="217"/>
      <c r="O57" s="217"/>
    </row>
    <row r="58" spans="1:15" ht="15.75" x14ac:dyDescent="0.25">
      <c r="B58" s="8" t="str">
        <f t="shared" si="11"/>
        <v>April</v>
      </c>
      <c r="C58">
        <f t="shared" si="11"/>
        <v>2014</v>
      </c>
      <c r="D58" s="204">
        <f t="shared" si="11"/>
        <v>300</v>
      </c>
      <c r="E58" s="205">
        <f t="shared" si="12"/>
        <v>6.51890482398957E-2</v>
      </c>
      <c r="G58" s="206">
        <f t="shared" si="13"/>
        <v>9.1047096412566795</v>
      </c>
      <c r="H58" s="207">
        <f t="shared" si="16"/>
        <v>5.926751618588133</v>
      </c>
      <c r="I58" s="12">
        <f t="shared" si="14"/>
        <v>15.031461259844813</v>
      </c>
      <c r="K58" s="230">
        <v>1084</v>
      </c>
      <c r="L58" s="217"/>
      <c r="M58" s="1">
        <f t="shared" si="15"/>
        <v>16294.104005671777</v>
      </c>
      <c r="N58" s="217"/>
      <c r="O58" s="217"/>
    </row>
    <row r="59" spans="1:15" ht="15.75" x14ac:dyDescent="0.25">
      <c r="B59" s="8" t="str">
        <f t="shared" si="11"/>
        <v>May</v>
      </c>
      <c r="C59">
        <f t="shared" si="11"/>
        <v>2014</v>
      </c>
      <c r="D59" s="204">
        <f t="shared" si="11"/>
        <v>100</v>
      </c>
      <c r="E59" s="205">
        <f t="shared" si="12"/>
        <v>2.1729682746631899E-2</v>
      </c>
      <c r="G59" s="206">
        <f t="shared" si="13"/>
        <v>3.0349032137522265</v>
      </c>
      <c r="H59" s="207">
        <f t="shared" si="16"/>
        <v>5.926751618588133</v>
      </c>
      <c r="I59" s="12">
        <f t="shared" si="14"/>
        <v>8.9616548323403595</v>
      </c>
      <c r="K59" s="230">
        <v>1080</v>
      </c>
      <c r="L59" s="217"/>
      <c r="M59" s="1">
        <f t="shared" si="15"/>
        <v>9678.5872189275888</v>
      </c>
      <c r="N59" s="217"/>
      <c r="O59" s="217"/>
    </row>
    <row r="60" spans="1:15" ht="15.75" x14ac:dyDescent="0.25">
      <c r="B60" s="8" t="str">
        <f t="shared" si="11"/>
        <v>June</v>
      </c>
      <c r="C60">
        <f t="shared" si="11"/>
        <v>2014</v>
      </c>
      <c r="D60" s="204">
        <f t="shared" si="11"/>
        <v>8</v>
      </c>
      <c r="E60" s="205">
        <f t="shared" si="12"/>
        <v>1.738374619730552E-3</v>
      </c>
      <c r="G60" s="206">
        <f t="shared" si="13"/>
        <v>0.24279225710017813</v>
      </c>
      <c r="H60" s="207">
        <f t="shared" si="16"/>
        <v>5.926751618588133</v>
      </c>
      <c r="I60" s="12">
        <f t="shared" si="14"/>
        <v>6.1695438756883112</v>
      </c>
      <c r="K60" s="230">
        <v>1057</v>
      </c>
      <c r="L60" s="217"/>
      <c r="M60" s="1">
        <f t="shared" si="15"/>
        <v>6521.2078766025452</v>
      </c>
      <c r="N60" s="217"/>
      <c r="O60" s="217"/>
    </row>
    <row r="61" spans="1:15" ht="15.75" x14ac:dyDescent="0.25">
      <c r="B61" s="8" t="str">
        <f t="shared" si="11"/>
        <v>July</v>
      </c>
      <c r="C61">
        <f t="shared" si="11"/>
        <v>2014</v>
      </c>
      <c r="D61" s="204">
        <f t="shared" si="11"/>
        <v>1</v>
      </c>
      <c r="E61" s="205">
        <f t="shared" si="12"/>
        <v>2.17296827466319E-4</v>
      </c>
      <c r="G61" s="206">
        <f t="shared" si="13"/>
        <v>3.0349032137522266E-2</v>
      </c>
      <c r="H61" s="207">
        <f t="shared" si="16"/>
        <v>5.926751618588133</v>
      </c>
      <c r="I61" s="12">
        <f t="shared" si="14"/>
        <v>5.9571006507256552</v>
      </c>
      <c r="K61" s="230">
        <v>1029</v>
      </c>
      <c r="L61" s="217"/>
      <c r="M61" s="1">
        <f t="shared" si="15"/>
        <v>6129.856569596699</v>
      </c>
      <c r="N61" s="217"/>
      <c r="O61" s="217"/>
    </row>
    <row r="62" spans="1:15" ht="15.75" x14ac:dyDescent="0.25">
      <c r="B62" s="8" t="str">
        <f t="shared" si="11"/>
        <v>August</v>
      </c>
      <c r="C62">
        <f t="shared" si="11"/>
        <v>2014</v>
      </c>
      <c r="D62" s="204">
        <f t="shared" si="11"/>
        <v>1</v>
      </c>
      <c r="E62" s="205">
        <f t="shared" si="12"/>
        <v>2.17296827466319E-4</v>
      </c>
      <c r="G62" s="206">
        <f t="shared" si="13"/>
        <v>3.0349032137522266E-2</v>
      </c>
      <c r="H62" s="207">
        <f t="shared" si="16"/>
        <v>5.926751618588133</v>
      </c>
      <c r="I62" s="12">
        <f t="shared" si="14"/>
        <v>5.9571006507256552</v>
      </c>
      <c r="K62" s="230">
        <v>1018</v>
      </c>
      <c r="L62" s="217"/>
      <c r="M62" s="1">
        <f t="shared" si="15"/>
        <v>6064.328462438717</v>
      </c>
      <c r="N62" s="217"/>
      <c r="O62" s="217"/>
    </row>
    <row r="63" spans="1:15" ht="15.75" x14ac:dyDescent="0.25">
      <c r="B63" s="8" t="str">
        <f t="shared" si="11"/>
        <v>September</v>
      </c>
      <c r="C63">
        <f t="shared" si="11"/>
        <v>2014</v>
      </c>
      <c r="D63" s="204">
        <f t="shared" si="11"/>
        <v>62</v>
      </c>
      <c r="E63" s="205">
        <f t="shared" si="12"/>
        <v>1.3472403302911778E-2</v>
      </c>
      <c r="G63" s="206">
        <f t="shared" si="13"/>
        <v>1.8816399925263805</v>
      </c>
      <c r="H63" s="207">
        <f t="shared" si="16"/>
        <v>5.926751618588133</v>
      </c>
      <c r="I63" s="12">
        <f t="shared" si="14"/>
        <v>7.808391611114514</v>
      </c>
      <c r="K63" s="230">
        <v>1016</v>
      </c>
      <c r="L63" s="217"/>
      <c r="M63" s="1">
        <f t="shared" si="15"/>
        <v>7933.3258768923461</v>
      </c>
      <c r="N63" s="217"/>
      <c r="O63" s="217"/>
    </row>
    <row r="64" spans="1:15" ht="15.75" x14ac:dyDescent="0.25">
      <c r="B64" s="8" t="str">
        <f t="shared" si="11"/>
        <v>October</v>
      </c>
      <c r="C64">
        <f t="shared" si="11"/>
        <v>2014</v>
      </c>
      <c r="D64" s="204">
        <f t="shared" si="11"/>
        <v>248</v>
      </c>
      <c r="E64" s="209">
        <f t="shared" si="12"/>
        <v>5.3889613211647112E-2</v>
      </c>
      <c r="F64" s="210"/>
      <c r="G64" s="211">
        <f t="shared" si="13"/>
        <v>7.5265599701055219</v>
      </c>
      <c r="H64" s="219">
        <f t="shared" si="16"/>
        <v>5.926751618588133</v>
      </c>
      <c r="I64" s="212">
        <f t="shared" si="14"/>
        <v>13.453311588693655</v>
      </c>
      <c r="J64" s="210"/>
      <c r="K64" s="231">
        <v>1014</v>
      </c>
      <c r="L64" s="56"/>
      <c r="M64" s="2">
        <f t="shared" si="15"/>
        <v>13641.657950935367</v>
      </c>
      <c r="N64" s="217"/>
      <c r="O64" s="217"/>
    </row>
    <row r="65" spans="1:15" ht="16.5" thickBot="1" x14ac:dyDescent="0.3">
      <c r="B65" s="8" t="str">
        <f t="shared" si="11"/>
        <v>November</v>
      </c>
      <c r="C65">
        <f t="shared" si="11"/>
        <v>2014</v>
      </c>
      <c r="D65" s="204">
        <f t="shared" si="11"/>
        <v>578</v>
      </c>
      <c r="E65" s="205">
        <f>+D65/$D$66</f>
        <v>0.12559756627553237</v>
      </c>
      <c r="G65" s="206">
        <f>+E65*$G$66</f>
        <v>17.541740575487868</v>
      </c>
      <c r="H65" s="207">
        <f>+'[2]annual customer usage-Rogersvil'!K29</f>
        <v>5.926751618588133</v>
      </c>
      <c r="I65" s="12">
        <f>+G65+H65</f>
        <v>23.468492194075999</v>
      </c>
      <c r="K65" s="230">
        <v>1030</v>
      </c>
      <c r="L65" s="217"/>
      <c r="M65" s="1">
        <f>+K65*I65</f>
        <v>24172.546959898278</v>
      </c>
      <c r="N65" s="217"/>
      <c r="O65" s="217"/>
    </row>
    <row r="66" spans="1:15" ht="15.75" thickBot="1" x14ac:dyDescent="0.3">
      <c r="D66" s="163">
        <f>SUM(D54:D65)</f>
        <v>4602</v>
      </c>
      <c r="E66" s="158">
        <f>SUM(E54:E65)</f>
        <v>1</v>
      </c>
      <c r="G66" s="214">
        <f>+'[2]annual customer usage-Rogersvil'!I14</f>
        <v>139.66624589687746</v>
      </c>
      <c r="H66" s="229">
        <f>SUM(H54:H65)</f>
        <v>71.121019423057604</v>
      </c>
      <c r="I66" s="215">
        <f>SUM(I54:I65)</f>
        <v>210.78726531993505</v>
      </c>
      <c r="K66" s="165">
        <f>AVERAGE(K54:K65)</f>
        <v>1050.9166666666667</v>
      </c>
      <c r="L66" s="217"/>
      <c r="M66" s="225">
        <f>SUM(M54:M65)</f>
        <v>223063.69033612811</v>
      </c>
      <c r="N66" s="217"/>
      <c r="O66" s="217"/>
    </row>
    <row r="67" spans="1:15" ht="15.75" thickTop="1" x14ac:dyDescent="0.25">
      <c r="D67" s="217"/>
      <c r="E67" s="217"/>
      <c r="G67" s="206">
        <f>SUM(G54:G65)</f>
        <v>139.66624589687746</v>
      </c>
      <c r="H67" s="217"/>
      <c r="K67" s="227" t="s">
        <v>27</v>
      </c>
      <c r="L67" s="217"/>
      <c r="M67" s="217"/>
      <c r="N67" s="217"/>
      <c r="O67" s="217"/>
    </row>
    <row r="68" spans="1:15" x14ac:dyDescent="0.25">
      <c r="D68" s="217"/>
      <c r="E68" s="217"/>
      <c r="G68" s="206"/>
      <c r="H68" s="217"/>
      <c r="K68" s="227"/>
      <c r="L68" s="217"/>
      <c r="M68" s="217"/>
      <c r="N68" s="217"/>
      <c r="O68" s="217"/>
    </row>
    <row r="69" spans="1:15" ht="18" x14ac:dyDescent="0.25">
      <c r="A69" s="160" t="s">
        <v>152</v>
      </c>
      <c r="B69" s="3"/>
      <c r="C69" s="3"/>
      <c r="D69" s="3"/>
      <c r="E69" s="3"/>
      <c r="F69" s="202"/>
      <c r="G69" s="202"/>
      <c r="H69" s="202"/>
      <c r="I69" s="202"/>
      <c r="J69" s="202"/>
      <c r="K69" s="202"/>
      <c r="L69" s="202"/>
      <c r="M69" s="202"/>
    </row>
    <row r="70" spans="1:15" ht="15.75" x14ac:dyDescent="0.25">
      <c r="A70" s="3" t="s">
        <v>163</v>
      </c>
      <c r="B70" s="3"/>
      <c r="C70" s="3"/>
      <c r="D70" s="3"/>
      <c r="E70" s="3"/>
      <c r="F70" s="202"/>
      <c r="G70" s="202"/>
      <c r="H70" s="202"/>
      <c r="I70" s="202"/>
      <c r="J70" s="202"/>
      <c r="K70" s="202"/>
      <c r="L70" s="202"/>
      <c r="M70" s="202"/>
    </row>
    <row r="71" spans="1:15" ht="15.75" x14ac:dyDescent="0.25">
      <c r="A71" s="3" t="s">
        <v>153</v>
      </c>
      <c r="B71" s="3"/>
      <c r="C71" s="3"/>
      <c r="D71" s="3"/>
      <c r="E71" s="3"/>
      <c r="F71" s="202"/>
      <c r="G71" s="202"/>
      <c r="H71" s="202"/>
      <c r="I71" s="202"/>
      <c r="J71" s="202"/>
      <c r="K71" s="202"/>
      <c r="L71" s="202"/>
      <c r="M71" s="202"/>
    </row>
    <row r="72" spans="1:15" ht="15.75" x14ac:dyDescent="0.25">
      <c r="A72" s="3" t="s">
        <v>154</v>
      </c>
      <c r="B72" s="3"/>
      <c r="C72" s="3"/>
      <c r="D72" s="3"/>
      <c r="E72" s="3"/>
      <c r="F72" s="202"/>
      <c r="G72" s="202"/>
      <c r="H72" s="202"/>
      <c r="I72" s="202"/>
      <c r="J72" s="202"/>
      <c r="K72" s="202"/>
      <c r="L72" s="202"/>
      <c r="M72" s="202"/>
    </row>
    <row r="73" spans="1:15" x14ac:dyDescent="0.25">
      <c r="D73" s="217"/>
      <c r="E73" s="217"/>
      <c r="G73" s="206"/>
      <c r="H73" s="217"/>
      <c r="K73" s="227"/>
      <c r="L73" s="217"/>
      <c r="M73" s="217"/>
      <c r="N73" s="217"/>
      <c r="O73" s="217"/>
    </row>
    <row r="74" spans="1:15" x14ac:dyDescent="0.25">
      <c r="D74" s="217"/>
      <c r="E74" s="217"/>
      <c r="G74" s="206"/>
      <c r="H74" s="217"/>
      <c r="K74" s="227"/>
      <c r="L74" s="217"/>
      <c r="M74" s="217"/>
      <c r="N74" s="217"/>
      <c r="O74" s="217"/>
    </row>
    <row r="75" spans="1:15" ht="15.75" x14ac:dyDescent="0.25">
      <c r="D75" s="161" t="s">
        <v>30</v>
      </c>
      <c r="E75" s="162"/>
      <c r="G75" s="5" t="s">
        <v>1</v>
      </c>
      <c r="H75" s="217"/>
      <c r="K75" s="217"/>
      <c r="L75" s="217"/>
      <c r="M75" s="217"/>
      <c r="N75" s="217"/>
      <c r="O75" s="217"/>
    </row>
    <row r="76" spans="1:15" ht="15.75" thickBot="1" x14ac:dyDescent="0.3">
      <c r="D76" s="295" t="s">
        <v>2</v>
      </c>
      <c r="E76" s="295"/>
      <c r="G76" s="5" t="s">
        <v>3</v>
      </c>
      <c r="H76" s="227" t="s">
        <v>4</v>
      </c>
      <c r="I76" s="5" t="s">
        <v>0</v>
      </c>
      <c r="K76" s="217"/>
      <c r="L76" s="217"/>
      <c r="M76" s="217"/>
      <c r="N76" s="217"/>
      <c r="O76" s="217"/>
    </row>
    <row r="77" spans="1:15" x14ac:dyDescent="0.25">
      <c r="D77" s="5" t="s">
        <v>5</v>
      </c>
      <c r="E77" s="5" t="s">
        <v>6</v>
      </c>
      <c r="G77" s="5" t="s">
        <v>7</v>
      </c>
      <c r="H77" s="227" t="s">
        <v>8</v>
      </c>
      <c r="I77" s="5" t="s">
        <v>4</v>
      </c>
      <c r="K77" s="227" t="s">
        <v>9</v>
      </c>
      <c r="L77" s="217"/>
      <c r="M77" s="228" t="s">
        <v>4</v>
      </c>
      <c r="N77" s="217"/>
      <c r="O77" s="217"/>
    </row>
    <row r="78" spans="1:15" ht="15.75" thickBot="1" x14ac:dyDescent="0.3">
      <c r="D78" s="6" t="s">
        <v>10</v>
      </c>
      <c r="E78" s="6" t="s">
        <v>11</v>
      </c>
      <c r="G78" s="203" t="s">
        <v>9</v>
      </c>
      <c r="H78" s="203" t="s">
        <v>12</v>
      </c>
      <c r="I78" s="203" t="s">
        <v>12</v>
      </c>
      <c r="K78" s="155" t="s">
        <v>158</v>
      </c>
      <c r="L78" s="217"/>
      <c r="M78" s="203" t="s">
        <v>13</v>
      </c>
      <c r="N78" s="217"/>
      <c r="O78" s="217"/>
    </row>
    <row r="79" spans="1:15" ht="15.75" x14ac:dyDescent="0.25">
      <c r="A79" s="7" t="s">
        <v>160</v>
      </c>
      <c r="D79" s="217"/>
      <c r="E79" s="217"/>
      <c r="H79" s="217"/>
      <c r="K79" s="217"/>
      <c r="L79" s="217"/>
      <c r="M79" s="217"/>
      <c r="N79" s="217"/>
      <c r="O79" s="217"/>
    </row>
    <row r="80" spans="1:15" x14ac:dyDescent="0.25">
      <c r="K80" s="217"/>
      <c r="L80" s="217"/>
      <c r="M80" s="217"/>
      <c r="N80" s="217"/>
      <c r="O80" s="217"/>
    </row>
    <row r="81" spans="2:15" ht="15.75" x14ac:dyDescent="0.25">
      <c r="B81" s="8" t="str">
        <f>B54</f>
        <v>December</v>
      </c>
      <c r="C81">
        <f>C54</f>
        <v>2013</v>
      </c>
      <c r="D81" s="204">
        <f>D54</f>
        <v>899</v>
      </c>
      <c r="E81" s="205">
        <f t="shared" ref="E81:E91" si="17">+D81/$D$66</f>
        <v>0.19534984789222076</v>
      </c>
      <c r="G81" s="206">
        <f t="shared" ref="G81:G91" si="18">+E81*$G$93</f>
        <v>13.273969466254115</v>
      </c>
      <c r="H81" s="207">
        <f>+H92</f>
        <v>1.3229453613866784</v>
      </c>
      <c r="I81" s="12">
        <f t="shared" ref="I81:I91" si="19">+G81+H81</f>
        <v>14.596914827640793</v>
      </c>
      <c r="K81" s="230">
        <v>348</v>
      </c>
      <c r="L81" s="217"/>
      <c r="M81" s="1">
        <f t="shared" ref="M81:M91" si="20">+K81*I81</f>
        <v>5079.7263600189963</v>
      </c>
      <c r="N81" s="217"/>
      <c r="O81" s="217"/>
    </row>
    <row r="82" spans="2:15" ht="15.75" x14ac:dyDescent="0.25">
      <c r="B82" s="8" t="str">
        <f>B55</f>
        <v>January</v>
      </c>
      <c r="C82">
        <f>C55</f>
        <v>2014</v>
      </c>
      <c r="D82" s="204">
        <f>D55</f>
        <v>1034</v>
      </c>
      <c r="E82" s="205">
        <f t="shared" si="17"/>
        <v>0.22468491960017384</v>
      </c>
      <c r="G82" s="206">
        <f t="shared" si="18"/>
        <v>15.267279675313411</v>
      </c>
      <c r="H82" s="207">
        <f t="shared" ref="H82:H91" si="21">+H81</f>
        <v>1.3229453613866784</v>
      </c>
      <c r="I82" s="12">
        <f t="shared" si="19"/>
        <v>16.59022503670009</v>
      </c>
      <c r="K82" s="230">
        <v>348</v>
      </c>
      <c r="L82" s="217"/>
      <c r="M82" s="1">
        <f t="shared" si="20"/>
        <v>5773.398312771631</v>
      </c>
      <c r="N82" s="217"/>
      <c r="O82" s="217"/>
    </row>
    <row r="83" spans="2:15" ht="15.75" x14ac:dyDescent="0.25">
      <c r="B83" s="8" t="str">
        <f>B56</f>
        <v>February</v>
      </c>
      <c r="C83">
        <f>C56</f>
        <v>2014</v>
      </c>
      <c r="D83" s="204">
        <f>D56</f>
        <v>790</v>
      </c>
      <c r="E83" s="205">
        <f t="shared" si="17"/>
        <v>0.17166449369839201</v>
      </c>
      <c r="G83" s="206">
        <f t="shared" si="18"/>
        <v>11.664556038198835</v>
      </c>
      <c r="H83" s="207">
        <f t="shared" si="21"/>
        <v>1.3229453613866784</v>
      </c>
      <c r="I83" s="12">
        <f t="shared" si="19"/>
        <v>12.987501399585513</v>
      </c>
      <c r="K83" s="230">
        <v>348</v>
      </c>
      <c r="L83" s="217"/>
      <c r="M83" s="1">
        <f t="shared" si="20"/>
        <v>4519.6504870557583</v>
      </c>
      <c r="N83" s="217"/>
      <c r="O83" s="217"/>
    </row>
    <row r="84" spans="2:15" ht="15.75" x14ac:dyDescent="0.25">
      <c r="B84" s="8" t="str">
        <f>B57</f>
        <v>March</v>
      </c>
      <c r="C84">
        <f>C57</f>
        <v>2014</v>
      </c>
      <c r="D84" s="204">
        <f>D57</f>
        <v>581</v>
      </c>
      <c r="E84" s="205">
        <f t="shared" si="17"/>
        <v>0.12624945675793134</v>
      </c>
      <c r="G84" s="206">
        <f t="shared" si="18"/>
        <v>8.5786165293588894</v>
      </c>
      <c r="H84" s="207">
        <f t="shared" si="21"/>
        <v>1.3229453613866784</v>
      </c>
      <c r="I84" s="12">
        <f t="shared" si="19"/>
        <v>9.9015618907455671</v>
      </c>
      <c r="K84" s="230">
        <v>348</v>
      </c>
      <c r="L84" s="217"/>
      <c r="M84" s="1">
        <f t="shared" si="20"/>
        <v>3445.7435379794574</v>
      </c>
      <c r="N84" s="217"/>
      <c r="O84" s="217"/>
    </row>
    <row r="85" spans="2:15" ht="15.75" x14ac:dyDescent="0.25">
      <c r="B85" s="8" t="str">
        <f>B58</f>
        <v>April</v>
      </c>
      <c r="C85">
        <f>C58</f>
        <v>2014</v>
      </c>
      <c r="D85" s="204">
        <f>D58</f>
        <v>300</v>
      </c>
      <c r="E85" s="205">
        <f t="shared" si="17"/>
        <v>6.51890482398957E-2</v>
      </c>
      <c r="G85" s="206">
        <f t="shared" si="18"/>
        <v>4.4295782423539878</v>
      </c>
      <c r="H85" s="207">
        <f t="shared" si="21"/>
        <v>1.3229453613866784</v>
      </c>
      <c r="I85" s="12">
        <f t="shared" si="19"/>
        <v>5.7525236037406664</v>
      </c>
      <c r="K85" s="230">
        <v>348</v>
      </c>
      <c r="L85" s="217"/>
      <c r="M85" s="1">
        <f t="shared" si="20"/>
        <v>2001.8782141017518</v>
      </c>
      <c r="N85" s="217"/>
      <c r="O85" s="217"/>
    </row>
    <row r="86" spans="2:15" ht="15.75" x14ac:dyDescent="0.25">
      <c r="B86" s="8" t="str">
        <f>B59</f>
        <v>May</v>
      </c>
      <c r="C86">
        <f>C59</f>
        <v>2014</v>
      </c>
      <c r="D86" s="204">
        <f>D59</f>
        <v>100</v>
      </c>
      <c r="E86" s="205">
        <f t="shared" si="17"/>
        <v>2.1729682746631899E-2</v>
      </c>
      <c r="G86" s="206">
        <f t="shared" si="18"/>
        <v>1.4765260807846625</v>
      </c>
      <c r="H86" s="207">
        <f t="shared" si="21"/>
        <v>1.3229453613866784</v>
      </c>
      <c r="I86" s="12">
        <f t="shared" si="19"/>
        <v>2.7994714421713409</v>
      </c>
      <c r="K86" s="230">
        <v>348</v>
      </c>
      <c r="L86" s="217"/>
      <c r="M86" s="1">
        <f t="shared" si="20"/>
        <v>974.21606187562668</v>
      </c>
      <c r="N86" s="217"/>
      <c r="O86" s="217"/>
    </row>
    <row r="87" spans="2:15" ht="15.75" x14ac:dyDescent="0.25">
      <c r="B87" s="8" t="str">
        <f>B60</f>
        <v>June</v>
      </c>
      <c r="C87">
        <f>C60</f>
        <v>2014</v>
      </c>
      <c r="D87" s="204">
        <f>D60</f>
        <v>8</v>
      </c>
      <c r="E87" s="205">
        <f t="shared" si="17"/>
        <v>1.738374619730552E-3</v>
      </c>
      <c r="G87" s="206">
        <f t="shared" si="18"/>
        <v>0.11812208646277302</v>
      </c>
      <c r="H87" s="207">
        <f t="shared" si="21"/>
        <v>1.3229453613866784</v>
      </c>
      <c r="I87" s="12">
        <f t="shared" si="19"/>
        <v>1.4410674478494514</v>
      </c>
      <c r="K87" s="230">
        <v>348</v>
      </c>
      <c r="L87" s="217"/>
      <c r="M87" s="1">
        <f t="shared" si="20"/>
        <v>501.49147185160911</v>
      </c>
      <c r="N87" s="217"/>
      <c r="O87" s="217"/>
    </row>
    <row r="88" spans="2:15" ht="15.75" x14ac:dyDescent="0.25">
      <c r="B88" s="8" t="str">
        <f>B61</f>
        <v>July</v>
      </c>
      <c r="C88">
        <f>C61</f>
        <v>2014</v>
      </c>
      <c r="D88" s="204">
        <f>D61</f>
        <v>1</v>
      </c>
      <c r="E88" s="205">
        <f t="shared" si="17"/>
        <v>2.17296827466319E-4</v>
      </c>
      <c r="G88" s="206">
        <f t="shared" si="18"/>
        <v>1.4765260807846627E-2</v>
      </c>
      <c r="H88" s="207">
        <f t="shared" si="21"/>
        <v>1.3229453613866784</v>
      </c>
      <c r="I88" s="12">
        <f t="shared" si="19"/>
        <v>1.337710622194525</v>
      </c>
      <c r="K88" s="230">
        <v>348</v>
      </c>
      <c r="L88" s="217"/>
      <c r="M88" s="1">
        <f t="shared" si="20"/>
        <v>465.52329652369468</v>
      </c>
      <c r="N88" s="217"/>
      <c r="O88" s="217"/>
    </row>
    <row r="89" spans="2:15" ht="15.75" x14ac:dyDescent="0.25">
      <c r="B89" s="8" t="str">
        <f>B62</f>
        <v>August</v>
      </c>
      <c r="C89">
        <f>C62</f>
        <v>2014</v>
      </c>
      <c r="D89" s="204">
        <f>D62</f>
        <v>1</v>
      </c>
      <c r="E89" s="205">
        <f t="shared" si="17"/>
        <v>2.17296827466319E-4</v>
      </c>
      <c r="G89" s="206">
        <f t="shared" si="18"/>
        <v>1.4765260807846627E-2</v>
      </c>
      <c r="H89" s="207">
        <f t="shared" si="21"/>
        <v>1.3229453613866784</v>
      </c>
      <c r="I89" s="12">
        <f t="shared" si="19"/>
        <v>1.337710622194525</v>
      </c>
      <c r="K89" s="230">
        <v>348</v>
      </c>
      <c r="L89" s="217"/>
      <c r="M89" s="1">
        <f t="shared" si="20"/>
        <v>465.52329652369468</v>
      </c>
      <c r="N89" s="217"/>
      <c r="O89" s="217"/>
    </row>
    <row r="90" spans="2:15" ht="15.75" x14ac:dyDescent="0.25">
      <c r="B90" s="8" t="str">
        <f>B63</f>
        <v>September</v>
      </c>
      <c r="C90">
        <f>C63</f>
        <v>2014</v>
      </c>
      <c r="D90" s="204">
        <f>D63</f>
        <v>62</v>
      </c>
      <c r="E90" s="205">
        <f t="shared" si="17"/>
        <v>1.3472403302911778E-2</v>
      </c>
      <c r="G90" s="206">
        <f t="shared" si="18"/>
        <v>0.91544617008649087</v>
      </c>
      <c r="H90" s="207">
        <f t="shared" si="21"/>
        <v>1.3229453613866784</v>
      </c>
      <c r="I90" s="12">
        <f t="shared" si="19"/>
        <v>2.2383915314731695</v>
      </c>
      <c r="K90" s="230">
        <v>348</v>
      </c>
      <c r="L90" s="217"/>
      <c r="M90" s="1">
        <f t="shared" si="20"/>
        <v>778.96025295266304</v>
      </c>
      <c r="N90" s="217"/>
      <c r="O90" s="217"/>
    </row>
    <row r="91" spans="2:15" ht="15.75" x14ac:dyDescent="0.25">
      <c r="B91" s="8" t="str">
        <f>B64</f>
        <v>October</v>
      </c>
      <c r="C91">
        <f>C64</f>
        <v>2014</v>
      </c>
      <c r="D91" s="204">
        <f>D64</f>
        <v>248</v>
      </c>
      <c r="E91" s="209">
        <f t="shared" si="17"/>
        <v>5.3889613211647112E-2</v>
      </c>
      <c r="F91" s="210"/>
      <c r="G91" s="211">
        <f t="shared" si="18"/>
        <v>3.6617846803459635</v>
      </c>
      <c r="H91" s="219">
        <f t="shared" si="21"/>
        <v>1.3229453613866784</v>
      </c>
      <c r="I91" s="212">
        <f t="shared" si="19"/>
        <v>4.9847300417326421</v>
      </c>
      <c r="J91" s="210"/>
      <c r="K91" s="230">
        <v>348</v>
      </c>
      <c r="L91" s="56"/>
      <c r="M91" s="2">
        <f t="shared" si="20"/>
        <v>1734.6860545229595</v>
      </c>
      <c r="N91" s="217"/>
      <c r="O91" s="217"/>
    </row>
    <row r="92" spans="2:15" ht="16.5" thickBot="1" x14ac:dyDescent="0.3">
      <c r="B92" s="8" t="str">
        <f>B65</f>
        <v>November</v>
      </c>
      <c r="C92">
        <f>C65</f>
        <v>2014</v>
      </c>
      <c r="D92" s="204">
        <f>D65</f>
        <v>578</v>
      </c>
      <c r="E92" s="205">
        <f>+D92/$D$66</f>
        <v>0.12559756627553237</v>
      </c>
      <c r="G92" s="206">
        <f>+E92*$G$93</f>
        <v>8.5343207469353484</v>
      </c>
      <c r="H92" s="207">
        <f>+'[2]annual customer usage-Rogersvil'!K30</f>
        <v>1.3229453613866784</v>
      </c>
      <c r="I92" s="12">
        <f>+G92+H92</f>
        <v>9.8572661083220261</v>
      </c>
      <c r="K92" s="230">
        <v>348</v>
      </c>
      <c r="L92" s="217"/>
      <c r="M92" s="1">
        <f>+K92*I92</f>
        <v>3430.3286056960651</v>
      </c>
      <c r="N92" s="217"/>
      <c r="O92" s="217"/>
    </row>
    <row r="93" spans="2:15" ht="15.75" thickBot="1" x14ac:dyDescent="0.3">
      <c r="D93" s="163">
        <f>SUM(D81:D92)</f>
        <v>4602</v>
      </c>
      <c r="E93" s="158">
        <f>SUM(E81:E92)</f>
        <v>1</v>
      </c>
      <c r="G93" s="214">
        <f>+'[2]annual customer usage-Rogersvil'!I15</f>
        <v>67.94973023771017</v>
      </c>
      <c r="H93" s="229">
        <f>SUM(H81:H92)</f>
        <v>15.875344336640138</v>
      </c>
      <c r="I93" s="215">
        <f>SUM(I81:I92)</f>
        <v>83.825074574350296</v>
      </c>
      <c r="K93" s="165">
        <f>AVERAGE(K81:K92)</f>
        <v>348</v>
      </c>
      <c r="L93" s="217"/>
      <c r="M93" s="225">
        <f>SUM(M81:M92)</f>
        <v>29171.125951873906</v>
      </c>
      <c r="N93" s="217"/>
      <c r="O93" s="217"/>
    </row>
    <row r="94" spans="2:15" ht="15.75" thickTop="1" x14ac:dyDescent="0.25">
      <c r="D94" s="217"/>
      <c r="E94" s="217"/>
      <c r="G94" s="206">
        <f>SUM(G81:G92)</f>
        <v>67.949730237710185</v>
      </c>
      <c r="H94" s="217"/>
      <c r="K94" s="227" t="s">
        <v>27</v>
      </c>
      <c r="L94" s="217"/>
      <c r="M94" s="217"/>
      <c r="N94" s="217"/>
      <c r="O94" s="217"/>
    </row>
    <row r="95" spans="2:15" x14ac:dyDescent="0.25">
      <c r="D95" s="217"/>
      <c r="E95" s="217"/>
      <c r="G95" s="206"/>
      <c r="H95" s="217"/>
      <c r="K95" s="227"/>
      <c r="L95" s="217"/>
      <c r="M95" s="217"/>
      <c r="N95" s="217"/>
      <c r="O95" s="217"/>
    </row>
    <row r="96" spans="2:15" x14ac:dyDescent="0.25">
      <c r="D96" s="217"/>
      <c r="E96" s="217"/>
      <c r="G96" s="206"/>
      <c r="H96" s="217"/>
      <c r="K96" s="217"/>
      <c r="L96" s="217"/>
      <c r="M96" s="217"/>
      <c r="N96" s="217"/>
      <c r="O96" s="217"/>
    </row>
    <row r="97" spans="1:15" ht="15.75" x14ac:dyDescent="0.25">
      <c r="D97" s="161" t="s">
        <v>30</v>
      </c>
      <c r="E97" s="162"/>
      <c r="G97" s="5" t="s">
        <v>1</v>
      </c>
      <c r="H97" s="217"/>
      <c r="K97" s="217"/>
      <c r="L97" s="217"/>
      <c r="M97" s="217"/>
      <c r="N97" s="217"/>
      <c r="O97" s="217"/>
    </row>
    <row r="98" spans="1:15" ht="15.75" thickBot="1" x14ac:dyDescent="0.3">
      <c r="D98" s="295" t="s">
        <v>2</v>
      </c>
      <c r="E98" s="295"/>
      <c r="G98" s="5" t="s">
        <v>3</v>
      </c>
      <c r="H98" s="227" t="s">
        <v>4</v>
      </c>
      <c r="I98" s="5" t="s">
        <v>0</v>
      </c>
      <c r="K98" s="217"/>
      <c r="L98" s="217"/>
      <c r="M98" s="217"/>
      <c r="N98" s="217"/>
      <c r="O98" s="217"/>
    </row>
    <row r="99" spans="1:15" x14ac:dyDescent="0.25">
      <c r="D99" s="5" t="s">
        <v>5</v>
      </c>
      <c r="E99" s="5" t="s">
        <v>6</v>
      </c>
      <c r="G99" s="5" t="s">
        <v>7</v>
      </c>
      <c r="H99" s="227" t="s">
        <v>8</v>
      </c>
      <c r="I99" s="5" t="s">
        <v>4</v>
      </c>
      <c r="K99" s="227" t="s">
        <v>9</v>
      </c>
      <c r="L99" s="217"/>
      <c r="M99" s="228" t="s">
        <v>4</v>
      </c>
      <c r="N99" s="217"/>
      <c r="O99" s="217"/>
    </row>
    <row r="100" spans="1:15" ht="15.75" thickBot="1" x14ac:dyDescent="0.3">
      <c r="D100" s="6" t="s">
        <v>10</v>
      </c>
      <c r="E100" s="6" t="s">
        <v>11</v>
      </c>
      <c r="G100" s="203" t="s">
        <v>9</v>
      </c>
      <c r="H100" s="203" t="s">
        <v>12</v>
      </c>
      <c r="I100" s="203" t="s">
        <v>12</v>
      </c>
      <c r="K100" s="155" t="s">
        <v>158</v>
      </c>
      <c r="L100" s="217"/>
      <c r="M100" s="203" t="s">
        <v>13</v>
      </c>
      <c r="N100" s="217"/>
      <c r="O100" s="217"/>
    </row>
    <row r="101" spans="1:15" ht="15.75" x14ac:dyDescent="0.25">
      <c r="A101" s="7" t="s">
        <v>31</v>
      </c>
      <c r="D101" s="217"/>
      <c r="E101" s="217"/>
      <c r="H101" s="217"/>
      <c r="K101" s="217"/>
      <c r="L101" s="217"/>
      <c r="M101" s="217"/>
      <c r="N101" s="217"/>
      <c r="O101" s="217"/>
    </row>
    <row r="102" spans="1:15" x14ac:dyDescent="0.25">
      <c r="K102" s="217"/>
      <c r="L102" s="217"/>
      <c r="M102" s="217"/>
      <c r="N102" s="217"/>
      <c r="O102" s="217"/>
    </row>
    <row r="103" spans="1:15" ht="15.75" x14ac:dyDescent="0.25">
      <c r="B103" s="8" t="str">
        <f t="shared" ref="B103:D114" si="22">B81</f>
        <v>December</v>
      </c>
      <c r="C103">
        <f t="shared" si="22"/>
        <v>2013</v>
      </c>
      <c r="D103" s="204">
        <f t="shared" si="22"/>
        <v>899</v>
      </c>
      <c r="E103" s="205">
        <f t="shared" ref="E103:E113" si="23">+D103/$D$115</f>
        <v>0.19534984789222076</v>
      </c>
      <c r="G103" s="206">
        <f t="shared" ref="G103:G113" si="24">+E103*$G$115</f>
        <v>278.80493219367429</v>
      </c>
      <c r="H103" s="207">
        <f>+H114</f>
        <v>38.578803272377279</v>
      </c>
      <c r="I103" s="12">
        <f t="shared" ref="I103:I113" si="25">+G103+H103</f>
        <v>317.38373546605158</v>
      </c>
      <c r="K103" s="1">
        <v>67</v>
      </c>
      <c r="L103" s="217"/>
      <c r="M103" s="1">
        <f t="shared" ref="M103:M113" si="26">+K103*I103</f>
        <v>21264.710276225454</v>
      </c>
      <c r="N103" s="217"/>
      <c r="O103" s="217"/>
    </row>
    <row r="104" spans="1:15" ht="15.75" x14ac:dyDescent="0.25">
      <c r="B104" s="8" t="str">
        <f t="shared" si="22"/>
        <v>January</v>
      </c>
      <c r="C104">
        <f t="shared" si="22"/>
        <v>2014</v>
      </c>
      <c r="D104" s="204">
        <f t="shared" si="22"/>
        <v>1034</v>
      </c>
      <c r="E104" s="205">
        <f t="shared" si="23"/>
        <v>0.22468491960017384</v>
      </c>
      <c r="G104" s="206">
        <f t="shared" si="24"/>
        <v>320.67219119939847</v>
      </c>
      <c r="H104" s="207">
        <f t="shared" ref="H104:H113" si="27">+H103</f>
        <v>38.578803272377279</v>
      </c>
      <c r="I104" s="12">
        <f t="shared" si="25"/>
        <v>359.25099447177575</v>
      </c>
      <c r="K104" s="1">
        <v>67</v>
      </c>
      <c r="L104" s="217"/>
      <c r="M104" s="1">
        <f t="shared" si="26"/>
        <v>24069.816629608977</v>
      </c>
      <c r="N104" s="217"/>
      <c r="O104" s="217"/>
    </row>
    <row r="105" spans="1:15" ht="15.75" x14ac:dyDescent="0.25">
      <c r="B105" s="8" t="str">
        <f t="shared" si="22"/>
        <v>February</v>
      </c>
      <c r="C105">
        <f t="shared" si="22"/>
        <v>2014</v>
      </c>
      <c r="D105" s="204">
        <f t="shared" si="22"/>
        <v>790</v>
      </c>
      <c r="E105" s="205">
        <f t="shared" si="23"/>
        <v>0.17166449369839201</v>
      </c>
      <c r="G105" s="206">
        <f t="shared" si="24"/>
        <v>245.00099714460811</v>
      </c>
      <c r="H105" s="207">
        <f t="shared" si="27"/>
        <v>38.578803272377279</v>
      </c>
      <c r="I105" s="12">
        <f t="shared" si="25"/>
        <v>283.57980041698539</v>
      </c>
      <c r="K105" s="1">
        <v>67</v>
      </c>
      <c r="L105" s="217"/>
      <c r="M105" s="1">
        <f t="shared" si="26"/>
        <v>18999.846627938023</v>
      </c>
      <c r="N105" s="217"/>
      <c r="O105" s="217"/>
    </row>
    <row r="106" spans="1:15" ht="15.75" x14ac:dyDescent="0.25">
      <c r="B106" s="8" t="str">
        <f t="shared" si="22"/>
        <v>March</v>
      </c>
      <c r="C106">
        <f t="shared" si="22"/>
        <v>2014</v>
      </c>
      <c r="D106" s="204">
        <f t="shared" si="22"/>
        <v>581</v>
      </c>
      <c r="E106" s="205">
        <f t="shared" si="23"/>
        <v>0.12624945675793134</v>
      </c>
      <c r="G106" s="206">
        <f t="shared" si="24"/>
        <v>180.18427764685737</v>
      </c>
      <c r="H106" s="207">
        <f t="shared" si="27"/>
        <v>38.578803272377279</v>
      </c>
      <c r="I106" s="12">
        <f t="shared" si="25"/>
        <v>218.76308091923465</v>
      </c>
      <c r="K106" s="1">
        <v>67</v>
      </c>
      <c r="L106" s="217"/>
      <c r="M106" s="1">
        <f t="shared" si="26"/>
        <v>14657.126421588722</v>
      </c>
      <c r="N106" s="217"/>
      <c r="O106" s="217"/>
    </row>
    <row r="107" spans="1:15" ht="15.75" x14ac:dyDescent="0.25">
      <c r="B107" s="8" t="str">
        <f t="shared" si="22"/>
        <v>April</v>
      </c>
      <c r="C107">
        <f t="shared" si="22"/>
        <v>2014</v>
      </c>
      <c r="D107" s="204">
        <f t="shared" si="22"/>
        <v>300</v>
      </c>
      <c r="E107" s="205">
        <f t="shared" si="23"/>
        <v>6.51890482398957E-2</v>
      </c>
      <c r="G107" s="206">
        <f t="shared" si="24"/>
        <v>93.038353346053711</v>
      </c>
      <c r="H107" s="207">
        <f t="shared" si="27"/>
        <v>38.578803272377279</v>
      </c>
      <c r="I107" s="12">
        <f t="shared" si="25"/>
        <v>131.61715661843098</v>
      </c>
      <c r="K107" s="1">
        <v>67</v>
      </c>
      <c r="L107" s="217"/>
      <c r="M107" s="1">
        <f t="shared" si="26"/>
        <v>8818.3494934348764</v>
      </c>
      <c r="N107" s="217"/>
      <c r="O107" s="217"/>
    </row>
    <row r="108" spans="1:15" ht="15.75" x14ac:dyDescent="0.25">
      <c r="B108" s="8" t="str">
        <f t="shared" si="22"/>
        <v>May</v>
      </c>
      <c r="C108">
        <f t="shared" si="22"/>
        <v>2014</v>
      </c>
      <c r="D108" s="204">
        <f t="shared" si="22"/>
        <v>100</v>
      </c>
      <c r="E108" s="205">
        <f t="shared" si="23"/>
        <v>2.1729682746631899E-2</v>
      </c>
      <c r="G108" s="206">
        <f t="shared" si="24"/>
        <v>31.01278444868457</v>
      </c>
      <c r="H108" s="207">
        <f t="shared" si="27"/>
        <v>38.578803272377279</v>
      </c>
      <c r="I108" s="12">
        <f t="shared" si="25"/>
        <v>69.591587721061842</v>
      </c>
      <c r="K108" s="1">
        <v>67</v>
      </c>
      <c r="L108" s="217"/>
      <c r="M108" s="1">
        <f t="shared" si="26"/>
        <v>4662.6363773111434</v>
      </c>
      <c r="N108" s="217"/>
      <c r="O108" s="217"/>
    </row>
    <row r="109" spans="1:15" ht="15.75" x14ac:dyDescent="0.25">
      <c r="B109" s="8" t="str">
        <f t="shared" si="22"/>
        <v>June</v>
      </c>
      <c r="C109">
        <f t="shared" si="22"/>
        <v>2014</v>
      </c>
      <c r="D109" s="204">
        <f t="shared" si="22"/>
        <v>8</v>
      </c>
      <c r="E109" s="205">
        <f t="shared" si="23"/>
        <v>1.738374619730552E-3</v>
      </c>
      <c r="G109" s="206">
        <f t="shared" si="24"/>
        <v>2.4810227558947657</v>
      </c>
      <c r="H109" s="207">
        <f t="shared" si="27"/>
        <v>38.578803272377279</v>
      </c>
      <c r="I109" s="12">
        <f t="shared" si="25"/>
        <v>41.059826028272042</v>
      </c>
      <c r="K109" s="1">
        <v>67</v>
      </c>
      <c r="L109" s="217"/>
      <c r="M109" s="1">
        <f t="shared" si="26"/>
        <v>2751.008343894227</v>
      </c>
      <c r="N109" s="217"/>
      <c r="O109" s="217"/>
    </row>
    <row r="110" spans="1:15" ht="15.75" x14ac:dyDescent="0.25">
      <c r="B110" s="8" t="str">
        <f t="shared" si="22"/>
        <v>July</v>
      </c>
      <c r="C110">
        <f t="shared" si="22"/>
        <v>2014</v>
      </c>
      <c r="D110" s="204">
        <f t="shared" si="22"/>
        <v>1</v>
      </c>
      <c r="E110" s="205">
        <f t="shared" si="23"/>
        <v>2.17296827466319E-4</v>
      </c>
      <c r="G110" s="206">
        <f t="shared" si="24"/>
        <v>0.31012784448684572</v>
      </c>
      <c r="H110" s="207">
        <f t="shared" si="27"/>
        <v>38.578803272377279</v>
      </c>
      <c r="I110" s="12">
        <f t="shared" si="25"/>
        <v>38.888931116864121</v>
      </c>
      <c r="K110" s="1">
        <v>67</v>
      </c>
      <c r="L110" s="217"/>
      <c r="M110" s="1">
        <f t="shared" si="26"/>
        <v>2605.5583848298961</v>
      </c>
      <c r="N110" s="217"/>
      <c r="O110" s="217"/>
    </row>
    <row r="111" spans="1:15" ht="15.75" x14ac:dyDescent="0.25">
      <c r="B111" s="8" t="str">
        <f t="shared" si="22"/>
        <v>August</v>
      </c>
      <c r="C111">
        <f t="shared" si="22"/>
        <v>2014</v>
      </c>
      <c r="D111" s="204">
        <f t="shared" si="22"/>
        <v>1</v>
      </c>
      <c r="E111" s="205">
        <f t="shared" si="23"/>
        <v>2.17296827466319E-4</v>
      </c>
      <c r="G111" s="206">
        <f t="shared" si="24"/>
        <v>0.31012784448684572</v>
      </c>
      <c r="H111" s="207">
        <f t="shared" si="27"/>
        <v>38.578803272377279</v>
      </c>
      <c r="I111" s="12">
        <f t="shared" si="25"/>
        <v>38.888931116864121</v>
      </c>
      <c r="K111" s="1">
        <v>67</v>
      </c>
      <c r="L111" s="217"/>
      <c r="M111" s="1">
        <f t="shared" si="26"/>
        <v>2605.5583848298961</v>
      </c>
      <c r="N111" s="217"/>
      <c r="O111" s="217"/>
    </row>
    <row r="112" spans="1:15" ht="15.75" x14ac:dyDescent="0.25">
      <c r="B112" s="8" t="str">
        <f t="shared" si="22"/>
        <v>September</v>
      </c>
      <c r="C112">
        <f t="shared" si="22"/>
        <v>2014</v>
      </c>
      <c r="D112" s="204">
        <f t="shared" si="22"/>
        <v>62</v>
      </c>
      <c r="E112" s="205">
        <f t="shared" si="23"/>
        <v>1.3472403302911778E-2</v>
      </c>
      <c r="G112" s="206">
        <f t="shared" si="24"/>
        <v>19.227926358184433</v>
      </c>
      <c r="H112" s="207">
        <f t="shared" si="27"/>
        <v>38.578803272377279</v>
      </c>
      <c r="I112" s="12">
        <f t="shared" si="25"/>
        <v>57.806729630561712</v>
      </c>
      <c r="K112" s="1">
        <v>67</v>
      </c>
      <c r="L112" s="217"/>
      <c r="M112" s="1">
        <f t="shared" si="26"/>
        <v>3873.0508852476346</v>
      </c>
      <c r="N112" s="217"/>
      <c r="O112" s="217"/>
    </row>
    <row r="113" spans="1:15" ht="15.75" x14ac:dyDescent="0.25">
      <c r="B113" s="8" t="str">
        <f t="shared" si="22"/>
        <v>October</v>
      </c>
      <c r="C113">
        <f t="shared" si="22"/>
        <v>2014</v>
      </c>
      <c r="D113" s="204">
        <f t="shared" si="22"/>
        <v>248</v>
      </c>
      <c r="E113" s="209">
        <f t="shared" si="23"/>
        <v>5.3889613211647112E-2</v>
      </c>
      <c r="F113" s="210"/>
      <c r="G113" s="211">
        <f t="shared" si="24"/>
        <v>76.911705432737733</v>
      </c>
      <c r="H113" s="219">
        <f t="shared" si="27"/>
        <v>38.578803272377279</v>
      </c>
      <c r="I113" s="212">
        <f t="shared" si="25"/>
        <v>115.49050870511502</v>
      </c>
      <c r="J113" s="210"/>
      <c r="K113" s="1">
        <v>67</v>
      </c>
      <c r="L113" s="56"/>
      <c r="M113" s="2">
        <f t="shared" si="26"/>
        <v>7737.8640832427063</v>
      </c>
      <c r="N113" s="217"/>
      <c r="O113" s="217"/>
    </row>
    <row r="114" spans="1:15" ht="16.5" thickBot="1" x14ac:dyDescent="0.3">
      <c r="B114" s="8" t="str">
        <f t="shared" si="22"/>
        <v>November</v>
      </c>
      <c r="C114">
        <f t="shared" si="22"/>
        <v>2014</v>
      </c>
      <c r="D114" s="204">
        <f t="shared" si="22"/>
        <v>578</v>
      </c>
      <c r="E114" s="205">
        <f>+D114/$D$115</f>
        <v>0.12559756627553237</v>
      </c>
      <c r="G114" s="206">
        <f>+E114*$G$115</f>
        <v>179.2538941133968</v>
      </c>
      <c r="H114" s="207">
        <f>+'[2]annual customer usage-Rogersvil'!K31</f>
        <v>38.578803272377279</v>
      </c>
      <c r="I114" s="12">
        <f>+G114+H114</f>
        <v>217.83269738577408</v>
      </c>
      <c r="K114" s="1">
        <v>67</v>
      </c>
      <c r="L114" s="217"/>
      <c r="M114" s="1">
        <f>+K114*I114</f>
        <v>14594.790724846864</v>
      </c>
      <c r="N114" s="217"/>
      <c r="O114" s="217"/>
    </row>
    <row r="115" spans="1:15" ht="15.75" thickBot="1" x14ac:dyDescent="0.3">
      <c r="D115" s="163">
        <f>SUM(D103:D114)</f>
        <v>4602</v>
      </c>
      <c r="E115" s="158">
        <f>SUM(E103:E114)</f>
        <v>1</v>
      </c>
      <c r="G115" s="232">
        <f>+'[2]annual customer usage-Rogersvil'!I16</f>
        <v>1427.2083403284639</v>
      </c>
      <c r="H115" s="229">
        <f>SUM(H103:H114)</f>
        <v>462.94563926852737</v>
      </c>
      <c r="I115" s="215">
        <f>SUM(I103:I114)</f>
        <v>1890.1539795969911</v>
      </c>
      <c r="K115" s="165">
        <f>AVERAGE(K103:K114)</f>
        <v>67</v>
      </c>
      <c r="L115" s="217"/>
      <c r="M115" s="225">
        <f>SUM(M103:M114)</f>
        <v>126640.31663299841</v>
      </c>
      <c r="N115" s="217"/>
      <c r="O115" s="217"/>
    </row>
    <row r="116" spans="1:15" ht="15.75" thickTop="1" x14ac:dyDescent="0.25">
      <c r="D116" s="217"/>
      <c r="E116" s="217"/>
      <c r="G116" s="233">
        <f>SUM(G103:G114)</f>
        <v>1427.2083403284646</v>
      </c>
      <c r="H116" s="217"/>
      <c r="K116" s="227" t="s">
        <v>27</v>
      </c>
      <c r="L116" s="217"/>
      <c r="M116" s="217"/>
      <c r="N116" s="217"/>
      <c r="O116" s="217"/>
    </row>
    <row r="117" spans="1:15" x14ac:dyDescent="0.25">
      <c r="D117" s="217"/>
      <c r="E117" s="217"/>
      <c r="H117" s="217"/>
      <c r="K117" s="217"/>
      <c r="L117" s="217"/>
      <c r="M117" s="217"/>
      <c r="N117" s="217"/>
      <c r="O117" s="217"/>
    </row>
    <row r="118" spans="1:15" x14ac:dyDescent="0.25">
      <c r="D118" s="217"/>
      <c r="E118" s="217"/>
      <c r="H118" s="217"/>
      <c r="K118" s="217"/>
      <c r="L118" s="217"/>
      <c r="M118" s="217"/>
      <c r="N118" s="217"/>
      <c r="O118" s="217"/>
    </row>
    <row r="119" spans="1:15" x14ac:dyDescent="0.25">
      <c r="D119" s="298" t="s">
        <v>30</v>
      </c>
      <c r="E119" s="298"/>
      <c r="G119" s="5" t="s">
        <v>1</v>
      </c>
      <c r="H119" s="217"/>
      <c r="K119" s="217"/>
      <c r="L119" s="217"/>
      <c r="M119" s="217"/>
      <c r="N119" s="217"/>
      <c r="O119" s="217"/>
    </row>
    <row r="120" spans="1:15" ht="15.75" thickBot="1" x14ac:dyDescent="0.3">
      <c r="D120" s="295" t="s">
        <v>2</v>
      </c>
      <c r="E120" s="295"/>
      <c r="G120" s="5" t="s">
        <v>3</v>
      </c>
      <c r="H120" s="227" t="s">
        <v>4</v>
      </c>
      <c r="I120" s="5" t="s">
        <v>0</v>
      </c>
      <c r="K120" s="217"/>
      <c r="L120" s="217"/>
      <c r="M120" s="217"/>
      <c r="N120" s="217"/>
      <c r="O120" s="217"/>
    </row>
    <row r="121" spans="1:15" x14ac:dyDescent="0.25">
      <c r="D121" s="5" t="s">
        <v>5</v>
      </c>
      <c r="E121" s="5" t="s">
        <v>6</v>
      </c>
      <c r="G121" s="5" t="s">
        <v>7</v>
      </c>
      <c r="H121" s="227" t="s">
        <v>8</v>
      </c>
      <c r="I121" s="5" t="s">
        <v>4</v>
      </c>
      <c r="K121" s="227" t="s">
        <v>9</v>
      </c>
      <c r="L121" s="217"/>
      <c r="M121" s="228" t="s">
        <v>4</v>
      </c>
      <c r="N121" s="217"/>
      <c r="O121" s="217"/>
    </row>
    <row r="122" spans="1:15" ht="15.75" thickBot="1" x14ac:dyDescent="0.3">
      <c r="D122" s="6" t="s">
        <v>10</v>
      </c>
      <c r="E122" s="6" t="s">
        <v>11</v>
      </c>
      <c r="G122" s="203" t="s">
        <v>9</v>
      </c>
      <c r="H122" s="203" t="s">
        <v>12</v>
      </c>
      <c r="I122" s="203" t="s">
        <v>12</v>
      </c>
      <c r="K122" s="155" t="s">
        <v>158</v>
      </c>
      <c r="L122" s="217"/>
      <c r="M122" s="203" t="s">
        <v>13</v>
      </c>
      <c r="N122" s="217"/>
      <c r="O122" s="217"/>
    </row>
    <row r="123" spans="1:15" ht="15.75" x14ac:dyDescent="0.25">
      <c r="A123" s="7" t="s">
        <v>28</v>
      </c>
      <c r="D123" s="217"/>
      <c r="E123" s="217"/>
      <c r="H123" s="217"/>
      <c r="K123" s="217"/>
      <c r="L123" s="217"/>
      <c r="M123" s="217"/>
      <c r="N123" s="217"/>
      <c r="O123" s="217"/>
    </row>
    <row r="124" spans="1:15" x14ac:dyDescent="0.25">
      <c r="K124" s="217"/>
      <c r="L124" s="217"/>
      <c r="M124" s="217"/>
      <c r="N124" s="217"/>
      <c r="O124" s="217"/>
    </row>
    <row r="125" spans="1:15" ht="15.75" x14ac:dyDescent="0.25">
      <c r="B125" s="8" t="str">
        <f t="shared" ref="B125:D136" si="28">B103</f>
        <v>December</v>
      </c>
      <c r="C125">
        <f t="shared" si="28"/>
        <v>2013</v>
      </c>
      <c r="D125" s="204">
        <f t="shared" si="28"/>
        <v>899</v>
      </c>
      <c r="E125" s="205">
        <f t="shared" ref="E125:E135" si="29">+D125/$D$137</f>
        <v>0.19534984789222076</v>
      </c>
      <c r="G125" s="166">
        <f t="shared" ref="G125:G135" si="30">+E125*$G$137</f>
        <v>1688.0931688032385</v>
      </c>
      <c r="H125" s="207">
        <f>H136</f>
        <v>588.22707124999999</v>
      </c>
      <c r="I125" s="12">
        <f t="shared" ref="I125:I135" si="31">+G125+H125</f>
        <v>2276.3202400532386</v>
      </c>
      <c r="K125" s="230">
        <v>8</v>
      </c>
      <c r="L125" s="217"/>
      <c r="M125" s="1">
        <f t="shared" ref="M125:M135" si="32">+K125*I125</f>
        <v>18210.561920425909</v>
      </c>
      <c r="N125" s="217"/>
      <c r="O125" s="217"/>
    </row>
    <row r="126" spans="1:15" ht="15.75" x14ac:dyDescent="0.25">
      <c r="B126" s="8" t="str">
        <f t="shared" si="28"/>
        <v>January</v>
      </c>
      <c r="C126">
        <f t="shared" si="28"/>
        <v>2014</v>
      </c>
      <c r="D126" s="204">
        <f t="shared" si="28"/>
        <v>1034</v>
      </c>
      <c r="E126" s="205">
        <f t="shared" si="29"/>
        <v>0.22468491960017384</v>
      </c>
      <c r="G126" s="166">
        <f t="shared" si="30"/>
        <v>1941.5888059427684</v>
      </c>
      <c r="H126" s="207">
        <f t="shared" ref="H126:H135" si="33">H125</f>
        <v>588.22707124999999</v>
      </c>
      <c r="I126" s="12">
        <f t="shared" si="31"/>
        <v>2529.8158771927683</v>
      </c>
      <c r="K126" s="230">
        <v>8</v>
      </c>
      <c r="L126" s="217"/>
      <c r="M126" s="1">
        <f t="shared" si="32"/>
        <v>20238.527017542146</v>
      </c>
      <c r="N126" s="217"/>
      <c r="O126" s="217"/>
    </row>
    <row r="127" spans="1:15" ht="15.75" x14ac:dyDescent="0.25">
      <c r="B127" s="8" t="str">
        <f t="shared" si="28"/>
        <v>February</v>
      </c>
      <c r="C127">
        <f t="shared" si="28"/>
        <v>2014</v>
      </c>
      <c r="D127" s="204">
        <f t="shared" si="28"/>
        <v>790</v>
      </c>
      <c r="E127" s="205">
        <f t="shared" si="29"/>
        <v>0.17166449369839201</v>
      </c>
      <c r="G127" s="166">
        <f t="shared" si="30"/>
        <v>1483.4189136313221</v>
      </c>
      <c r="H127" s="207">
        <f t="shared" si="33"/>
        <v>588.22707124999999</v>
      </c>
      <c r="I127" s="12">
        <f t="shared" si="31"/>
        <v>2071.645984881322</v>
      </c>
      <c r="K127" s="230">
        <v>8</v>
      </c>
      <c r="L127" s="217"/>
      <c r="M127" s="1">
        <f t="shared" si="32"/>
        <v>16573.167879050576</v>
      </c>
      <c r="N127" s="217"/>
      <c r="O127" s="217"/>
    </row>
    <row r="128" spans="1:15" ht="15.75" x14ac:dyDescent="0.25">
      <c r="B128" s="8" t="str">
        <f t="shared" si="28"/>
        <v>March</v>
      </c>
      <c r="C128">
        <f t="shared" si="28"/>
        <v>2014</v>
      </c>
      <c r="D128" s="204">
        <f t="shared" si="28"/>
        <v>581</v>
      </c>
      <c r="E128" s="205">
        <f t="shared" si="29"/>
        <v>0.12624945675793134</v>
      </c>
      <c r="G128" s="166">
        <f t="shared" si="30"/>
        <v>1090.9701124301243</v>
      </c>
      <c r="H128" s="207">
        <f t="shared" si="33"/>
        <v>588.22707124999999</v>
      </c>
      <c r="I128" s="12">
        <f t="shared" si="31"/>
        <v>1679.1971836801245</v>
      </c>
      <c r="K128" s="230">
        <v>8</v>
      </c>
      <c r="L128" s="217"/>
      <c r="M128" s="1">
        <f t="shared" si="32"/>
        <v>13433.577469440996</v>
      </c>
      <c r="N128" s="217"/>
      <c r="O128" s="217"/>
    </row>
    <row r="129" spans="1:15" ht="15.75" x14ac:dyDescent="0.25">
      <c r="B129" s="8" t="str">
        <f t="shared" si="28"/>
        <v>April</v>
      </c>
      <c r="C129">
        <f t="shared" si="28"/>
        <v>2014</v>
      </c>
      <c r="D129" s="204">
        <f t="shared" si="28"/>
        <v>300</v>
      </c>
      <c r="E129" s="205">
        <f t="shared" si="29"/>
        <v>6.51890482398957E-2</v>
      </c>
      <c r="G129" s="166">
        <f t="shared" si="30"/>
        <v>563.32363808784385</v>
      </c>
      <c r="H129" s="207">
        <f t="shared" si="33"/>
        <v>588.22707124999999</v>
      </c>
      <c r="I129" s="12">
        <f t="shared" si="31"/>
        <v>1151.5507093378437</v>
      </c>
      <c r="K129" s="230">
        <v>8</v>
      </c>
      <c r="L129" s="217"/>
      <c r="M129" s="1">
        <f t="shared" si="32"/>
        <v>9212.4056747027498</v>
      </c>
      <c r="N129" s="217"/>
      <c r="O129" s="217"/>
    </row>
    <row r="130" spans="1:15" ht="15.75" x14ac:dyDescent="0.25">
      <c r="B130" s="8" t="str">
        <f t="shared" si="28"/>
        <v>May</v>
      </c>
      <c r="C130">
        <f t="shared" si="28"/>
        <v>2014</v>
      </c>
      <c r="D130" s="204">
        <f t="shared" si="28"/>
        <v>100</v>
      </c>
      <c r="E130" s="205">
        <f t="shared" si="29"/>
        <v>2.1729682746631899E-2</v>
      </c>
      <c r="G130" s="166">
        <f t="shared" si="30"/>
        <v>187.77454602928128</v>
      </c>
      <c r="H130" s="207">
        <f t="shared" si="33"/>
        <v>588.22707124999999</v>
      </c>
      <c r="I130" s="12">
        <f t="shared" si="31"/>
        <v>776.00161727928128</v>
      </c>
      <c r="K130" s="230">
        <v>8</v>
      </c>
      <c r="L130" s="217"/>
      <c r="M130" s="1">
        <f t="shared" si="32"/>
        <v>6208.0129382342502</v>
      </c>
      <c r="N130" s="217"/>
      <c r="O130" s="217"/>
    </row>
    <row r="131" spans="1:15" ht="15.75" x14ac:dyDescent="0.25">
      <c r="B131" s="8" t="str">
        <f t="shared" si="28"/>
        <v>June</v>
      </c>
      <c r="C131">
        <f t="shared" si="28"/>
        <v>2014</v>
      </c>
      <c r="D131" s="204">
        <f t="shared" si="28"/>
        <v>8</v>
      </c>
      <c r="E131" s="205">
        <f t="shared" si="29"/>
        <v>1.738374619730552E-3</v>
      </c>
      <c r="G131" s="166">
        <f t="shared" si="30"/>
        <v>15.021963682342504</v>
      </c>
      <c r="H131" s="207">
        <f t="shared" si="33"/>
        <v>588.22707124999999</v>
      </c>
      <c r="I131" s="12">
        <f t="shared" si="31"/>
        <v>603.24903493234251</v>
      </c>
      <c r="K131" s="230">
        <v>8</v>
      </c>
      <c r="L131" s="217"/>
      <c r="M131" s="1">
        <f t="shared" si="32"/>
        <v>4825.9922794587401</v>
      </c>
      <c r="N131" s="217"/>
      <c r="O131" s="217"/>
    </row>
    <row r="132" spans="1:15" ht="15.75" x14ac:dyDescent="0.25">
      <c r="B132" s="8" t="str">
        <f t="shared" si="28"/>
        <v>July</v>
      </c>
      <c r="C132">
        <f t="shared" si="28"/>
        <v>2014</v>
      </c>
      <c r="D132" s="204">
        <f t="shared" si="28"/>
        <v>1</v>
      </c>
      <c r="E132" s="205">
        <f t="shared" si="29"/>
        <v>2.17296827466319E-4</v>
      </c>
      <c r="G132" s="166">
        <f t="shared" si="30"/>
        <v>1.877745460292813</v>
      </c>
      <c r="H132" s="207">
        <f t="shared" si="33"/>
        <v>588.22707124999999</v>
      </c>
      <c r="I132" s="12">
        <f t="shared" si="31"/>
        <v>590.10481671029277</v>
      </c>
      <c r="K132" s="230">
        <v>8</v>
      </c>
      <c r="L132" s="217"/>
      <c r="M132" s="1">
        <f t="shared" si="32"/>
        <v>4720.8385336823421</v>
      </c>
      <c r="N132" s="217"/>
      <c r="O132" s="217"/>
    </row>
    <row r="133" spans="1:15" ht="15.75" x14ac:dyDescent="0.25">
      <c r="B133" s="8" t="str">
        <f t="shared" si="28"/>
        <v>August</v>
      </c>
      <c r="C133">
        <f t="shared" si="28"/>
        <v>2014</v>
      </c>
      <c r="D133" s="204">
        <f t="shared" si="28"/>
        <v>1</v>
      </c>
      <c r="E133" s="205">
        <f t="shared" si="29"/>
        <v>2.17296827466319E-4</v>
      </c>
      <c r="G133" s="166">
        <f t="shared" si="30"/>
        <v>1.877745460292813</v>
      </c>
      <c r="H133" s="207">
        <f t="shared" si="33"/>
        <v>588.22707124999999</v>
      </c>
      <c r="I133" s="12">
        <f t="shared" si="31"/>
        <v>590.10481671029277</v>
      </c>
      <c r="K133" s="230">
        <v>8</v>
      </c>
      <c r="L133" s="217"/>
      <c r="M133" s="1">
        <f t="shared" si="32"/>
        <v>4720.8385336823421</v>
      </c>
      <c r="N133" s="217"/>
      <c r="O133" s="217"/>
    </row>
    <row r="134" spans="1:15" ht="15.75" x14ac:dyDescent="0.25">
      <c r="B134" s="8" t="str">
        <f t="shared" si="28"/>
        <v>September</v>
      </c>
      <c r="C134">
        <f t="shared" si="28"/>
        <v>2014</v>
      </c>
      <c r="D134" s="204">
        <f t="shared" si="28"/>
        <v>62</v>
      </c>
      <c r="E134" s="205">
        <f t="shared" si="29"/>
        <v>1.3472403302911778E-2</v>
      </c>
      <c r="G134" s="166">
        <f t="shared" si="30"/>
        <v>116.4202185381544</v>
      </c>
      <c r="H134" s="207">
        <f t="shared" si="33"/>
        <v>588.22707124999999</v>
      </c>
      <c r="I134" s="12">
        <f t="shared" si="31"/>
        <v>704.64728978815435</v>
      </c>
      <c r="K134" s="230">
        <v>8</v>
      </c>
      <c r="L134" s="217"/>
      <c r="M134" s="1">
        <f t="shared" si="32"/>
        <v>5637.1783183052348</v>
      </c>
      <c r="N134" s="217"/>
      <c r="O134" s="217"/>
    </row>
    <row r="135" spans="1:15" ht="15.75" x14ac:dyDescent="0.25">
      <c r="B135" s="8" t="str">
        <f t="shared" si="28"/>
        <v>October</v>
      </c>
      <c r="C135">
        <f t="shared" si="28"/>
        <v>2014</v>
      </c>
      <c r="D135" s="204">
        <f t="shared" si="28"/>
        <v>248</v>
      </c>
      <c r="E135" s="209">
        <f t="shared" si="29"/>
        <v>5.3889613211647112E-2</v>
      </c>
      <c r="F135" s="210"/>
      <c r="G135" s="234">
        <f t="shared" si="30"/>
        <v>465.6808741526176</v>
      </c>
      <c r="H135" s="219">
        <f t="shared" si="33"/>
        <v>588.22707124999999</v>
      </c>
      <c r="I135" s="212">
        <f t="shared" si="31"/>
        <v>1053.9079454026175</v>
      </c>
      <c r="J135" s="210"/>
      <c r="K135" s="231">
        <v>8</v>
      </c>
      <c r="L135" s="56"/>
      <c r="M135" s="2">
        <f t="shared" si="32"/>
        <v>8431.2635632209403</v>
      </c>
      <c r="N135" s="217"/>
      <c r="O135" s="217"/>
    </row>
    <row r="136" spans="1:15" ht="16.5" thickBot="1" x14ac:dyDescent="0.3">
      <c r="B136" s="8" t="str">
        <f t="shared" si="28"/>
        <v>November</v>
      </c>
      <c r="C136">
        <f t="shared" si="28"/>
        <v>2014</v>
      </c>
      <c r="D136" s="204">
        <f t="shared" si="28"/>
        <v>578</v>
      </c>
      <c r="E136" s="205">
        <f>+D136/$D$137</f>
        <v>0.12559756627553237</v>
      </c>
      <c r="G136" s="166">
        <f>+E136*$G$137</f>
        <v>1085.3368760492458</v>
      </c>
      <c r="H136" s="207">
        <f>+'[2]annual customer usage-Rogersvil'!K32</f>
        <v>588.22707124999999</v>
      </c>
      <c r="I136" s="12">
        <f>+G136+H136</f>
        <v>1673.5639472992457</v>
      </c>
      <c r="K136" s="230">
        <v>8</v>
      </c>
      <c r="L136" s="217"/>
      <c r="M136" s="1">
        <f>+K136*I136</f>
        <v>13388.511578393965</v>
      </c>
      <c r="N136" s="217"/>
      <c r="O136" s="217"/>
    </row>
    <row r="137" spans="1:15" ht="15.75" thickBot="1" x14ac:dyDescent="0.3">
      <c r="D137" s="163">
        <f>SUM(D125:D136)</f>
        <v>4602</v>
      </c>
      <c r="E137" s="158">
        <f>SUM(E125:E136)</f>
        <v>1</v>
      </c>
      <c r="G137" s="235">
        <f>+'[2]annual customer usage-Rogersvil'!I17</f>
        <v>8641.3846082675245</v>
      </c>
      <c r="H137" s="229">
        <f>SUM(H125:H136)</f>
        <v>7058.7248550000013</v>
      </c>
      <c r="I137" s="215">
        <f>SUM(I125:I136)</f>
        <v>15700.109463267525</v>
      </c>
      <c r="K137" s="11">
        <f>AVERAGE(K125:K136)</f>
        <v>8</v>
      </c>
      <c r="M137" s="216">
        <f>SUM(M125:M136)</f>
        <v>125600.8757061402</v>
      </c>
    </row>
    <row r="138" spans="1:15" ht="15.75" thickTop="1" x14ac:dyDescent="0.25">
      <c r="D138" s="217"/>
      <c r="E138" s="217"/>
      <c r="G138" s="166">
        <f>SUM(G125:G136)</f>
        <v>8641.3846082675245</v>
      </c>
      <c r="K138" s="5" t="s">
        <v>27</v>
      </c>
    </row>
    <row r="139" spans="1:15" x14ac:dyDescent="0.25">
      <c r="D139" s="217"/>
      <c r="E139" s="217"/>
      <c r="G139" s="206"/>
      <c r="K139" s="5"/>
    </row>
    <row r="140" spans="1:15" x14ac:dyDescent="0.25">
      <c r="A140" s="167" t="s">
        <v>166</v>
      </c>
      <c r="B140" s="297" t="s">
        <v>162</v>
      </c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</row>
    <row r="141" spans="1:15" x14ac:dyDescent="0.25">
      <c r="A141" s="76"/>
      <c r="B141" s="151"/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</row>
    <row r="142" spans="1:15" x14ac:dyDescent="0.25">
      <c r="B142" s="236"/>
      <c r="C142" s="236"/>
      <c r="D142" s="236"/>
      <c r="E142" s="236"/>
      <c r="F142" s="236"/>
      <c r="G142" s="236"/>
      <c r="H142" s="236"/>
      <c r="I142" s="236"/>
      <c r="J142" s="236"/>
      <c r="K142" s="236"/>
      <c r="L142" s="236"/>
      <c r="M142" s="236"/>
    </row>
    <row r="143" spans="1:15" x14ac:dyDescent="0.25">
      <c r="B143" s="236"/>
      <c r="C143" s="236"/>
      <c r="D143" s="236"/>
      <c r="E143" s="236"/>
      <c r="F143" s="236"/>
      <c r="G143" s="236"/>
      <c r="H143" s="236"/>
      <c r="I143" s="236"/>
      <c r="J143" s="236"/>
      <c r="K143" s="236"/>
      <c r="L143" s="236"/>
      <c r="M143" s="236"/>
    </row>
    <row r="144" spans="1:15" x14ac:dyDescent="0.25">
      <c r="B144" s="236"/>
      <c r="C144" s="236"/>
      <c r="D144" s="236"/>
      <c r="E144" s="236"/>
      <c r="F144" s="236"/>
      <c r="G144" s="236"/>
      <c r="H144" s="236"/>
      <c r="I144" s="236"/>
      <c r="J144" s="236"/>
      <c r="K144" s="236"/>
      <c r="L144" s="236"/>
      <c r="M144" s="236"/>
    </row>
  </sheetData>
  <mergeCells count="8">
    <mergeCell ref="D98:E98"/>
    <mergeCell ref="D119:E119"/>
    <mergeCell ref="D120:E120"/>
    <mergeCell ref="B140:M140"/>
    <mergeCell ref="D6:E6"/>
    <mergeCell ref="D27:E27"/>
    <mergeCell ref="D49:E49"/>
    <mergeCell ref="D76:E76"/>
  </mergeCells>
  <phoneticPr fontId="5" type="noConversion"/>
  <pageMargins left="0.7" right="0.7" top="0.75" bottom="0.75" header="0.3" footer="0.3"/>
  <pageSetup scale="61" orientation="portrait" r:id="rId1"/>
  <headerFoot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view="pageBreakPreview" zoomScale="60" zoomScaleNormal="100" workbookViewId="0">
      <selection activeCell="J41" sqref="J41"/>
    </sheetView>
  </sheetViews>
  <sheetFormatPr defaultRowHeight="15" x14ac:dyDescent="0.25"/>
  <cols>
    <col min="5" max="5" width="22.85546875" customWidth="1"/>
    <col min="7" max="7" width="12.5703125" customWidth="1"/>
    <col min="10" max="10" width="11.28515625" customWidth="1"/>
  </cols>
  <sheetData>
    <row r="1" spans="1:14" ht="18" x14ac:dyDescent="0.25">
      <c r="A1" s="268" t="s">
        <v>152</v>
      </c>
      <c r="B1" s="268"/>
      <c r="C1" s="268"/>
      <c r="D1" s="268"/>
      <c r="E1" s="268"/>
      <c r="F1" s="268"/>
      <c r="G1" s="268"/>
    </row>
    <row r="2" spans="1:14" ht="18" x14ac:dyDescent="0.25">
      <c r="A2" s="100" t="s">
        <v>215</v>
      </c>
      <c r="B2" s="100"/>
      <c r="C2" s="100"/>
      <c r="D2" s="100"/>
      <c r="E2" s="100"/>
      <c r="F2" s="100"/>
      <c r="G2" s="100"/>
      <c r="H2" s="104"/>
      <c r="I2" s="104"/>
      <c r="J2" s="104"/>
      <c r="K2" s="104"/>
      <c r="L2" s="105"/>
      <c r="M2" s="105"/>
      <c r="N2" s="105"/>
    </row>
    <row r="3" spans="1:14" ht="18" x14ac:dyDescent="0.25">
      <c r="A3" s="100" t="s">
        <v>210</v>
      </c>
      <c r="B3" s="100"/>
      <c r="C3" s="100"/>
      <c r="D3" s="100"/>
      <c r="E3" s="100"/>
      <c r="F3" s="100"/>
      <c r="G3" s="100"/>
      <c r="H3" s="104"/>
      <c r="I3" s="104"/>
      <c r="J3" s="104"/>
      <c r="K3" s="104"/>
      <c r="L3" s="105"/>
      <c r="M3" s="105"/>
      <c r="N3" s="105"/>
    </row>
    <row r="4" spans="1:14" ht="18" x14ac:dyDescent="0.25">
      <c r="A4" s="100" t="s">
        <v>176</v>
      </c>
      <c r="B4" s="100"/>
      <c r="C4" s="100"/>
      <c r="D4" s="100"/>
      <c r="E4" s="100"/>
      <c r="F4" s="100"/>
      <c r="G4" s="100"/>
      <c r="H4" s="104"/>
      <c r="I4" s="104"/>
      <c r="J4" s="104"/>
      <c r="K4" s="104"/>
      <c r="L4" s="105"/>
      <c r="M4" s="105"/>
      <c r="N4" s="105"/>
    </row>
    <row r="5" spans="1:14" ht="18" x14ac:dyDescent="0.25">
      <c r="A5" s="100" t="s">
        <v>116</v>
      </c>
      <c r="B5" s="100"/>
      <c r="C5" s="100"/>
      <c r="D5" s="100"/>
      <c r="E5" s="100"/>
      <c r="F5" s="100"/>
      <c r="G5" s="100"/>
      <c r="H5" s="104"/>
      <c r="I5" s="104"/>
      <c r="J5" s="104"/>
      <c r="K5" s="104"/>
      <c r="L5" s="105"/>
      <c r="M5" s="105"/>
      <c r="N5" s="105"/>
    </row>
    <row r="6" spans="1:14" x14ac:dyDescent="0.25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4" x14ac:dyDescent="0.25">
      <c r="A7" s="97"/>
      <c r="B7" s="97"/>
      <c r="C7" s="97"/>
      <c r="D7" s="97"/>
      <c r="E7" s="94"/>
      <c r="F7" s="94"/>
      <c r="G7" s="97"/>
      <c r="H7" s="102"/>
      <c r="I7" s="102"/>
      <c r="J7" s="102"/>
      <c r="K7" s="102"/>
      <c r="L7" s="97"/>
      <c r="M7" s="97"/>
      <c r="N7" s="97"/>
    </row>
    <row r="8" spans="1:14" x14ac:dyDescent="0.25">
      <c r="A8" s="97"/>
      <c r="B8" s="97"/>
      <c r="C8" s="97"/>
      <c r="D8" s="97"/>
      <c r="E8" s="106"/>
      <c r="F8" s="94"/>
      <c r="G8" s="98" t="s">
        <v>117</v>
      </c>
      <c r="H8" s="267"/>
      <c r="I8" s="267"/>
      <c r="J8" s="267"/>
      <c r="K8" s="267"/>
      <c r="L8" s="97"/>
      <c r="M8" s="97"/>
      <c r="N8" s="97"/>
    </row>
    <row r="9" spans="1:14" x14ac:dyDescent="0.25">
      <c r="A9" s="97"/>
      <c r="B9" s="97"/>
      <c r="C9" s="97"/>
      <c r="D9" s="97"/>
      <c r="E9" s="106"/>
      <c r="F9" s="94"/>
      <c r="G9" s="98" t="s">
        <v>118</v>
      </c>
      <c r="H9" s="96"/>
      <c r="I9" s="96"/>
      <c r="J9" s="96"/>
      <c r="K9" s="96"/>
      <c r="L9" s="97"/>
      <c r="M9" s="97"/>
      <c r="N9" s="97"/>
    </row>
    <row r="10" spans="1:14" ht="15.75" thickBot="1" x14ac:dyDescent="0.3">
      <c r="A10" s="97"/>
      <c r="B10" s="97"/>
      <c r="C10" s="97"/>
      <c r="D10" s="97"/>
      <c r="E10" s="106"/>
      <c r="F10" s="94"/>
      <c r="G10" s="99" t="s">
        <v>119</v>
      </c>
      <c r="H10" s="96"/>
      <c r="I10" s="96"/>
      <c r="J10" s="96"/>
      <c r="K10" s="106"/>
      <c r="L10" s="97"/>
      <c r="M10" s="97"/>
      <c r="N10" s="97"/>
    </row>
    <row r="11" spans="1:14" x14ac:dyDescent="0.25">
      <c r="A11" s="97"/>
      <c r="B11" s="97"/>
      <c r="C11" s="97"/>
      <c r="D11" s="97"/>
      <c r="E11" s="94"/>
      <c r="F11" s="94"/>
      <c r="G11" s="97"/>
      <c r="H11" s="102"/>
      <c r="I11" s="102"/>
      <c r="J11" s="102"/>
      <c r="K11" s="102"/>
      <c r="L11" s="97"/>
      <c r="M11" s="97"/>
      <c r="N11" s="97"/>
    </row>
    <row r="12" spans="1:14" x14ac:dyDescent="0.25">
      <c r="A12" s="148" t="s">
        <v>211</v>
      </c>
      <c r="B12" s="97"/>
      <c r="C12" s="97"/>
      <c r="D12" s="97"/>
      <c r="E12" s="120"/>
      <c r="F12" s="94"/>
      <c r="G12" s="247">
        <v>264933</v>
      </c>
      <c r="H12" s="102"/>
      <c r="I12" s="102"/>
      <c r="K12" s="102"/>
      <c r="L12" s="97"/>
      <c r="M12" s="97"/>
      <c r="N12" s="97"/>
    </row>
    <row r="13" spans="1:14" x14ac:dyDescent="0.25">
      <c r="A13" s="97" t="s">
        <v>24</v>
      </c>
      <c r="B13" s="97"/>
      <c r="C13" s="97"/>
      <c r="D13" s="97"/>
      <c r="E13" s="95"/>
      <c r="F13" s="94"/>
      <c r="G13" s="248">
        <v>309637.61</v>
      </c>
      <c r="H13" s="107"/>
      <c r="I13" s="108"/>
      <c r="K13" s="109"/>
      <c r="L13" s="97"/>
      <c r="M13" s="97"/>
      <c r="N13" s="97"/>
    </row>
    <row r="14" spans="1:14" x14ac:dyDescent="0.25">
      <c r="A14" s="97" t="s">
        <v>25</v>
      </c>
      <c r="B14" s="97"/>
      <c r="C14" s="97"/>
      <c r="D14" s="97"/>
      <c r="E14" s="95"/>
      <c r="F14" s="94"/>
      <c r="G14" s="248">
        <v>510010.43</v>
      </c>
      <c r="H14" s="107"/>
      <c r="I14" s="110"/>
      <c r="K14" s="110"/>
      <c r="L14" s="97"/>
      <c r="M14" s="97"/>
      <c r="N14" s="97"/>
    </row>
    <row r="15" spans="1:14" x14ac:dyDescent="0.25">
      <c r="A15" s="97" t="s">
        <v>26</v>
      </c>
      <c r="B15" s="97"/>
      <c r="C15" s="97"/>
      <c r="D15" s="97"/>
      <c r="E15" s="95"/>
      <c r="F15" s="94"/>
      <c r="G15" s="248">
        <v>609927.27</v>
      </c>
      <c r="H15" s="107"/>
      <c r="I15" s="110"/>
      <c r="K15" s="110"/>
      <c r="L15" s="97"/>
      <c r="M15" s="97"/>
      <c r="N15" s="97"/>
    </row>
    <row r="16" spans="1:14" x14ac:dyDescent="0.25">
      <c r="A16" s="97" t="s">
        <v>15</v>
      </c>
      <c r="B16" s="97"/>
      <c r="C16" s="97"/>
      <c r="D16" s="97"/>
      <c r="E16" s="95"/>
      <c r="F16" s="94"/>
      <c r="G16" s="248">
        <v>694922.29</v>
      </c>
      <c r="H16" s="107"/>
      <c r="I16" s="110"/>
      <c r="K16" s="110"/>
      <c r="L16" s="97"/>
      <c r="M16" s="97"/>
      <c r="N16" s="97"/>
    </row>
    <row r="17" spans="1:14" x14ac:dyDescent="0.25">
      <c r="A17" s="148" t="s">
        <v>186</v>
      </c>
      <c r="B17" s="97"/>
      <c r="C17" s="97"/>
      <c r="D17" s="97"/>
      <c r="E17" s="95"/>
      <c r="F17" s="94"/>
      <c r="G17" s="248">
        <v>674382.01</v>
      </c>
      <c r="H17" s="107"/>
      <c r="I17" s="110"/>
      <c r="K17" s="110"/>
      <c r="L17" s="97"/>
      <c r="M17" s="97"/>
      <c r="N17" s="97"/>
    </row>
    <row r="18" spans="1:14" x14ac:dyDescent="0.25">
      <c r="A18" s="97" t="s">
        <v>17</v>
      </c>
      <c r="B18" s="97"/>
      <c r="C18" s="97"/>
      <c r="D18" s="97"/>
      <c r="E18" s="95"/>
      <c r="F18" s="94"/>
      <c r="G18" s="248">
        <v>378410.91</v>
      </c>
      <c r="H18" s="107"/>
      <c r="I18" s="110"/>
      <c r="K18" s="110"/>
    </row>
    <row r="19" spans="1:14" x14ac:dyDescent="0.25">
      <c r="A19" s="97" t="s">
        <v>18</v>
      </c>
      <c r="B19" s="97"/>
      <c r="C19" s="97"/>
      <c r="D19" s="97"/>
      <c r="E19" s="95"/>
      <c r="F19" s="94"/>
      <c r="G19" s="248">
        <v>164045.84</v>
      </c>
      <c r="H19" s="107"/>
      <c r="I19" s="110"/>
      <c r="K19" s="110"/>
    </row>
    <row r="20" spans="1:14" x14ac:dyDescent="0.25">
      <c r="A20" s="97" t="s">
        <v>19</v>
      </c>
      <c r="B20" s="97"/>
      <c r="C20" s="97"/>
      <c r="D20" s="97"/>
      <c r="E20" s="95"/>
      <c r="F20" s="94"/>
      <c r="G20" s="248">
        <v>47175.98</v>
      </c>
      <c r="H20" s="107"/>
      <c r="I20" s="110"/>
      <c r="K20" s="110"/>
    </row>
    <row r="21" spans="1:14" x14ac:dyDescent="0.25">
      <c r="A21" s="97" t="s">
        <v>20</v>
      </c>
      <c r="B21" s="97"/>
      <c r="C21" s="97"/>
      <c r="D21" s="97"/>
      <c r="E21" s="95"/>
      <c r="F21" s="94"/>
      <c r="G21" s="248">
        <v>-160947.04</v>
      </c>
      <c r="H21" s="107"/>
      <c r="I21" s="110"/>
      <c r="K21" s="110"/>
    </row>
    <row r="22" spans="1:14" x14ac:dyDescent="0.25">
      <c r="A22" s="97" t="s">
        <v>21</v>
      </c>
      <c r="B22" s="97"/>
      <c r="C22" s="97"/>
      <c r="D22" s="97"/>
      <c r="E22" s="95"/>
      <c r="F22" s="94"/>
      <c r="G22" s="248">
        <v>-4675.83</v>
      </c>
      <c r="H22" s="107"/>
      <c r="I22" s="110"/>
      <c r="K22" s="110"/>
    </row>
    <row r="23" spans="1:14" x14ac:dyDescent="0.25">
      <c r="A23" s="97" t="s">
        <v>22</v>
      </c>
      <c r="B23" s="97"/>
      <c r="C23" s="97"/>
      <c r="D23" s="97"/>
      <c r="E23" s="95"/>
      <c r="F23" s="94"/>
      <c r="G23" s="248">
        <v>-3837.59</v>
      </c>
      <c r="H23" s="107"/>
      <c r="I23" s="110"/>
      <c r="K23" s="110"/>
    </row>
    <row r="24" spans="1:14" x14ac:dyDescent="0.25">
      <c r="A24" s="97" t="s">
        <v>23</v>
      </c>
      <c r="B24" s="97"/>
      <c r="C24" s="97"/>
      <c r="D24" s="97"/>
      <c r="E24" s="95"/>
      <c r="F24" s="94"/>
      <c r="G24" s="248">
        <v>-24408.02</v>
      </c>
      <c r="H24" s="107"/>
      <c r="I24" s="110"/>
      <c r="K24" s="110"/>
    </row>
    <row r="25" spans="1:14" x14ac:dyDescent="0.25">
      <c r="A25" s="97"/>
      <c r="B25" s="97"/>
      <c r="C25" s="97"/>
      <c r="D25" s="97"/>
      <c r="E25" s="102"/>
      <c r="F25" s="102"/>
      <c r="G25" s="97"/>
      <c r="H25" s="102"/>
      <c r="I25" s="111"/>
      <c r="J25" s="111"/>
      <c r="K25" s="112"/>
    </row>
    <row r="26" spans="1:14" x14ac:dyDescent="0.25">
      <c r="A26" s="97"/>
      <c r="B26" s="97"/>
      <c r="C26" s="97"/>
      <c r="D26" s="97"/>
      <c r="E26" s="97"/>
      <c r="F26" s="97"/>
      <c r="G26" s="97"/>
      <c r="H26" s="102"/>
      <c r="I26" s="102"/>
      <c r="J26" s="102"/>
      <c r="K26" s="102"/>
    </row>
    <row r="28" spans="1:14" ht="15.75" thickBot="1" x14ac:dyDescent="0.3">
      <c r="A28" s="97" t="s">
        <v>120</v>
      </c>
      <c r="B28" s="97"/>
      <c r="C28" s="97"/>
      <c r="D28" s="97"/>
      <c r="E28" s="95"/>
      <c r="F28" s="113"/>
      <c r="G28" s="118">
        <f>+'Attachment 1'!N17</f>
        <v>1222019</v>
      </c>
      <c r="H28" s="97"/>
      <c r="I28" s="97"/>
      <c r="J28" s="97"/>
      <c r="K28" s="97"/>
    </row>
    <row r="29" spans="1:14" x14ac:dyDescent="0.25">
      <c r="A29" s="97"/>
      <c r="B29" s="97"/>
      <c r="C29" s="97"/>
      <c r="D29" s="97"/>
      <c r="E29" s="102"/>
      <c r="F29" s="102"/>
      <c r="G29" s="97"/>
      <c r="H29" s="97"/>
      <c r="I29" s="97"/>
      <c r="J29" s="97"/>
      <c r="K29" s="97"/>
    </row>
    <row r="30" spans="1:14" ht="15.75" thickBot="1" x14ac:dyDescent="0.3">
      <c r="A30" s="97" t="s">
        <v>187</v>
      </c>
      <c r="B30" s="97"/>
      <c r="C30" s="97"/>
      <c r="D30" s="97"/>
      <c r="E30" s="108"/>
      <c r="F30" s="115"/>
      <c r="G30" s="114">
        <f>+G24</f>
        <v>-24408.02</v>
      </c>
      <c r="H30" s="97"/>
      <c r="I30" s="97"/>
      <c r="J30" s="97"/>
      <c r="K30" s="97"/>
    </row>
    <row r="31" spans="1:14" ht="15.75" thickTop="1" x14ac:dyDescent="0.25">
      <c r="A31" s="102"/>
      <c r="B31" s="102"/>
      <c r="C31" s="102"/>
      <c r="D31" s="102"/>
      <c r="E31" s="116"/>
      <c r="F31" s="111"/>
      <c r="G31" s="116"/>
      <c r="H31" s="102"/>
      <c r="I31" s="102"/>
      <c r="J31" s="102"/>
      <c r="K31" s="102"/>
    </row>
    <row r="32" spans="1:14" ht="15.75" thickBot="1" x14ac:dyDescent="0.3">
      <c r="A32" s="97" t="s">
        <v>212</v>
      </c>
      <c r="B32" s="97"/>
      <c r="C32" s="97"/>
      <c r="D32" s="97"/>
      <c r="E32" s="116"/>
      <c r="F32" s="117"/>
      <c r="G32" s="119">
        <f>+G30/G28/10</f>
        <v>-1.9973519233334345E-3</v>
      </c>
      <c r="H32" s="97"/>
      <c r="I32" s="97"/>
      <c r="J32" s="97"/>
      <c r="K32" s="97"/>
    </row>
    <row r="33" spans="1:4" ht="15.75" thickTop="1" x14ac:dyDescent="0.25">
      <c r="A33" s="97"/>
      <c r="B33" s="97"/>
      <c r="C33" s="97"/>
      <c r="D33" s="97"/>
    </row>
    <row r="34" spans="1:4" x14ac:dyDescent="0.25">
      <c r="A34" s="97" t="s">
        <v>92</v>
      </c>
      <c r="B34" s="97" t="s">
        <v>121</v>
      </c>
      <c r="C34" s="97"/>
      <c r="D34" s="97"/>
    </row>
    <row r="35" spans="1:4" x14ac:dyDescent="0.25">
      <c r="A35" s="97"/>
      <c r="B35" s="97" t="s">
        <v>122</v>
      </c>
      <c r="C35" s="97"/>
      <c r="D35" s="97"/>
    </row>
    <row r="37" spans="1:4" x14ac:dyDescent="0.25">
      <c r="A37" s="97"/>
      <c r="B37" s="103"/>
      <c r="C37" s="101"/>
      <c r="D37" s="101"/>
    </row>
  </sheetData>
  <mergeCells count="2">
    <mergeCell ref="H8:K8"/>
    <mergeCell ref="A1:G1"/>
  </mergeCells>
  <phoneticPr fontId="5" type="noConversion"/>
  <pageMargins left="0.7" right="0.7" top="0.75" bottom="0.75" header="0.3" footer="0.3"/>
  <pageSetup orientation="portrait" r:id="rId1"/>
  <headerFooter>
    <oddFooter>&amp;L&amp;F                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="70" zoomScaleNormal="70" workbookViewId="0">
      <selection activeCell="M18" sqref="M18"/>
    </sheetView>
  </sheetViews>
  <sheetFormatPr defaultRowHeight="15" x14ac:dyDescent="0.25"/>
  <cols>
    <col min="1" max="1" width="12.42578125" customWidth="1"/>
    <col min="2" max="2" width="16.5703125" customWidth="1"/>
    <col min="3" max="3" width="15.5703125" customWidth="1"/>
    <col min="4" max="4" width="23" customWidth="1"/>
    <col min="5" max="5" width="19.42578125" customWidth="1"/>
  </cols>
  <sheetData>
    <row r="1" spans="1:8" ht="18" x14ac:dyDescent="0.25">
      <c r="A1" s="268" t="s">
        <v>152</v>
      </c>
      <c r="B1" s="268"/>
      <c r="C1" s="268"/>
      <c r="D1" s="268"/>
      <c r="E1" s="268"/>
    </row>
    <row r="2" spans="1:8" ht="18" x14ac:dyDescent="0.25">
      <c r="A2" s="100" t="s">
        <v>216</v>
      </c>
      <c r="B2" s="122"/>
      <c r="C2" s="122"/>
      <c r="D2" s="122"/>
      <c r="E2" s="122"/>
      <c r="F2" s="121"/>
      <c r="G2" s="121"/>
      <c r="H2" s="121"/>
    </row>
    <row r="3" spans="1:8" ht="18" x14ac:dyDescent="0.25">
      <c r="A3" s="100" t="s">
        <v>191</v>
      </c>
      <c r="B3" s="122"/>
      <c r="C3" s="122"/>
      <c r="D3" s="122"/>
      <c r="E3" s="122"/>
      <c r="F3" s="121"/>
      <c r="G3" s="121"/>
      <c r="H3" s="121"/>
    </row>
    <row r="4" spans="1:8" ht="18" x14ac:dyDescent="0.25">
      <c r="A4" s="268" t="s">
        <v>123</v>
      </c>
      <c r="B4" s="268"/>
      <c r="C4" s="268"/>
      <c r="D4" s="268"/>
      <c r="E4" s="268"/>
      <c r="F4" s="124"/>
      <c r="G4" s="121"/>
      <c r="H4" s="121"/>
    </row>
    <row r="5" spans="1:8" ht="18" x14ac:dyDescent="0.25">
      <c r="A5" s="125"/>
      <c r="B5" s="124"/>
      <c r="C5" s="124"/>
      <c r="D5" s="124"/>
      <c r="E5" s="124"/>
      <c r="F5" s="124"/>
      <c r="G5" s="121"/>
      <c r="H5" s="121"/>
    </row>
    <row r="6" spans="1:8" ht="18" x14ac:dyDescent="0.25">
      <c r="A6" s="124"/>
      <c r="B6" s="126" t="s">
        <v>124</v>
      </c>
      <c r="C6" s="126" t="s">
        <v>125</v>
      </c>
      <c r="D6" s="126"/>
      <c r="E6" s="124"/>
      <c r="F6" s="124"/>
      <c r="G6" s="121"/>
      <c r="H6" s="121"/>
    </row>
    <row r="7" spans="1:8" ht="18" x14ac:dyDescent="0.25">
      <c r="A7" s="126"/>
      <c r="B7" s="126" t="s">
        <v>126</v>
      </c>
      <c r="C7" s="126" t="s">
        <v>126</v>
      </c>
      <c r="D7" s="126" t="s">
        <v>126</v>
      </c>
      <c r="E7" s="126" t="s">
        <v>127</v>
      </c>
      <c r="F7" s="126"/>
      <c r="G7" s="121"/>
      <c r="H7" s="121"/>
    </row>
    <row r="8" spans="1:8" ht="18.75" thickBot="1" x14ac:dyDescent="0.3">
      <c r="A8" s="127" t="s">
        <v>99</v>
      </c>
      <c r="B8" s="127" t="s">
        <v>128</v>
      </c>
      <c r="C8" s="127" t="s">
        <v>128</v>
      </c>
      <c r="D8" s="127" t="s">
        <v>129</v>
      </c>
      <c r="E8" s="127" t="s">
        <v>130</v>
      </c>
      <c r="F8" s="260"/>
      <c r="G8" s="121"/>
      <c r="H8" s="121"/>
    </row>
    <row r="9" spans="1:8" ht="18" x14ac:dyDescent="0.25">
      <c r="A9" s="128">
        <v>41639</v>
      </c>
      <c r="B9" s="257">
        <v>0.629</v>
      </c>
      <c r="C9" s="258">
        <f>+'Attachment 1'!F76/10+'Attachment 2'!G32</f>
        <v>0.57538270474797015</v>
      </c>
      <c r="D9" s="259">
        <f>+C9-B9</f>
        <v>-5.3617295252029851E-2</v>
      </c>
      <c r="E9" s="200">
        <f>+D9*'Attachment 1'!B14*10</f>
        <v>-106281.24955442033</v>
      </c>
      <c r="F9" s="132"/>
      <c r="G9" s="121"/>
      <c r="H9" s="121"/>
    </row>
    <row r="10" spans="1:8" ht="18" x14ac:dyDescent="0.25">
      <c r="A10" s="128">
        <v>41670</v>
      </c>
      <c r="B10" s="129">
        <f t="shared" ref="B10:D12" si="0">+B9</f>
        <v>0.629</v>
      </c>
      <c r="C10" s="249">
        <f t="shared" si="0"/>
        <v>0.57538270474797015</v>
      </c>
      <c r="D10" s="142">
        <f t="shared" si="0"/>
        <v>-5.3617295252029851E-2</v>
      </c>
      <c r="E10" s="136">
        <f>+D10*'Attachment 1'!C14*10</f>
        <v>-120716.89265475739</v>
      </c>
      <c r="F10" s="132"/>
      <c r="G10" s="121"/>
      <c r="H10" s="121"/>
    </row>
    <row r="11" spans="1:8" ht="18" x14ac:dyDescent="0.25">
      <c r="A11" s="128">
        <v>41698</v>
      </c>
      <c r="B11" s="129">
        <f t="shared" si="0"/>
        <v>0.629</v>
      </c>
      <c r="C11" s="249">
        <f t="shared" si="0"/>
        <v>0.57538270474797015</v>
      </c>
      <c r="D11" s="142">
        <f t="shared" si="0"/>
        <v>-5.3617295252029851E-2</v>
      </c>
      <c r="E11" s="136">
        <f>+D11*'Attachment 1'!D14*10</f>
        <v>-97448.867183853319</v>
      </c>
      <c r="F11" s="132"/>
      <c r="G11" s="121"/>
      <c r="H11" s="121"/>
    </row>
    <row r="12" spans="1:8" ht="18" x14ac:dyDescent="0.25">
      <c r="A12" s="128">
        <v>41729</v>
      </c>
      <c r="B12" s="129">
        <f t="shared" si="0"/>
        <v>0.629</v>
      </c>
      <c r="C12" s="249">
        <f t="shared" si="0"/>
        <v>0.57538270474797015</v>
      </c>
      <c r="D12" s="142">
        <f t="shared" si="0"/>
        <v>-5.3617295252029851E-2</v>
      </c>
      <c r="E12" s="136">
        <f>+D12*'Attachment 1'!E14*10</f>
        <v>-76765.336877190188</v>
      </c>
      <c r="F12" s="132"/>
      <c r="G12" s="121"/>
      <c r="H12" s="121"/>
    </row>
    <row r="13" spans="1:8" ht="18" x14ac:dyDescent="0.25">
      <c r="A13" s="128"/>
      <c r="B13" s="129"/>
      <c r="C13" s="250"/>
      <c r="D13" s="137"/>
      <c r="E13" s="136"/>
      <c r="F13" s="132"/>
      <c r="G13" s="121"/>
      <c r="H13" s="121"/>
    </row>
    <row r="14" spans="1:8" ht="18" x14ac:dyDescent="0.25">
      <c r="A14" s="124"/>
      <c r="B14" s="124"/>
      <c r="C14" s="124"/>
      <c r="D14" s="130"/>
      <c r="E14" s="124"/>
      <c r="F14" s="124"/>
      <c r="G14" s="121"/>
      <c r="H14" s="121"/>
    </row>
    <row r="15" spans="1:8" ht="18.75" thickBot="1" x14ac:dyDescent="0.3">
      <c r="A15" s="125" t="s">
        <v>131</v>
      </c>
      <c r="B15" s="125"/>
      <c r="C15" s="125"/>
      <c r="D15" s="125"/>
      <c r="E15" s="138">
        <f>SUM(E9:E12)</f>
        <v>-401212.34627022117</v>
      </c>
      <c r="F15" s="133"/>
      <c r="G15" s="121"/>
      <c r="H15" s="121"/>
    </row>
    <row r="16" spans="1:8" ht="18.75" thickTop="1" x14ac:dyDescent="0.25">
      <c r="A16" s="125"/>
      <c r="B16" s="125"/>
      <c r="C16" s="125"/>
      <c r="D16" s="125"/>
      <c r="E16" s="125"/>
      <c r="F16" s="125"/>
      <c r="G16" s="121"/>
      <c r="H16" s="121"/>
    </row>
    <row r="17" spans="1:8" ht="18.75" thickBot="1" x14ac:dyDescent="0.3">
      <c r="A17" s="125" t="s">
        <v>132</v>
      </c>
      <c r="B17" s="125"/>
      <c r="C17" s="125"/>
      <c r="D17" s="125"/>
      <c r="E17" s="135">
        <f>+D12/B12</f>
        <v>-8.5242122817217575E-2</v>
      </c>
      <c r="F17" s="134"/>
      <c r="G17" s="121"/>
      <c r="H17" s="121"/>
    </row>
    <row r="18" spans="1:8" ht="18.75" thickTop="1" x14ac:dyDescent="0.25">
      <c r="A18" s="124"/>
      <c r="B18" s="124"/>
      <c r="C18" s="124"/>
      <c r="D18" s="124"/>
      <c r="E18" s="124"/>
      <c r="F18" s="124"/>
      <c r="G18" s="121"/>
      <c r="H18" s="121"/>
    </row>
    <row r="19" spans="1:8" ht="18" x14ac:dyDescent="0.25">
      <c r="A19" s="124"/>
      <c r="B19" s="124"/>
      <c r="C19" s="124"/>
      <c r="D19" s="124"/>
      <c r="E19" s="124"/>
      <c r="F19" s="124"/>
      <c r="G19" s="121"/>
      <c r="H19" s="121"/>
    </row>
    <row r="20" spans="1:8" ht="18.75" thickBot="1" x14ac:dyDescent="0.3">
      <c r="A20" s="125" t="s">
        <v>133</v>
      </c>
      <c r="B20" s="125"/>
      <c r="C20" s="125"/>
      <c r="D20" s="125"/>
      <c r="E20" s="139">
        <f>+D12*C36</f>
        <v>-5.3462185320613242</v>
      </c>
      <c r="F20" s="124"/>
      <c r="G20" s="121"/>
      <c r="H20" s="121"/>
    </row>
    <row r="21" spans="1:8" ht="18.75" thickTop="1" x14ac:dyDescent="0.25">
      <c r="A21" s="124"/>
      <c r="B21" s="124"/>
      <c r="C21" s="124"/>
      <c r="D21" s="124"/>
      <c r="E21" s="124"/>
      <c r="F21" s="124"/>
      <c r="G21" s="121"/>
      <c r="H21" s="121"/>
    </row>
    <row r="22" spans="1:8" ht="18" x14ac:dyDescent="0.25">
      <c r="A22" s="124"/>
      <c r="B22" s="124"/>
      <c r="C22" s="124"/>
      <c r="D22" s="124"/>
      <c r="E22" s="124"/>
      <c r="F22" s="124"/>
      <c r="G22" s="121"/>
      <c r="H22" s="121"/>
    </row>
    <row r="23" spans="1:8" ht="18" x14ac:dyDescent="0.25">
      <c r="A23" s="125" t="s">
        <v>134</v>
      </c>
      <c r="B23" s="124"/>
      <c r="C23" s="131"/>
      <c r="D23" s="124"/>
      <c r="E23" s="97"/>
      <c r="F23" s="124"/>
      <c r="G23" s="121"/>
      <c r="H23" s="121"/>
    </row>
    <row r="24" spans="1:8" ht="18.75" thickBot="1" x14ac:dyDescent="0.3">
      <c r="A24" s="125" t="s">
        <v>135</v>
      </c>
      <c r="B24" s="97"/>
      <c r="C24" s="124"/>
      <c r="D24" s="124"/>
      <c r="E24" s="140">
        <f>+D12*C36/(10+(B12+0.466)*C36)</f>
        <v>-4.485713878036833E-2</v>
      </c>
      <c r="F24" s="124"/>
      <c r="G24" s="121"/>
      <c r="H24" s="121"/>
    </row>
    <row r="25" spans="1:8" ht="18.75" thickTop="1" x14ac:dyDescent="0.25">
      <c r="A25" s="124"/>
      <c r="B25" s="124"/>
      <c r="C25" s="124"/>
      <c r="D25" s="124"/>
      <c r="E25" s="124"/>
      <c r="F25" s="124"/>
      <c r="G25" s="121"/>
      <c r="H25" s="121"/>
    </row>
    <row r="26" spans="1:8" x14ac:dyDescent="0.25">
      <c r="A26" s="123"/>
      <c r="B26" s="123"/>
      <c r="C26" s="123"/>
      <c r="D26" s="123"/>
      <c r="E26" s="123"/>
      <c r="F26" s="123"/>
      <c r="G26" s="97"/>
      <c r="H26" s="97"/>
    </row>
    <row r="27" spans="1:8" ht="18" x14ac:dyDescent="0.25">
      <c r="A27" s="124" t="s">
        <v>92</v>
      </c>
      <c r="B27" s="124"/>
      <c r="C27" s="124"/>
      <c r="D27" s="124"/>
      <c r="E27" s="123"/>
      <c r="F27" s="123"/>
      <c r="G27" s="97"/>
      <c r="H27" s="97"/>
    </row>
    <row r="28" spans="1:8" ht="18" x14ac:dyDescent="0.25">
      <c r="A28" s="124" t="s">
        <v>136</v>
      </c>
      <c r="B28" s="124"/>
      <c r="C28" s="124"/>
      <c r="D28" s="124"/>
      <c r="E28" s="123"/>
      <c r="F28" s="123"/>
      <c r="G28" s="97"/>
      <c r="H28" s="97"/>
    </row>
    <row r="29" spans="1:8" ht="18.75" x14ac:dyDescent="0.3">
      <c r="A29" s="124"/>
      <c r="B29" s="124"/>
      <c r="C29" s="251"/>
      <c r="D29" s="251"/>
      <c r="E29" s="123"/>
      <c r="F29" s="123"/>
      <c r="G29" s="97"/>
      <c r="H29" s="97"/>
    </row>
    <row r="30" spans="1:8" ht="18.75" x14ac:dyDescent="0.3">
      <c r="A30" s="124"/>
      <c r="B30" s="252"/>
      <c r="C30" s="253"/>
      <c r="D30" s="251"/>
      <c r="E30" s="123"/>
      <c r="F30" s="123"/>
      <c r="G30" s="97"/>
      <c r="H30" s="97"/>
    </row>
    <row r="31" spans="1:8" ht="18" x14ac:dyDescent="0.25">
      <c r="A31" s="124"/>
      <c r="B31" s="252" t="s">
        <v>15</v>
      </c>
      <c r="C31" s="254">
        <f>+'Attachment 3 support'!M9*10</f>
        <v>107.42395379821542</v>
      </c>
      <c r="D31" s="121"/>
      <c r="E31" s="123"/>
      <c r="F31" s="123"/>
      <c r="G31" s="97"/>
      <c r="H31" s="97"/>
    </row>
    <row r="32" spans="1:8" ht="18" x14ac:dyDescent="0.25">
      <c r="A32" s="124"/>
      <c r="B32" s="252" t="s">
        <v>16</v>
      </c>
      <c r="C32" s="254">
        <f>+'Attachment 3 support'!M10*10</f>
        <v>122.33126815342689</v>
      </c>
      <c r="D32" s="121"/>
      <c r="E32" s="123"/>
      <c r="F32" s="123"/>
      <c r="G32" s="97"/>
      <c r="H32" s="97"/>
    </row>
    <row r="33" spans="1:6" ht="18" x14ac:dyDescent="0.25">
      <c r="A33" s="124"/>
      <c r="B33" s="252" t="s">
        <v>17</v>
      </c>
      <c r="C33" s="254">
        <f>+'Attachment 3 support'!M11*10</f>
        <v>95.841211718201166</v>
      </c>
      <c r="D33" s="121"/>
      <c r="E33" s="123"/>
      <c r="F33" s="123"/>
    </row>
    <row r="34" spans="1:6" ht="18.75" thickBot="1" x14ac:dyDescent="0.3">
      <c r="A34" s="124"/>
      <c r="B34" s="252" t="s">
        <v>18</v>
      </c>
      <c r="C34" s="254">
        <f>+'Attachment 3 support'!M12*10</f>
        <v>73.246402913482768</v>
      </c>
      <c r="D34" s="121"/>
      <c r="E34" s="123"/>
      <c r="F34" s="123"/>
    </row>
    <row r="35" spans="1:6" ht="18.75" thickBot="1" x14ac:dyDescent="0.3">
      <c r="A35" s="124"/>
      <c r="B35" s="124" t="s">
        <v>137</v>
      </c>
      <c r="C35" s="255">
        <f>SUM(C31:C34)</f>
        <v>398.84283658332623</v>
      </c>
      <c r="D35" s="121"/>
      <c r="E35" s="123"/>
      <c r="F35" s="123"/>
    </row>
    <row r="36" spans="1:6" ht="19.5" thickTop="1" thickBot="1" x14ac:dyDescent="0.3">
      <c r="A36" s="124"/>
      <c r="B36" s="124" t="s">
        <v>138</v>
      </c>
      <c r="C36" s="256">
        <f>+C35/4</f>
        <v>99.710709145831558</v>
      </c>
      <c r="D36" s="121"/>
      <c r="E36" s="123"/>
      <c r="F36" s="123"/>
    </row>
    <row r="37" spans="1:6" ht="18.75" thickTop="1" x14ac:dyDescent="0.25">
      <c r="A37" s="121"/>
      <c r="B37" s="121"/>
      <c r="C37" s="121"/>
      <c r="D37" s="121"/>
      <c r="E37" s="123"/>
      <c r="F37" s="123"/>
    </row>
    <row r="38" spans="1:6" x14ac:dyDescent="0.25">
      <c r="A38" s="97"/>
      <c r="B38" s="97"/>
      <c r="C38" s="97"/>
      <c r="D38" s="97"/>
      <c r="E38" s="123"/>
      <c r="F38" s="123"/>
    </row>
    <row r="39" spans="1:6" x14ac:dyDescent="0.25">
      <c r="A39" s="97"/>
      <c r="B39" s="97"/>
      <c r="C39" s="97"/>
      <c r="D39" s="97"/>
      <c r="E39" s="123"/>
      <c r="F39" s="123"/>
    </row>
    <row r="40" spans="1:6" x14ac:dyDescent="0.25">
      <c r="A40" s="97"/>
      <c r="B40" s="97"/>
      <c r="C40" s="97"/>
      <c r="D40" s="97"/>
      <c r="E40" s="123"/>
      <c r="F40" s="123"/>
    </row>
    <row r="41" spans="1:6" x14ac:dyDescent="0.25">
      <c r="A41" s="123"/>
      <c r="B41" s="123"/>
      <c r="C41" s="123"/>
      <c r="D41" s="123"/>
      <c r="E41" s="123"/>
      <c r="F41" s="123"/>
    </row>
    <row r="42" spans="1:6" x14ac:dyDescent="0.25">
      <c r="A42" s="123"/>
      <c r="B42" s="123"/>
      <c r="C42" s="123"/>
      <c r="D42" s="123"/>
      <c r="E42" s="123"/>
      <c r="F42" s="123"/>
    </row>
    <row r="43" spans="1:6" x14ac:dyDescent="0.25">
      <c r="A43" s="123"/>
      <c r="B43" s="123"/>
      <c r="C43" s="123"/>
      <c r="D43" s="123"/>
      <c r="E43" s="123"/>
      <c r="F43" s="123"/>
    </row>
    <row r="44" spans="1:6" x14ac:dyDescent="0.25">
      <c r="A44" s="123"/>
      <c r="B44" s="123"/>
      <c r="C44" s="123"/>
      <c r="D44" s="123"/>
      <c r="E44" s="123"/>
      <c r="F44" s="123"/>
    </row>
    <row r="45" spans="1:6" x14ac:dyDescent="0.25">
      <c r="A45" s="123"/>
      <c r="B45" s="123"/>
      <c r="C45" s="123"/>
      <c r="D45" s="123"/>
      <c r="E45" s="123"/>
      <c r="F45" s="123"/>
    </row>
    <row r="46" spans="1:6" x14ac:dyDescent="0.25">
      <c r="A46" s="123"/>
      <c r="B46" s="123"/>
      <c r="C46" s="123"/>
      <c r="D46" s="123"/>
      <c r="E46" s="123"/>
      <c r="F46" s="123"/>
    </row>
    <row r="47" spans="1:6" x14ac:dyDescent="0.25">
      <c r="A47" s="123"/>
      <c r="B47" s="123"/>
      <c r="C47" s="123"/>
      <c r="D47" s="123"/>
      <c r="E47" s="123"/>
      <c r="F47" s="123"/>
    </row>
    <row r="48" spans="1:6" x14ac:dyDescent="0.25">
      <c r="A48" s="123"/>
      <c r="B48" s="123"/>
      <c r="C48" s="123"/>
      <c r="D48" s="123"/>
      <c r="E48" s="123"/>
      <c r="F48" s="123"/>
    </row>
    <row r="49" spans="1:6" x14ac:dyDescent="0.25">
      <c r="A49" s="123"/>
      <c r="B49" s="123"/>
      <c r="C49" s="123"/>
      <c r="D49" s="123"/>
      <c r="E49" s="123"/>
      <c r="F49" s="123"/>
    </row>
    <row r="50" spans="1:6" x14ac:dyDescent="0.25">
      <c r="A50" s="123"/>
      <c r="B50" s="123"/>
      <c r="C50" s="123"/>
      <c r="D50" s="123"/>
      <c r="E50" s="123"/>
      <c r="F50" s="123"/>
    </row>
    <row r="51" spans="1:6" x14ac:dyDescent="0.25">
      <c r="A51" s="123"/>
      <c r="B51" s="123"/>
      <c r="C51" s="123"/>
      <c r="D51" s="123"/>
      <c r="E51" s="123"/>
      <c r="F51" s="123"/>
    </row>
    <row r="52" spans="1:6" x14ac:dyDescent="0.25">
      <c r="A52" s="123"/>
      <c r="B52" s="123"/>
      <c r="C52" s="123"/>
      <c r="D52" s="123"/>
      <c r="E52" s="123"/>
      <c r="F52" s="123"/>
    </row>
  </sheetData>
  <mergeCells count="2">
    <mergeCell ref="A4:E4"/>
    <mergeCell ref="A1:E1"/>
  </mergeCells>
  <phoneticPr fontId="5" type="noConversion"/>
  <pageMargins left="0.7" right="0.7" top="0.75" bottom="0.75" header="0.3" footer="0.3"/>
  <pageSetup orientation="portrait" r:id="rId1"/>
  <headerFooter>
    <oddFooter>&amp;L&amp;F                     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H13" sqref="H13"/>
    </sheetView>
  </sheetViews>
  <sheetFormatPr defaultRowHeight="15" x14ac:dyDescent="0.25"/>
  <cols>
    <col min="2" max="2" width="9.7109375" bestFit="1" customWidth="1"/>
    <col min="3" max="3" width="11.85546875" customWidth="1"/>
    <col min="4" max="4" width="11.5703125" style="15" customWidth="1"/>
  </cols>
  <sheetData>
    <row r="1" spans="1:4" s="5" customFormat="1" x14ac:dyDescent="0.25">
      <c r="B1" s="5" t="s">
        <v>102</v>
      </c>
      <c r="C1" s="5" t="s">
        <v>102</v>
      </c>
      <c r="D1" s="40" t="s">
        <v>105</v>
      </c>
    </row>
    <row r="2" spans="1:4" s="5" customFormat="1" ht="15.75" thickBot="1" x14ac:dyDescent="0.3">
      <c r="B2" s="5" t="s">
        <v>103</v>
      </c>
      <c r="C2" s="5" t="s">
        <v>104</v>
      </c>
      <c r="D2" s="40" t="s">
        <v>106</v>
      </c>
    </row>
    <row r="3" spans="1:4" x14ac:dyDescent="0.25">
      <c r="A3" s="88">
        <v>41609</v>
      </c>
      <c r="B3" s="186">
        <v>-0.15</v>
      </c>
      <c r="C3" s="51">
        <v>3.8490000000000002</v>
      </c>
      <c r="D3" s="196">
        <f>B3+C3</f>
        <v>3.6990000000000003</v>
      </c>
    </row>
    <row r="4" spans="1:4" x14ac:dyDescent="0.25">
      <c r="A4" s="88">
        <v>41640</v>
      </c>
      <c r="B4" s="187">
        <v>-0.15</v>
      </c>
      <c r="C4" s="51">
        <v>3.952</v>
      </c>
      <c r="D4" s="196">
        <f t="shared" ref="D4:D14" si="0">B4+C4</f>
        <v>3.802</v>
      </c>
    </row>
    <row r="5" spans="1:4" x14ac:dyDescent="0.25">
      <c r="A5" s="88">
        <v>41671</v>
      </c>
      <c r="B5" s="187">
        <v>-0.15</v>
      </c>
      <c r="C5" s="51">
        <v>3.9569999999999999</v>
      </c>
      <c r="D5" s="196">
        <f t="shared" si="0"/>
        <v>3.8069999999999999</v>
      </c>
    </row>
    <row r="6" spans="1:4" x14ac:dyDescent="0.25">
      <c r="A6" s="88">
        <v>41699</v>
      </c>
      <c r="B6" s="187">
        <v>-0.15</v>
      </c>
      <c r="C6" s="51">
        <v>3.93</v>
      </c>
      <c r="D6" s="196">
        <f t="shared" si="0"/>
        <v>3.7800000000000002</v>
      </c>
    </row>
    <row r="7" spans="1:4" x14ac:dyDescent="0.25">
      <c r="A7" s="88">
        <v>41730</v>
      </c>
      <c r="B7" s="187">
        <v>-0.24</v>
      </c>
      <c r="C7" s="51">
        <v>3.8780000000000001</v>
      </c>
      <c r="D7" s="196">
        <f>B7+C7</f>
        <v>3.6379999999999999</v>
      </c>
    </row>
    <row r="8" spans="1:4" x14ac:dyDescent="0.25">
      <c r="A8" s="88">
        <v>41760</v>
      </c>
      <c r="B8" s="187">
        <v>-0.24</v>
      </c>
      <c r="C8" s="51">
        <v>3.899</v>
      </c>
      <c r="D8" s="196">
        <f t="shared" si="0"/>
        <v>3.6589999999999998</v>
      </c>
    </row>
    <row r="9" spans="1:4" x14ac:dyDescent="0.25">
      <c r="A9" s="88">
        <v>41791</v>
      </c>
      <c r="B9" s="187">
        <v>-0.24</v>
      </c>
      <c r="C9" s="51">
        <v>3.9279999999999999</v>
      </c>
      <c r="D9" s="196">
        <f t="shared" si="0"/>
        <v>3.6879999999999997</v>
      </c>
    </row>
    <row r="10" spans="1:4" x14ac:dyDescent="0.25">
      <c r="A10" s="88">
        <v>41821</v>
      </c>
      <c r="B10" s="187">
        <v>-0.24</v>
      </c>
      <c r="C10" s="51">
        <v>3.9569999999999999</v>
      </c>
      <c r="D10" s="196">
        <f t="shared" si="0"/>
        <v>3.7169999999999996</v>
      </c>
    </row>
    <row r="11" spans="1:4" x14ac:dyDescent="0.25">
      <c r="A11" s="88">
        <v>41852</v>
      </c>
      <c r="B11" s="187">
        <v>-0.24</v>
      </c>
      <c r="C11" s="51">
        <v>3.9729999999999999</v>
      </c>
      <c r="D11" s="196">
        <f t="shared" si="0"/>
        <v>3.7329999999999997</v>
      </c>
    </row>
    <row r="12" spans="1:4" x14ac:dyDescent="0.25">
      <c r="A12" s="88">
        <v>41883</v>
      </c>
      <c r="B12" s="187">
        <v>-0.24</v>
      </c>
      <c r="C12" s="51">
        <v>3.9670000000000001</v>
      </c>
      <c r="D12" s="196">
        <f t="shared" si="0"/>
        <v>3.7270000000000003</v>
      </c>
    </row>
    <row r="13" spans="1:4" x14ac:dyDescent="0.25">
      <c r="A13" s="88">
        <v>41913</v>
      </c>
      <c r="B13" s="187">
        <v>-0.24</v>
      </c>
      <c r="C13" s="51">
        <v>3.9790000000000001</v>
      </c>
      <c r="D13" s="196">
        <f>B13+C13</f>
        <v>3.7389999999999999</v>
      </c>
    </row>
    <row r="14" spans="1:4" ht="15.75" thickBot="1" x14ac:dyDescent="0.3">
      <c r="A14" s="88">
        <v>41944</v>
      </c>
      <c r="B14" s="188">
        <v>-0.15</v>
      </c>
      <c r="C14" s="51">
        <v>4.0529999999999999</v>
      </c>
      <c r="D14" s="196">
        <f t="shared" si="0"/>
        <v>3.903</v>
      </c>
    </row>
    <row r="16" spans="1:4" x14ac:dyDescent="0.25">
      <c r="A16" s="92" t="s">
        <v>92</v>
      </c>
      <c r="B16" s="269" t="s">
        <v>110</v>
      </c>
      <c r="C16" s="270"/>
      <c r="D16" s="270"/>
    </row>
    <row r="17" spans="2:4" x14ac:dyDescent="0.25">
      <c r="B17" s="270" t="s">
        <v>205</v>
      </c>
      <c r="C17" s="270"/>
      <c r="D17" s="270"/>
    </row>
    <row r="18" spans="2:4" x14ac:dyDescent="0.25">
      <c r="B18" s="270" t="s">
        <v>206</v>
      </c>
      <c r="C18" s="270"/>
      <c r="D18" s="270"/>
    </row>
    <row r="19" spans="2:4" x14ac:dyDescent="0.25">
      <c r="B19" s="270" t="s">
        <v>207</v>
      </c>
      <c r="C19" s="270"/>
      <c r="D19" s="270"/>
    </row>
    <row r="20" spans="2:4" x14ac:dyDescent="0.25">
      <c r="B20" s="195" t="s">
        <v>174</v>
      </c>
      <c r="C20" s="195"/>
      <c r="D20" s="195"/>
    </row>
  </sheetData>
  <mergeCells count="4">
    <mergeCell ref="B16:D16"/>
    <mergeCell ref="B17:D17"/>
    <mergeCell ref="B19:D19"/>
    <mergeCell ref="B18:D18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workbookViewId="0">
      <selection activeCell="H4" sqref="H4"/>
    </sheetView>
  </sheetViews>
  <sheetFormatPr defaultRowHeight="15" x14ac:dyDescent="0.25"/>
  <cols>
    <col min="5" max="5" width="16.140625" customWidth="1"/>
    <col min="6" max="6" width="14.5703125" customWidth="1"/>
  </cols>
  <sheetData>
    <row r="1" spans="1:6" ht="15.75" x14ac:dyDescent="0.25">
      <c r="A1" s="271" t="s">
        <v>208</v>
      </c>
      <c r="B1" s="271"/>
      <c r="C1" s="271"/>
      <c r="D1" s="271"/>
      <c r="E1" s="271"/>
      <c r="F1" s="271"/>
    </row>
    <row r="3" spans="1:6" ht="19.5" x14ac:dyDescent="0.4">
      <c r="A3" s="284" t="s">
        <v>45</v>
      </c>
      <c r="B3" s="284"/>
      <c r="C3" s="284"/>
      <c r="D3" s="284"/>
      <c r="E3" s="284"/>
      <c r="F3" s="284"/>
    </row>
    <row r="4" spans="1:6" x14ac:dyDescent="0.25">
      <c r="A4" s="274" t="s">
        <v>46</v>
      </c>
      <c r="B4" s="274"/>
      <c r="C4" s="274"/>
      <c r="D4" s="274"/>
      <c r="E4" s="274"/>
      <c r="F4" s="52">
        <v>4.41E-2</v>
      </c>
    </row>
    <row r="5" spans="1:6" x14ac:dyDescent="0.25">
      <c r="A5" s="274" t="s">
        <v>47</v>
      </c>
      <c r="B5" s="274"/>
      <c r="C5" s="274"/>
      <c r="D5" s="274"/>
      <c r="E5" s="274"/>
      <c r="F5" s="52">
        <v>1.35E-2</v>
      </c>
    </row>
    <row r="6" spans="1:6" x14ac:dyDescent="0.25">
      <c r="A6" s="274" t="s">
        <v>48</v>
      </c>
      <c r="B6" s="274"/>
      <c r="C6" s="274"/>
      <c r="D6" s="274"/>
      <c r="E6" s="274"/>
      <c r="F6" s="52">
        <v>1.2200000000000001E-2</v>
      </c>
    </row>
    <row r="8" spans="1:6" ht="19.5" x14ac:dyDescent="0.4">
      <c r="A8" s="284" t="s">
        <v>49</v>
      </c>
      <c r="B8" s="284"/>
      <c r="C8" s="284"/>
      <c r="D8" s="284"/>
      <c r="E8" s="284"/>
      <c r="F8" s="284"/>
    </row>
    <row r="9" spans="1:6" ht="15.75" x14ac:dyDescent="0.25">
      <c r="A9" s="288" t="s">
        <v>50</v>
      </c>
      <c r="B9" s="289"/>
      <c r="C9" s="289"/>
      <c r="D9" s="289"/>
      <c r="E9" s="289"/>
      <c r="F9" s="290"/>
    </row>
    <row r="10" spans="1:6" x14ac:dyDescent="0.25">
      <c r="A10" s="275" t="s">
        <v>55</v>
      </c>
      <c r="B10" s="275"/>
      <c r="C10" s="275"/>
      <c r="D10" s="275"/>
      <c r="E10" s="275"/>
      <c r="F10" s="55">
        <v>3000</v>
      </c>
    </row>
    <row r="11" spans="1:6" x14ac:dyDescent="0.25">
      <c r="A11" s="279" t="s">
        <v>51</v>
      </c>
      <c r="B11" s="279"/>
      <c r="C11" s="279"/>
      <c r="D11" s="279"/>
      <c r="E11" s="279"/>
      <c r="F11" s="53">
        <v>0.37</v>
      </c>
    </row>
    <row r="12" spans="1:6" x14ac:dyDescent="0.25">
      <c r="A12" s="274" t="s">
        <v>107</v>
      </c>
      <c r="B12" s="274"/>
      <c r="C12" s="274"/>
      <c r="D12" s="274"/>
      <c r="E12" s="274"/>
      <c r="F12" s="53">
        <v>1.14E-2</v>
      </c>
    </row>
    <row r="13" spans="1:6" x14ac:dyDescent="0.25">
      <c r="A13" s="274" t="s">
        <v>59</v>
      </c>
      <c r="B13" s="274"/>
      <c r="C13" s="274"/>
      <c r="D13" s="274"/>
      <c r="E13" s="274"/>
      <c r="F13" s="53">
        <v>3.7000000000000002E-3</v>
      </c>
    </row>
    <row r="15" spans="1:6" ht="15.75" x14ac:dyDescent="0.25">
      <c r="A15" s="285" t="s">
        <v>54</v>
      </c>
      <c r="B15" s="286"/>
      <c r="C15" s="286"/>
      <c r="D15" s="286"/>
      <c r="E15" s="286"/>
      <c r="F15" s="287"/>
    </row>
    <row r="16" spans="1:6" x14ac:dyDescent="0.25">
      <c r="A16" s="275" t="s">
        <v>55</v>
      </c>
      <c r="B16" s="275"/>
      <c r="C16" s="275"/>
      <c r="D16" s="275"/>
      <c r="E16" s="275"/>
      <c r="F16" s="55">
        <v>10000</v>
      </c>
    </row>
    <row r="17" spans="1:6" x14ac:dyDescent="0.25">
      <c r="A17" s="279" t="s">
        <v>51</v>
      </c>
      <c r="B17" s="279"/>
      <c r="C17" s="279"/>
      <c r="D17" s="279"/>
      <c r="E17" s="279"/>
      <c r="F17" s="53">
        <v>0.1905</v>
      </c>
    </row>
    <row r="18" spans="1:6" x14ac:dyDescent="0.25">
      <c r="A18" s="274" t="s">
        <v>52</v>
      </c>
      <c r="B18" s="274"/>
      <c r="C18" s="274"/>
      <c r="D18" s="274"/>
      <c r="E18" s="274"/>
      <c r="F18" s="53">
        <v>6.9999999999999999E-4</v>
      </c>
    </row>
    <row r="19" spans="1:6" x14ac:dyDescent="0.25">
      <c r="A19" s="274" t="s">
        <v>53</v>
      </c>
      <c r="B19" s="274"/>
      <c r="C19" s="274"/>
      <c r="D19" s="274"/>
      <c r="E19" s="274"/>
      <c r="F19" s="53">
        <v>9.7999999999999997E-3</v>
      </c>
    </row>
    <row r="20" spans="1:6" x14ac:dyDescent="0.25">
      <c r="A20" s="280" t="s">
        <v>83</v>
      </c>
      <c r="B20" s="280"/>
      <c r="C20" s="280"/>
      <c r="D20" s="280"/>
      <c r="E20" s="280"/>
      <c r="F20" s="54">
        <f>F18+F19</f>
        <v>1.0499999999999999E-2</v>
      </c>
    </row>
    <row r="22" spans="1:6" ht="15.75" x14ac:dyDescent="0.25">
      <c r="A22" s="276" t="s">
        <v>58</v>
      </c>
      <c r="B22" s="277"/>
      <c r="C22" s="277"/>
      <c r="D22" s="277"/>
      <c r="E22" s="277"/>
      <c r="F22" s="278"/>
    </row>
    <row r="23" spans="1:6" x14ac:dyDescent="0.25">
      <c r="A23" s="275" t="s">
        <v>55</v>
      </c>
      <c r="B23" s="275"/>
      <c r="C23" s="275"/>
      <c r="D23" s="275"/>
      <c r="E23" s="275"/>
      <c r="F23" s="55">
        <v>10100</v>
      </c>
    </row>
    <row r="24" spans="1:6" x14ac:dyDescent="0.25">
      <c r="A24" s="279" t="s">
        <v>51</v>
      </c>
      <c r="B24" s="279"/>
      <c r="C24" s="279"/>
      <c r="D24" s="279"/>
      <c r="E24" s="279"/>
      <c r="F24" s="53">
        <v>0.13700000000000001</v>
      </c>
    </row>
    <row r="25" spans="1:6" x14ac:dyDescent="0.25">
      <c r="A25" s="274" t="s">
        <v>52</v>
      </c>
      <c r="B25" s="274"/>
      <c r="C25" s="274"/>
      <c r="D25" s="274"/>
      <c r="E25" s="274"/>
      <c r="F25" s="53">
        <v>6.9999999999999999E-4</v>
      </c>
    </row>
    <row r="26" spans="1:6" x14ac:dyDescent="0.25">
      <c r="A26" s="274" t="s">
        <v>53</v>
      </c>
      <c r="B26" s="274"/>
      <c r="C26" s="274"/>
      <c r="D26" s="274"/>
      <c r="E26" s="274"/>
      <c r="F26" s="53">
        <v>8.5000000000000006E-3</v>
      </c>
    </row>
    <row r="27" spans="1:6" x14ac:dyDescent="0.25">
      <c r="A27" s="274" t="s">
        <v>60</v>
      </c>
      <c r="B27" s="274"/>
      <c r="C27" s="274"/>
      <c r="D27" s="274"/>
      <c r="E27" s="274"/>
      <c r="F27" s="53">
        <v>1.8E-3</v>
      </c>
    </row>
    <row r="28" spans="1:6" x14ac:dyDescent="0.25">
      <c r="A28" s="280" t="s">
        <v>83</v>
      </c>
      <c r="B28" s="280"/>
      <c r="C28" s="280"/>
      <c r="D28" s="280"/>
      <c r="E28" s="280"/>
      <c r="F28" s="54">
        <f>F26+F27</f>
        <v>1.03E-2</v>
      </c>
    </row>
    <row r="30" spans="1:6" ht="15.75" x14ac:dyDescent="0.25">
      <c r="A30" s="276" t="s">
        <v>57</v>
      </c>
      <c r="B30" s="277"/>
      <c r="C30" s="277"/>
      <c r="D30" s="277"/>
      <c r="E30" s="277"/>
      <c r="F30" s="278"/>
    </row>
    <row r="31" spans="1:6" x14ac:dyDescent="0.25">
      <c r="A31" s="275" t="s">
        <v>55</v>
      </c>
      <c r="B31" s="275"/>
      <c r="C31" s="275"/>
      <c r="D31" s="275"/>
      <c r="E31" s="275"/>
      <c r="F31" s="55">
        <v>5000</v>
      </c>
    </row>
    <row r="32" spans="1:6" x14ac:dyDescent="0.25">
      <c r="A32" s="279" t="s">
        <v>147</v>
      </c>
      <c r="B32" s="279"/>
      <c r="C32" s="279"/>
      <c r="D32" s="279"/>
      <c r="E32" s="279"/>
      <c r="F32" s="145">
        <f>0.137+0.1201</f>
        <v>0.2571</v>
      </c>
    </row>
    <row r="33" spans="1:6" x14ac:dyDescent="0.25">
      <c r="A33" s="274" t="s">
        <v>52</v>
      </c>
      <c r="B33" s="274"/>
      <c r="C33" s="274"/>
      <c r="D33" s="274"/>
      <c r="E33" s="274"/>
      <c r="F33" s="53">
        <v>6.9999999999999999E-4</v>
      </c>
    </row>
    <row r="34" spans="1:6" x14ac:dyDescent="0.25">
      <c r="A34" s="274" t="s">
        <v>53</v>
      </c>
      <c r="B34" s="274"/>
      <c r="C34" s="274"/>
      <c r="D34" s="274"/>
      <c r="E34" s="274"/>
      <c r="F34" s="53">
        <v>8.5000000000000006E-3</v>
      </c>
    </row>
    <row r="35" spans="1:6" x14ac:dyDescent="0.25">
      <c r="A35" s="274" t="s">
        <v>60</v>
      </c>
      <c r="B35" s="274"/>
      <c r="C35" s="274"/>
      <c r="D35" s="274"/>
      <c r="E35" s="274"/>
      <c r="F35" s="53">
        <v>1.8E-3</v>
      </c>
    </row>
    <row r="36" spans="1:6" x14ac:dyDescent="0.25">
      <c r="A36" s="280" t="s">
        <v>83</v>
      </c>
      <c r="B36" s="280"/>
      <c r="C36" s="280"/>
      <c r="D36" s="280"/>
      <c r="E36" s="280"/>
      <c r="F36" s="54">
        <f>F34+F35</f>
        <v>1.03E-2</v>
      </c>
    </row>
    <row r="38" spans="1:6" ht="15.75" x14ac:dyDescent="0.25">
      <c r="A38" s="281" t="s">
        <v>56</v>
      </c>
      <c r="B38" s="282"/>
      <c r="C38" s="282"/>
      <c r="D38" s="282"/>
      <c r="E38" s="282"/>
      <c r="F38" s="283"/>
    </row>
    <row r="39" spans="1:6" x14ac:dyDescent="0.25">
      <c r="A39" s="275" t="s">
        <v>55</v>
      </c>
      <c r="B39" s="275"/>
      <c r="C39" s="275"/>
      <c r="D39" s="275"/>
      <c r="E39" s="275"/>
      <c r="F39" s="55">
        <v>5000</v>
      </c>
    </row>
    <row r="40" spans="1:6" x14ac:dyDescent="0.25">
      <c r="A40" s="279" t="s">
        <v>51</v>
      </c>
      <c r="B40" s="279"/>
      <c r="C40" s="279"/>
      <c r="D40" s="279"/>
      <c r="E40" s="279"/>
      <c r="F40" s="53">
        <v>0.13700000000000001</v>
      </c>
    </row>
    <row r="41" spans="1:6" x14ac:dyDescent="0.25">
      <c r="A41" s="274" t="s">
        <v>52</v>
      </c>
      <c r="B41" s="274"/>
      <c r="C41" s="274"/>
      <c r="D41" s="274"/>
      <c r="E41" s="274"/>
      <c r="F41" s="53">
        <v>6.9999999999999999E-4</v>
      </c>
    </row>
    <row r="42" spans="1:6" x14ac:dyDescent="0.25">
      <c r="A42" s="274" t="s">
        <v>53</v>
      </c>
      <c r="B42" s="274"/>
      <c r="C42" s="274"/>
      <c r="D42" s="274"/>
      <c r="E42" s="274"/>
      <c r="F42" s="53">
        <v>8.5000000000000006E-3</v>
      </c>
    </row>
    <row r="43" spans="1:6" x14ac:dyDescent="0.25">
      <c r="A43" s="274" t="s">
        <v>60</v>
      </c>
      <c r="B43" s="274"/>
      <c r="C43" s="274"/>
      <c r="D43" s="274"/>
      <c r="E43" s="274"/>
      <c r="F43" s="53">
        <v>1.8E-3</v>
      </c>
    </row>
    <row r="44" spans="1:6" x14ac:dyDescent="0.25">
      <c r="A44" s="280" t="s">
        <v>83</v>
      </c>
      <c r="B44" s="280"/>
      <c r="C44" s="280"/>
      <c r="D44" s="280"/>
      <c r="E44" s="280"/>
      <c r="F44" s="54">
        <f>F42+F43</f>
        <v>1.03E-2</v>
      </c>
    </row>
    <row r="46" spans="1:6" x14ac:dyDescent="0.25">
      <c r="A46" s="146" t="s">
        <v>92</v>
      </c>
      <c r="B46" s="272" t="s">
        <v>143</v>
      </c>
      <c r="C46" s="273"/>
      <c r="D46" s="273"/>
      <c r="E46" s="273"/>
      <c r="F46" s="273"/>
    </row>
    <row r="47" spans="1:6" x14ac:dyDescent="0.25">
      <c r="C47" s="272" t="s">
        <v>144</v>
      </c>
      <c r="D47" s="273"/>
      <c r="E47" s="273"/>
      <c r="F47" s="273"/>
    </row>
    <row r="48" spans="1:6" x14ac:dyDescent="0.25">
      <c r="C48" s="272" t="s">
        <v>145</v>
      </c>
      <c r="D48" s="273"/>
      <c r="E48" s="273"/>
      <c r="F48" s="273"/>
    </row>
    <row r="49" spans="3:6" x14ac:dyDescent="0.25">
      <c r="C49" s="273" t="s">
        <v>146</v>
      </c>
      <c r="D49" s="273"/>
      <c r="E49" s="273"/>
      <c r="F49" s="273"/>
    </row>
  </sheetData>
  <mergeCells count="42">
    <mergeCell ref="A10:E10"/>
    <mergeCell ref="A24:E24"/>
    <mergeCell ref="A25:E25"/>
    <mergeCell ref="A3:F3"/>
    <mergeCell ref="A4:E4"/>
    <mergeCell ref="A5:E5"/>
    <mergeCell ref="A13:E13"/>
    <mergeCell ref="A6:E6"/>
    <mergeCell ref="A15:F15"/>
    <mergeCell ref="A17:E17"/>
    <mergeCell ref="A18:E18"/>
    <mergeCell ref="A19:E19"/>
    <mergeCell ref="A16:E16"/>
    <mergeCell ref="A8:F8"/>
    <mergeCell ref="A11:E11"/>
    <mergeCell ref="A12:E12"/>
    <mergeCell ref="A9:F9"/>
    <mergeCell ref="C49:F49"/>
    <mergeCell ref="A40:E40"/>
    <mergeCell ref="A39:E39"/>
    <mergeCell ref="B46:F46"/>
    <mergeCell ref="C47:F47"/>
    <mergeCell ref="A44:E44"/>
    <mergeCell ref="A42:E42"/>
    <mergeCell ref="A43:E43"/>
    <mergeCell ref="A41:E41"/>
    <mergeCell ref="A1:F1"/>
    <mergeCell ref="C48:F48"/>
    <mergeCell ref="A33:E33"/>
    <mergeCell ref="A26:E26"/>
    <mergeCell ref="A23:E23"/>
    <mergeCell ref="A30:F30"/>
    <mergeCell ref="A32:E32"/>
    <mergeCell ref="A27:E27"/>
    <mergeCell ref="A36:E36"/>
    <mergeCell ref="A35:E35"/>
    <mergeCell ref="A38:F38"/>
    <mergeCell ref="A34:E34"/>
    <mergeCell ref="A31:E31"/>
    <mergeCell ref="A20:E20"/>
    <mergeCell ref="A28:E28"/>
    <mergeCell ref="A22:F22"/>
  </mergeCells>
  <phoneticPr fontId="5" type="noConversion"/>
  <pageMargins left="0.75" right="0.75" top="1" bottom="1" header="0.5" footer="0.5"/>
  <pageSetup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activeCell="I3" sqref="I3"/>
    </sheetView>
  </sheetViews>
  <sheetFormatPr defaultColWidth="9.140625" defaultRowHeight="13.5" x14ac:dyDescent="0.25"/>
  <cols>
    <col min="1" max="1" width="2.5703125" style="17" customWidth="1"/>
    <col min="2" max="2" width="20.5703125" style="17" customWidth="1"/>
    <col min="3" max="3" width="10.5703125" style="17" customWidth="1"/>
    <col min="4" max="4" width="11.5703125" style="17" bestFit="1" customWidth="1"/>
    <col min="5" max="5" width="12.85546875" style="17" customWidth="1"/>
    <col min="6" max="6" width="12.5703125" style="17" customWidth="1"/>
    <col min="7" max="8" width="2.5703125" style="17" customWidth="1"/>
    <col min="9" max="9" width="20.5703125" style="17" customWidth="1"/>
    <col min="10" max="10" width="2.5703125" style="17" customWidth="1"/>
    <col min="11" max="15" width="10.5703125" style="17" customWidth="1"/>
    <col min="16" max="16" width="2.5703125" style="17" customWidth="1"/>
    <col min="17" max="17" width="12.5703125" style="17" customWidth="1"/>
    <col min="18" max="16384" width="9.140625" style="17"/>
  </cols>
  <sheetData>
    <row r="1" spans="1:17" ht="15.75" x14ac:dyDescent="0.25">
      <c r="A1" s="294" t="s">
        <v>152</v>
      </c>
      <c r="B1" s="294"/>
      <c r="C1" s="294"/>
      <c r="D1" s="294"/>
      <c r="E1" s="294"/>
      <c r="F1" s="294"/>
    </row>
    <row r="2" spans="1:17" ht="15.75" x14ac:dyDescent="0.25">
      <c r="A2" s="294" t="s">
        <v>214</v>
      </c>
      <c r="B2" s="294"/>
      <c r="C2" s="294"/>
      <c r="D2" s="294"/>
      <c r="E2" s="294"/>
      <c r="F2" s="294"/>
      <c r="K2" s="18"/>
      <c r="L2" s="18"/>
      <c r="M2" s="18"/>
      <c r="N2" s="18"/>
      <c r="O2" s="18"/>
      <c r="Q2" s="18"/>
    </row>
    <row r="3" spans="1:17" ht="15.75" x14ac:dyDescent="0.25">
      <c r="A3" s="294" t="s">
        <v>190</v>
      </c>
      <c r="B3" s="294"/>
      <c r="C3" s="294"/>
      <c r="D3" s="294"/>
      <c r="E3" s="294"/>
      <c r="F3" s="294"/>
      <c r="K3" s="19"/>
      <c r="L3" s="19"/>
      <c r="M3" s="19"/>
      <c r="N3" s="19"/>
      <c r="O3" s="19"/>
      <c r="Q3" s="18"/>
    </row>
    <row r="4" spans="1:17" x14ac:dyDescent="0.25">
      <c r="A4" s="20" t="s">
        <v>34</v>
      </c>
      <c r="C4" s="21"/>
      <c r="D4" s="21"/>
      <c r="E4" s="21"/>
      <c r="F4" s="21"/>
      <c r="K4" s="22"/>
      <c r="L4" s="22"/>
      <c r="M4" s="22"/>
      <c r="N4" s="22"/>
      <c r="O4" s="22"/>
      <c r="Q4" s="18"/>
    </row>
    <row r="5" spans="1:17" x14ac:dyDescent="0.25">
      <c r="C5" s="22"/>
      <c r="D5" s="22"/>
      <c r="E5" s="22"/>
      <c r="F5" s="22"/>
    </row>
    <row r="6" spans="1:17" x14ac:dyDescent="0.25">
      <c r="A6" s="24" t="s">
        <v>194</v>
      </c>
      <c r="B6" s="25"/>
      <c r="C6" s="25"/>
      <c r="D6" s="25"/>
      <c r="E6" s="25"/>
      <c r="F6" s="26"/>
    </row>
    <row r="7" spans="1:17" x14ac:dyDescent="0.25">
      <c r="A7" s="27"/>
      <c r="B7" s="28"/>
      <c r="C7" s="23">
        <v>41609</v>
      </c>
      <c r="D7" s="23">
        <v>41640</v>
      </c>
      <c r="E7" s="23">
        <v>41671</v>
      </c>
      <c r="F7" s="29" t="s">
        <v>37</v>
      </c>
    </row>
    <row r="8" spans="1:17" x14ac:dyDescent="0.25">
      <c r="A8" s="27"/>
      <c r="B8" s="28" t="s">
        <v>35</v>
      </c>
      <c r="C8" s="30">
        <f>2400*31</f>
        <v>74400</v>
      </c>
      <c r="D8" s="30">
        <f>2400*31</f>
        <v>74400</v>
      </c>
      <c r="E8" s="30">
        <f>2400*28</f>
        <v>67200</v>
      </c>
      <c r="F8" s="31">
        <f>SUM(C8:E8)</f>
        <v>216000</v>
      </c>
      <c r="H8" s="18"/>
      <c r="I8" s="18"/>
    </row>
    <row r="9" spans="1:17" x14ac:dyDescent="0.25">
      <c r="A9" s="27"/>
      <c r="B9" s="28" t="s">
        <v>36</v>
      </c>
      <c r="C9" s="32">
        <v>4.5330000000000004</v>
      </c>
      <c r="D9" s="32">
        <v>4.5330000000000004</v>
      </c>
      <c r="E9" s="32">
        <v>4.5330000000000004</v>
      </c>
      <c r="F9" s="33">
        <f>F10/F8</f>
        <v>4.5330000000000004</v>
      </c>
    </row>
    <row r="10" spans="1:17" s="20" customFormat="1" thickBot="1" x14ac:dyDescent="0.25">
      <c r="A10" s="39"/>
      <c r="B10" s="36" t="s">
        <v>38</v>
      </c>
      <c r="C10" s="37">
        <f>C8*C9</f>
        <v>337255.2</v>
      </c>
      <c r="D10" s="37">
        <f>D8*D9</f>
        <v>337255.2</v>
      </c>
      <c r="E10" s="37">
        <f>E8*E9</f>
        <v>304617.60000000003</v>
      </c>
      <c r="F10" s="38">
        <f>SUM(C10:E10)</f>
        <v>979128</v>
      </c>
      <c r="I10" s="34"/>
    </row>
    <row r="11" spans="1:17" ht="14.25" thickTop="1" x14ac:dyDescent="0.25"/>
    <row r="12" spans="1:17" ht="14.25" customHeight="1" x14ac:dyDescent="0.25">
      <c r="A12" s="24" t="s">
        <v>195</v>
      </c>
      <c r="B12" s="25"/>
      <c r="C12" s="25"/>
      <c r="D12" s="25"/>
      <c r="E12" s="25"/>
      <c r="F12" s="26"/>
    </row>
    <row r="13" spans="1:17" x14ac:dyDescent="0.25">
      <c r="A13" s="27"/>
      <c r="B13" s="28"/>
      <c r="C13" s="23">
        <f>C7</f>
        <v>41609</v>
      </c>
      <c r="D13" s="23">
        <f>D7</f>
        <v>41640</v>
      </c>
      <c r="E13" s="23">
        <f>E7</f>
        <v>41671</v>
      </c>
      <c r="F13" s="29" t="str">
        <f>F7</f>
        <v>Total/Avg</v>
      </c>
    </row>
    <row r="14" spans="1:17" x14ac:dyDescent="0.25">
      <c r="A14" s="27"/>
      <c r="B14" s="28" t="s">
        <v>35</v>
      </c>
      <c r="C14" s="30">
        <v>0</v>
      </c>
      <c r="D14" s="30">
        <v>0</v>
      </c>
      <c r="E14" s="30">
        <v>0</v>
      </c>
      <c r="F14" s="31">
        <f>SUM(C14:E14)</f>
        <v>0</v>
      </c>
      <c r="H14" s="18"/>
    </row>
    <row r="15" spans="1:17" x14ac:dyDescent="0.25">
      <c r="A15" s="27"/>
      <c r="B15" s="28" t="s">
        <v>36</v>
      </c>
      <c r="C15" s="170">
        <v>0</v>
      </c>
      <c r="D15" s="170">
        <v>0</v>
      </c>
      <c r="E15" s="170">
        <v>0</v>
      </c>
      <c r="F15" s="33" t="e">
        <f>F16/F14</f>
        <v>#DIV/0!</v>
      </c>
    </row>
    <row r="16" spans="1:17" ht="14.25" thickBot="1" x14ac:dyDescent="0.3">
      <c r="A16" s="35"/>
      <c r="B16" s="36" t="s">
        <v>38</v>
      </c>
      <c r="C16" s="37">
        <f>C14*C15</f>
        <v>0</v>
      </c>
      <c r="D16" s="37">
        <f>D14*D15</f>
        <v>0</v>
      </c>
      <c r="E16" s="37">
        <f>E14*E15</f>
        <v>0</v>
      </c>
      <c r="F16" s="38">
        <f>SUM(C16:E16)</f>
        <v>0</v>
      </c>
    </row>
    <row r="17" spans="1:6" ht="14.25" thickTop="1" x14ac:dyDescent="0.25">
      <c r="A17" s="28"/>
      <c r="B17" s="28"/>
      <c r="C17" s="28"/>
      <c r="D17" s="28"/>
      <c r="E17" s="28"/>
      <c r="F17" s="28"/>
    </row>
    <row r="18" spans="1:6" ht="15" customHeight="1" x14ac:dyDescent="0.25">
      <c r="C18" s="291" t="s">
        <v>168</v>
      </c>
      <c r="D18" s="292"/>
      <c r="E18" s="293"/>
      <c r="F18" s="171">
        <f>(F10+F16)/(F8+F14)</f>
        <v>4.5330000000000004</v>
      </c>
    </row>
  </sheetData>
  <mergeCells count="4">
    <mergeCell ref="C18:E18"/>
    <mergeCell ref="A2:F2"/>
    <mergeCell ref="A3:F3"/>
    <mergeCell ref="A1:F1"/>
  </mergeCells>
  <phoneticPr fontId="5" type="noConversion"/>
  <pageMargins left="0.75" right="0.75" top="1" bottom="1" header="0.5" footer="0.5"/>
  <pageSetup orientation="portrait" r:id="rId1"/>
  <headerFooter alignWithMargins="0">
    <oddFooter>&amp;L&amp;F&amp;C&amp;A&amp;R&amp;D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B22" sqref="B22"/>
    </sheetView>
  </sheetViews>
  <sheetFormatPr defaultRowHeight="15" x14ac:dyDescent="0.25"/>
  <cols>
    <col min="1" max="1" width="13.5703125" customWidth="1"/>
    <col min="2" max="3" width="13.42578125" bestFit="1" customWidth="1"/>
    <col min="4" max="4" width="9.5703125" bestFit="1" customWidth="1"/>
  </cols>
  <sheetData>
    <row r="1" spans="1:4" s="40" customFormat="1" x14ac:dyDescent="0.25">
      <c r="A1" s="44" t="s">
        <v>99</v>
      </c>
      <c r="B1" s="44" t="s">
        <v>96</v>
      </c>
      <c r="C1" s="44" t="s">
        <v>97</v>
      </c>
      <c r="D1" s="44" t="s">
        <v>98</v>
      </c>
    </row>
    <row r="2" spans="1:4" x14ac:dyDescent="0.25">
      <c r="A2" s="86">
        <v>41183</v>
      </c>
      <c r="B2" s="47">
        <f>35094+129636</f>
        <v>164730</v>
      </c>
      <c r="C2" s="47">
        <f>35728+131903</f>
        <v>167631</v>
      </c>
      <c r="D2" s="87">
        <f t="shared" ref="D2:D14" si="0">C2/B2</f>
        <v>1.0176106355855035</v>
      </c>
    </row>
    <row r="3" spans="1:4" ht="15.75" thickBot="1" x14ac:dyDescent="0.3">
      <c r="A3" s="192">
        <v>41214</v>
      </c>
      <c r="B3" s="193">
        <f>39328+163365</f>
        <v>202693</v>
      </c>
      <c r="C3" s="193">
        <f>40511+168179</f>
        <v>208690</v>
      </c>
      <c r="D3" s="194">
        <f t="shared" si="0"/>
        <v>1.0295866162126961</v>
      </c>
    </row>
    <row r="4" spans="1:4" ht="15.75" thickTop="1" x14ac:dyDescent="0.25">
      <c r="A4" s="189">
        <v>41244</v>
      </c>
      <c r="B4" s="190">
        <f>40028+220439</f>
        <v>260467</v>
      </c>
      <c r="C4" s="190">
        <f>41351+227653</f>
        <v>269004</v>
      </c>
      <c r="D4" s="191">
        <f t="shared" si="0"/>
        <v>1.0327757451039863</v>
      </c>
    </row>
    <row r="5" spans="1:4" x14ac:dyDescent="0.25">
      <c r="A5" s="86">
        <v>41275</v>
      </c>
      <c r="B5" s="47">
        <f>44762+276437</f>
        <v>321199</v>
      </c>
      <c r="C5" s="47">
        <f>46195+285269</f>
        <v>331464</v>
      </c>
      <c r="D5" s="87">
        <f t="shared" si="0"/>
        <v>1.0319583809414101</v>
      </c>
    </row>
    <row r="6" spans="1:4" x14ac:dyDescent="0.25">
      <c r="A6" s="86">
        <v>41306</v>
      </c>
      <c r="B6" s="47">
        <f>40500+247646</f>
        <v>288146</v>
      </c>
      <c r="C6" s="47">
        <f>41686+254739</f>
        <v>296425</v>
      </c>
      <c r="D6" s="87">
        <f t="shared" si="0"/>
        <v>1.0287319622691276</v>
      </c>
    </row>
    <row r="7" spans="1:4" x14ac:dyDescent="0.25">
      <c r="A7" s="86">
        <v>41334</v>
      </c>
      <c r="B7" s="47">
        <f>47127+245846</f>
        <v>292973</v>
      </c>
      <c r="C7" s="47">
        <f>48206+251439</f>
        <v>299645</v>
      </c>
      <c r="D7" s="87">
        <f t="shared" si="0"/>
        <v>1.0227734296334474</v>
      </c>
    </row>
    <row r="8" spans="1:4" x14ac:dyDescent="0.25">
      <c r="A8" s="86">
        <v>41365</v>
      </c>
      <c r="B8" s="47">
        <f>33390+150410</f>
        <v>183800</v>
      </c>
      <c r="C8" s="47">
        <f>34092+153509</f>
        <v>187601</v>
      </c>
      <c r="D8" s="87">
        <f t="shared" si="0"/>
        <v>1.0206800870511425</v>
      </c>
    </row>
    <row r="9" spans="1:4" x14ac:dyDescent="0.25">
      <c r="A9" s="86">
        <v>41395</v>
      </c>
      <c r="B9" s="47">
        <f>33692+111918</f>
        <v>145610</v>
      </c>
      <c r="C9" s="47">
        <f>34282+113844</f>
        <v>148126</v>
      </c>
      <c r="D9" s="87">
        <f t="shared" si="0"/>
        <v>1.0172790330334456</v>
      </c>
    </row>
    <row r="10" spans="1:4" x14ac:dyDescent="0.25">
      <c r="A10" s="86">
        <v>41426</v>
      </c>
      <c r="B10" s="47">
        <f>29699+95551</f>
        <v>125250</v>
      </c>
      <c r="C10" s="47">
        <f>30250+97316</f>
        <v>127566</v>
      </c>
      <c r="D10" s="87">
        <f t="shared" si="0"/>
        <v>1.0184910179640718</v>
      </c>
    </row>
    <row r="11" spans="1:4" x14ac:dyDescent="0.25">
      <c r="A11" s="86">
        <v>41456</v>
      </c>
      <c r="B11" s="47">
        <f>28898+86625</f>
        <v>115523</v>
      </c>
      <c r="C11" s="47">
        <f>29621+88756</f>
        <v>118377</v>
      </c>
      <c r="D11" s="87">
        <f t="shared" si="0"/>
        <v>1.0247050370921809</v>
      </c>
    </row>
    <row r="12" spans="1:4" x14ac:dyDescent="0.25">
      <c r="A12" s="86">
        <v>41487</v>
      </c>
      <c r="B12" s="47">
        <f>27686+82488</f>
        <v>110174</v>
      </c>
      <c r="C12" s="47">
        <f>28239+84133</f>
        <v>112372</v>
      </c>
      <c r="D12" s="87">
        <f t="shared" si="0"/>
        <v>1.0199502604970319</v>
      </c>
    </row>
    <row r="13" spans="1:4" x14ac:dyDescent="0.25">
      <c r="A13" s="86">
        <v>41518</v>
      </c>
      <c r="B13" s="47">
        <f>45131+78836</f>
        <v>123967</v>
      </c>
      <c r="C13" s="47">
        <f>45966+80165</f>
        <v>126131</v>
      </c>
      <c r="D13" s="87">
        <f t="shared" si="0"/>
        <v>1.0174562585204128</v>
      </c>
    </row>
    <row r="14" spans="1:4" s="15" customFormat="1" ht="15.75" thickBot="1" x14ac:dyDescent="0.3">
      <c r="A14" s="85" t="s">
        <v>37</v>
      </c>
      <c r="B14" s="90">
        <f>SUM(B2:B13)</f>
        <v>2334532</v>
      </c>
      <c r="C14" s="90">
        <f>SUM(C2:C13)</f>
        <v>2393032</v>
      </c>
      <c r="D14" s="149">
        <f t="shared" si="0"/>
        <v>1.0250585556334204</v>
      </c>
    </row>
    <row r="15" spans="1:4" ht="15.75" thickTop="1" x14ac:dyDescent="0.25"/>
    <row r="16" spans="1:4" x14ac:dyDescent="0.25">
      <c r="A16" s="237" t="s">
        <v>92</v>
      </c>
      <c r="B16" s="269" t="s">
        <v>192</v>
      </c>
      <c r="C16" s="270"/>
      <c r="D16" s="270"/>
    </row>
    <row r="17" spans="2:4" x14ac:dyDescent="0.25">
      <c r="B17" s="270" t="s">
        <v>193</v>
      </c>
      <c r="C17" s="270"/>
      <c r="D17" s="270"/>
    </row>
  </sheetData>
  <mergeCells count="2">
    <mergeCell ref="B16:D16"/>
    <mergeCell ref="B17:D17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K18" sqref="K18"/>
    </sheetView>
  </sheetViews>
  <sheetFormatPr defaultRowHeight="15" x14ac:dyDescent="0.25"/>
  <cols>
    <col min="3" max="3" width="11.42578125" customWidth="1"/>
    <col min="6" max="6" width="3" customWidth="1"/>
    <col min="7" max="7" width="10.5703125" customWidth="1"/>
    <col min="8" max="8" width="9" bestFit="1" customWidth="1"/>
    <col min="10" max="10" width="3" customWidth="1"/>
    <col min="12" max="12" width="10.5703125" customWidth="1"/>
  </cols>
  <sheetData>
    <row r="1" spans="1:13" ht="18.75" x14ac:dyDescent="0.3">
      <c r="A1" s="14" t="s">
        <v>29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3" ht="18.75" x14ac:dyDescent="0.3">
      <c r="A2" s="144" t="s">
        <v>189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5" spans="1:13" ht="15.75" thickBot="1" x14ac:dyDescent="0.3">
      <c r="C5" s="295" t="s">
        <v>177</v>
      </c>
      <c r="D5" s="295"/>
      <c r="E5" s="295"/>
      <c r="G5" s="295" t="s">
        <v>139</v>
      </c>
      <c r="H5" s="295"/>
      <c r="I5" s="295"/>
      <c r="K5" s="5" t="s">
        <v>141</v>
      </c>
      <c r="L5" s="154" t="s">
        <v>178</v>
      </c>
    </row>
    <row r="6" spans="1:13" x14ac:dyDescent="0.25">
      <c r="K6" s="5" t="s">
        <v>140</v>
      </c>
      <c r="L6" s="154" t="s">
        <v>179</v>
      </c>
      <c r="M6" s="5" t="s">
        <v>13</v>
      </c>
    </row>
    <row r="7" spans="1:13" ht="15.75" thickBot="1" x14ac:dyDescent="0.3">
      <c r="C7" s="143" t="s">
        <v>164</v>
      </c>
      <c r="D7" s="143" t="s">
        <v>33</v>
      </c>
      <c r="E7" s="143" t="s">
        <v>0</v>
      </c>
      <c r="G7" s="143" t="s">
        <v>164</v>
      </c>
      <c r="H7" s="143" t="s">
        <v>33</v>
      </c>
      <c r="I7" s="143" t="s">
        <v>0</v>
      </c>
      <c r="K7" s="6" t="s">
        <v>13</v>
      </c>
      <c r="L7" s="6" t="s">
        <v>180</v>
      </c>
      <c r="M7" s="6" t="s">
        <v>181</v>
      </c>
    </row>
    <row r="9" spans="1:13" x14ac:dyDescent="0.25">
      <c r="A9" t="s">
        <v>15</v>
      </c>
      <c r="C9" s="9">
        <f>+'Monthly Usage - Rogersvile'!M11</f>
        <v>52949.499882088414</v>
      </c>
      <c r="D9" s="9">
        <f>+'Monthly Usage - Branson'!M12</f>
        <v>3865.3598133998626</v>
      </c>
      <c r="E9" s="9">
        <f>SUM(C9:D9)</f>
        <v>56814.859695488274</v>
      </c>
      <c r="G9" s="9">
        <f>+'Monthly Usage - Rogersvile'!K11</f>
        <v>4771</v>
      </c>
      <c r="H9" s="9">
        <f>+'Monthly Usage - Branson'!K12</f>
        <v>350</v>
      </c>
      <c r="I9" s="9">
        <f>SUM(G9:H9)</f>
        <v>5121</v>
      </c>
      <c r="K9" s="12">
        <f>+E9/I9</f>
        <v>11.094485392596813</v>
      </c>
      <c r="L9" s="199">
        <f>+'Btu Factor Calculations'!D4</f>
        <v>1.0327757451039863</v>
      </c>
      <c r="M9" s="12">
        <f>+K9/L9</f>
        <v>10.742395379821541</v>
      </c>
    </row>
    <row r="10" spans="1:13" x14ac:dyDescent="0.25">
      <c r="A10" t="s">
        <v>16</v>
      </c>
      <c r="C10" s="9">
        <f>+'Monthly Usage - Rogersvile'!M12</f>
        <v>60774.682552789644</v>
      </c>
      <c r="D10" s="9">
        <f>+'Monthly Usage - Branson'!M13</f>
        <v>4428.6789857352896</v>
      </c>
      <c r="E10" s="9">
        <f>SUM(C10:D10)</f>
        <v>65203.361538524936</v>
      </c>
      <c r="G10" s="9">
        <f>+'Monthly Usage - Rogersvile'!K12</f>
        <v>4813</v>
      </c>
      <c r="H10" s="9">
        <f>+'Monthly Usage - Branson'!K13</f>
        <v>352</v>
      </c>
      <c r="I10" s="9">
        <f>SUM(G10:H10)</f>
        <v>5165</v>
      </c>
      <c r="K10" s="12">
        <f>+E10/I10</f>
        <v>12.624077742211991</v>
      </c>
      <c r="L10" s="199">
        <f>+'Btu Factor Calculations'!D5</f>
        <v>1.0319583809414101</v>
      </c>
      <c r="M10" s="12">
        <f>+K10/L10</f>
        <v>12.23312681534269</v>
      </c>
    </row>
    <row r="11" spans="1:13" x14ac:dyDescent="0.25">
      <c r="A11" t="s">
        <v>17</v>
      </c>
      <c r="C11" s="9">
        <f>+'Monthly Usage - Rogersvile'!M13</f>
        <v>47907.867609895766</v>
      </c>
      <c r="D11" s="9">
        <f>+'Monthly Usage - Branson'!M14</f>
        <v>3489.6630377408032</v>
      </c>
      <c r="E11" s="9">
        <f>SUM(C11:D11)</f>
        <v>51397.530647636566</v>
      </c>
      <c r="G11" s="9">
        <f>+'Monthly Usage - Rogersvile'!K13</f>
        <v>4857</v>
      </c>
      <c r="H11" s="9">
        <f>+'Monthly Usage - Branson'!K14</f>
        <v>356</v>
      </c>
      <c r="I11" s="9">
        <f>SUM(G11:H11)</f>
        <v>5213</v>
      </c>
      <c r="K11" s="12">
        <f>+E11/I11</f>
        <v>9.8594917797115986</v>
      </c>
      <c r="L11" s="199">
        <f>+'Btu Factor Calculations'!D6</f>
        <v>1.0287319622691276</v>
      </c>
      <c r="M11" s="12">
        <f>+K11/L11</f>
        <v>9.5841211718201169</v>
      </c>
    </row>
    <row r="12" spans="1:13" x14ac:dyDescent="0.25">
      <c r="A12" t="s">
        <v>18</v>
      </c>
      <c r="C12" s="9">
        <f>+'Monthly Usage - Rogersvile'!M14</f>
        <v>36538.243612325772</v>
      </c>
      <c r="D12" s="9">
        <f>+'Monthly Usage - Branson'!M15</f>
        <v>2664.501006628253</v>
      </c>
      <c r="E12" s="9">
        <f>SUM(C12:D12)</f>
        <v>39202.744618954028</v>
      </c>
      <c r="G12" s="9">
        <f>+'Monthly Usage - Rogersvile'!K14</f>
        <v>4874</v>
      </c>
      <c r="H12" s="9">
        <f>+'Monthly Usage - Branson'!K15</f>
        <v>359</v>
      </c>
      <c r="I12" s="9">
        <f>SUM(G12:H12)</f>
        <v>5233</v>
      </c>
      <c r="K12" s="12">
        <f>+E12/I12</f>
        <v>7.4914474716136112</v>
      </c>
      <c r="L12" s="199">
        <f>+'Btu Factor Calculations'!D7</f>
        <v>1.0227734296334474</v>
      </c>
      <c r="M12" s="12">
        <f>+K12/L12</f>
        <v>7.3246402913482775</v>
      </c>
    </row>
  </sheetData>
  <mergeCells count="2">
    <mergeCell ref="C5:E5"/>
    <mergeCell ref="G5:I5"/>
  </mergeCells>
  <phoneticPr fontId="5" type="noConversion"/>
  <pageMargins left="0.7" right="0.7" top="0.75" bottom="0.75" header="0.3" footer="0.3"/>
  <pageSetup orientation="landscape" r:id="rId1"/>
  <headerFooter>
    <oddFooter>&amp;L&amp;F                          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47"/>
  <sheetViews>
    <sheetView view="pageBreakPreview" topLeftCell="A78" zoomScale="60" zoomScaleNormal="100" workbookViewId="0">
      <selection activeCell="S72" sqref="S72"/>
    </sheetView>
  </sheetViews>
  <sheetFormatPr defaultColWidth="9.140625" defaultRowHeight="15" x14ac:dyDescent="0.25"/>
  <cols>
    <col min="2" max="2" width="11.7109375" customWidth="1"/>
    <col min="4" max="5" width="9.42578125" customWidth="1"/>
    <col min="6" max="6" width="1.28515625" customWidth="1"/>
    <col min="7" max="7" width="9.7109375" customWidth="1"/>
    <col min="8" max="8" width="11.28515625" customWidth="1"/>
    <col min="9" max="9" width="10.5703125" customWidth="1"/>
    <col min="10" max="10" width="2.28515625" customWidth="1"/>
    <col min="11" max="11" width="9.42578125" bestFit="1" customWidth="1"/>
    <col min="12" max="12" width="1.42578125" customWidth="1"/>
    <col min="13" max="13" width="10.42578125" bestFit="1" customWidth="1"/>
    <col min="15" max="15" width="10.7109375" customWidth="1"/>
  </cols>
  <sheetData>
    <row r="2" spans="1:15" ht="15.75" x14ac:dyDescent="0.25">
      <c r="A2" s="3" t="s">
        <v>152</v>
      </c>
      <c r="B2" s="3"/>
      <c r="C2" s="3"/>
      <c r="D2" s="3"/>
      <c r="E2" s="3"/>
      <c r="F2" s="202"/>
      <c r="G2" s="202"/>
      <c r="H2" s="202"/>
      <c r="I2" s="202"/>
      <c r="J2" s="202"/>
      <c r="K2" s="202"/>
      <c r="L2" s="202"/>
      <c r="M2" s="202"/>
    </row>
    <row r="3" spans="1:15" ht="15.75" x14ac:dyDescent="0.25">
      <c r="A3" s="3" t="s">
        <v>32</v>
      </c>
      <c r="B3" s="3"/>
      <c r="C3" s="3"/>
      <c r="D3" s="3"/>
      <c r="E3" s="3"/>
      <c r="F3" s="202"/>
      <c r="G3" s="202"/>
      <c r="H3" s="202"/>
      <c r="I3" s="202"/>
      <c r="J3" s="202"/>
      <c r="K3" s="202"/>
      <c r="L3" s="202"/>
      <c r="M3" s="202"/>
    </row>
    <row r="4" spans="1:15" ht="15.75" x14ac:dyDescent="0.25">
      <c r="A4" s="3" t="s">
        <v>153</v>
      </c>
      <c r="B4" s="3"/>
      <c r="C4" s="3"/>
      <c r="D4" s="3"/>
      <c r="E4" s="3"/>
      <c r="F4" s="202"/>
      <c r="G4" s="202"/>
      <c r="H4" s="202"/>
      <c r="I4" s="202"/>
      <c r="J4" s="202"/>
      <c r="K4" s="202"/>
      <c r="L4" s="202"/>
      <c r="M4" s="202"/>
    </row>
    <row r="5" spans="1:15" ht="15.75" x14ac:dyDescent="0.25">
      <c r="A5" s="3" t="s">
        <v>154</v>
      </c>
      <c r="B5" s="3"/>
      <c r="C5" s="3"/>
      <c r="D5" s="3"/>
      <c r="E5" s="3"/>
      <c r="F5" s="202"/>
      <c r="G5" s="202"/>
      <c r="H5" s="202"/>
      <c r="I5" s="202"/>
      <c r="J5" s="202"/>
      <c r="K5" s="202"/>
      <c r="L5" s="202"/>
      <c r="M5" s="202"/>
    </row>
    <row r="6" spans="1:15" ht="15.75" x14ac:dyDescent="0.25">
      <c r="A6" s="3"/>
      <c r="B6" s="3"/>
      <c r="C6" s="3"/>
      <c r="D6" s="4" t="s">
        <v>30</v>
      </c>
      <c r="E6" s="3"/>
      <c r="F6" s="202"/>
      <c r="G6" s="5" t="s">
        <v>1</v>
      </c>
      <c r="K6" s="243"/>
      <c r="L6" s="243"/>
      <c r="M6" s="243"/>
      <c r="N6" s="243"/>
      <c r="O6" s="243"/>
    </row>
    <row r="7" spans="1:15" ht="15.75" thickBot="1" x14ac:dyDescent="0.3">
      <c r="D7" s="295" t="s">
        <v>2</v>
      </c>
      <c r="E7" s="295"/>
      <c r="G7" s="5" t="s">
        <v>3</v>
      </c>
      <c r="H7" s="5" t="s">
        <v>4</v>
      </c>
      <c r="I7" s="5" t="s">
        <v>0</v>
      </c>
      <c r="K7" s="243"/>
      <c r="L7" s="243"/>
      <c r="M7" s="243"/>
      <c r="N7" s="243"/>
      <c r="O7" s="313" t="s">
        <v>33</v>
      </c>
    </row>
    <row r="8" spans="1:15" x14ac:dyDescent="0.25">
      <c r="D8" s="5" t="s">
        <v>5</v>
      </c>
      <c r="E8" s="5" t="s">
        <v>6</v>
      </c>
      <c r="G8" s="5" t="s">
        <v>7</v>
      </c>
      <c r="H8" s="5" t="s">
        <v>8</v>
      </c>
      <c r="I8" s="5" t="s">
        <v>4</v>
      </c>
      <c r="K8" s="246" t="s">
        <v>9</v>
      </c>
      <c r="L8" s="243"/>
      <c r="M8" s="228" t="s">
        <v>4</v>
      </c>
      <c r="N8" s="243"/>
      <c r="O8" s="313" t="s">
        <v>155</v>
      </c>
    </row>
    <row r="9" spans="1:15" ht="15.75" thickBot="1" x14ac:dyDescent="0.3">
      <c r="D9" s="6" t="s">
        <v>10</v>
      </c>
      <c r="E9" s="6" t="s">
        <v>11</v>
      </c>
      <c r="G9" s="203" t="s">
        <v>9</v>
      </c>
      <c r="H9" s="203" t="s">
        <v>12</v>
      </c>
      <c r="I9" s="203" t="s">
        <v>12</v>
      </c>
      <c r="K9" s="155" t="s">
        <v>158</v>
      </c>
      <c r="L9" s="243"/>
      <c r="M9" s="203" t="s">
        <v>13</v>
      </c>
      <c r="N9" s="243"/>
      <c r="O9" s="155" t="s">
        <v>156</v>
      </c>
    </row>
    <row r="10" spans="1:15" ht="15.75" x14ac:dyDescent="0.25">
      <c r="A10" s="7" t="s">
        <v>14</v>
      </c>
      <c r="K10" s="243"/>
      <c r="L10" s="243"/>
      <c r="M10" s="243"/>
      <c r="N10" s="243"/>
      <c r="O10" s="243"/>
    </row>
    <row r="11" spans="1:15" x14ac:dyDescent="0.25">
      <c r="K11" s="243"/>
      <c r="L11" s="243"/>
      <c r="M11" s="243"/>
      <c r="N11" s="243"/>
      <c r="O11" s="243"/>
    </row>
    <row r="12" spans="1:15" ht="15.75" x14ac:dyDescent="0.25">
      <c r="B12" s="8" t="s">
        <v>15</v>
      </c>
      <c r="C12">
        <v>2013</v>
      </c>
      <c r="D12" s="204">
        <v>899</v>
      </c>
      <c r="E12" s="205">
        <f t="shared" ref="E12:E22" si="0">+D12/$D$24</f>
        <v>0.19534984789222076</v>
      </c>
      <c r="G12" s="206">
        <f t="shared" ref="G12:G22" si="1">+E12*$G$24</f>
        <v>10.239205184634999</v>
      </c>
      <c r="H12" s="207">
        <f>'[1]annual customer usage - Branson'!K27</f>
        <v>0.80467999650746524</v>
      </c>
      <c r="I12" s="12">
        <f t="shared" ref="I12:I22" si="2">+G12+H12</f>
        <v>11.043885181142464</v>
      </c>
      <c r="K12" s="1">
        <v>350</v>
      </c>
      <c r="L12" s="243"/>
      <c r="M12" s="1">
        <f t="shared" ref="M12:M22" si="3">+K12*I12</f>
        <v>3865.3598133998626</v>
      </c>
      <c r="N12" s="243"/>
      <c r="O12" s="245">
        <f>SUM(M12,M35,M60,M87,M108,M130)</f>
        <v>25081.967725773728</v>
      </c>
    </row>
    <row r="13" spans="1:15" ht="15.75" x14ac:dyDescent="0.25">
      <c r="B13" s="8" t="s">
        <v>16</v>
      </c>
      <c r="C13">
        <v>2014</v>
      </c>
      <c r="D13" s="204">
        <v>1034</v>
      </c>
      <c r="E13" s="205">
        <f t="shared" si="0"/>
        <v>0.22468491960017384</v>
      </c>
      <c r="G13" s="206">
        <f t="shared" si="1"/>
        <v>11.776794394785972</v>
      </c>
      <c r="H13" s="207">
        <f t="shared" ref="H13:H23" si="4">+H12</f>
        <v>0.80467999650746524</v>
      </c>
      <c r="I13" s="12">
        <f t="shared" si="2"/>
        <v>12.581474391293437</v>
      </c>
      <c r="K13" s="1">
        <v>352</v>
      </c>
      <c r="L13" s="243"/>
      <c r="M13" s="1">
        <f t="shared" si="3"/>
        <v>4428.6789857352896</v>
      </c>
      <c r="N13" s="243"/>
      <c r="O13" s="245">
        <f>SUM(M13,M36,M61,M88,M109,M131)</f>
        <v>26987.930481885647</v>
      </c>
    </row>
    <row r="14" spans="1:15" ht="15.75" x14ac:dyDescent="0.25">
      <c r="B14" s="8" t="s">
        <v>17</v>
      </c>
      <c r="C14">
        <v>2014</v>
      </c>
      <c r="D14" s="204">
        <v>790</v>
      </c>
      <c r="E14" s="205">
        <f t="shared" si="0"/>
        <v>0.17166449369839201</v>
      </c>
      <c r="G14" s="206">
        <f t="shared" si="1"/>
        <v>8.9977442668093985</v>
      </c>
      <c r="H14" s="207">
        <f t="shared" si="4"/>
        <v>0.80467999650746524</v>
      </c>
      <c r="I14" s="12">
        <f t="shared" si="2"/>
        <v>9.8024242633168637</v>
      </c>
      <c r="K14" s="1">
        <v>356</v>
      </c>
      <c r="L14" s="243"/>
      <c r="M14" s="1">
        <f t="shared" si="3"/>
        <v>3489.6630377408032</v>
      </c>
      <c r="N14" s="243"/>
      <c r="O14" s="245">
        <f>SUM(M14,M37,M62,M89,M110,M132)</f>
        <v>23622.210575065506</v>
      </c>
    </row>
    <row r="15" spans="1:15" ht="15.75" x14ac:dyDescent="0.25">
      <c r="B15" s="8" t="s">
        <v>18</v>
      </c>
      <c r="C15">
        <v>2014</v>
      </c>
      <c r="D15" s="204">
        <v>581</v>
      </c>
      <c r="E15" s="205">
        <f t="shared" si="0"/>
        <v>0.12624945675793134</v>
      </c>
      <c r="G15" s="206">
        <f t="shared" si="1"/>
        <v>6.6173283785015959</v>
      </c>
      <c r="H15" s="207">
        <f t="shared" si="4"/>
        <v>0.80467999650746524</v>
      </c>
      <c r="I15" s="12">
        <f t="shared" si="2"/>
        <v>7.4220083750090611</v>
      </c>
      <c r="K15" s="1">
        <v>359</v>
      </c>
      <c r="L15" s="243"/>
      <c r="M15" s="1">
        <f t="shared" si="3"/>
        <v>2664.501006628253</v>
      </c>
      <c r="N15" s="243"/>
      <c r="O15" s="245">
        <f>SUM(M15,M38,M63,M90,M111,M133)</f>
        <v>20718.437366106391</v>
      </c>
    </row>
    <row r="16" spans="1:15" ht="15.75" x14ac:dyDescent="0.25">
      <c r="B16" s="8" t="s">
        <v>19</v>
      </c>
      <c r="C16">
        <v>2014</v>
      </c>
      <c r="D16" s="204">
        <v>300</v>
      </c>
      <c r="E16" s="205">
        <f t="shared" si="0"/>
        <v>6.51890482398957E-2</v>
      </c>
      <c r="G16" s="206">
        <f t="shared" si="1"/>
        <v>3.416864911446607</v>
      </c>
      <c r="H16" s="207">
        <f t="shared" si="4"/>
        <v>0.80467999650746524</v>
      </c>
      <c r="I16" s="12">
        <f t="shared" si="2"/>
        <v>4.2215449079540726</v>
      </c>
      <c r="K16" s="1">
        <v>358</v>
      </c>
      <c r="L16" s="243"/>
      <c r="M16" s="1">
        <f t="shared" si="3"/>
        <v>1511.313077047558</v>
      </c>
      <c r="N16" s="243"/>
      <c r="O16" s="245">
        <f>SUM(M16,M39,M64,M91,M112,M134)</f>
        <v>16770.561680665007</v>
      </c>
    </row>
    <row r="17" spans="1:15" ht="15.75" x14ac:dyDescent="0.25">
      <c r="B17" s="8" t="s">
        <v>20</v>
      </c>
      <c r="C17">
        <v>2014</v>
      </c>
      <c r="D17" s="204">
        <v>100</v>
      </c>
      <c r="E17" s="205">
        <f t="shared" si="0"/>
        <v>2.1729682746631899E-2</v>
      </c>
      <c r="G17" s="206">
        <f t="shared" si="1"/>
        <v>1.1389549704822024</v>
      </c>
      <c r="H17" s="207">
        <f t="shared" si="4"/>
        <v>0.80467999650746524</v>
      </c>
      <c r="I17" s="12">
        <f t="shared" si="2"/>
        <v>1.9436349669896678</v>
      </c>
      <c r="K17" s="1">
        <v>360</v>
      </c>
      <c r="L17" s="243"/>
      <c r="M17" s="1">
        <f t="shared" si="3"/>
        <v>699.70858811628034</v>
      </c>
      <c r="N17" s="243"/>
      <c r="O17" s="245">
        <f>SUM(M17,M40,M65,M92,M113,M135)</f>
        <v>13969.855586138929</v>
      </c>
    </row>
    <row r="18" spans="1:15" ht="15.75" x14ac:dyDescent="0.25">
      <c r="B18" s="8" t="s">
        <v>21</v>
      </c>
      <c r="C18">
        <v>2014</v>
      </c>
      <c r="D18" s="204">
        <v>8</v>
      </c>
      <c r="E18" s="205">
        <f t="shared" si="0"/>
        <v>1.738374619730552E-3</v>
      </c>
      <c r="G18" s="206">
        <f t="shared" si="1"/>
        <v>9.1116397638576194E-2</v>
      </c>
      <c r="H18" s="207">
        <f t="shared" si="4"/>
        <v>0.80467999650746524</v>
      </c>
      <c r="I18" s="12">
        <f t="shared" si="2"/>
        <v>0.8957963941460414</v>
      </c>
      <c r="K18" s="1">
        <v>355</v>
      </c>
      <c r="L18" s="243"/>
      <c r="M18" s="1">
        <f t="shared" si="3"/>
        <v>318.00771992184468</v>
      </c>
      <c r="N18" s="243"/>
      <c r="O18" s="245">
        <f>SUM(M18,M41,M66,M93,M114,M136)</f>
        <v>12673.167979370886</v>
      </c>
    </row>
    <row r="19" spans="1:15" ht="15.75" x14ac:dyDescent="0.25">
      <c r="B19" s="8" t="s">
        <v>22</v>
      </c>
      <c r="C19">
        <v>2014</v>
      </c>
      <c r="D19" s="204">
        <v>1</v>
      </c>
      <c r="E19" s="205">
        <f t="shared" si="0"/>
        <v>2.17296827466319E-4</v>
      </c>
      <c r="G19" s="206">
        <f t="shared" si="1"/>
        <v>1.1389549704822024E-2</v>
      </c>
      <c r="H19" s="207">
        <f t="shared" si="4"/>
        <v>0.80467999650746524</v>
      </c>
      <c r="I19" s="12">
        <f t="shared" si="2"/>
        <v>0.81606954621228722</v>
      </c>
      <c r="K19" s="1">
        <v>345</v>
      </c>
      <c r="L19" s="243"/>
      <c r="M19" s="1">
        <f t="shared" si="3"/>
        <v>281.54399344323912</v>
      </c>
      <c r="N19" s="243"/>
      <c r="O19" s="245">
        <f>SUM(M19,M42,M67,M94,M115,M137)</f>
        <v>12567.085696696462</v>
      </c>
    </row>
    <row r="20" spans="1:15" ht="15.75" x14ac:dyDescent="0.25">
      <c r="B20" s="8" t="s">
        <v>23</v>
      </c>
      <c r="C20">
        <v>2014</v>
      </c>
      <c r="D20" s="204">
        <v>1</v>
      </c>
      <c r="E20" s="205">
        <f t="shared" si="0"/>
        <v>2.17296827466319E-4</v>
      </c>
      <c r="G20" s="206">
        <f t="shared" si="1"/>
        <v>1.1389549704822024E-2</v>
      </c>
      <c r="H20" s="207">
        <f t="shared" si="4"/>
        <v>0.80467999650746524</v>
      </c>
      <c r="I20" s="12">
        <f t="shared" si="2"/>
        <v>0.81606954621228722</v>
      </c>
      <c r="K20" s="1">
        <v>352</v>
      </c>
      <c r="L20" s="243"/>
      <c r="M20" s="1">
        <f t="shared" si="3"/>
        <v>287.25648026672508</v>
      </c>
      <c r="N20" s="243"/>
      <c r="O20" s="245">
        <f>SUM(M20,M43,M68,M95,M116,M138)</f>
        <v>12572.798183519948</v>
      </c>
    </row>
    <row r="21" spans="1:15" ht="15.75" x14ac:dyDescent="0.25">
      <c r="B21" s="8" t="s">
        <v>24</v>
      </c>
      <c r="C21">
        <v>2014</v>
      </c>
      <c r="D21" s="208">
        <v>62</v>
      </c>
      <c r="E21" s="209">
        <f t="shared" si="0"/>
        <v>1.3472403302911778E-2</v>
      </c>
      <c r="F21" s="210"/>
      <c r="G21" s="211">
        <f t="shared" si="1"/>
        <v>0.70615208169896548</v>
      </c>
      <c r="H21" s="207">
        <f t="shared" si="4"/>
        <v>0.80467999650746524</v>
      </c>
      <c r="I21" s="212">
        <f t="shared" si="2"/>
        <v>1.5108320782064308</v>
      </c>
      <c r="J21" s="210"/>
      <c r="K21" s="2">
        <v>345</v>
      </c>
      <c r="L21" s="56"/>
      <c r="M21" s="2">
        <f t="shared" si="3"/>
        <v>521.23706698121862</v>
      </c>
      <c r="N21" s="243"/>
      <c r="O21" s="245">
        <f>SUM(M21,M44,M69,M96,M117,M139)</f>
        <v>13413.454759940854</v>
      </c>
    </row>
    <row r="22" spans="1:15" ht="15.75" x14ac:dyDescent="0.25">
      <c r="B22" s="8" t="s">
        <v>25</v>
      </c>
      <c r="C22">
        <v>2014</v>
      </c>
      <c r="D22" s="208">
        <v>248</v>
      </c>
      <c r="E22" s="209">
        <f t="shared" si="0"/>
        <v>5.3889613211647112E-2</v>
      </c>
      <c r="F22" s="210"/>
      <c r="G22" s="211">
        <f t="shared" si="1"/>
        <v>2.8246083267958619</v>
      </c>
      <c r="H22" s="207">
        <f t="shared" si="4"/>
        <v>0.80467999650746524</v>
      </c>
      <c r="I22" s="212">
        <f t="shared" si="2"/>
        <v>3.6292883233033271</v>
      </c>
      <c r="J22" s="210"/>
      <c r="K22" s="2">
        <v>338</v>
      </c>
      <c r="L22" s="56"/>
      <c r="M22" s="2">
        <f t="shared" si="3"/>
        <v>1226.6994532765245</v>
      </c>
      <c r="N22" s="243"/>
      <c r="O22" s="245">
        <f>SUM(M22,M45,M70,M97,M118,M140)</f>
        <v>15968.781639439323</v>
      </c>
    </row>
    <row r="23" spans="1:15" ht="16.5" thickBot="1" x14ac:dyDescent="0.3">
      <c r="B23" s="8" t="s">
        <v>26</v>
      </c>
      <c r="C23">
        <v>2014</v>
      </c>
      <c r="D23" s="204">
        <v>578</v>
      </c>
      <c r="E23" s="205">
        <f>+D23/$D$24</f>
        <v>0.12559756627553237</v>
      </c>
      <c r="G23" s="206">
        <f>+E23*$G$24</f>
        <v>6.5831597293871296</v>
      </c>
      <c r="H23" s="207">
        <f t="shared" si="4"/>
        <v>0.80467999650746524</v>
      </c>
      <c r="I23" s="12">
        <f>+G23+H23</f>
        <v>7.3878397258945947</v>
      </c>
      <c r="K23" s="1">
        <v>341</v>
      </c>
      <c r="L23" s="243"/>
      <c r="M23" s="1">
        <f>+K23*I23</f>
        <v>2519.2533465300567</v>
      </c>
      <c r="N23" s="243"/>
      <c r="O23" s="245">
        <f>SUM(M23,M46,M71,M98,M119,M141)</f>
        <v>20543.353181924271</v>
      </c>
    </row>
    <row r="24" spans="1:15" ht="15.75" thickBot="1" x14ac:dyDescent="0.3">
      <c r="D24" s="213">
        <f>SUM(D12:D23)</f>
        <v>4602</v>
      </c>
      <c r="E24" s="158">
        <f>SUM(E12:E23)</f>
        <v>1</v>
      </c>
      <c r="G24" s="214">
        <f>'[1]annual customer usage - Branson'!I11</f>
        <v>52.414707741590952</v>
      </c>
      <c r="H24" s="215">
        <f>SUM(H12:H23)</f>
        <v>9.6561599580895834</v>
      </c>
      <c r="I24" s="215">
        <f>SUM(I12:I23)</f>
        <v>62.070867699680548</v>
      </c>
      <c r="K24" s="165">
        <f>AVERAGE(K12:K23)</f>
        <v>350.91666666666669</v>
      </c>
      <c r="L24" s="243"/>
      <c r="M24" s="225">
        <f>SUM(M12:M23)</f>
        <v>21813.222569087658</v>
      </c>
      <c r="N24" s="243"/>
      <c r="O24" s="225">
        <f>SUM(O12:O23)</f>
        <v>214889.60485652692</v>
      </c>
    </row>
    <row r="25" spans="1:15" ht="15.75" thickTop="1" x14ac:dyDescent="0.25">
      <c r="D25" s="217"/>
      <c r="E25" s="217"/>
      <c r="G25" s="206">
        <f>SUM(G12:G23)</f>
        <v>52.414707741590959</v>
      </c>
      <c r="K25" s="246" t="s">
        <v>27</v>
      </c>
      <c r="L25" s="243"/>
      <c r="M25" s="243"/>
      <c r="N25" s="243"/>
      <c r="O25" s="243"/>
    </row>
    <row r="26" spans="1:15" x14ac:dyDescent="0.25">
      <c r="D26" s="217"/>
      <c r="E26" s="217"/>
      <c r="G26" s="206"/>
      <c r="K26" s="246"/>
      <c r="L26" s="243"/>
      <c r="M26" s="243"/>
      <c r="N26" s="243"/>
      <c r="O26" s="243"/>
    </row>
    <row r="27" spans="1:15" x14ac:dyDescent="0.25">
      <c r="D27" s="217"/>
      <c r="E27" s="217"/>
      <c r="G27" s="206"/>
      <c r="K27" s="246"/>
      <c r="L27" s="243"/>
      <c r="M27" s="243"/>
      <c r="N27" s="243"/>
      <c r="O27" s="245"/>
    </row>
    <row r="28" spans="1:15" x14ac:dyDescent="0.25">
      <c r="D28" s="217"/>
      <c r="E28" s="217"/>
      <c r="G28" s="206"/>
      <c r="K28" s="246"/>
      <c r="L28" s="243"/>
      <c r="M28" s="243"/>
      <c r="N28" s="243"/>
      <c r="O28" s="243"/>
    </row>
    <row r="29" spans="1:15" ht="15.75" x14ac:dyDescent="0.25">
      <c r="A29" s="3"/>
      <c r="B29" s="3"/>
      <c r="C29" s="3"/>
      <c r="D29" s="4" t="s">
        <v>30</v>
      </c>
      <c r="E29" s="3"/>
      <c r="F29" s="202"/>
      <c r="G29" s="5" t="s">
        <v>1</v>
      </c>
      <c r="K29" s="243"/>
      <c r="L29" s="243"/>
      <c r="M29" s="243"/>
      <c r="N29" s="243"/>
      <c r="O29" s="243"/>
    </row>
    <row r="30" spans="1:15" ht="15.75" thickBot="1" x14ac:dyDescent="0.3">
      <c r="D30" s="295" t="s">
        <v>2</v>
      </c>
      <c r="E30" s="295"/>
      <c r="G30" s="5" t="s">
        <v>3</v>
      </c>
      <c r="H30" s="5" t="s">
        <v>4</v>
      </c>
      <c r="I30" s="5" t="s">
        <v>0</v>
      </c>
      <c r="K30" s="243"/>
      <c r="L30" s="243"/>
      <c r="M30" s="243"/>
      <c r="N30" s="243"/>
      <c r="O30" s="243"/>
    </row>
    <row r="31" spans="1:15" x14ac:dyDescent="0.25">
      <c r="D31" s="5" t="s">
        <v>5</v>
      </c>
      <c r="E31" s="5" t="s">
        <v>6</v>
      </c>
      <c r="G31" s="5" t="s">
        <v>7</v>
      </c>
      <c r="H31" s="5" t="s">
        <v>8</v>
      </c>
      <c r="I31" s="5" t="s">
        <v>4</v>
      </c>
      <c r="K31" s="246" t="s">
        <v>9</v>
      </c>
      <c r="L31" s="243"/>
      <c r="M31" s="228" t="s">
        <v>4</v>
      </c>
      <c r="N31" s="243"/>
      <c r="O31" s="243"/>
    </row>
    <row r="32" spans="1:15" ht="15.75" thickBot="1" x14ac:dyDescent="0.3">
      <c r="D32" s="6" t="s">
        <v>10</v>
      </c>
      <c r="E32" s="6" t="s">
        <v>11</v>
      </c>
      <c r="G32" s="203" t="s">
        <v>9</v>
      </c>
      <c r="H32" s="203" t="s">
        <v>12</v>
      </c>
      <c r="I32" s="203" t="s">
        <v>12</v>
      </c>
      <c r="K32" s="155" t="s">
        <v>158</v>
      </c>
      <c r="L32" s="243"/>
      <c r="M32" s="203" t="s">
        <v>13</v>
      </c>
      <c r="N32" s="243"/>
      <c r="O32" s="243"/>
    </row>
    <row r="33" spans="1:15" ht="15.75" x14ac:dyDescent="0.25">
      <c r="A33" s="7" t="s">
        <v>157</v>
      </c>
      <c r="K33" s="243"/>
      <c r="L33" s="243"/>
      <c r="M33" s="243"/>
      <c r="N33" s="243"/>
      <c r="O33" s="243"/>
    </row>
    <row r="34" spans="1:15" x14ac:dyDescent="0.25">
      <c r="K34" s="243"/>
      <c r="L34" s="243"/>
      <c r="M34" s="243"/>
      <c r="N34" s="243"/>
      <c r="O34" s="243"/>
    </row>
    <row r="35" spans="1:15" ht="15.75" x14ac:dyDescent="0.25">
      <c r="B35" s="8" t="str">
        <f t="shared" ref="B35:D46" si="5">B12</f>
        <v>December</v>
      </c>
      <c r="C35">
        <f t="shared" si="5"/>
        <v>2013</v>
      </c>
      <c r="D35" s="204">
        <f t="shared" si="5"/>
        <v>899</v>
      </c>
      <c r="E35" s="205">
        <f t="shared" ref="E35:E45" si="6">+D35/$D$24</f>
        <v>0.19534984789222076</v>
      </c>
      <c r="G35" s="206">
        <f t="shared" ref="G35:G45" si="7">+E35*$G$47</f>
        <v>5.6894833581431232</v>
      </c>
      <c r="H35" s="207">
        <f>'[1]annual customer usage - Branson'!K28</f>
        <v>0.42550289805659736</v>
      </c>
      <c r="I35" s="12">
        <f t="shared" ref="I35:I45" si="8">+G35+H35</f>
        <v>6.114986256199721</v>
      </c>
      <c r="K35" s="1">
        <v>111</v>
      </c>
      <c r="L35" s="243"/>
      <c r="M35" s="1">
        <f t="shared" ref="M35:M45" si="9">+K35*I35</f>
        <v>678.76347443816906</v>
      </c>
      <c r="N35" s="243"/>
      <c r="O35" s="243"/>
    </row>
    <row r="36" spans="1:15" ht="15.75" x14ac:dyDescent="0.25">
      <c r="B36" s="8" t="str">
        <f t="shared" si="5"/>
        <v>January</v>
      </c>
      <c r="C36">
        <f t="shared" si="5"/>
        <v>2014</v>
      </c>
      <c r="D36" s="204">
        <f t="shared" si="5"/>
        <v>1034</v>
      </c>
      <c r="E36" s="205">
        <f t="shared" si="6"/>
        <v>0.22468491960017384</v>
      </c>
      <c r="G36" s="206">
        <f t="shared" si="7"/>
        <v>6.5438551638709557</v>
      </c>
      <c r="H36" s="207">
        <f t="shared" ref="H36:H46" si="10">+H35</f>
        <v>0.42550289805659736</v>
      </c>
      <c r="I36" s="12">
        <f t="shared" si="8"/>
        <v>6.9693580619275526</v>
      </c>
      <c r="K36" s="1">
        <v>111</v>
      </c>
      <c r="L36" s="243"/>
      <c r="M36" s="1">
        <f t="shared" si="9"/>
        <v>773.59874487395837</v>
      </c>
      <c r="N36" s="243"/>
      <c r="O36" s="243"/>
    </row>
    <row r="37" spans="1:15" ht="15.75" x14ac:dyDescent="0.25">
      <c r="B37" s="8" t="str">
        <f t="shared" si="5"/>
        <v>February</v>
      </c>
      <c r="C37">
        <f t="shared" si="5"/>
        <v>2014</v>
      </c>
      <c r="D37" s="204">
        <f t="shared" si="5"/>
        <v>790</v>
      </c>
      <c r="E37" s="205">
        <f t="shared" si="6"/>
        <v>0.17166449369839201</v>
      </c>
      <c r="G37" s="206">
        <f t="shared" si="7"/>
        <v>4.9996572335184286</v>
      </c>
      <c r="H37" s="207">
        <f t="shared" si="10"/>
        <v>0.42550289805659736</v>
      </c>
      <c r="I37" s="12">
        <f t="shared" si="8"/>
        <v>5.4251601315750264</v>
      </c>
      <c r="K37" s="1">
        <v>111</v>
      </c>
      <c r="L37" s="243"/>
      <c r="M37" s="1">
        <f t="shared" si="9"/>
        <v>602.19277460482795</v>
      </c>
      <c r="N37" s="243"/>
      <c r="O37" s="243"/>
    </row>
    <row r="38" spans="1:15" ht="15.75" x14ac:dyDescent="0.25">
      <c r="B38" s="8" t="str">
        <f t="shared" si="5"/>
        <v>March</v>
      </c>
      <c r="C38">
        <f t="shared" si="5"/>
        <v>2014</v>
      </c>
      <c r="D38" s="204">
        <f t="shared" si="5"/>
        <v>581</v>
      </c>
      <c r="E38" s="205">
        <f t="shared" si="6"/>
        <v>0.12624945675793134</v>
      </c>
      <c r="G38" s="206">
        <f t="shared" si="7"/>
        <v>3.6769631046508953</v>
      </c>
      <c r="H38" s="207">
        <f t="shared" si="10"/>
        <v>0.42550289805659736</v>
      </c>
      <c r="I38" s="12">
        <f t="shared" si="8"/>
        <v>4.1024660027074926</v>
      </c>
      <c r="K38" s="1">
        <v>111</v>
      </c>
      <c r="L38" s="243"/>
      <c r="M38" s="1">
        <f t="shared" si="9"/>
        <v>455.3737263005317</v>
      </c>
      <c r="N38" s="243"/>
      <c r="O38" s="243"/>
    </row>
    <row r="39" spans="1:15" ht="15.75" x14ac:dyDescent="0.25">
      <c r="B39" s="8" t="str">
        <f t="shared" si="5"/>
        <v>April</v>
      </c>
      <c r="C39">
        <f t="shared" si="5"/>
        <v>2014</v>
      </c>
      <c r="D39" s="204">
        <f t="shared" si="5"/>
        <v>300</v>
      </c>
      <c r="E39" s="205">
        <f t="shared" si="6"/>
        <v>6.51890482398957E-2</v>
      </c>
      <c r="G39" s="206">
        <f t="shared" si="7"/>
        <v>1.8986040127285173</v>
      </c>
      <c r="H39" s="207">
        <f t="shared" si="10"/>
        <v>0.42550289805659736</v>
      </c>
      <c r="I39" s="12">
        <f t="shared" si="8"/>
        <v>2.3241069107851144</v>
      </c>
      <c r="K39" s="1">
        <v>111</v>
      </c>
      <c r="L39" s="243"/>
      <c r="M39" s="1">
        <f t="shared" si="9"/>
        <v>257.97586709714773</v>
      </c>
      <c r="N39" s="243"/>
      <c r="O39" s="243"/>
    </row>
    <row r="40" spans="1:15" ht="15.75" x14ac:dyDescent="0.25">
      <c r="B40" s="8" t="str">
        <f t="shared" si="5"/>
        <v>May</v>
      </c>
      <c r="C40">
        <f t="shared" si="5"/>
        <v>2014</v>
      </c>
      <c r="D40" s="204">
        <f t="shared" si="5"/>
        <v>100</v>
      </c>
      <c r="E40" s="205">
        <f t="shared" si="6"/>
        <v>2.1729682746631899E-2</v>
      </c>
      <c r="G40" s="206">
        <f t="shared" si="7"/>
        <v>0.63286800424283907</v>
      </c>
      <c r="H40" s="207">
        <f t="shared" si="10"/>
        <v>0.42550289805659736</v>
      </c>
      <c r="I40" s="12">
        <f t="shared" si="8"/>
        <v>1.0583709022994365</v>
      </c>
      <c r="K40" s="1">
        <v>111</v>
      </c>
      <c r="L40" s="243"/>
      <c r="M40" s="1">
        <f t="shared" si="9"/>
        <v>117.47917015523745</v>
      </c>
      <c r="N40" s="243"/>
      <c r="O40" s="243"/>
    </row>
    <row r="41" spans="1:15" ht="15.75" x14ac:dyDescent="0.25">
      <c r="B41" s="8" t="str">
        <f t="shared" si="5"/>
        <v>June</v>
      </c>
      <c r="C41">
        <f t="shared" si="5"/>
        <v>2014</v>
      </c>
      <c r="D41" s="204">
        <f t="shared" si="5"/>
        <v>8</v>
      </c>
      <c r="E41" s="205">
        <f t="shared" si="6"/>
        <v>1.738374619730552E-3</v>
      </c>
      <c r="G41" s="206">
        <f t="shared" si="7"/>
        <v>5.062944033942713E-2</v>
      </c>
      <c r="H41" s="207">
        <f t="shared" si="10"/>
        <v>0.42550289805659736</v>
      </c>
      <c r="I41" s="12">
        <f t="shared" si="8"/>
        <v>0.47613233839602448</v>
      </c>
      <c r="K41" s="1">
        <v>111</v>
      </c>
      <c r="L41" s="243"/>
      <c r="M41" s="1">
        <f t="shared" si="9"/>
        <v>52.850689561958717</v>
      </c>
      <c r="N41" s="243"/>
      <c r="O41" s="243"/>
    </row>
    <row r="42" spans="1:15" ht="15.75" x14ac:dyDescent="0.25">
      <c r="B42" s="8" t="str">
        <f t="shared" si="5"/>
        <v>July</v>
      </c>
      <c r="C42">
        <f t="shared" si="5"/>
        <v>2014</v>
      </c>
      <c r="D42" s="204">
        <f t="shared" si="5"/>
        <v>1</v>
      </c>
      <c r="E42" s="205">
        <f t="shared" si="6"/>
        <v>2.17296827466319E-4</v>
      </c>
      <c r="G42" s="206">
        <f t="shared" si="7"/>
        <v>6.3286800424283913E-3</v>
      </c>
      <c r="H42" s="207">
        <f t="shared" si="10"/>
        <v>0.42550289805659736</v>
      </c>
      <c r="I42" s="12">
        <f t="shared" si="8"/>
        <v>0.43183157809902573</v>
      </c>
      <c r="K42" s="1">
        <v>111</v>
      </c>
      <c r="L42" s="243"/>
      <c r="M42" s="1">
        <f t="shared" si="9"/>
        <v>47.933305168991858</v>
      </c>
      <c r="N42" s="243"/>
      <c r="O42" s="243"/>
    </row>
    <row r="43" spans="1:15" ht="15.75" x14ac:dyDescent="0.25">
      <c r="B43" s="8" t="str">
        <f t="shared" si="5"/>
        <v>August</v>
      </c>
      <c r="C43">
        <f t="shared" si="5"/>
        <v>2014</v>
      </c>
      <c r="D43" s="204">
        <f t="shared" si="5"/>
        <v>1</v>
      </c>
      <c r="E43" s="205">
        <f t="shared" si="6"/>
        <v>2.17296827466319E-4</v>
      </c>
      <c r="G43" s="206">
        <f t="shared" si="7"/>
        <v>6.3286800424283913E-3</v>
      </c>
      <c r="H43" s="207">
        <f t="shared" si="10"/>
        <v>0.42550289805659736</v>
      </c>
      <c r="I43" s="12">
        <f t="shared" si="8"/>
        <v>0.43183157809902573</v>
      </c>
      <c r="K43" s="1">
        <v>111</v>
      </c>
      <c r="L43" s="243"/>
      <c r="M43" s="1">
        <f t="shared" si="9"/>
        <v>47.933305168991858</v>
      </c>
      <c r="N43" s="243"/>
      <c r="O43" s="243"/>
    </row>
    <row r="44" spans="1:15" ht="15.75" x14ac:dyDescent="0.25">
      <c r="B44" s="8" t="str">
        <f t="shared" si="5"/>
        <v>September</v>
      </c>
      <c r="C44">
        <f t="shared" si="5"/>
        <v>2014</v>
      </c>
      <c r="D44" s="204">
        <f t="shared" si="5"/>
        <v>62</v>
      </c>
      <c r="E44" s="205">
        <f t="shared" si="6"/>
        <v>1.3472403302911778E-2</v>
      </c>
      <c r="G44" s="206">
        <f t="shared" si="7"/>
        <v>0.39237816263056025</v>
      </c>
      <c r="H44" s="207">
        <f t="shared" si="10"/>
        <v>0.42550289805659736</v>
      </c>
      <c r="I44" s="12">
        <f t="shared" si="8"/>
        <v>0.8178810606871576</v>
      </c>
      <c r="K44" s="1">
        <v>111</v>
      </c>
      <c r="L44" s="243"/>
      <c r="M44" s="1">
        <f t="shared" si="9"/>
        <v>90.784797736274498</v>
      </c>
      <c r="N44" s="243"/>
      <c r="O44" s="243"/>
    </row>
    <row r="45" spans="1:15" ht="15.75" x14ac:dyDescent="0.25">
      <c r="B45" s="8" t="str">
        <f t="shared" si="5"/>
        <v>October</v>
      </c>
      <c r="C45">
        <f t="shared" si="5"/>
        <v>2014</v>
      </c>
      <c r="D45" s="204">
        <f t="shared" si="5"/>
        <v>248</v>
      </c>
      <c r="E45" s="209">
        <f t="shared" si="6"/>
        <v>5.3889613211647112E-2</v>
      </c>
      <c r="F45" s="210"/>
      <c r="G45" s="211">
        <f t="shared" si="7"/>
        <v>1.569512650522241</v>
      </c>
      <c r="H45" s="207">
        <f t="shared" si="10"/>
        <v>0.42550289805659736</v>
      </c>
      <c r="I45" s="212">
        <f t="shared" si="8"/>
        <v>1.9950155485788383</v>
      </c>
      <c r="J45" s="210"/>
      <c r="K45" s="2">
        <v>111</v>
      </c>
      <c r="L45" s="243"/>
      <c r="M45" s="1">
        <f t="shared" si="9"/>
        <v>221.44672589225107</v>
      </c>
      <c r="N45" s="243"/>
      <c r="O45" s="243"/>
    </row>
    <row r="46" spans="1:15" ht="16.5" thickBot="1" x14ac:dyDescent="0.3">
      <c r="B46" s="8" t="str">
        <f t="shared" si="5"/>
        <v>November</v>
      </c>
      <c r="C46">
        <f t="shared" si="5"/>
        <v>2014</v>
      </c>
      <c r="D46" s="204">
        <f t="shared" si="5"/>
        <v>578</v>
      </c>
      <c r="E46" s="205">
        <f>+D46/$D$24</f>
        <v>0.12559756627553237</v>
      </c>
      <c r="G46" s="206">
        <f>+E46*$G$47</f>
        <v>3.6579770645236094</v>
      </c>
      <c r="H46" s="207">
        <f t="shared" si="10"/>
        <v>0.42550289805659736</v>
      </c>
      <c r="I46" s="12">
        <f>+G46+H46</f>
        <v>4.0834799625802063</v>
      </c>
      <c r="K46" s="1">
        <v>111</v>
      </c>
      <c r="L46" s="243"/>
      <c r="M46" s="1">
        <f>+K46*I46</f>
        <v>453.26627584640289</v>
      </c>
      <c r="N46" s="243"/>
      <c r="O46" s="243"/>
    </row>
    <row r="47" spans="1:15" ht="15.75" thickBot="1" x14ac:dyDescent="0.3">
      <c r="D47" s="213">
        <f>SUM(D35:D46)</f>
        <v>4602</v>
      </c>
      <c r="E47" s="158">
        <f>SUM(E35:E46)</f>
        <v>1</v>
      </c>
      <c r="G47" s="214">
        <f>+'[1]annual customer usage - Branson'!I12</f>
        <v>29.124585555255454</v>
      </c>
      <c r="H47" s="215">
        <f>SUM(H35:H46)</f>
        <v>5.1060347766791683</v>
      </c>
      <c r="I47" s="215">
        <f>SUM(I35:I46)</f>
        <v>34.230620331934617</v>
      </c>
      <c r="K47" s="165">
        <f>AVERAGE(K35:K46)</f>
        <v>111</v>
      </c>
      <c r="L47" s="243"/>
      <c r="M47" s="225">
        <f>SUM(M35:M46)</f>
        <v>3799.5988568447433</v>
      </c>
      <c r="N47" s="243"/>
      <c r="O47" s="243"/>
    </row>
    <row r="48" spans="1:15" ht="15.75" thickTop="1" x14ac:dyDescent="0.25">
      <c r="D48" s="217"/>
      <c r="E48" s="217"/>
      <c r="G48" s="206">
        <f>SUM(G35:G46)</f>
        <v>29.124585555255454</v>
      </c>
      <c r="K48" s="246" t="s">
        <v>27</v>
      </c>
      <c r="L48" s="243"/>
      <c r="M48" s="243"/>
      <c r="N48" s="243"/>
      <c r="O48" s="243"/>
    </row>
    <row r="49" spans="1:15" x14ac:dyDescent="0.25">
      <c r="D49" s="217"/>
      <c r="E49" s="217"/>
      <c r="G49" s="206"/>
      <c r="K49" s="246"/>
      <c r="L49" s="243"/>
      <c r="M49" s="243"/>
      <c r="N49" s="243"/>
      <c r="O49" s="243"/>
    </row>
    <row r="50" spans="1:15" x14ac:dyDescent="0.25">
      <c r="D50" s="217"/>
      <c r="E50" s="217"/>
      <c r="G50" s="206"/>
      <c r="K50" s="246"/>
      <c r="L50" s="243"/>
      <c r="M50" s="243"/>
      <c r="N50" s="243"/>
      <c r="O50" s="243"/>
    </row>
    <row r="51" spans="1:15" x14ac:dyDescent="0.25">
      <c r="D51" s="217"/>
      <c r="E51" s="217"/>
      <c r="G51" s="206"/>
      <c r="K51" s="246"/>
      <c r="L51" s="243"/>
      <c r="M51" s="243"/>
      <c r="N51" s="243"/>
      <c r="O51" s="243"/>
    </row>
    <row r="52" spans="1:15" x14ac:dyDescent="0.25">
      <c r="D52" s="217"/>
      <c r="E52" s="217"/>
      <c r="G52" s="206"/>
      <c r="K52" s="246"/>
      <c r="L52" s="243"/>
      <c r="M52" s="243"/>
      <c r="N52" s="243"/>
      <c r="O52" s="243"/>
    </row>
    <row r="53" spans="1:15" x14ac:dyDescent="0.25">
      <c r="D53" s="217"/>
      <c r="E53" s="217"/>
      <c r="G53" s="206"/>
      <c r="K53" s="243"/>
      <c r="L53" s="243"/>
      <c r="M53" s="243"/>
      <c r="N53" s="243"/>
      <c r="O53" s="243"/>
    </row>
    <row r="54" spans="1:15" x14ac:dyDescent="0.25">
      <c r="D54" s="296" t="s">
        <v>30</v>
      </c>
      <c r="E54" s="296"/>
      <c r="G54" s="5" t="s">
        <v>1</v>
      </c>
      <c r="K54" s="243"/>
      <c r="L54" s="243"/>
      <c r="M54" s="243"/>
      <c r="N54" s="243"/>
      <c r="O54" s="243"/>
    </row>
    <row r="55" spans="1:15" ht="15.75" thickBot="1" x14ac:dyDescent="0.3">
      <c r="D55" s="295" t="s">
        <v>2</v>
      </c>
      <c r="E55" s="295"/>
      <c r="G55" s="5" t="s">
        <v>3</v>
      </c>
      <c r="H55" s="5" t="s">
        <v>4</v>
      </c>
      <c r="I55" s="5" t="s">
        <v>0</v>
      </c>
      <c r="K55" s="243"/>
      <c r="L55" s="243"/>
      <c r="M55" s="243"/>
      <c r="N55" s="243"/>
      <c r="O55" s="243"/>
    </row>
    <row r="56" spans="1:15" x14ac:dyDescent="0.25">
      <c r="D56" s="5" t="s">
        <v>5</v>
      </c>
      <c r="E56" s="5" t="s">
        <v>6</v>
      </c>
      <c r="G56" s="5" t="s">
        <v>7</v>
      </c>
      <c r="H56" s="5" t="s">
        <v>8</v>
      </c>
      <c r="I56" s="5" t="s">
        <v>4</v>
      </c>
      <c r="K56" s="246" t="s">
        <v>9</v>
      </c>
      <c r="L56" s="243"/>
      <c r="M56" s="228" t="s">
        <v>4</v>
      </c>
      <c r="N56" s="243"/>
      <c r="O56" s="243"/>
    </row>
    <row r="57" spans="1:15" ht="15.75" thickBot="1" x14ac:dyDescent="0.3">
      <c r="D57" s="6" t="s">
        <v>10</v>
      </c>
      <c r="E57" s="6" t="s">
        <v>11</v>
      </c>
      <c r="G57" s="203" t="s">
        <v>9</v>
      </c>
      <c r="H57" s="203" t="s">
        <v>12</v>
      </c>
      <c r="I57" s="203" t="s">
        <v>12</v>
      </c>
      <c r="K57" s="155" t="s">
        <v>158</v>
      </c>
      <c r="L57" s="243"/>
      <c r="M57" s="203" t="s">
        <v>13</v>
      </c>
      <c r="N57" s="243"/>
      <c r="O57" s="243"/>
    </row>
    <row r="58" spans="1:15" ht="15.75" x14ac:dyDescent="0.25">
      <c r="A58" s="7" t="s">
        <v>159</v>
      </c>
      <c r="D58" s="217"/>
      <c r="E58" s="217"/>
      <c r="K58" s="243"/>
      <c r="L58" s="243"/>
      <c r="M58" s="243"/>
      <c r="N58" s="243"/>
      <c r="O58" s="243"/>
    </row>
    <row r="59" spans="1:15" x14ac:dyDescent="0.25">
      <c r="K59" s="243"/>
      <c r="L59" s="243"/>
      <c r="M59" s="243"/>
      <c r="N59" s="243"/>
      <c r="O59" s="243"/>
    </row>
    <row r="60" spans="1:15" ht="15.75" x14ac:dyDescent="0.25">
      <c r="B60" s="8" t="str">
        <f t="shared" ref="B60:D71" si="11">B35</f>
        <v>December</v>
      </c>
      <c r="C60">
        <f t="shared" si="11"/>
        <v>2013</v>
      </c>
      <c r="D60" s="204">
        <f t="shared" si="11"/>
        <v>899</v>
      </c>
      <c r="E60" s="205">
        <f t="shared" ref="E60:E70" si="12">+D60/$D$72</f>
        <v>0.19534984789222076</v>
      </c>
      <c r="G60" s="206">
        <f t="shared" ref="G60:G70" si="13">+E60*$G$72</f>
        <v>16.926009828442453</v>
      </c>
      <c r="H60" s="207">
        <f>'[1]annual customer usage - Branson'!K29</f>
        <v>17.167327517842981</v>
      </c>
      <c r="I60" s="12">
        <f t="shared" ref="I60:I70" si="14">+G60+H60</f>
        <v>34.093337346285438</v>
      </c>
      <c r="K60" s="230">
        <v>173</v>
      </c>
      <c r="L60" s="243"/>
      <c r="M60" s="1">
        <f t="shared" ref="M60:M70" si="15">+K60*I60</f>
        <v>5898.147360907381</v>
      </c>
      <c r="N60" s="243"/>
      <c r="O60" s="243"/>
    </row>
    <row r="61" spans="1:15" ht="15.75" x14ac:dyDescent="0.25">
      <c r="B61" s="8" t="str">
        <f t="shared" si="11"/>
        <v>January</v>
      </c>
      <c r="C61">
        <f t="shared" si="11"/>
        <v>2014</v>
      </c>
      <c r="D61" s="204">
        <f t="shared" si="11"/>
        <v>1034</v>
      </c>
      <c r="E61" s="205">
        <f t="shared" si="12"/>
        <v>0.22468491960017384</v>
      </c>
      <c r="G61" s="206">
        <f t="shared" si="13"/>
        <v>19.467735442279753</v>
      </c>
      <c r="H61" s="207">
        <f t="shared" ref="H61:H71" si="16">+H60</f>
        <v>17.167327517842981</v>
      </c>
      <c r="I61" s="12">
        <f t="shared" si="14"/>
        <v>36.635062960122738</v>
      </c>
      <c r="K61" s="230">
        <v>173</v>
      </c>
      <c r="L61" s="243"/>
      <c r="M61" s="1">
        <f t="shared" si="15"/>
        <v>6337.8658921012338</v>
      </c>
      <c r="N61" s="243"/>
      <c r="O61" s="243"/>
    </row>
    <row r="62" spans="1:15" ht="15.75" x14ac:dyDescent="0.25">
      <c r="B62" s="8" t="str">
        <f t="shared" si="11"/>
        <v>February</v>
      </c>
      <c r="C62">
        <f t="shared" si="11"/>
        <v>2014</v>
      </c>
      <c r="D62" s="204">
        <f t="shared" si="11"/>
        <v>790</v>
      </c>
      <c r="E62" s="205">
        <f t="shared" si="12"/>
        <v>0.17166449369839201</v>
      </c>
      <c r="G62" s="206">
        <f t="shared" si="13"/>
        <v>14.87380174023308</v>
      </c>
      <c r="H62" s="207">
        <f t="shared" si="16"/>
        <v>17.167327517842981</v>
      </c>
      <c r="I62" s="12">
        <f t="shared" si="14"/>
        <v>32.041129258076062</v>
      </c>
      <c r="K62" s="230">
        <v>173</v>
      </c>
      <c r="L62" s="243"/>
      <c r="M62" s="1">
        <f t="shared" si="15"/>
        <v>5543.1153616471584</v>
      </c>
      <c r="N62" s="243"/>
      <c r="O62" s="243"/>
    </row>
    <row r="63" spans="1:15" ht="15.75" x14ac:dyDescent="0.25">
      <c r="B63" s="8" t="str">
        <f t="shared" si="11"/>
        <v>March</v>
      </c>
      <c r="C63">
        <f t="shared" si="11"/>
        <v>2014</v>
      </c>
      <c r="D63" s="204">
        <f t="shared" si="11"/>
        <v>581</v>
      </c>
      <c r="E63" s="205">
        <f t="shared" si="12"/>
        <v>0.12624945675793134</v>
      </c>
      <c r="G63" s="206">
        <f t="shared" si="13"/>
        <v>10.938833938070152</v>
      </c>
      <c r="H63" s="207">
        <f t="shared" si="16"/>
        <v>17.167327517842981</v>
      </c>
      <c r="I63" s="12">
        <f t="shared" si="14"/>
        <v>28.106161455913131</v>
      </c>
      <c r="K63" s="230">
        <v>173</v>
      </c>
      <c r="L63" s="243"/>
      <c r="M63" s="1">
        <f t="shared" si="15"/>
        <v>4862.3659318729715</v>
      </c>
      <c r="N63" s="243"/>
      <c r="O63" s="243"/>
    </row>
    <row r="64" spans="1:15" ht="15.75" x14ac:dyDescent="0.25">
      <c r="B64" s="8" t="str">
        <f t="shared" si="11"/>
        <v>April</v>
      </c>
      <c r="C64">
        <f t="shared" si="11"/>
        <v>2014</v>
      </c>
      <c r="D64" s="204">
        <f t="shared" si="11"/>
        <v>300</v>
      </c>
      <c r="E64" s="205">
        <f t="shared" si="12"/>
        <v>6.51890482398957E-2</v>
      </c>
      <c r="G64" s="206">
        <f t="shared" si="13"/>
        <v>5.6482791418606633</v>
      </c>
      <c r="H64" s="207">
        <f t="shared" si="16"/>
        <v>17.167327517842981</v>
      </c>
      <c r="I64" s="12">
        <f t="shared" si="14"/>
        <v>22.815606659703644</v>
      </c>
      <c r="K64" s="230">
        <v>173</v>
      </c>
      <c r="L64" s="243"/>
      <c r="M64" s="1">
        <f t="shared" si="15"/>
        <v>3947.0999521287304</v>
      </c>
      <c r="N64" s="243"/>
      <c r="O64" s="243"/>
    </row>
    <row r="65" spans="1:15" ht="15.75" x14ac:dyDescent="0.25">
      <c r="B65" s="8" t="str">
        <f t="shared" si="11"/>
        <v>May</v>
      </c>
      <c r="C65">
        <f t="shared" si="11"/>
        <v>2014</v>
      </c>
      <c r="D65" s="204">
        <f t="shared" si="11"/>
        <v>100</v>
      </c>
      <c r="E65" s="205">
        <f t="shared" si="12"/>
        <v>2.1729682746631899E-2</v>
      </c>
      <c r="G65" s="206">
        <f t="shared" si="13"/>
        <v>1.8827597139535543</v>
      </c>
      <c r="H65" s="207">
        <f t="shared" si="16"/>
        <v>17.167327517842981</v>
      </c>
      <c r="I65" s="12">
        <f t="shared" si="14"/>
        <v>19.050087231796535</v>
      </c>
      <c r="K65" s="230">
        <v>173</v>
      </c>
      <c r="L65" s="243"/>
      <c r="M65" s="1">
        <f t="shared" si="15"/>
        <v>3295.6650911008005</v>
      </c>
      <c r="N65" s="243"/>
      <c r="O65" s="243"/>
    </row>
    <row r="66" spans="1:15" ht="15.75" x14ac:dyDescent="0.25">
      <c r="B66" s="8" t="str">
        <f t="shared" si="11"/>
        <v>June</v>
      </c>
      <c r="C66">
        <f t="shared" si="11"/>
        <v>2014</v>
      </c>
      <c r="D66" s="204">
        <f t="shared" si="11"/>
        <v>8</v>
      </c>
      <c r="E66" s="205">
        <f t="shared" si="12"/>
        <v>1.738374619730552E-3</v>
      </c>
      <c r="G66" s="206">
        <f t="shared" si="13"/>
        <v>0.15062077711628435</v>
      </c>
      <c r="H66" s="207">
        <f t="shared" si="16"/>
        <v>17.167327517842981</v>
      </c>
      <c r="I66" s="12">
        <f t="shared" si="14"/>
        <v>17.317948294959265</v>
      </c>
      <c r="K66" s="230">
        <v>173</v>
      </c>
      <c r="L66" s="243"/>
      <c r="M66" s="1">
        <f t="shared" si="15"/>
        <v>2996.0050550279529</v>
      </c>
      <c r="N66" s="243"/>
      <c r="O66" s="243"/>
    </row>
    <row r="67" spans="1:15" ht="15.75" x14ac:dyDescent="0.25">
      <c r="B67" s="8" t="str">
        <f t="shared" si="11"/>
        <v>July</v>
      </c>
      <c r="C67">
        <f t="shared" si="11"/>
        <v>2014</v>
      </c>
      <c r="D67" s="204">
        <f t="shared" si="11"/>
        <v>1</v>
      </c>
      <c r="E67" s="205">
        <f t="shared" si="12"/>
        <v>2.17296827466319E-4</v>
      </c>
      <c r="G67" s="206">
        <f t="shared" si="13"/>
        <v>1.8827597139535544E-2</v>
      </c>
      <c r="H67" s="207">
        <f t="shared" si="16"/>
        <v>17.167327517842981</v>
      </c>
      <c r="I67" s="12">
        <f t="shared" si="14"/>
        <v>17.186155114982515</v>
      </c>
      <c r="K67" s="230">
        <v>173</v>
      </c>
      <c r="L67" s="243"/>
      <c r="M67" s="1">
        <f t="shared" si="15"/>
        <v>2973.2048348919752</v>
      </c>
      <c r="N67" s="243"/>
      <c r="O67" s="243"/>
    </row>
    <row r="68" spans="1:15" ht="15.75" x14ac:dyDescent="0.25">
      <c r="B68" s="8" t="str">
        <f t="shared" si="11"/>
        <v>August</v>
      </c>
      <c r="C68">
        <f t="shared" si="11"/>
        <v>2014</v>
      </c>
      <c r="D68" s="204">
        <f t="shared" si="11"/>
        <v>1</v>
      </c>
      <c r="E68" s="205">
        <f t="shared" si="12"/>
        <v>2.17296827466319E-4</v>
      </c>
      <c r="G68" s="206">
        <f t="shared" si="13"/>
        <v>1.8827597139535544E-2</v>
      </c>
      <c r="H68" s="207">
        <f t="shared" si="16"/>
        <v>17.167327517842981</v>
      </c>
      <c r="I68" s="12">
        <f t="shared" si="14"/>
        <v>17.186155114982515</v>
      </c>
      <c r="K68" s="230">
        <v>173</v>
      </c>
      <c r="L68" s="243"/>
      <c r="M68" s="1">
        <f t="shared" si="15"/>
        <v>2973.2048348919752</v>
      </c>
      <c r="N68" s="243"/>
      <c r="O68" s="243"/>
    </row>
    <row r="69" spans="1:15" ht="15.75" x14ac:dyDescent="0.25">
      <c r="B69" s="8" t="str">
        <f t="shared" si="11"/>
        <v>September</v>
      </c>
      <c r="C69">
        <f t="shared" si="11"/>
        <v>2014</v>
      </c>
      <c r="D69" s="204">
        <f t="shared" si="11"/>
        <v>62</v>
      </c>
      <c r="E69" s="205">
        <f t="shared" si="12"/>
        <v>1.3472403302911778E-2</v>
      </c>
      <c r="G69" s="206">
        <f t="shared" si="13"/>
        <v>1.1673110226512038</v>
      </c>
      <c r="H69" s="207">
        <f t="shared" si="16"/>
        <v>17.167327517842981</v>
      </c>
      <c r="I69" s="12">
        <f t="shared" si="14"/>
        <v>18.334638540494186</v>
      </c>
      <c r="K69" s="230">
        <v>173</v>
      </c>
      <c r="L69" s="243"/>
      <c r="M69" s="1">
        <f t="shared" si="15"/>
        <v>3171.8924675054941</v>
      </c>
      <c r="N69" s="243"/>
      <c r="O69" s="243"/>
    </row>
    <row r="70" spans="1:15" ht="15.75" x14ac:dyDescent="0.25">
      <c r="B70" s="8" t="str">
        <f t="shared" si="11"/>
        <v>October</v>
      </c>
      <c r="C70">
        <f t="shared" si="11"/>
        <v>2014</v>
      </c>
      <c r="D70" s="204">
        <f t="shared" si="11"/>
        <v>248</v>
      </c>
      <c r="E70" s="209">
        <f t="shared" si="12"/>
        <v>5.3889613211647112E-2</v>
      </c>
      <c r="F70" s="56"/>
      <c r="G70" s="218">
        <f t="shared" si="13"/>
        <v>4.6692440906048152</v>
      </c>
      <c r="H70" s="207">
        <f t="shared" si="16"/>
        <v>17.167327517842981</v>
      </c>
      <c r="I70" s="219">
        <f t="shared" si="14"/>
        <v>21.836571608447798</v>
      </c>
      <c r="J70" s="56"/>
      <c r="K70" s="230">
        <v>173</v>
      </c>
      <c r="L70" s="243"/>
      <c r="M70" s="1">
        <f t="shared" si="15"/>
        <v>3777.726888261469</v>
      </c>
      <c r="N70" s="243"/>
      <c r="O70" s="243"/>
    </row>
    <row r="71" spans="1:15" ht="16.5" thickBot="1" x14ac:dyDescent="0.3">
      <c r="B71" s="8" t="str">
        <f t="shared" si="11"/>
        <v>November</v>
      </c>
      <c r="C71">
        <f t="shared" si="11"/>
        <v>2014</v>
      </c>
      <c r="D71" s="204">
        <f t="shared" si="11"/>
        <v>578</v>
      </c>
      <c r="E71" s="205">
        <f>+D71/$D$72</f>
        <v>0.12559756627553237</v>
      </c>
      <c r="G71" s="206">
        <f>+E71*$G$72</f>
        <v>10.882351146651544</v>
      </c>
      <c r="H71" s="207">
        <f t="shared" si="16"/>
        <v>17.167327517842981</v>
      </c>
      <c r="I71" s="12">
        <f>+G71+H71</f>
        <v>28.049678664494525</v>
      </c>
      <c r="K71" s="230">
        <v>173</v>
      </c>
      <c r="L71" s="243"/>
      <c r="M71" s="1">
        <f>+K71*I71</f>
        <v>4852.5944089575532</v>
      </c>
      <c r="N71" s="243"/>
      <c r="O71" s="243"/>
    </row>
    <row r="72" spans="1:15" ht="15.75" thickBot="1" x14ac:dyDescent="0.3">
      <c r="D72" s="213">
        <f>SUM(D60:D71)</f>
        <v>4602</v>
      </c>
      <c r="E72" s="158">
        <f>SUM(E60:E71)</f>
        <v>1</v>
      </c>
      <c r="G72" s="214">
        <f>+'[1]annual customer usage - Branson'!I13</f>
        <v>86.644602036142572</v>
      </c>
      <c r="H72" s="215">
        <f>SUM(H60:H71)</f>
        <v>206.00793021411576</v>
      </c>
      <c r="I72" s="215">
        <f>SUM(I60:I71)</f>
        <v>292.65253225025833</v>
      </c>
      <c r="K72" s="165">
        <f>AVERAGE(K60:K71)</f>
        <v>173</v>
      </c>
      <c r="L72" s="243"/>
      <c r="M72" s="225">
        <f>SUM(M60:M71)</f>
        <v>50628.888079294702</v>
      </c>
      <c r="N72" s="243"/>
      <c r="O72" s="243"/>
    </row>
    <row r="73" spans="1:15" ht="15.75" thickTop="1" x14ac:dyDescent="0.25">
      <c r="D73" s="217"/>
      <c r="E73" s="217"/>
      <c r="G73" s="206">
        <f>SUM(G60:G71)</f>
        <v>86.644602036142587</v>
      </c>
      <c r="K73" s="246" t="s">
        <v>27</v>
      </c>
      <c r="L73" s="243"/>
      <c r="M73" s="243"/>
      <c r="N73" s="243"/>
      <c r="O73" s="243"/>
    </row>
    <row r="74" spans="1:15" x14ac:dyDescent="0.25">
      <c r="D74" s="217"/>
      <c r="E74" s="217"/>
      <c r="G74" s="206"/>
      <c r="K74" s="246"/>
      <c r="L74" s="243"/>
      <c r="M74" s="243"/>
      <c r="N74" s="243"/>
      <c r="O74" s="243"/>
    </row>
    <row r="75" spans="1:15" ht="15.75" x14ac:dyDescent="0.25">
      <c r="A75" s="3" t="s">
        <v>152</v>
      </c>
      <c r="B75" s="3"/>
      <c r="C75" s="3"/>
      <c r="D75" s="3"/>
      <c r="E75" s="3"/>
      <c r="F75" s="202"/>
      <c r="G75" s="202"/>
      <c r="H75" s="202"/>
      <c r="I75" s="202"/>
      <c r="J75" s="202"/>
      <c r="K75" s="202"/>
      <c r="L75" s="202"/>
      <c r="M75" s="202"/>
    </row>
    <row r="76" spans="1:15" ht="15.75" x14ac:dyDescent="0.25">
      <c r="A76" s="3" t="s">
        <v>32</v>
      </c>
      <c r="B76" s="3"/>
      <c r="C76" s="3"/>
      <c r="D76" s="3"/>
      <c r="E76" s="3"/>
      <c r="F76" s="202"/>
      <c r="G76" s="202"/>
      <c r="H76" s="202"/>
      <c r="I76" s="202"/>
      <c r="J76" s="202"/>
      <c r="K76" s="202"/>
      <c r="L76" s="202"/>
      <c r="M76" s="202"/>
    </row>
    <row r="77" spans="1:15" ht="15.75" x14ac:dyDescent="0.25">
      <c r="A77" s="3" t="s">
        <v>153</v>
      </c>
      <c r="B77" s="3"/>
      <c r="C77" s="3"/>
      <c r="D77" s="3"/>
      <c r="E77" s="3"/>
      <c r="F77" s="202"/>
      <c r="G77" s="202"/>
      <c r="H77" s="202"/>
      <c r="I77" s="202"/>
      <c r="J77" s="202"/>
      <c r="K77" s="202"/>
      <c r="L77" s="202"/>
      <c r="M77" s="202"/>
    </row>
    <row r="78" spans="1:15" ht="15.75" x14ac:dyDescent="0.25">
      <c r="A78" s="3" t="s">
        <v>154</v>
      </c>
      <c r="B78" s="3"/>
      <c r="C78" s="3"/>
      <c r="D78" s="3"/>
      <c r="E78" s="3"/>
      <c r="F78" s="202"/>
      <c r="G78" s="202"/>
      <c r="H78" s="202"/>
      <c r="I78" s="202"/>
      <c r="J78" s="202"/>
      <c r="K78" s="202"/>
      <c r="L78" s="202"/>
      <c r="M78" s="202"/>
    </row>
    <row r="79" spans="1:15" x14ac:dyDescent="0.25">
      <c r="D79" s="217"/>
      <c r="E79" s="217"/>
      <c r="G79" s="206"/>
      <c r="K79" s="246"/>
      <c r="L79" s="243"/>
      <c r="M79" s="243"/>
      <c r="N79" s="243"/>
      <c r="O79" s="243"/>
    </row>
    <row r="80" spans="1:15" x14ac:dyDescent="0.25">
      <c r="D80" s="217"/>
      <c r="E80" s="217"/>
      <c r="G80" s="206"/>
      <c r="K80" s="246"/>
      <c r="L80" s="243"/>
      <c r="M80" s="243"/>
      <c r="N80" s="243"/>
      <c r="O80" s="243"/>
    </row>
    <row r="81" spans="1:15" x14ac:dyDescent="0.25">
      <c r="D81" s="296" t="s">
        <v>30</v>
      </c>
      <c r="E81" s="296"/>
      <c r="G81" s="5" t="s">
        <v>1</v>
      </c>
      <c r="K81" s="243"/>
      <c r="L81" s="243"/>
      <c r="M81" s="243"/>
      <c r="N81" s="243"/>
      <c r="O81" s="243"/>
    </row>
    <row r="82" spans="1:15" ht="15.75" thickBot="1" x14ac:dyDescent="0.3">
      <c r="D82" s="295" t="s">
        <v>2</v>
      </c>
      <c r="E82" s="295"/>
      <c r="G82" s="5" t="s">
        <v>3</v>
      </c>
      <c r="H82" s="5" t="s">
        <v>4</v>
      </c>
      <c r="I82" s="5" t="s">
        <v>0</v>
      </c>
      <c r="K82" s="243"/>
      <c r="L82" s="243"/>
      <c r="M82" s="243"/>
      <c r="N82" s="243"/>
      <c r="O82" s="243"/>
    </row>
    <row r="83" spans="1:15" x14ac:dyDescent="0.25">
      <c r="D83" s="5" t="s">
        <v>5</v>
      </c>
      <c r="E83" s="5" t="s">
        <v>6</v>
      </c>
      <c r="G83" s="5" t="s">
        <v>7</v>
      </c>
      <c r="H83" s="5" t="s">
        <v>8</v>
      </c>
      <c r="I83" s="5" t="s">
        <v>4</v>
      </c>
      <c r="K83" s="246" t="s">
        <v>9</v>
      </c>
      <c r="L83" s="243"/>
      <c r="M83" s="228" t="s">
        <v>4</v>
      </c>
      <c r="N83" s="243"/>
      <c r="O83" s="243"/>
    </row>
    <row r="84" spans="1:15" ht="15.75" thickBot="1" x14ac:dyDescent="0.3">
      <c r="D84" s="6" t="s">
        <v>10</v>
      </c>
      <c r="E84" s="6" t="s">
        <v>11</v>
      </c>
      <c r="G84" s="203" t="s">
        <v>9</v>
      </c>
      <c r="H84" s="203" t="s">
        <v>12</v>
      </c>
      <c r="I84" s="203" t="s">
        <v>12</v>
      </c>
      <c r="K84" s="155" t="s">
        <v>158</v>
      </c>
      <c r="L84" s="243"/>
      <c r="M84" s="203" t="s">
        <v>13</v>
      </c>
      <c r="N84" s="243"/>
      <c r="O84" s="243"/>
    </row>
    <row r="85" spans="1:15" ht="15.75" x14ac:dyDescent="0.25">
      <c r="A85" s="7" t="s">
        <v>160</v>
      </c>
      <c r="D85" s="217"/>
      <c r="E85" s="217"/>
      <c r="K85" s="243"/>
      <c r="L85" s="243"/>
      <c r="M85" s="243"/>
      <c r="N85" s="243"/>
      <c r="O85" s="243"/>
    </row>
    <row r="86" spans="1:15" x14ac:dyDescent="0.25">
      <c r="K86" s="243"/>
      <c r="L86" s="243"/>
      <c r="M86" s="243"/>
      <c r="N86" s="243"/>
      <c r="O86" s="243"/>
    </row>
    <row r="87" spans="1:15" ht="15.75" x14ac:dyDescent="0.25">
      <c r="B87" s="8" t="str">
        <f>B60</f>
        <v>December</v>
      </c>
      <c r="C87">
        <f>C60</f>
        <v>2013</v>
      </c>
      <c r="D87" s="204">
        <f>D60</f>
        <v>899</v>
      </c>
      <c r="E87" s="205">
        <f t="shared" ref="E87:E97" si="17">+D87/$D$72</f>
        <v>0.19534984789222076</v>
      </c>
      <c r="G87" s="206">
        <f t="shared" ref="G87:G97" si="18">+E87*$G$99</f>
        <v>11.922323149212133</v>
      </c>
      <c r="H87" s="207">
        <f>'[1]annual customer usage - Branson'!K30</f>
        <v>1.4469565217391305</v>
      </c>
      <c r="I87" s="12">
        <f t="shared" ref="I87:I97" si="19">+G87+H87</f>
        <v>13.369279670951263</v>
      </c>
      <c r="K87" s="230">
        <v>33</v>
      </c>
      <c r="L87" s="243"/>
      <c r="M87" s="1">
        <f t="shared" ref="M87:M97" si="20">+K87*I87</f>
        <v>441.18622914139166</v>
      </c>
      <c r="N87" s="243"/>
      <c r="O87" s="243"/>
    </row>
    <row r="88" spans="1:15" ht="15.75" x14ac:dyDescent="0.25">
      <c r="B88" s="8" t="str">
        <f>B61</f>
        <v>January</v>
      </c>
      <c r="C88">
        <f>C61</f>
        <v>2014</v>
      </c>
      <c r="D88" s="204">
        <f>D61</f>
        <v>1034</v>
      </c>
      <c r="E88" s="205">
        <f t="shared" si="17"/>
        <v>0.22468491960017384</v>
      </c>
      <c r="G88" s="206">
        <f t="shared" si="18"/>
        <v>13.712660885745658</v>
      </c>
      <c r="H88" s="207">
        <f t="shared" ref="H88:H98" si="21">+H87</f>
        <v>1.4469565217391305</v>
      </c>
      <c r="I88" s="12">
        <f t="shared" si="19"/>
        <v>15.159617407484788</v>
      </c>
      <c r="K88" s="230">
        <v>33</v>
      </c>
      <c r="L88" s="243"/>
      <c r="M88" s="1">
        <f t="shared" si="20"/>
        <v>500.26737444699802</v>
      </c>
      <c r="N88" s="243"/>
      <c r="O88" s="243"/>
    </row>
    <row r="89" spans="1:15" ht="15.75" x14ac:dyDescent="0.25">
      <c r="B89" s="8" t="str">
        <f>B62</f>
        <v>February</v>
      </c>
      <c r="C89">
        <f>C62</f>
        <v>2014</v>
      </c>
      <c r="D89" s="204">
        <f>D62</f>
        <v>790</v>
      </c>
      <c r="E89" s="205">
        <f t="shared" si="17"/>
        <v>0.17166449369839201</v>
      </c>
      <c r="G89" s="206">
        <f t="shared" si="18"/>
        <v>10.476791198973956</v>
      </c>
      <c r="H89" s="207">
        <f t="shared" si="21"/>
        <v>1.4469565217391305</v>
      </c>
      <c r="I89" s="12">
        <f t="shared" si="19"/>
        <v>11.923747720713086</v>
      </c>
      <c r="K89" s="230">
        <v>33</v>
      </c>
      <c r="L89" s="243"/>
      <c r="M89" s="1">
        <f t="shared" si="20"/>
        <v>393.48367478353185</v>
      </c>
      <c r="N89" s="243"/>
      <c r="O89" s="243"/>
    </row>
    <row r="90" spans="1:15" ht="15.75" x14ac:dyDescent="0.25">
      <c r="B90" s="8" t="str">
        <f>B63</f>
        <v>March</v>
      </c>
      <c r="C90">
        <f>C63</f>
        <v>2014</v>
      </c>
      <c r="D90" s="204">
        <f>D63</f>
        <v>581</v>
      </c>
      <c r="E90" s="205">
        <f t="shared" si="17"/>
        <v>0.12624945675793134</v>
      </c>
      <c r="G90" s="206">
        <f t="shared" si="18"/>
        <v>7.7050831475998329</v>
      </c>
      <c r="H90" s="207">
        <f t="shared" si="21"/>
        <v>1.4469565217391305</v>
      </c>
      <c r="I90" s="12">
        <f t="shared" si="19"/>
        <v>9.1520396693389632</v>
      </c>
      <c r="K90" s="230">
        <v>33</v>
      </c>
      <c r="L90" s="243"/>
      <c r="M90" s="1">
        <f t="shared" si="20"/>
        <v>302.01730908818581</v>
      </c>
      <c r="N90" s="243"/>
      <c r="O90" s="243"/>
    </row>
    <row r="91" spans="1:15" ht="15.75" x14ac:dyDescent="0.25">
      <c r="B91" s="8" t="str">
        <f>B64</f>
        <v>April</v>
      </c>
      <c r="C91">
        <f>C64</f>
        <v>2014</v>
      </c>
      <c r="D91" s="204">
        <f>D64</f>
        <v>300</v>
      </c>
      <c r="E91" s="205">
        <f t="shared" si="17"/>
        <v>6.51890482398957E-2</v>
      </c>
      <c r="G91" s="206">
        <f t="shared" si="18"/>
        <v>3.9785283034078311</v>
      </c>
      <c r="H91" s="207">
        <f t="shared" si="21"/>
        <v>1.4469565217391305</v>
      </c>
      <c r="I91" s="12">
        <f t="shared" si="19"/>
        <v>5.4254848251469614</v>
      </c>
      <c r="K91" s="230">
        <v>33</v>
      </c>
      <c r="L91" s="243"/>
      <c r="M91" s="1">
        <f t="shared" si="20"/>
        <v>179.04099922984972</v>
      </c>
      <c r="N91" s="243"/>
      <c r="O91" s="243"/>
    </row>
    <row r="92" spans="1:15" ht="15.75" x14ac:dyDescent="0.25">
      <c r="B92" s="8" t="str">
        <f>B65</f>
        <v>May</v>
      </c>
      <c r="C92">
        <f>C65</f>
        <v>2014</v>
      </c>
      <c r="D92" s="204">
        <f>D65</f>
        <v>100</v>
      </c>
      <c r="E92" s="205">
        <f t="shared" si="17"/>
        <v>2.1729682746631899E-2</v>
      </c>
      <c r="G92" s="206">
        <f t="shared" si="18"/>
        <v>1.3261761011359436</v>
      </c>
      <c r="H92" s="207">
        <f t="shared" si="21"/>
        <v>1.4469565217391305</v>
      </c>
      <c r="I92" s="12">
        <f t="shared" si="19"/>
        <v>2.7731326228750741</v>
      </c>
      <c r="K92" s="230">
        <v>33</v>
      </c>
      <c r="L92" s="243"/>
      <c r="M92" s="1">
        <f t="shared" si="20"/>
        <v>91.513376554877439</v>
      </c>
      <c r="N92" s="243"/>
      <c r="O92" s="243"/>
    </row>
    <row r="93" spans="1:15" ht="15.75" x14ac:dyDescent="0.25">
      <c r="B93" s="8" t="str">
        <f>B66</f>
        <v>June</v>
      </c>
      <c r="C93">
        <f>C66</f>
        <v>2014</v>
      </c>
      <c r="D93" s="204">
        <f>D66</f>
        <v>8</v>
      </c>
      <c r="E93" s="205">
        <f t="shared" si="17"/>
        <v>1.738374619730552E-3</v>
      </c>
      <c r="G93" s="206">
        <f t="shared" si="18"/>
        <v>0.1060940880908755</v>
      </c>
      <c r="H93" s="207">
        <f t="shared" si="21"/>
        <v>1.4469565217391305</v>
      </c>
      <c r="I93" s="12">
        <f t="shared" si="19"/>
        <v>1.5530506098300059</v>
      </c>
      <c r="K93" s="230">
        <v>33</v>
      </c>
      <c r="L93" s="243"/>
      <c r="M93" s="1">
        <f t="shared" si="20"/>
        <v>51.250670124390197</v>
      </c>
      <c r="N93" s="243"/>
      <c r="O93" s="243"/>
    </row>
    <row r="94" spans="1:15" ht="15.75" x14ac:dyDescent="0.25">
      <c r="B94" s="8" t="str">
        <f>B67</f>
        <v>July</v>
      </c>
      <c r="C94">
        <f>C67</f>
        <v>2014</v>
      </c>
      <c r="D94" s="204">
        <f>D67</f>
        <v>1</v>
      </c>
      <c r="E94" s="205">
        <f t="shared" si="17"/>
        <v>2.17296827466319E-4</v>
      </c>
      <c r="G94" s="206">
        <f t="shared" si="18"/>
        <v>1.3261761011359438E-2</v>
      </c>
      <c r="H94" s="207">
        <f t="shared" si="21"/>
        <v>1.4469565217391305</v>
      </c>
      <c r="I94" s="12">
        <f t="shared" si="19"/>
        <v>1.4602182827504899</v>
      </c>
      <c r="K94" s="230">
        <v>33</v>
      </c>
      <c r="L94" s="243"/>
      <c r="M94" s="1">
        <f t="shared" si="20"/>
        <v>48.187203330766167</v>
      </c>
      <c r="N94" s="243"/>
      <c r="O94" s="243"/>
    </row>
    <row r="95" spans="1:15" ht="15.75" x14ac:dyDescent="0.25">
      <c r="B95" s="8" t="str">
        <f>B68</f>
        <v>August</v>
      </c>
      <c r="C95">
        <f>C68</f>
        <v>2014</v>
      </c>
      <c r="D95" s="204">
        <f>D68</f>
        <v>1</v>
      </c>
      <c r="E95" s="205">
        <f t="shared" si="17"/>
        <v>2.17296827466319E-4</v>
      </c>
      <c r="G95" s="206">
        <f t="shared" si="18"/>
        <v>1.3261761011359438E-2</v>
      </c>
      <c r="H95" s="207">
        <f t="shared" si="21"/>
        <v>1.4469565217391305</v>
      </c>
      <c r="I95" s="12">
        <f t="shared" si="19"/>
        <v>1.4602182827504899</v>
      </c>
      <c r="K95" s="230">
        <v>33</v>
      </c>
      <c r="L95" s="243"/>
      <c r="M95" s="1">
        <f t="shared" si="20"/>
        <v>48.187203330766167</v>
      </c>
      <c r="N95" s="243"/>
      <c r="O95" s="243"/>
    </row>
    <row r="96" spans="1:15" ht="15.75" x14ac:dyDescent="0.25">
      <c r="B96" s="8" t="str">
        <f>B69</f>
        <v>September</v>
      </c>
      <c r="C96">
        <f>C69</f>
        <v>2014</v>
      </c>
      <c r="D96" s="204">
        <f>D69</f>
        <v>62</v>
      </c>
      <c r="E96" s="205">
        <f t="shared" si="17"/>
        <v>1.3472403302911778E-2</v>
      </c>
      <c r="G96" s="206">
        <f t="shared" si="18"/>
        <v>0.82222918270428513</v>
      </c>
      <c r="H96" s="207">
        <f t="shared" si="21"/>
        <v>1.4469565217391305</v>
      </c>
      <c r="I96" s="12">
        <f t="shared" si="19"/>
        <v>2.2691857044434158</v>
      </c>
      <c r="K96" s="230">
        <v>33</v>
      </c>
      <c r="L96" s="243"/>
      <c r="M96" s="1">
        <f t="shared" si="20"/>
        <v>74.883128246632722</v>
      </c>
      <c r="N96" s="243"/>
      <c r="O96" s="243"/>
    </row>
    <row r="97" spans="1:15" ht="15.75" x14ac:dyDescent="0.25">
      <c r="B97" s="8" t="str">
        <f>B70</f>
        <v>October</v>
      </c>
      <c r="C97">
        <f>C70</f>
        <v>2014</v>
      </c>
      <c r="D97" s="204">
        <f>D70</f>
        <v>248</v>
      </c>
      <c r="E97" s="209">
        <f t="shared" si="17"/>
        <v>5.3889613211647112E-2</v>
      </c>
      <c r="F97" s="210"/>
      <c r="G97" s="211">
        <f t="shared" si="18"/>
        <v>3.2889167308171405</v>
      </c>
      <c r="H97" s="207">
        <f t="shared" si="21"/>
        <v>1.4469565217391305</v>
      </c>
      <c r="I97" s="212">
        <f t="shared" si="19"/>
        <v>4.7358732525562708</v>
      </c>
      <c r="K97" s="230">
        <v>33</v>
      </c>
      <c r="L97" s="243"/>
      <c r="M97" s="1">
        <f t="shared" si="20"/>
        <v>156.28381733435694</v>
      </c>
      <c r="N97" s="243"/>
      <c r="O97" s="243"/>
    </row>
    <row r="98" spans="1:15" ht="16.5" thickBot="1" x14ac:dyDescent="0.3">
      <c r="B98" s="8" t="str">
        <f>B71</f>
        <v>November</v>
      </c>
      <c r="C98">
        <f>C71</f>
        <v>2014</v>
      </c>
      <c r="D98" s="204">
        <f>D71</f>
        <v>578</v>
      </c>
      <c r="E98" s="205">
        <f>+D98/$D$72</f>
        <v>0.12559756627553237</v>
      </c>
      <c r="G98" s="206">
        <f>+E98*$G$99</f>
        <v>7.6652978645657539</v>
      </c>
      <c r="H98" s="207">
        <f t="shared" si="21"/>
        <v>1.4469565217391305</v>
      </c>
      <c r="I98" s="12">
        <f>+G98+H98</f>
        <v>9.112254386304885</v>
      </c>
      <c r="K98" s="230">
        <v>33</v>
      </c>
      <c r="L98" s="243"/>
      <c r="M98" s="1">
        <f>+K98*I98</f>
        <v>300.70439474806119</v>
      </c>
      <c r="N98" s="243"/>
      <c r="O98" s="243"/>
    </row>
    <row r="99" spans="1:15" ht="15.75" thickBot="1" x14ac:dyDescent="0.3">
      <c r="D99" s="213">
        <f>SUM(D87:D98)</f>
        <v>4602</v>
      </c>
      <c r="E99" s="158">
        <f>SUM(E87:E98)</f>
        <v>1</v>
      </c>
      <c r="G99" s="214">
        <f>+'[1]annual customer usage - Branson'!I14</f>
        <v>61.030624174276127</v>
      </c>
      <c r="H99" s="215">
        <f>SUM(H87:H98)</f>
        <v>17.363478260869567</v>
      </c>
      <c r="I99" s="215">
        <f>SUM(I87:I98)</f>
        <v>78.394102435145697</v>
      </c>
      <c r="K99" s="165">
        <f>AVERAGE(K87:K98)</f>
        <v>33</v>
      </c>
      <c r="L99" s="243"/>
      <c r="M99" s="225">
        <f>SUM(M87:M98)</f>
        <v>2587.005380359808</v>
      </c>
      <c r="N99" s="243"/>
      <c r="O99" s="243"/>
    </row>
    <row r="100" spans="1:15" ht="15.75" thickTop="1" x14ac:dyDescent="0.25">
      <c r="D100" s="217"/>
      <c r="E100" s="217"/>
      <c r="G100" s="206">
        <f>SUM(G87:G98)</f>
        <v>61.030624174276113</v>
      </c>
      <c r="K100" s="246" t="s">
        <v>27</v>
      </c>
      <c r="L100" s="243"/>
      <c r="M100" s="243"/>
      <c r="N100" s="243"/>
      <c r="O100" s="243"/>
    </row>
    <row r="101" spans="1:15" x14ac:dyDescent="0.25">
      <c r="D101" s="217"/>
      <c r="E101" s="217"/>
      <c r="G101" s="206"/>
      <c r="K101" s="246"/>
      <c r="L101" s="243"/>
      <c r="M101" s="243"/>
      <c r="N101" s="243"/>
      <c r="O101" s="243"/>
    </row>
    <row r="102" spans="1:15" x14ac:dyDescent="0.25">
      <c r="D102" s="296" t="s">
        <v>30</v>
      </c>
      <c r="E102" s="296"/>
      <c r="G102" s="5" t="s">
        <v>1</v>
      </c>
      <c r="K102" s="243"/>
      <c r="L102" s="243"/>
      <c r="M102" s="243"/>
      <c r="N102" s="243"/>
      <c r="O102" s="243"/>
    </row>
    <row r="103" spans="1:15" ht="15.75" thickBot="1" x14ac:dyDescent="0.3">
      <c r="D103" s="295" t="s">
        <v>2</v>
      </c>
      <c r="E103" s="295"/>
      <c r="G103" s="5" t="s">
        <v>3</v>
      </c>
      <c r="H103" s="5" t="s">
        <v>4</v>
      </c>
      <c r="I103" s="5" t="s">
        <v>0</v>
      </c>
      <c r="K103" s="243"/>
      <c r="L103" s="243"/>
      <c r="M103" s="243"/>
      <c r="N103" s="243"/>
      <c r="O103" s="243"/>
    </row>
    <row r="104" spans="1:15" x14ac:dyDescent="0.25">
      <c r="D104" s="5" t="s">
        <v>5</v>
      </c>
      <c r="E104" s="5" t="s">
        <v>6</v>
      </c>
      <c r="G104" s="5" t="s">
        <v>7</v>
      </c>
      <c r="H104" s="5" t="s">
        <v>8</v>
      </c>
      <c r="I104" s="5" t="s">
        <v>4</v>
      </c>
      <c r="K104" s="246" t="s">
        <v>9</v>
      </c>
      <c r="L104" s="243"/>
      <c r="M104" s="228" t="s">
        <v>4</v>
      </c>
      <c r="N104" s="243"/>
      <c r="O104" s="243"/>
    </row>
    <row r="105" spans="1:15" ht="15.75" thickBot="1" x14ac:dyDescent="0.3">
      <c r="D105" s="6" t="s">
        <v>10</v>
      </c>
      <c r="E105" s="6" t="s">
        <v>11</v>
      </c>
      <c r="G105" s="203" t="s">
        <v>9</v>
      </c>
      <c r="H105" s="203" t="s">
        <v>12</v>
      </c>
      <c r="I105" s="203" t="s">
        <v>12</v>
      </c>
      <c r="K105" s="155" t="s">
        <v>158</v>
      </c>
      <c r="L105" s="243"/>
      <c r="M105" s="203" t="s">
        <v>13</v>
      </c>
      <c r="N105" s="243"/>
      <c r="O105" s="243"/>
    </row>
    <row r="106" spans="1:15" s="210" customFormat="1" ht="15.75" x14ac:dyDescent="0.25">
      <c r="A106" s="7" t="s">
        <v>31</v>
      </c>
      <c r="B106"/>
      <c r="C106"/>
      <c r="D106" s="217"/>
      <c r="E106" s="217"/>
      <c r="F106"/>
      <c r="G106"/>
      <c r="H106"/>
      <c r="I106"/>
      <c r="J106"/>
      <c r="K106" s="243"/>
      <c r="L106" s="243"/>
      <c r="M106" s="243"/>
      <c r="N106" s="243"/>
      <c r="O106" s="243"/>
    </row>
    <row r="107" spans="1:15" s="210" customFormat="1" x14ac:dyDescent="0.25">
      <c r="A107"/>
      <c r="B107"/>
      <c r="C107"/>
      <c r="D107"/>
      <c r="E107"/>
      <c r="F107"/>
      <c r="G107"/>
      <c r="H107"/>
      <c r="I107"/>
      <c r="J107"/>
      <c r="K107" s="243"/>
      <c r="L107" s="243"/>
      <c r="M107" s="243"/>
      <c r="N107" s="243"/>
      <c r="O107" s="243"/>
    </row>
    <row r="108" spans="1:15" s="210" customFormat="1" ht="15.75" x14ac:dyDescent="0.25">
      <c r="A108"/>
      <c r="B108" s="8" t="str">
        <f t="shared" ref="B108:D119" si="22">B87</f>
        <v>December</v>
      </c>
      <c r="C108">
        <f t="shared" si="22"/>
        <v>2013</v>
      </c>
      <c r="D108" s="204">
        <f t="shared" si="22"/>
        <v>899</v>
      </c>
      <c r="E108" s="205">
        <f t="shared" ref="E108:E118" si="23">+D108/$D$142</f>
        <v>0.19534984789222076</v>
      </c>
      <c r="F108"/>
      <c r="G108" s="206">
        <f t="shared" ref="G108:G118" si="24">+E108*$G$120</f>
        <v>43.753006141668308</v>
      </c>
      <c r="H108" s="207">
        <f>'[1]annual customer usage - Branson'!K31</f>
        <v>80.795334629269647</v>
      </c>
      <c r="I108" s="12">
        <f t="shared" ref="I108:I118" si="25">+G108+H108</f>
        <v>124.54834077093795</v>
      </c>
      <c r="J108"/>
      <c r="K108" s="230">
        <v>114</v>
      </c>
      <c r="L108" s="243"/>
      <c r="M108" s="1">
        <f t="shared" ref="M108:M118" si="26">+K108*I108</f>
        <v>14198.510847886926</v>
      </c>
      <c r="N108" s="243"/>
      <c r="O108" s="243"/>
    </row>
    <row r="109" spans="1:15" s="210" customFormat="1" ht="15.75" x14ac:dyDescent="0.25">
      <c r="A109"/>
      <c r="B109" s="8" t="str">
        <f t="shared" si="22"/>
        <v>January</v>
      </c>
      <c r="C109">
        <f t="shared" si="22"/>
        <v>2014</v>
      </c>
      <c r="D109" s="204">
        <f t="shared" si="22"/>
        <v>1034</v>
      </c>
      <c r="E109" s="205">
        <f t="shared" si="23"/>
        <v>0.22468491960017384</v>
      </c>
      <c r="F109"/>
      <c r="G109" s="206">
        <f t="shared" si="24"/>
        <v>50.323257342030068</v>
      </c>
      <c r="H109" s="207">
        <f t="shared" ref="H109:H119" si="27">+H108</f>
        <v>80.795334629269647</v>
      </c>
      <c r="I109" s="12">
        <f t="shared" si="25"/>
        <v>131.11859197129971</v>
      </c>
      <c r="J109"/>
      <c r="K109" s="230">
        <v>114</v>
      </c>
      <c r="L109" s="243"/>
      <c r="M109" s="1">
        <f t="shared" si="26"/>
        <v>14947.519484728167</v>
      </c>
      <c r="N109" s="243"/>
      <c r="O109" s="243"/>
    </row>
    <row r="110" spans="1:15" s="210" customFormat="1" ht="15.75" x14ac:dyDescent="0.25">
      <c r="A110"/>
      <c r="B110" s="8" t="str">
        <f t="shared" si="22"/>
        <v>February</v>
      </c>
      <c r="C110">
        <f t="shared" si="22"/>
        <v>2014</v>
      </c>
      <c r="D110" s="204">
        <f t="shared" si="22"/>
        <v>790</v>
      </c>
      <c r="E110" s="205">
        <f t="shared" si="23"/>
        <v>0.17166449369839201</v>
      </c>
      <c r="F110"/>
      <c r="G110" s="206">
        <f t="shared" si="24"/>
        <v>38.448136653968817</v>
      </c>
      <c r="H110" s="207">
        <f t="shared" si="27"/>
        <v>80.795334629269647</v>
      </c>
      <c r="I110" s="12">
        <f t="shared" si="25"/>
        <v>119.24347128323846</v>
      </c>
      <c r="J110"/>
      <c r="K110" s="230">
        <v>114</v>
      </c>
      <c r="L110" s="243"/>
      <c r="M110" s="1">
        <f t="shared" si="26"/>
        <v>13593.755726289184</v>
      </c>
      <c r="N110" s="56"/>
      <c r="O110" s="56"/>
    </row>
    <row r="111" spans="1:15" s="210" customFormat="1" ht="15.75" x14ac:dyDescent="0.25">
      <c r="A111"/>
      <c r="B111" s="8" t="str">
        <f t="shared" si="22"/>
        <v>March</v>
      </c>
      <c r="C111">
        <f t="shared" si="22"/>
        <v>2014</v>
      </c>
      <c r="D111" s="204">
        <f t="shared" si="22"/>
        <v>581</v>
      </c>
      <c r="E111" s="205">
        <f t="shared" si="23"/>
        <v>0.12624945675793134</v>
      </c>
      <c r="F111"/>
      <c r="G111" s="206">
        <f t="shared" si="24"/>
        <v>28.276414425260608</v>
      </c>
      <c r="H111" s="207">
        <f t="shared" si="27"/>
        <v>80.795334629269647</v>
      </c>
      <c r="I111" s="12">
        <f t="shared" si="25"/>
        <v>109.07174905453026</v>
      </c>
      <c r="J111"/>
      <c r="K111" s="230">
        <v>114</v>
      </c>
      <c r="L111" s="243"/>
      <c r="M111" s="1">
        <f t="shared" si="26"/>
        <v>12434.179392216449</v>
      </c>
      <c r="N111" s="56"/>
      <c r="O111" s="56"/>
    </row>
    <row r="112" spans="1:15" s="210" customFormat="1" ht="15.75" x14ac:dyDescent="0.25">
      <c r="A112"/>
      <c r="B112" s="8" t="str">
        <f t="shared" si="22"/>
        <v>April</v>
      </c>
      <c r="C112">
        <f t="shared" si="22"/>
        <v>2014</v>
      </c>
      <c r="D112" s="204">
        <f t="shared" si="22"/>
        <v>300</v>
      </c>
      <c r="E112" s="205">
        <f t="shared" si="23"/>
        <v>6.51890482398957E-2</v>
      </c>
      <c r="F112"/>
      <c r="G112" s="206">
        <f t="shared" si="24"/>
        <v>14.600558223026132</v>
      </c>
      <c r="H112" s="207">
        <f t="shared" si="27"/>
        <v>80.795334629269647</v>
      </c>
      <c r="I112" s="12">
        <f t="shared" si="25"/>
        <v>95.395892852295773</v>
      </c>
      <c r="J112"/>
      <c r="K112" s="230">
        <v>114</v>
      </c>
      <c r="L112" s="243"/>
      <c r="M112" s="1">
        <f t="shared" si="26"/>
        <v>10875.131785161719</v>
      </c>
      <c r="N112" s="56"/>
      <c r="O112" s="56"/>
    </row>
    <row r="113" spans="1:15" s="210" customFormat="1" ht="15.75" x14ac:dyDescent="0.25">
      <c r="A113"/>
      <c r="B113" s="8" t="str">
        <f t="shared" si="22"/>
        <v>May</v>
      </c>
      <c r="C113">
        <f t="shared" si="22"/>
        <v>2014</v>
      </c>
      <c r="D113" s="204">
        <f t="shared" si="22"/>
        <v>100</v>
      </c>
      <c r="E113" s="205">
        <f t="shared" si="23"/>
        <v>2.1729682746631899E-2</v>
      </c>
      <c r="F113"/>
      <c r="G113" s="206">
        <f t="shared" si="24"/>
        <v>4.8668527410087101</v>
      </c>
      <c r="H113" s="207">
        <f t="shared" si="27"/>
        <v>80.795334629269647</v>
      </c>
      <c r="I113" s="12">
        <f t="shared" si="25"/>
        <v>85.66218737027836</v>
      </c>
      <c r="J113"/>
      <c r="K113" s="230">
        <v>114</v>
      </c>
      <c r="L113" s="243"/>
      <c r="M113" s="1">
        <f t="shared" si="26"/>
        <v>9765.4893602117336</v>
      </c>
      <c r="N113" s="56"/>
      <c r="O113" s="56"/>
    </row>
    <row r="114" spans="1:15" s="210" customFormat="1" ht="15.75" x14ac:dyDescent="0.25">
      <c r="A114"/>
      <c r="B114" s="8" t="str">
        <f t="shared" si="22"/>
        <v>June</v>
      </c>
      <c r="C114">
        <f t="shared" si="22"/>
        <v>2014</v>
      </c>
      <c r="D114" s="204">
        <f t="shared" si="22"/>
        <v>8</v>
      </c>
      <c r="E114" s="205">
        <f t="shared" si="23"/>
        <v>1.738374619730552E-3</v>
      </c>
      <c r="F114"/>
      <c r="G114" s="206">
        <f t="shared" si="24"/>
        <v>0.38934821928069685</v>
      </c>
      <c r="H114" s="207">
        <f t="shared" si="27"/>
        <v>80.795334629269647</v>
      </c>
      <c r="I114" s="12">
        <f t="shared" si="25"/>
        <v>81.184682848550338</v>
      </c>
      <c r="J114"/>
      <c r="K114" s="230">
        <v>114</v>
      </c>
      <c r="L114" s="243"/>
      <c r="M114" s="1">
        <f t="shared" si="26"/>
        <v>9255.053844734739</v>
      </c>
      <c r="N114" s="56"/>
      <c r="O114" s="56"/>
    </row>
    <row r="115" spans="1:15" s="210" customFormat="1" ht="15.75" x14ac:dyDescent="0.25">
      <c r="A115"/>
      <c r="B115" s="8" t="str">
        <f t="shared" si="22"/>
        <v>July</v>
      </c>
      <c r="C115">
        <f t="shared" si="22"/>
        <v>2014</v>
      </c>
      <c r="D115" s="204">
        <f t="shared" si="22"/>
        <v>1</v>
      </c>
      <c r="E115" s="205">
        <f t="shared" si="23"/>
        <v>2.17296827466319E-4</v>
      </c>
      <c r="F115"/>
      <c r="G115" s="206">
        <f t="shared" si="24"/>
        <v>4.8668527410087106E-2</v>
      </c>
      <c r="H115" s="207">
        <f t="shared" si="27"/>
        <v>80.795334629269647</v>
      </c>
      <c r="I115" s="12">
        <f t="shared" si="25"/>
        <v>80.844003156679733</v>
      </c>
      <c r="J115"/>
      <c r="K115" s="230">
        <v>114</v>
      </c>
      <c r="L115" s="243"/>
      <c r="M115" s="1">
        <f t="shared" si="26"/>
        <v>9216.2163598614898</v>
      </c>
      <c r="N115" s="56"/>
      <c r="O115" s="56"/>
    </row>
    <row r="116" spans="1:15" s="210" customFormat="1" ht="15.75" x14ac:dyDescent="0.25">
      <c r="A116"/>
      <c r="B116" s="8" t="str">
        <f t="shared" si="22"/>
        <v>August</v>
      </c>
      <c r="C116">
        <f t="shared" si="22"/>
        <v>2014</v>
      </c>
      <c r="D116" s="204">
        <f t="shared" si="22"/>
        <v>1</v>
      </c>
      <c r="E116" s="205">
        <f t="shared" si="23"/>
        <v>2.17296827466319E-4</v>
      </c>
      <c r="F116"/>
      <c r="G116" s="206">
        <f t="shared" si="24"/>
        <v>4.8668527410087106E-2</v>
      </c>
      <c r="H116" s="207">
        <f t="shared" si="27"/>
        <v>80.795334629269647</v>
      </c>
      <c r="I116" s="12">
        <f t="shared" si="25"/>
        <v>80.844003156679733</v>
      </c>
      <c r="J116"/>
      <c r="K116" s="230">
        <v>114</v>
      </c>
      <c r="L116" s="243"/>
      <c r="M116" s="1">
        <f t="shared" si="26"/>
        <v>9216.2163598614898</v>
      </c>
      <c r="N116" s="56"/>
      <c r="O116" s="56"/>
    </row>
    <row r="117" spans="1:15" s="210" customFormat="1" ht="15.75" x14ac:dyDescent="0.25">
      <c r="A117"/>
      <c r="B117" s="8" t="str">
        <f t="shared" si="22"/>
        <v>September</v>
      </c>
      <c r="C117">
        <f t="shared" si="22"/>
        <v>2014</v>
      </c>
      <c r="D117" s="204">
        <f t="shared" si="22"/>
        <v>62</v>
      </c>
      <c r="E117" s="205">
        <f t="shared" si="23"/>
        <v>1.3472403302911778E-2</v>
      </c>
      <c r="F117"/>
      <c r="G117" s="206">
        <f t="shared" si="24"/>
        <v>3.0174486994254006</v>
      </c>
      <c r="H117" s="207">
        <f t="shared" si="27"/>
        <v>80.795334629269647</v>
      </c>
      <c r="I117" s="12">
        <f t="shared" si="25"/>
        <v>83.812783328695048</v>
      </c>
      <c r="J117"/>
      <c r="K117" s="230">
        <v>114</v>
      </c>
      <c r="L117" s="243"/>
      <c r="M117" s="1">
        <f t="shared" si="26"/>
        <v>9554.6572994712351</v>
      </c>
      <c r="N117" s="56"/>
      <c r="O117" s="56"/>
    </row>
    <row r="118" spans="1:15" s="210" customFormat="1" ht="15.75" x14ac:dyDescent="0.25">
      <c r="A118"/>
      <c r="B118" s="8" t="str">
        <f t="shared" si="22"/>
        <v>October</v>
      </c>
      <c r="C118">
        <f t="shared" si="22"/>
        <v>2014</v>
      </c>
      <c r="D118" s="204">
        <f t="shared" si="22"/>
        <v>248</v>
      </c>
      <c r="E118" s="209">
        <f t="shared" si="23"/>
        <v>5.3889613211647112E-2</v>
      </c>
      <c r="G118" s="211">
        <f t="shared" si="24"/>
        <v>12.069794797701602</v>
      </c>
      <c r="H118" s="207">
        <f t="shared" si="27"/>
        <v>80.795334629269647</v>
      </c>
      <c r="I118" s="212">
        <f t="shared" si="25"/>
        <v>92.865129426971251</v>
      </c>
      <c r="K118" s="231">
        <v>114</v>
      </c>
      <c r="L118" s="243"/>
      <c r="M118" s="1">
        <f t="shared" si="26"/>
        <v>10586.624754674722</v>
      </c>
      <c r="N118" s="56"/>
      <c r="O118" s="56"/>
    </row>
    <row r="119" spans="1:15" ht="16.5" thickBot="1" x14ac:dyDescent="0.3">
      <c r="B119" s="8" t="str">
        <f t="shared" si="22"/>
        <v>November</v>
      </c>
      <c r="C119">
        <f t="shared" si="22"/>
        <v>2014</v>
      </c>
      <c r="D119" s="204">
        <f t="shared" si="22"/>
        <v>578</v>
      </c>
      <c r="E119" s="205">
        <f>+D119/$D$142</f>
        <v>0.12559756627553237</v>
      </c>
      <c r="G119" s="206">
        <f>+E119*$G$120</f>
        <v>28.130408843030345</v>
      </c>
      <c r="H119" s="207">
        <f t="shared" si="27"/>
        <v>80.795334629269647</v>
      </c>
      <c r="I119" s="12">
        <f>+G119+H119</f>
        <v>108.92574347229998</v>
      </c>
      <c r="K119" s="230">
        <v>114</v>
      </c>
      <c r="L119" s="243"/>
      <c r="M119" s="1">
        <f>+K119*I119</f>
        <v>12417.534755842198</v>
      </c>
      <c r="N119" s="56"/>
      <c r="O119" s="56"/>
    </row>
    <row r="120" spans="1:15" ht="15.75" thickBot="1" x14ac:dyDescent="0.3">
      <c r="D120" s="213">
        <f>SUM(D108:D119)</f>
        <v>4602</v>
      </c>
      <c r="E120" s="158">
        <f>SUM(E108:E119)</f>
        <v>1</v>
      </c>
      <c r="G120" s="214">
        <f>+'[1]annual customer usage - Branson'!I15</f>
        <v>223.97256314122086</v>
      </c>
      <c r="H120" s="215">
        <f>SUM(H108:H119)</f>
        <v>969.5440155512357</v>
      </c>
      <c r="I120" s="215">
        <f>SUM(I108:I119)</f>
        <v>1193.5165786924565</v>
      </c>
      <c r="K120" s="165">
        <f>AVERAGE(K108:K119)</f>
        <v>114</v>
      </c>
      <c r="L120" s="243"/>
      <c r="M120" s="225">
        <f>SUM(M108:M119)</f>
        <v>136060.88997094004</v>
      </c>
      <c r="N120" s="56"/>
      <c r="O120" s="56"/>
    </row>
    <row r="121" spans="1:15" ht="15.75" thickTop="1" x14ac:dyDescent="0.25">
      <c r="D121" s="217"/>
      <c r="E121" s="217"/>
      <c r="G121" s="206">
        <f>SUM(G108:G119)</f>
        <v>223.97256314122083</v>
      </c>
      <c r="K121" s="246" t="s">
        <v>27</v>
      </c>
      <c r="L121" s="243"/>
      <c r="M121" s="243"/>
      <c r="N121" s="56"/>
      <c r="O121" s="56"/>
    </row>
    <row r="122" spans="1:15" ht="15.75" x14ac:dyDescent="0.25">
      <c r="A122" s="210"/>
      <c r="B122" s="8"/>
      <c r="C122" s="210"/>
      <c r="D122" s="208"/>
      <c r="E122" s="209"/>
      <c r="F122" s="210"/>
      <c r="G122" s="211"/>
      <c r="H122" s="212"/>
      <c r="I122" s="212"/>
      <c r="J122" s="210"/>
      <c r="K122" s="2"/>
      <c r="L122" s="56"/>
      <c r="M122" s="2"/>
      <c r="N122" s="56"/>
      <c r="O122" s="56"/>
    </row>
    <row r="123" spans="1:15" x14ac:dyDescent="0.25">
      <c r="D123" s="217"/>
      <c r="E123" s="217"/>
      <c r="K123" s="243"/>
      <c r="L123" s="243"/>
      <c r="M123" s="243"/>
      <c r="N123" s="243"/>
      <c r="O123" s="243"/>
    </row>
    <row r="124" spans="1:15" x14ac:dyDescent="0.25">
      <c r="D124" s="296" t="s">
        <v>30</v>
      </c>
      <c r="E124" s="296"/>
      <c r="G124" s="5" t="s">
        <v>1</v>
      </c>
      <c r="K124" s="243"/>
      <c r="L124" s="243"/>
      <c r="M124" s="243"/>
      <c r="N124" s="243"/>
      <c r="O124" s="243"/>
    </row>
    <row r="125" spans="1:15" ht="15.75" thickBot="1" x14ac:dyDescent="0.3">
      <c r="D125" s="295" t="s">
        <v>2</v>
      </c>
      <c r="E125" s="295"/>
      <c r="G125" s="5" t="s">
        <v>3</v>
      </c>
      <c r="H125" s="5" t="s">
        <v>4</v>
      </c>
      <c r="I125" s="5" t="s">
        <v>0</v>
      </c>
      <c r="K125" s="243"/>
      <c r="L125" s="243"/>
      <c r="M125" s="243"/>
      <c r="N125" s="243"/>
      <c r="O125" s="243"/>
    </row>
    <row r="126" spans="1:15" x14ac:dyDescent="0.25">
      <c r="D126" s="5" t="s">
        <v>5</v>
      </c>
      <c r="E126" s="5" t="s">
        <v>6</v>
      </c>
      <c r="G126" s="5" t="s">
        <v>7</v>
      </c>
      <c r="H126" s="5" t="s">
        <v>8</v>
      </c>
      <c r="I126" s="5" t="s">
        <v>4</v>
      </c>
      <c r="K126" s="246" t="s">
        <v>9</v>
      </c>
      <c r="L126" s="243"/>
      <c r="M126" s="228" t="s">
        <v>4</v>
      </c>
      <c r="N126" s="243"/>
      <c r="O126" s="243"/>
    </row>
    <row r="127" spans="1:15" ht="15.75" thickBot="1" x14ac:dyDescent="0.3">
      <c r="D127" s="6" t="s">
        <v>10</v>
      </c>
      <c r="E127" s="6" t="s">
        <v>11</v>
      </c>
      <c r="G127" s="203" t="s">
        <v>9</v>
      </c>
      <c r="H127" s="203" t="s">
        <v>12</v>
      </c>
      <c r="I127" s="203" t="s">
        <v>12</v>
      </c>
      <c r="K127" s="155" t="s">
        <v>161</v>
      </c>
      <c r="L127" s="243"/>
      <c r="M127" s="203" t="s">
        <v>13</v>
      </c>
      <c r="N127" s="243"/>
      <c r="O127" s="243"/>
    </row>
    <row r="128" spans="1:15" ht="15.75" x14ac:dyDescent="0.25">
      <c r="A128" s="7" t="s">
        <v>28</v>
      </c>
      <c r="D128" s="217"/>
      <c r="E128" s="217"/>
      <c r="K128" s="243"/>
      <c r="L128" s="243"/>
      <c r="M128" s="243"/>
      <c r="N128" s="243"/>
      <c r="O128" s="243"/>
    </row>
    <row r="129" spans="2:15" x14ac:dyDescent="0.25">
      <c r="K129" s="243"/>
      <c r="L129" s="243"/>
      <c r="M129" s="243"/>
      <c r="N129" s="243"/>
      <c r="O129" s="243"/>
    </row>
    <row r="130" spans="2:15" ht="15.75" x14ac:dyDescent="0.25">
      <c r="B130" s="8" t="str">
        <f t="shared" ref="B130:D141" si="28">B108</f>
        <v>December</v>
      </c>
      <c r="C130">
        <f t="shared" si="28"/>
        <v>2013</v>
      </c>
      <c r="D130" s="204">
        <f t="shared" si="28"/>
        <v>899</v>
      </c>
      <c r="E130" s="205">
        <f t="shared" ref="E130:E140" si="29">+D130/$D$142</f>
        <v>0.19534984789222076</v>
      </c>
      <c r="G130" s="206">
        <f t="shared" ref="G130:G140" si="30">+E130*$G$142</f>
        <v>0</v>
      </c>
      <c r="H130" s="12"/>
      <c r="I130" s="12">
        <f t="shared" ref="I130:I140" si="31">+G130+H130</f>
        <v>0</v>
      </c>
      <c r="K130" s="230">
        <f>+K141</f>
        <v>0</v>
      </c>
      <c r="L130" s="243"/>
      <c r="M130" s="1">
        <f t="shared" ref="M130:M140" si="32">+K130*I130</f>
        <v>0</v>
      </c>
      <c r="N130" s="243"/>
      <c r="O130" s="243"/>
    </row>
    <row r="131" spans="2:15" ht="15.75" x14ac:dyDescent="0.25">
      <c r="B131" s="8" t="str">
        <f t="shared" si="28"/>
        <v>January</v>
      </c>
      <c r="C131">
        <f t="shared" si="28"/>
        <v>2014</v>
      </c>
      <c r="D131" s="204">
        <f t="shared" si="28"/>
        <v>1034</v>
      </c>
      <c r="E131" s="205">
        <f t="shared" si="29"/>
        <v>0.22468491960017384</v>
      </c>
      <c r="G131" s="206">
        <f t="shared" si="30"/>
        <v>0</v>
      </c>
      <c r="H131" s="12"/>
      <c r="I131" s="12">
        <f t="shared" si="31"/>
        <v>0</v>
      </c>
      <c r="K131" s="230">
        <f t="shared" ref="K131:K140" si="33">+K130</f>
        <v>0</v>
      </c>
      <c r="L131" s="243"/>
      <c r="M131" s="1">
        <f t="shared" si="32"/>
        <v>0</v>
      </c>
      <c r="N131" s="243"/>
      <c r="O131" s="243"/>
    </row>
    <row r="132" spans="2:15" ht="15.75" x14ac:dyDescent="0.25">
      <c r="B132" s="8" t="str">
        <f t="shared" si="28"/>
        <v>February</v>
      </c>
      <c r="C132">
        <f t="shared" si="28"/>
        <v>2014</v>
      </c>
      <c r="D132" s="204">
        <f t="shared" si="28"/>
        <v>790</v>
      </c>
      <c r="E132" s="205">
        <f t="shared" si="29"/>
        <v>0.17166449369839201</v>
      </c>
      <c r="G132" s="206">
        <f t="shared" si="30"/>
        <v>0</v>
      </c>
      <c r="H132" s="12"/>
      <c r="I132" s="12">
        <f t="shared" si="31"/>
        <v>0</v>
      </c>
      <c r="K132" s="230">
        <f t="shared" si="33"/>
        <v>0</v>
      </c>
      <c r="L132" s="243"/>
      <c r="M132" s="1">
        <f t="shared" si="32"/>
        <v>0</v>
      </c>
      <c r="N132" s="243"/>
      <c r="O132" s="243"/>
    </row>
    <row r="133" spans="2:15" ht="15.75" x14ac:dyDescent="0.25">
      <c r="B133" s="8" t="str">
        <f t="shared" si="28"/>
        <v>March</v>
      </c>
      <c r="C133">
        <f t="shared" si="28"/>
        <v>2014</v>
      </c>
      <c r="D133" s="204">
        <f t="shared" si="28"/>
        <v>581</v>
      </c>
      <c r="E133" s="205">
        <f t="shared" si="29"/>
        <v>0.12624945675793134</v>
      </c>
      <c r="G133" s="206">
        <f t="shared" si="30"/>
        <v>0</v>
      </c>
      <c r="H133" s="12"/>
      <c r="I133" s="12">
        <f t="shared" si="31"/>
        <v>0</v>
      </c>
      <c r="K133" s="230">
        <f t="shared" si="33"/>
        <v>0</v>
      </c>
      <c r="L133" s="243"/>
      <c r="M133" s="1">
        <f t="shared" si="32"/>
        <v>0</v>
      </c>
      <c r="N133" s="243"/>
      <c r="O133" s="243"/>
    </row>
    <row r="134" spans="2:15" ht="15.75" x14ac:dyDescent="0.25">
      <c r="B134" s="8" t="str">
        <f t="shared" si="28"/>
        <v>April</v>
      </c>
      <c r="C134">
        <f t="shared" si="28"/>
        <v>2014</v>
      </c>
      <c r="D134" s="204">
        <f t="shared" si="28"/>
        <v>300</v>
      </c>
      <c r="E134" s="205">
        <f t="shared" si="29"/>
        <v>6.51890482398957E-2</v>
      </c>
      <c r="G134" s="206">
        <f t="shared" si="30"/>
        <v>0</v>
      </c>
      <c r="H134" s="12"/>
      <c r="I134" s="12">
        <f t="shared" si="31"/>
        <v>0</v>
      </c>
      <c r="K134" s="230">
        <f t="shared" si="33"/>
        <v>0</v>
      </c>
      <c r="L134" s="243"/>
      <c r="M134" s="1">
        <f t="shared" si="32"/>
        <v>0</v>
      </c>
      <c r="N134" s="243"/>
      <c r="O134" s="243"/>
    </row>
    <row r="135" spans="2:15" ht="15.75" x14ac:dyDescent="0.25">
      <c r="B135" s="8" t="str">
        <f t="shared" si="28"/>
        <v>May</v>
      </c>
      <c r="C135">
        <f t="shared" si="28"/>
        <v>2014</v>
      </c>
      <c r="D135" s="204">
        <f t="shared" si="28"/>
        <v>100</v>
      </c>
      <c r="E135" s="205">
        <f t="shared" si="29"/>
        <v>2.1729682746631899E-2</v>
      </c>
      <c r="G135" s="206">
        <f t="shared" si="30"/>
        <v>0</v>
      </c>
      <c r="H135" s="12"/>
      <c r="I135" s="12">
        <f t="shared" si="31"/>
        <v>0</v>
      </c>
      <c r="K135" s="230">
        <f t="shared" si="33"/>
        <v>0</v>
      </c>
      <c r="L135" s="243"/>
      <c r="M135" s="1">
        <f t="shared" si="32"/>
        <v>0</v>
      </c>
      <c r="N135" s="243"/>
      <c r="O135" s="243"/>
    </row>
    <row r="136" spans="2:15" ht="15.75" x14ac:dyDescent="0.25">
      <c r="B136" s="8" t="str">
        <f t="shared" si="28"/>
        <v>June</v>
      </c>
      <c r="C136">
        <f t="shared" si="28"/>
        <v>2014</v>
      </c>
      <c r="D136" s="204">
        <f t="shared" si="28"/>
        <v>8</v>
      </c>
      <c r="E136" s="205">
        <f t="shared" si="29"/>
        <v>1.738374619730552E-3</v>
      </c>
      <c r="G136" s="206">
        <f t="shared" si="30"/>
        <v>0</v>
      </c>
      <c r="H136" s="12"/>
      <c r="I136" s="12">
        <f t="shared" si="31"/>
        <v>0</v>
      </c>
      <c r="K136" s="230">
        <f t="shared" si="33"/>
        <v>0</v>
      </c>
      <c r="L136" s="243"/>
      <c r="M136" s="1">
        <f t="shared" si="32"/>
        <v>0</v>
      </c>
      <c r="N136" s="243"/>
      <c r="O136" s="243"/>
    </row>
    <row r="137" spans="2:15" ht="15.75" x14ac:dyDescent="0.25">
      <c r="B137" s="8" t="str">
        <f t="shared" si="28"/>
        <v>July</v>
      </c>
      <c r="C137">
        <f t="shared" si="28"/>
        <v>2014</v>
      </c>
      <c r="D137" s="204">
        <f t="shared" si="28"/>
        <v>1</v>
      </c>
      <c r="E137" s="205">
        <f t="shared" si="29"/>
        <v>2.17296827466319E-4</v>
      </c>
      <c r="G137" s="206">
        <f t="shared" si="30"/>
        <v>0</v>
      </c>
      <c r="H137" s="12"/>
      <c r="I137" s="12">
        <f t="shared" si="31"/>
        <v>0</v>
      </c>
      <c r="K137" s="230">
        <f t="shared" si="33"/>
        <v>0</v>
      </c>
      <c r="L137" s="243"/>
      <c r="M137" s="1">
        <f t="shared" si="32"/>
        <v>0</v>
      </c>
      <c r="N137" s="243"/>
      <c r="O137" s="243"/>
    </row>
    <row r="138" spans="2:15" ht="15.75" x14ac:dyDescent="0.25">
      <c r="B138" s="8" t="str">
        <f t="shared" si="28"/>
        <v>August</v>
      </c>
      <c r="C138">
        <f t="shared" si="28"/>
        <v>2014</v>
      </c>
      <c r="D138" s="204">
        <f t="shared" si="28"/>
        <v>1</v>
      </c>
      <c r="E138" s="205">
        <f t="shared" si="29"/>
        <v>2.17296827466319E-4</v>
      </c>
      <c r="G138" s="206">
        <f t="shared" si="30"/>
        <v>0</v>
      </c>
      <c r="H138" s="12"/>
      <c r="I138" s="12">
        <f t="shared" si="31"/>
        <v>0</v>
      </c>
      <c r="K138" s="230">
        <f t="shared" si="33"/>
        <v>0</v>
      </c>
      <c r="L138" s="243"/>
      <c r="M138" s="1">
        <f t="shared" si="32"/>
        <v>0</v>
      </c>
      <c r="N138" s="243"/>
      <c r="O138" s="243"/>
    </row>
    <row r="139" spans="2:15" ht="15.75" x14ac:dyDescent="0.25">
      <c r="B139" s="8" t="str">
        <f t="shared" si="28"/>
        <v>September</v>
      </c>
      <c r="C139">
        <f t="shared" si="28"/>
        <v>2014</v>
      </c>
      <c r="D139" s="204">
        <f t="shared" si="28"/>
        <v>62</v>
      </c>
      <c r="E139" s="205">
        <f t="shared" si="29"/>
        <v>1.3472403302911778E-2</v>
      </c>
      <c r="G139" s="206">
        <f t="shared" si="30"/>
        <v>0</v>
      </c>
      <c r="H139" s="12"/>
      <c r="I139" s="12">
        <f t="shared" si="31"/>
        <v>0</v>
      </c>
      <c r="K139" s="230">
        <f t="shared" si="33"/>
        <v>0</v>
      </c>
      <c r="L139" s="243"/>
      <c r="M139" s="1">
        <f t="shared" si="32"/>
        <v>0</v>
      </c>
      <c r="N139" s="243"/>
      <c r="O139" s="243"/>
    </row>
    <row r="140" spans="2:15" ht="15.75" x14ac:dyDescent="0.25">
      <c r="B140" s="8" t="str">
        <f t="shared" si="28"/>
        <v>October</v>
      </c>
      <c r="C140">
        <f t="shared" si="28"/>
        <v>2014</v>
      </c>
      <c r="D140" s="204">
        <f t="shared" si="28"/>
        <v>248</v>
      </c>
      <c r="E140" s="209">
        <f t="shared" si="29"/>
        <v>5.3889613211647112E-2</v>
      </c>
      <c r="F140" s="210"/>
      <c r="G140" s="211">
        <f t="shared" si="30"/>
        <v>0</v>
      </c>
      <c r="H140" s="212"/>
      <c r="I140" s="212">
        <f t="shared" si="31"/>
        <v>0</v>
      </c>
      <c r="J140" s="210"/>
      <c r="K140" s="221">
        <f t="shared" si="33"/>
        <v>0</v>
      </c>
      <c r="M140" s="157">
        <f t="shared" si="32"/>
        <v>0</v>
      </c>
    </row>
    <row r="141" spans="2:15" ht="12.75" customHeight="1" thickBot="1" x14ac:dyDescent="0.3">
      <c r="B141" s="8" t="str">
        <f t="shared" si="28"/>
        <v>November</v>
      </c>
      <c r="C141">
        <f t="shared" si="28"/>
        <v>2014</v>
      </c>
      <c r="D141" s="204">
        <f t="shared" si="28"/>
        <v>578</v>
      </c>
      <c r="E141" s="205">
        <f>+D141/$D$142</f>
        <v>0.12559756627553237</v>
      </c>
      <c r="G141" s="206">
        <f>+E141*$G$142</f>
        <v>0</v>
      </c>
      <c r="H141" s="12"/>
      <c r="I141" s="12">
        <f>+G141+H141</f>
        <v>0</v>
      </c>
      <c r="K141" s="220">
        <v>0</v>
      </c>
      <c r="M141" s="157">
        <f>+K141*I141</f>
        <v>0</v>
      </c>
    </row>
    <row r="142" spans="2:15" ht="15.75" thickBot="1" x14ac:dyDescent="0.3">
      <c r="D142" s="213">
        <f>SUM(D130:D141)</f>
        <v>4602</v>
      </c>
      <c r="E142" s="158">
        <f>SUM(E130:E141)</f>
        <v>1</v>
      </c>
      <c r="G142" s="214"/>
      <c r="H142" s="215">
        <f>SUM(H130:H141)</f>
        <v>0</v>
      </c>
      <c r="I142" s="215">
        <f>SUM(I130:I141)</f>
        <v>0</v>
      </c>
      <c r="K142" s="11">
        <f>AVERAGE(K130:K141)</f>
        <v>0</v>
      </c>
      <c r="M142" s="216">
        <f>SUM(M130:M141)</f>
        <v>0</v>
      </c>
    </row>
    <row r="143" spans="2:15" ht="15.75" thickTop="1" x14ac:dyDescent="0.25">
      <c r="D143" s="217"/>
      <c r="E143" s="217"/>
      <c r="G143" s="206">
        <f>SUM(G130:G141)</f>
        <v>0</v>
      </c>
      <c r="K143" s="5" t="s">
        <v>27</v>
      </c>
    </row>
    <row r="144" spans="2:15" x14ac:dyDescent="0.25">
      <c r="D144" s="217"/>
      <c r="E144" s="217"/>
      <c r="G144" s="206"/>
      <c r="K144" s="5"/>
    </row>
    <row r="145" spans="1:13" x14ac:dyDescent="0.25">
      <c r="A145" s="159" t="s">
        <v>92</v>
      </c>
      <c r="B145" s="297" t="s">
        <v>162</v>
      </c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</row>
    <row r="146" spans="1:13" x14ac:dyDescent="0.25">
      <c r="A146" s="159"/>
      <c r="B146" s="222"/>
      <c r="C146" s="222"/>
      <c r="D146" s="222"/>
      <c r="E146" s="222"/>
      <c r="F146" s="222"/>
      <c r="G146" s="222"/>
      <c r="H146" s="222"/>
      <c r="I146" s="222"/>
      <c r="J146" s="222"/>
      <c r="K146" s="222"/>
      <c r="L146" s="222"/>
      <c r="M146" s="222"/>
    </row>
    <row r="147" spans="1:13" x14ac:dyDescent="0.25">
      <c r="B147" s="222"/>
      <c r="C147" s="222"/>
      <c r="D147" s="222"/>
      <c r="E147" s="222"/>
      <c r="F147" s="222"/>
      <c r="G147" s="222"/>
      <c r="H147" s="222"/>
      <c r="I147" s="222"/>
      <c r="J147" s="222"/>
      <c r="K147" s="222"/>
      <c r="L147" s="222"/>
      <c r="M147" s="222"/>
    </row>
  </sheetData>
  <mergeCells count="11">
    <mergeCell ref="D124:E124"/>
    <mergeCell ref="B145:M145"/>
    <mergeCell ref="D82:E82"/>
    <mergeCell ref="D103:E103"/>
    <mergeCell ref="D125:E125"/>
    <mergeCell ref="D102:E102"/>
    <mergeCell ref="D55:E55"/>
    <mergeCell ref="D7:E7"/>
    <mergeCell ref="D30:E30"/>
    <mergeCell ref="D54:E54"/>
    <mergeCell ref="D81:E81"/>
  </mergeCells>
  <phoneticPr fontId="5" type="noConversion"/>
  <pageMargins left="0.7" right="0.7" top="0.75" bottom="0.75" header="0.3" footer="0.3"/>
  <pageSetup scale="61" orientation="portrait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Attachment 1</vt:lpstr>
      <vt:lpstr>Attachment 2</vt:lpstr>
      <vt:lpstr>Attachment 3</vt:lpstr>
      <vt:lpstr>Swing Price</vt:lpstr>
      <vt:lpstr>Delivery Rates</vt:lpstr>
      <vt:lpstr>Hedges</vt:lpstr>
      <vt:lpstr>Btu Factor Calculations</vt:lpstr>
      <vt:lpstr>Attachment 3 support</vt:lpstr>
      <vt:lpstr>Monthly Usage - Branson</vt:lpstr>
      <vt:lpstr>Monthly Usage - Rogersvile</vt:lpstr>
      <vt:lpstr>'Attachment 1'!Print_Area</vt:lpstr>
      <vt:lpstr>'Attachment 2'!Print_Area</vt:lpstr>
      <vt:lpstr>'Attachment 3'!Print_Area</vt:lpstr>
      <vt:lpstr>'Attachment 3 support'!Print_Area</vt:lpstr>
      <vt:lpstr>'Delivery Rates'!Print_Area</vt:lpstr>
      <vt:lpstr>'Monthly Usage - Branson'!Print_Area</vt:lpstr>
      <vt:lpstr>'Monthly Usage - Rogersvile'!Print_Area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Taylor</dc:creator>
  <cp:lastModifiedBy>mmoorman</cp:lastModifiedBy>
  <cp:lastPrinted>2013-10-15T21:36:51Z</cp:lastPrinted>
  <dcterms:created xsi:type="dcterms:W3CDTF">2011-07-27T22:30:05Z</dcterms:created>
  <dcterms:modified xsi:type="dcterms:W3CDTF">2013-10-15T21:37:54Z</dcterms:modified>
</cp:coreProperties>
</file>