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2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3" sheetId="12" r:id="rId2"/>
    <sheet name="Monthly Cost Tracker AP4" sheetId="13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6" l="1"/>
  <c r="C18" i="6"/>
  <c r="C17" i="6"/>
  <c r="C15" i="6"/>
  <c r="C14" i="6"/>
  <c r="C13" i="6"/>
  <c r="C12" i="6"/>
  <c r="C11" i="6"/>
  <c r="C10" i="6" l="1"/>
  <c r="C9" i="6"/>
  <c r="D16" i="8"/>
  <c r="D15" i="8"/>
  <c r="D14" i="8"/>
  <c r="D12" i="8" l="1"/>
  <c r="D11" i="8"/>
  <c r="D10" i="8"/>
  <c r="D9" i="8"/>
  <c r="D8" i="8"/>
  <c r="C17" i="5" l="1"/>
  <c r="C13" i="5"/>
  <c r="C29" i="13" l="1"/>
  <c r="C29" i="12"/>
  <c r="C22" i="12"/>
  <c r="C21" i="6" l="1"/>
  <c r="D12" i="6"/>
  <c r="D13" i="6"/>
  <c r="D14" i="6"/>
  <c r="D15" i="6"/>
  <c r="D17" i="6"/>
  <c r="D18" i="6"/>
  <c r="D19" i="6"/>
  <c r="D11" i="6"/>
  <c r="E64" i="6"/>
  <c r="E12" i="6" l="1"/>
  <c r="E13" i="6"/>
  <c r="E14" i="6"/>
  <c r="E15" i="6"/>
  <c r="E17" i="6"/>
  <c r="E18" i="6"/>
  <c r="E19" i="6"/>
  <c r="E11" i="6"/>
  <c r="E21" i="6" l="1"/>
  <c r="E9" i="8" l="1"/>
  <c r="E10" i="8"/>
  <c r="E11" i="8"/>
  <c r="E12" i="8"/>
  <c r="E14" i="8"/>
  <c r="E15" i="8"/>
  <c r="E16" i="8"/>
  <c r="E8" i="8"/>
  <c r="C26" i="12" l="1"/>
  <c r="C27" i="12" s="1"/>
  <c r="C4" i="13"/>
  <c r="C26" i="13" l="1"/>
  <c r="C20" i="13"/>
  <c r="C27" i="13" l="1"/>
  <c r="C30" i="13" s="1"/>
  <c r="C32" i="13" s="1"/>
  <c r="C37" i="11" l="1"/>
  <c r="C35" i="11"/>
  <c r="C30" i="11"/>
  <c r="C20" i="12" l="1"/>
  <c r="C30" i="12" l="1"/>
  <c r="C34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<sst xmlns="http://schemas.openxmlformats.org/spreadsheetml/2006/main" count="184" uniqueCount="82">
  <si>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</si>
  <si>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</si>
  <si>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</si>
  <si>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</si>
  <si>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</si>
  <si>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</si>
  <si>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</si>
  <si>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</si>
  <si>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</si>
  <si>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</si>
  <si>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</si>
  <si>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</si>
  <si>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</si>
  <si>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</si>
  <si>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</si>
  <si>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</si>
  <si>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</si>
  <si>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</si>
  <si>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</si>
  <si>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</si>
  <si>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</si>
  <si>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</si>
  <si>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</si>
  <si>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</si>
  <si>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</si>
  <si>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</si>
  <si>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</si>
  <si>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</si>
  <si>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</si>
  <si>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</si>
  <si>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</si>
  <si>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</si>
  <si>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</si>
  <si>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</si>
  <si>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</si>
  <si>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</si>
  <si>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</si>
  <si>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</si>
  <si>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</si>
  <si>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</si>
  <si>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</si>
  <si>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</si>
  <si>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</si>
  <si>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</si>
  <si>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</si>
  <si>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</si>
  <si>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</si>
  <si>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</si>
  <si>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</si>
  <si>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</si>
  <si>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</si>
  <si>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</si>
  <si>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</si>
  <si>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</si>
  <si>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</si>
  <si>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</si>
  <si>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</si>
  <si>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</si>
  <si>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</si>
  <si>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</si>
  <si>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</si>
  <si>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</si>
  <si>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</si>
  <si>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</si>
  <si>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</si>
  <si>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</si>
  <si>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</si>
  <si>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</si>
  <si>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</si>
  <si>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</si>
  <si>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</si>
  <si>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</si>
  <si>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</si>
  <si>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Reclass AP2 to AP3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</si>
  <si>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</si>
  <si>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</si>
  <si>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</si>
  <si>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</si>
  <si>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</si>
  <si>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March 2022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</si>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</sst>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losing%20Journal%20Entries/2022/03-Mar/Christine/RESRAM/FA150%2023%20-%20RESRAM%20Amort%20Entry%20-%20202203%20-%20JE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5A%20Sales%20at%20Retail%20by%20month%20from%20FAC%20folder/Sales%20@%20retail%20by%20month%20for%20Mar%202022%20(for%20S.%20Landry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RAM/Rate%20Filings/September%202021/RESRAM%20Rate%20Filing_AP%203%20Working%20Fil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SRAM%20Data%20based%20on%202022%20Electric%20budget_2Years_LPS_Spl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eWorkBookProperties"/>
      <sheetName val="FA150 23"/>
      <sheetName val="BneLog"/>
      <sheetName val="FA150"/>
      <sheetName val="Unbilled Support"/>
      <sheetName val="Tarrif Sheet"/>
      <sheetName val="AP1 Amort"/>
      <sheetName val="AP2 Amort"/>
      <sheetName val="AP3 Amort"/>
      <sheetName val="2021 Rate Case"/>
      <sheetName val="Revenue Pivot"/>
      <sheetName val="Revenue Query"/>
      <sheetName val="Monthly Cost Tracker AP1"/>
      <sheetName val="Monthly Cost Tracker AP2"/>
      <sheetName val="Monthly Cost Tracker AP3"/>
      <sheetName val="Monthly Cost Tracker AP4"/>
      <sheetName val="AP3 Rate Calc"/>
      <sheetName val="R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D30">
            <v>-2037838.5073214467</v>
          </cell>
        </row>
        <row r="42">
          <cell r="D42">
            <v>1289.7199999999993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ummary Sales @retail"/>
      <sheetName val="AMMO Retail"/>
      <sheetName val="MHRC Data"/>
      <sheetName val="WHOLESALE SETTLEMENT"/>
      <sheetName val="ammo.ue dls conversion"/>
      <sheetName val="net metering data"/>
      <sheetName val="GL sales"/>
      <sheetName val="LPS Voltage split"/>
      <sheetName val="Rate Class Data"/>
      <sheetName val="css data"/>
    </sheetNames>
    <sheetDataSet>
      <sheetData sheetId="0"/>
      <sheetData sheetId="1">
        <row r="31">
          <cell r="D31">
            <v>1004102991.8048072</v>
          </cell>
          <cell r="E31">
            <v>249549748.40453142</v>
          </cell>
          <cell r="F31">
            <v>576634444.50651062</v>
          </cell>
          <cell r="G31">
            <v>284499272.69001681</v>
          </cell>
          <cell r="H31">
            <v>16538283.18726727</v>
          </cell>
          <cell r="I31">
            <v>146813729.29670906</v>
          </cell>
          <cell r="J31">
            <v>120798655.58716998</v>
          </cell>
          <cell r="K31">
            <v>6524209</v>
          </cell>
          <cell r="L31">
            <v>5746945.5229875688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ost Tracker 1"/>
      <sheetName val="Monthly Cost Tracker 2"/>
      <sheetName val="Monthly Cost Tracker 3"/>
      <sheetName val="True-Up"/>
      <sheetName val="Rate Schedule"/>
      <sheetName val="RRR"/>
      <sheetName val="SRP"/>
      <sheetName val="RAC"/>
      <sheetName val="Jan 19 int"/>
      <sheetName val="Feb 19 int"/>
      <sheetName val="Mar 19 int"/>
      <sheetName val="Apr 19 int"/>
      <sheetName val="May 19 int"/>
      <sheetName val="June 19 int"/>
      <sheetName val="July 19 int"/>
      <sheetName val="WACC"/>
      <sheetName val="Rate Base"/>
      <sheetName val="Aug 20 Int"/>
      <sheetName val="Sept 20 Int"/>
      <sheetName val="Oct 20 Int"/>
      <sheetName val="Nov 20 Int"/>
      <sheetName val="Dec 20 Int"/>
      <sheetName val="Jan 21 Int"/>
      <sheetName val="Feb 21 Int"/>
      <sheetName val="Mar 21 Int"/>
      <sheetName val="Apr 21 Int"/>
      <sheetName val="May 21 Int"/>
      <sheetName val="Jun 21 Int"/>
      <sheetName val="Jul 21 Int"/>
    </sheetNames>
    <sheetDataSet>
      <sheetData sheetId="0"/>
      <sheetData sheetId="1"/>
      <sheetData sheetId="2"/>
      <sheetData sheetId="3"/>
      <sheetData sheetId="4">
        <row r="22">
          <cell r="C22">
            <v>-1.0397962804915254E-3</v>
          </cell>
        </row>
      </sheetData>
      <sheetData sheetId="5"/>
      <sheetData sheetId="6">
        <row r="3">
          <cell r="E3">
            <v>953657</v>
          </cell>
          <cell r="F3">
            <v>240883</v>
          </cell>
          <cell r="G3">
            <v>515453</v>
          </cell>
          <cell r="H3">
            <v>202521</v>
          </cell>
          <cell r="J3">
            <v>6048</v>
          </cell>
          <cell r="K3">
            <v>64998</v>
          </cell>
          <cell r="L3">
            <v>92773</v>
          </cell>
          <cell r="N3">
            <v>12639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PS Splits"/>
      <sheetName val="Historical LPS Voltage Splits"/>
    </sheetNames>
    <sheetDataSet>
      <sheetData sheetId="0">
        <row r="3">
          <cell r="R3">
            <v>17270.277568261681</v>
          </cell>
          <cell r="S3">
            <v>160933.53911502389</v>
          </cell>
          <cell r="T3">
            <v>117128.02331671443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60</v>
      </c>
      <c r="B10" s="6"/>
      <c r="C10" s="52">
        <v>0</v>
      </c>
    </row>
    <row r="11" spans="1:14" x14ac:dyDescent="0.35">
      <c r="A11" s="5" t="s">
        <v>61</v>
      </c>
      <c r="B11" s="6"/>
      <c r="C11" s="52">
        <v>0</v>
      </c>
    </row>
    <row r="12" spans="1:14" x14ac:dyDescent="0.35">
      <c r="A12" s="5" t="s">
        <v>62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63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64</v>
      </c>
      <c r="C35" s="59">
        <f>-C33</f>
        <v>-672612.04462900944</v>
      </c>
    </row>
    <row r="37" spans="1:3" ht="15" thickBot="1" x14ac:dyDescent="0.4">
      <c r="A37" s="13" t="s">
        <v>65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56</v>
      </c>
    </row>
    <row r="4" spans="1:14" x14ac:dyDescent="0.35">
      <c r="A4" s="1"/>
      <c r="B4" s="2" t="s">
        <v>26</v>
      </c>
      <c r="C4" s="2">
        <v>44651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60</v>
      </c>
      <c r="B9" s="6"/>
      <c r="C9" s="52">
        <v>0</v>
      </c>
    </row>
    <row r="10" spans="1:14" x14ac:dyDescent="0.35">
      <c r="A10" s="5" t="s">
        <v>61</v>
      </c>
      <c r="B10" s="6"/>
      <c r="C10" s="52">
        <v>0</v>
      </c>
    </row>
    <row r="11" spans="1:14" x14ac:dyDescent="0.35">
      <c r="A11" s="5" t="s">
        <v>62</v>
      </c>
      <c r="B11" s="6"/>
      <c r="C11" s="52">
        <v>0</v>
      </c>
    </row>
    <row r="12" spans="1:14" x14ac:dyDescent="0.35">
      <c r="A12" s="5" t="s">
        <v>4</v>
      </c>
      <c r="B12" s="7"/>
      <c r="C12" s="49">
        <v>0</v>
      </c>
    </row>
    <row r="13" spans="1:14" x14ac:dyDescent="0.35">
      <c r="A13" s="5" t="s">
        <v>5</v>
      </c>
      <c r="B13" s="6"/>
      <c r="C13" s="49">
        <v>0</v>
      </c>
      <c r="F13" s="62"/>
      <c r="G13" s="63"/>
    </row>
    <row r="14" spans="1:14" x14ac:dyDescent="0.35">
      <c r="A14" s="5" t="s">
        <v>6</v>
      </c>
      <c r="B14" s="6"/>
      <c r="C14" s="52">
        <v>0</v>
      </c>
    </row>
    <row r="15" spans="1:14" x14ac:dyDescent="0.35">
      <c r="A15" s="5" t="s">
        <v>7</v>
      </c>
      <c r="B15" s="6"/>
      <c r="C15" s="52">
        <v>0</v>
      </c>
    </row>
    <row r="16" spans="1:14" x14ac:dyDescent="0.35">
      <c r="A16" s="5" t="s">
        <v>8</v>
      </c>
      <c r="B16" s="6"/>
      <c r="C16" s="52">
        <v>0</v>
      </c>
    </row>
    <row r="17" spans="1:3" x14ac:dyDescent="0.35">
      <c r="A17" s="5" t="s">
        <v>9</v>
      </c>
      <c r="B17" s="6"/>
      <c r="C17" s="52">
        <v>0</v>
      </c>
    </row>
    <row r="18" spans="1:3" x14ac:dyDescent="0.35">
      <c r="A18" s="5" t="s">
        <v>63</v>
      </c>
      <c r="B18" s="6"/>
      <c r="C18" s="52">
        <v>0</v>
      </c>
    </row>
    <row r="19" spans="1:3" x14ac:dyDescent="0.35">
      <c r="A19" s="5" t="s">
        <v>10</v>
      </c>
      <c r="B19" s="6"/>
      <c r="C19" s="52">
        <v>0</v>
      </c>
    </row>
    <row r="20" spans="1:3" ht="15" thickBot="1" x14ac:dyDescent="0.4">
      <c r="A20" s="3" t="s">
        <v>11</v>
      </c>
      <c r="B20" s="9"/>
      <c r="C20" s="53">
        <f>SUM(C6:C19)</f>
        <v>0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12">
        <f>-('[11]AP3 Amort'!$D$30+'[11]AP3 Amort'!$D$42)</f>
        <v>2036548.7873214467</v>
      </c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0</v>
      </c>
    </row>
    <row r="26" spans="1:3" x14ac:dyDescent="0.35">
      <c r="A26" s="3" t="s">
        <v>30</v>
      </c>
      <c r="B26" s="6"/>
      <c r="C26" s="57">
        <f>SUM(C22:C25)</f>
        <v>2036548.7873214467</v>
      </c>
    </row>
    <row r="27" spans="1:3" ht="15" thickBot="1" x14ac:dyDescent="0.4">
      <c r="A27" s="13" t="s">
        <v>12</v>
      </c>
      <c r="B27" s="24"/>
      <c r="C27" s="58">
        <f>C26+C20</f>
        <v>2036548.7873214467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(0.688296/12)/100</f>
        <v>5.7357999999999997E-4</v>
      </c>
    </row>
    <row r="30" spans="1:3" x14ac:dyDescent="0.35">
      <c r="A30" s="16" t="s">
        <v>14</v>
      </c>
      <c r="B30" s="52"/>
      <c r="C30" s="52">
        <f>(C27+B34)*C29</f>
        <v>-7366.9668834285512</v>
      </c>
    </row>
    <row r="31" spans="1:3" x14ac:dyDescent="0.35">
      <c r="A31" s="16"/>
      <c r="B31" s="52"/>
      <c r="C31" s="52"/>
    </row>
    <row r="32" spans="1:3" x14ac:dyDescent="0.35">
      <c r="A32" s="3" t="s">
        <v>73</v>
      </c>
      <c r="B32" s="52"/>
      <c r="C32" s="52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-14880383.794519313</v>
      </c>
      <c r="C34" s="60">
        <f>C27+C30+B34+C32</f>
        <v>-12851201.974081295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Normal="100" workbookViewId="0">
      <pane ySplit="4" topLeftCell="A8" activePane="bottomLeft" state="frozen"/>
      <selection pane="bottomLeft" activeCell="C32" sqref="C32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66</v>
      </c>
    </row>
    <row r="4" spans="1:14" x14ac:dyDescent="0.35">
      <c r="A4" s="1"/>
      <c r="B4" s="2" t="s">
        <v>26</v>
      </c>
      <c r="C4" s="2">
        <f>'Monthly Cost Tracker AP3'!C4</f>
        <v>44651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>
        <v>-116801.59999999998</v>
      </c>
    </row>
    <row r="7" spans="1:14" x14ac:dyDescent="0.35">
      <c r="A7" s="5" t="s">
        <v>68</v>
      </c>
      <c r="B7" s="6"/>
      <c r="C7" s="52">
        <v>32.56</v>
      </c>
    </row>
    <row r="8" spans="1:14" x14ac:dyDescent="0.35">
      <c r="A8" s="5" t="s">
        <v>69</v>
      </c>
      <c r="B8" s="6"/>
      <c r="C8" s="52">
        <v>0</v>
      </c>
    </row>
    <row r="9" spans="1:14" x14ac:dyDescent="0.35">
      <c r="A9" s="5" t="s">
        <v>70</v>
      </c>
      <c r="B9" s="6"/>
      <c r="C9" s="52">
        <v>0</v>
      </c>
    </row>
    <row r="10" spans="1:14" x14ac:dyDescent="0.35">
      <c r="A10" s="5" t="s">
        <v>71</v>
      </c>
      <c r="B10" s="6"/>
      <c r="C10" s="52">
        <v>0</v>
      </c>
    </row>
    <row r="11" spans="1:14" x14ac:dyDescent="0.35">
      <c r="A11" s="5" t="s">
        <v>72</v>
      </c>
      <c r="B11" s="6"/>
      <c r="C11" s="52">
        <v>0</v>
      </c>
    </row>
    <row r="12" spans="1:14" x14ac:dyDescent="0.35">
      <c r="A12" s="5" t="s">
        <v>4</v>
      </c>
      <c r="B12" s="7"/>
      <c r="C12" s="49">
        <v>277572.5</v>
      </c>
    </row>
    <row r="13" spans="1:14" x14ac:dyDescent="0.35">
      <c r="A13" s="5" t="s">
        <v>5</v>
      </c>
      <c r="B13" s="6"/>
      <c r="C13" s="49">
        <v>-698960.82401374169</v>
      </c>
      <c r="F13" s="62"/>
      <c r="G13" s="63"/>
    </row>
    <row r="14" spans="1:14" x14ac:dyDescent="0.35">
      <c r="A14" s="5" t="s">
        <v>80</v>
      </c>
      <c r="B14" s="6"/>
      <c r="C14" s="52">
        <v>-3722846.9955000002</v>
      </c>
    </row>
    <row r="15" spans="1:14" x14ac:dyDescent="0.35">
      <c r="A15" s="5" t="s">
        <v>7</v>
      </c>
      <c r="B15" s="6"/>
      <c r="C15" s="52">
        <v>6991929.3088195166</v>
      </c>
    </row>
    <row r="16" spans="1:14" x14ac:dyDescent="0.35">
      <c r="A16" s="5" t="s">
        <v>8</v>
      </c>
      <c r="B16" s="6"/>
      <c r="C16" s="52">
        <v>3473106.25</v>
      </c>
    </row>
    <row r="17" spans="1:3" x14ac:dyDescent="0.35">
      <c r="A17" s="5" t="s">
        <v>9</v>
      </c>
      <c r="B17" s="6"/>
      <c r="C17" s="52">
        <v>981505.13</v>
      </c>
    </row>
    <row r="18" spans="1:3" x14ac:dyDescent="0.35">
      <c r="A18" s="5" t="s">
        <v>63</v>
      </c>
      <c r="B18" s="6"/>
      <c r="C18" s="52">
        <v>159848</v>
      </c>
    </row>
    <row r="19" spans="1:3" x14ac:dyDescent="0.35">
      <c r="A19" s="5" t="s">
        <v>10</v>
      </c>
      <c r="B19" s="6"/>
      <c r="C19" s="52">
        <v>656221.25</v>
      </c>
    </row>
    <row r="20" spans="1:3" ht="15" thickBot="1" x14ac:dyDescent="0.4">
      <c r="A20" s="3" t="s">
        <v>11</v>
      </c>
      <c r="B20" s="9"/>
      <c r="C20" s="53">
        <f>SUM(C6:C19)</f>
        <v>8001605.5793057745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1866911.624236092</v>
      </c>
    </row>
    <row r="26" spans="1:3" x14ac:dyDescent="0.35">
      <c r="A26" s="3" t="s">
        <v>30</v>
      </c>
      <c r="B26" s="6"/>
      <c r="C26" s="57">
        <f t="shared" ref="C26" si="0">+C24+C25</f>
        <v>1866911.624236092</v>
      </c>
    </row>
    <row r="27" spans="1:3" ht="15" thickBot="1" x14ac:dyDescent="0.4">
      <c r="A27" s="13" t="s">
        <v>12</v>
      </c>
      <c r="B27" s="24"/>
      <c r="C27" s="58">
        <f t="shared" ref="C27" si="1">-C26+C20</f>
        <v>6134693.9550696826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(0.688296/12)/100</f>
        <v>5.7357999999999997E-4</v>
      </c>
    </row>
    <row r="30" spans="1:3" x14ac:dyDescent="0.35">
      <c r="A30" s="16" t="s">
        <v>14</v>
      </c>
      <c r="B30" s="52"/>
      <c r="C30" s="52">
        <f>(C27+B32)*C29</f>
        <v>10067.967680994263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11418162.980308577</v>
      </c>
      <c r="C32" s="60">
        <f t="shared" ref="C32" si="2">C27+C30+B32</f>
        <v>17562924.903059255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79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-906203.76</v>
      </c>
    </row>
    <row r="10" spans="1:4" x14ac:dyDescent="0.35">
      <c r="A10" s="44" t="s">
        <v>36</v>
      </c>
      <c r="B10" s="35" t="s">
        <v>35</v>
      </c>
      <c r="C10" s="45">
        <v>-205064.22</v>
      </c>
      <c r="D10" s="8"/>
    </row>
    <row r="11" spans="1:4" x14ac:dyDescent="0.35">
      <c r="A11" s="44" t="s">
        <v>37</v>
      </c>
      <c r="B11" s="35" t="s">
        <v>35</v>
      </c>
      <c r="C11" s="45">
        <v>-449742.62</v>
      </c>
      <c r="D11" s="8"/>
    </row>
    <row r="12" spans="1:4" x14ac:dyDescent="0.35">
      <c r="A12" s="44" t="s">
        <v>38</v>
      </c>
      <c r="B12" s="35" t="s">
        <v>39</v>
      </c>
      <c r="C12" s="45">
        <v>-226853.72</v>
      </c>
      <c r="D12" s="8"/>
    </row>
    <row r="13" spans="1:4" x14ac:dyDescent="0.35">
      <c r="A13" s="44" t="s">
        <v>40</v>
      </c>
      <c r="B13" s="35" t="s">
        <v>35</v>
      </c>
      <c r="C13" s="45">
        <f>-(6819.69+150.92+3375.81)</f>
        <v>-10346.42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-14733.86</v>
      </c>
      <c r="D15" s="31"/>
    </row>
    <row r="16" spans="1:4" x14ac:dyDescent="0.35">
      <c r="A16" s="46" t="s">
        <v>43</v>
      </c>
      <c r="B16" s="35" t="s">
        <v>39</v>
      </c>
      <c r="C16" s="45">
        <v>-125059.32</v>
      </c>
      <c r="D16" s="31"/>
    </row>
    <row r="17" spans="1:4" x14ac:dyDescent="0.35">
      <c r="A17" s="46" t="s">
        <v>44</v>
      </c>
      <c r="B17" s="35" t="s">
        <v>39</v>
      </c>
      <c r="C17" s="45">
        <f>-(2238.33+96306.54)</f>
        <v>-98544.87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-2036548.79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A24" sqref="A24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74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March 2022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Mar-2022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Mar-2022 kWh</v>
      </c>
      <c r="D10" s="66" t="s">
        <v>75</v>
      </c>
      <c r="E10" s="66" t="s">
        <v>76</v>
      </c>
    </row>
    <row r="11" spans="1:5" x14ac:dyDescent="0.35">
      <c r="A11" s="44" t="s">
        <v>34</v>
      </c>
      <c r="B11" s="35" t="s">
        <v>35</v>
      </c>
      <c r="C11" s="76">
        <f>'[12]Summary Sales @retail'!$D$31</f>
        <v>1004102991.8048072</v>
      </c>
      <c r="D11" s="71">
        <f>$E$39/$E$64</f>
        <v>7.2300270579695619E-4</v>
      </c>
      <c r="E11" s="68">
        <f>C11*D11</f>
        <v>725969.1799736945</v>
      </c>
    </row>
    <row r="12" spans="1:5" x14ac:dyDescent="0.35">
      <c r="A12" s="44" t="s">
        <v>36</v>
      </c>
      <c r="B12" s="35" t="s">
        <v>35</v>
      </c>
      <c r="C12" s="76">
        <f>'[12]Summary Sales @retail'!$E$31</f>
        <v>249549748.40453142</v>
      </c>
      <c r="D12" s="71">
        <f t="shared" ref="D12:D19" si="0">$E$39/$E$64</f>
        <v>7.2300270579695619E-4</v>
      </c>
      <c r="E12" s="68">
        <f t="shared" ref="E12:E19" si="1">C12*D12</f>
        <v>180425.14332742587</v>
      </c>
    </row>
    <row r="13" spans="1:5" x14ac:dyDescent="0.35">
      <c r="A13" s="44" t="s">
        <v>37</v>
      </c>
      <c r="B13" s="35" t="s">
        <v>35</v>
      </c>
      <c r="C13" s="76">
        <f>'[12]Summary Sales @retail'!$F$31</f>
        <v>576634444.50651062</v>
      </c>
      <c r="D13" s="71">
        <f t="shared" si="0"/>
        <v>7.2300270579695619E-4</v>
      </c>
      <c r="E13" s="68">
        <f t="shared" si="1"/>
        <v>416908.26363393193</v>
      </c>
    </row>
    <row r="14" spans="1:5" x14ac:dyDescent="0.35">
      <c r="A14" s="44" t="s">
        <v>38</v>
      </c>
      <c r="B14" s="35" t="s">
        <v>39</v>
      </c>
      <c r="C14" s="76">
        <f>'[12]Summary Sales @retail'!$G$31</f>
        <v>284499272.69001681</v>
      </c>
      <c r="D14" s="71">
        <f t="shared" si="0"/>
        <v>7.2300270579695619E-4</v>
      </c>
      <c r="E14" s="68">
        <f t="shared" si="1"/>
        <v>205693.74395214824</v>
      </c>
    </row>
    <row r="15" spans="1:5" x14ac:dyDescent="0.35">
      <c r="A15" s="44" t="s">
        <v>40</v>
      </c>
      <c r="B15" s="35" t="s">
        <v>35</v>
      </c>
      <c r="C15" s="76">
        <f>('[12]Summary Sales @retail'!$K$31+'[12]Summary Sales @retail'!$L$31)</f>
        <v>12271154.522987569</v>
      </c>
      <c r="D15" s="71">
        <f t="shared" si="0"/>
        <v>7.2300270579695619E-4</v>
      </c>
      <c r="E15" s="68">
        <f t="shared" si="1"/>
        <v>8872.0779233725698</v>
      </c>
    </row>
    <row r="16" spans="1:5" x14ac:dyDescent="0.35">
      <c r="A16" s="44" t="s">
        <v>41</v>
      </c>
      <c r="B16" s="35"/>
      <c r="C16" s="76"/>
      <c r="D16" s="71"/>
      <c r="E16" s="68"/>
    </row>
    <row r="17" spans="1:5" x14ac:dyDescent="0.35">
      <c r="A17" s="46" t="s">
        <v>42</v>
      </c>
      <c r="B17" s="35" t="s">
        <v>39</v>
      </c>
      <c r="C17" s="76">
        <f>'[12]Summary Sales @retail'!$H$31</f>
        <v>16538283.18726727</v>
      </c>
      <c r="D17" s="71">
        <f t="shared" si="0"/>
        <v>7.2300270579695619E-4</v>
      </c>
      <c r="E17" s="68">
        <f t="shared" si="1"/>
        <v>11957.223493630545</v>
      </c>
    </row>
    <row r="18" spans="1:5" x14ac:dyDescent="0.35">
      <c r="A18" s="46" t="s">
        <v>43</v>
      </c>
      <c r="B18" s="35" t="s">
        <v>39</v>
      </c>
      <c r="C18" s="76">
        <f>'[12]Summary Sales @retail'!$I$31</f>
        <v>146813729.29670906</v>
      </c>
      <c r="D18" s="71">
        <f t="shared" si="0"/>
        <v>7.2300270579695619E-4</v>
      </c>
      <c r="E18" s="68">
        <f t="shared" si="1"/>
        <v>106146.72352966251</v>
      </c>
    </row>
    <row r="19" spans="1:5" x14ac:dyDescent="0.35">
      <c r="A19" s="46" t="s">
        <v>44</v>
      </c>
      <c r="B19" s="35" t="s">
        <v>39</v>
      </c>
      <c r="C19" s="76">
        <f>'[12]Summary Sales @retail'!$J$31</f>
        <v>120798655.58716998</v>
      </c>
      <c r="D19" s="71">
        <f t="shared" si="0"/>
        <v>7.2300270579695619E-4</v>
      </c>
      <c r="E19" s="68">
        <f t="shared" si="1"/>
        <v>87337.754846158496</v>
      </c>
    </row>
    <row r="20" spans="1:5" x14ac:dyDescent="0.35">
      <c r="C20" s="69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2411208280.0000005</v>
      </c>
      <c r="D21" s="70"/>
      <c r="E21" s="70">
        <f t="shared" ref="E21" si="2">SUM(E11:E20)</f>
        <v>1743310.1106800248</v>
      </c>
    </row>
    <row r="22" spans="1:5" ht="15" thickTop="1" x14ac:dyDescent="0.35"/>
    <row r="24" spans="1:5" ht="16.5" x14ac:dyDescent="0.35">
      <c r="A24" t="s">
        <v>81</v>
      </c>
    </row>
    <row r="30" spans="1:5" x14ac:dyDescent="0.35">
      <c r="A30" s="72" t="s">
        <v>77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78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9" sqref="A9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March 2022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8" sqref="G8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March 2022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-906203.76</v>
      </c>
      <c r="D8" s="48">
        <f>([13]SRP!$E$3)*1000</f>
        <v>953657000</v>
      </c>
      <c r="E8" s="40">
        <f>'[13]Rate Schedule'!$C$22</f>
        <v>-1.0397962804915254E-3</v>
      </c>
      <c r="F8" s="45">
        <f>D8*E8</f>
        <v>-991609.00146470661</v>
      </c>
      <c r="G8" s="45">
        <f>F8-C8</f>
        <v>-85405.241464706603</v>
      </c>
    </row>
    <row r="9" spans="1:7" x14ac:dyDescent="0.35">
      <c r="A9" s="35" t="s">
        <v>36</v>
      </c>
      <c r="B9" s="35" t="s">
        <v>35</v>
      </c>
      <c r="C9" s="45">
        <f>'18A'!C10</f>
        <v>-205064.22</v>
      </c>
      <c r="D9" s="48">
        <f>([13]SRP!$F$3+[13]SRP!$J$3)*1000</f>
        <v>246931000</v>
      </c>
      <c r="E9" s="40">
        <f>'[13]Rate Schedule'!$C$22</f>
        <v>-1.0397962804915254E-3</v>
      </c>
      <c r="F9" s="45">
        <f t="shared" ref="F9:F16" si="0">D9*E9</f>
        <v>-256757.93533805283</v>
      </c>
      <c r="G9" s="45">
        <f t="shared" ref="G9:G16" si="1">F9-C9</f>
        <v>-51693.715338052833</v>
      </c>
    </row>
    <row r="10" spans="1:7" x14ac:dyDescent="0.35">
      <c r="A10" s="35" t="s">
        <v>37</v>
      </c>
      <c r="B10" s="35" t="s">
        <v>35</v>
      </c>
      <c r="C10" s="45">
        <f>'18A'!C11</f>
        <v>-449742.62</v>
      </c>
      <c r="D10" s="48">
        <f>([13]SRP!$G$3+[13]SRP!$K$3)*1000</f>
        <v>580451000</v>
      </c>
      <c r="E10" s="40">
        <f>'[13]Rate Schedule'!$C$22</f>
        <v>-1.0397962804915254E-3</v>
      </c>
      <c r="F10" s="45">
        <f t="shared" si="0"/>
        <v>-603550.7908075864</v>
      </c>
      <c r="G10" s="45">
        <f t="shared" si="1"/>
        <v>-153808.1708075864</v>
      </c>
    </row>
    <row r="11" spans="1:7" x14ac:dyDescent="0.35">
      <c r="A11" s="35" t="s">
        <v>38</v>
      </c>
      <c r="B11" s="35" t="s">
        <v>39</v>
      </c>
      <c r="C11" s="45">
        <f>'18A'!C12</f>
        <v>-226853.72</v>
      </c>
      <c r="D11" s="48">
        <f>([13]SRP!$H$3+[13]SRP!$L$3)*1000</f>
        <v>295294000</v>
      </c>
      <c r="E11" s="40">
        <f>'[13]Rate Schedule'!$C$22</f>
        <v>-1.0397962804915254E-3</v>
      </c>
      <c r="F11" s="45">
        <f t="shared" si="0"/>
        <v>-307045.60285146447</v>
      </c>
      <c r="G11" s="45">
        <f t="shared" si="1"/>
        <v>-80191.88285146447</v>
      </c>
    </row>
    <row r="12" spans="1:7" x14ac:dyDescent="0.35">
      <c r="A12" s="35" t="s">
        <v>48</v>
      </c>
      <c r="B12" s="35" t="s">
        <v>35</v>
      </c>
      <c r="C12" s="45">
        <f>'18A'!C13</f>
        <v>-10346.42</v>
      </c>
      <c r="D12" s="48">
        <f>([13]SRP!$N$3)*1000</f>
        <v>12639000</v>
      </c>
      <c r="E12" s="40">
        <f>'[13]Rate Schedule'!$C$22</f>
        <v>-1.0397962804915254E-3</v>
      </c>
      <c r="F12" s="45">
        <f t="shared" si="0"/>
        <v>-13141.985189132389</v>
      </c>
      <c r="G12" s="45">
        <f t="shared" si="1"/>
        <v>-2795.5651891323887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-14733.86</v>
      </c>
      <c r="D14" s="48">
        <f>[14]Data!$R$3*1000</f>
        <v>17270277.568261683</v>
      </c>
      <c r="E14" s="40">
        <f>'[13]Rate Schedule'!$C$22</f>
        <v>-1.0397962804915254E-3</v>
      </c>
      <c r="F14" s="45">
        <f t="shared" si="0"/>
        <v>-17957.570378534725</v>
      </c>
      <c r="G14" s="45">
        <f t="shared" si="1"/>
        <v>-3223.7103785347244</v>
      </c>
    </row>
    <row r="15" spans="1:7" x14ac:dyDescent="0.35">
      <c r="A15" s="36" t="s">
        <v>43</v>
      </c>
      <c r="B15" s="35" t="s">
        <v>39</v>
      </c>
      <c r="C15" s="45">
        <f>'18A'!C16</f>
        <v>-125059.32</v>
      </c>
      <c r="D15" s="48">
        <f>[14]Data!$S$3*1000</f>
        <v>160933539.11502388</v>
      </c>
      <c r="E15" s="40">
        <f>'[13]Rate Schedule'!$C$22</f>
        <v>-1.0397962804915254E-3</v>
      </c>
      <c r="F15" s="45">
        <f t="shared" si="0"/>
        <v>-167338.09537813923</v>
      </c>
      <c r="G15" s="45">
        <f t="shared" si="1"/>
        <v>-42278.775378139224</v>
      </c>
    </row>
    <row r="16" spans="1:7" x14ac:dyDescent="0.35">
      <c r="A16" s="36" t="s">
        <v>44</v>
      </c>
      <c r="B16" s="35" t="s">
        <v>39</v>
      </c>
      <c r="C16" s="45">
        <f>'18A'!C17</f>
        <v>-98544.87</v>
      </c>
      <c r="D16" s="48">
        <f>[14]Data!$T$3*1000</f>
        <v>117128023.31671444</v>
      </c>
      <c r="E16" s="40">
        <f>'[13]Rate Schedule'!$C$22</f>
        <v>-1.0397962804915254E-3</v>
      </c>
      <c r="F16" s="45">
        <f t="shared" si="0"/>
        <v>-121789.28298604433</v>
      </c>
      <c r="G16" s="45">
        <f t="shared" si="1"/>
        <v>-23244.412986044335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-2036548.79</v>
      </c>
      <c r="D18" s="50">
        <f>SUM(D8:D17)</f>
        <v>2384303840</v>
      </c>
      <c r="E18" s="38"/>
      <c r="F18" s="43">
        <f>SUM(F8:F17)</f>
        <v>-2479190.2643936607</v>
      </c>
      <c r="G18" s="43">
        <f>SUM(G8:G17)</f>
        <v>-442641.47439366102</v>
      </c>
    </row>
    <row r="19" spans="1:7" ht="15" thickTop="1" x14ac:dyDescent="0.35">
      <c r="G19" s="39"/>
    </row>
    <row r="20" spans="1:7" x14ac:dyDescent="0.35">
      <c r="D20" s="3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B10" sqref="B10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March 2022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March 2022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2022-05-17T16:10:27Z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