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37894\Desktop\Rider EEIC\Settlement\"/>
    </mc:Choice>
  </mc:AlternateContent>
  <bookViews>
    <workbookView xWindow="0" yWindow="0" windowWidth="28800" windowHeight="12885" tabRatio="908" activeTab="13"/>
  </bookViews>
  <sheets>
    <sheet name="PPC" sheetId="4" r:id="rId1"/>
    <sheet name="PCR (M3)" sheetId="22" r:id="rId2"/>
    <sheet name="PCR (M2)" sheetId="1" r:id="rId3"/>
    <sheet name="PTD" sheetId="12" r:id="rId4"/>
    <sheet name="TDR (M3)" sheetId="21" r:id="rId5"/>
    <sheet name="TDR (M2)" sheetId="11" r:id="rId6"/>
    <sheet name="EO" sheetId="16" r:id="rId7"/>
    <sheet name="EOR (M2)" sheetId="24" r:id="rId8"/>
    <sheet name="PIR (M1 Final)" sheetId="19" r:id="rId9"/>
    <sheet name="OA" sheetId="10" r:id="rId10"/>
    <sheet name="OAR" sheetId="20" r:id="rId11"/>
    <sheet name="tariff tables (M3)" sheetId="23" r:id="rId12"/>
    <sheet name="tariff tables (M2)" sheetId="5" r:id="rId13"/>
    <sheet name="Sheet 91.23" sheetId="13" r:id="rId14"/>
  </sheets>
  <definedNames>
    <definedName name="_xlnm.Print_Area" localSheetId="7">'EOR (M2)'!$A$13:$A$38</definedName>
    <definedName name="_xlnm.Print_Area" localSheetId="10">OAR!$A$13:$G$38</definedName>
    <definedName name="_xlnm.Print_Area" localSheetId="2">'PCR (M2)'!$A$13:$G$51</definedName>
    <definedName name="_xlnm.Print_Area" localSheetId="1">'PCR (M3)'!$A$13:$G$51</definedName>
    <definedName name="_xlnm.Print_Area" localSheetId="8">'PIR (M1 Final)'!$A$13:$G$38</definedName>
  </definedNames>
  <calcPr calcId="162913"/>
</workbook>
</file>

<file path=xl/calcChain.xml><?xml version="1.0" encoding="utf-8"?>
<calcChain xmlns="http://schemas.openxmlformats.org/spreadsheetml/2006/main">
  <c r="P31" i="13" l="1"/>
  <c r="P30" i="13"/>
  <c r="P29" i="13"/>
  <c r="P28" i="13"/>
  <c r="P27" i="13"/>
  <c r="P26" i="13"/>
  <c r="P20" i="13"/>
  <c r="P19" i="13"/>
  <c r="P18" i="13"/>
  <c r="P17" i="13"/>
  <c r="P16" i="13"/>
  <c r="P15" i="13"/>
  <c r="P6" i="13"/>
  <c r="P7" i="13"/>
  <c r="P8" i="13"/>
  <c r="P9" i="13"/>
  <c r="P10" i="13"/>
  <c r="P5" i="13"/>
  <c r="M31" i="13"/>
  <c r="L31" i="13"/>
  <c r="K31" i="13"/>
  <c r="O31" i="13" s="1"/>
  <c r="M30" i="13"/>
  <c r="N29" i="13"/>
  <c r="K28" i="13"/>
  <c r="L27" i="13"/>
  <c r="M26" i="13"/>
  <c r="N31" i="13"/>
  <c r="N30" i="13"/>
  <c r="L30" i="13"/>
  <c r="K30" i="13"/>
  <c r="M29" i="13"/>
  <c r="L29" i="13"/>
  <c r="N28" i="13"/>
  <c r="M28" i="13"/>
  <c r="L28" i="13"/>
  <c r="N27" i="13"/>
  <c r="M27" i="13"/>
  <c r="K27" i="13"/>
  <c r="N26" i="13"/>
  <c r="L26" i="13"/>
  <c r="K26" i="13"/>
  <c r="O26" i="13" l="1"/>
  <c r="O30" i="13"/>
  <c r="O28" i="13"/>
  <c r="O27" i="13"/>
  <c r="K29" i="13"/>
  <c r="O29" i="13" s="1"/>
  <c r="AV14" i="11" l="1"/>
  <c r="L24" i="23" l="1"/>
  <c r="L22" i="23" l="1"/>
  <c r="H20" i="13" l="1"/>
  <c r="H19" i="13"/>
  <c r="H18" i="13"/>
  <c r="H17" i="13"/>
  <c r="H16" i="13"/>
  <c r="H15" i="13"/>
  <c r="H10" i="13"/>
  <c r="F10" i="16" l="1"/>
  <c r="G6" i="16" s="1"/>
  <c r="G8" i="16"/>
  <c r="G9" i="16"/>
  <c r="G5" i="16"/>
  <c r="G7" i="16" l="1"/>
  <c r="G10" i="16"/>
  <c r="B13" i="16" l="1"/>
  <c r="B14" i="16"/>
  <c r="B15" i="16"/>
  <c r="B12" i="16"/>
  <c r="B11" i="16"/>
  <c r="F29" i="11" l="1"/>
  <c r="F30" i="11"/>
  <c r="K33" i="21"/>
  <c r="J33" i="21"/>
  <c r="I33" i="21"/>
  <c r="H33" i="21"/>
  <c r="G33" i="21"/>
  <c r="K32" i="21"/>
  <c r="J32" i="21"/>
  <c r="I32" i="21"/>
  <c r="H32" i="21"/>
  <c r="G32" i="21"/>
  <c r="K31" i="21"/>
  <c r="J31" i="21"/>
  <c r="I31" i="21"/>
  <c r="H31" i="21"/>
  <c r="G31" i="21"/>
  <c r="K30" i="21"/>
  <c r="J30" i="21"/>
  <c r="I30" i="21"/>
  <c r="H30" i="21"/>
  <c r="G30" i="21"/>
  <c r="K29" i="21"/>
  <c r="J29" i="21"/>
  <c r="I29" i="21"/>
  <c r="H29" i="21"/>
  <c r="G29" i="21"/>
  <c r="F33" i="21"/>
  <c r="F32" i="21"/>
  <c r="F31" i="21"/>
  <c r="F30" i="21"/>
  <c r="F29" i="21"/>
  <c r="Q29" i="11"/>
  <c r="G29" i="11"/>
  <c r="M37" i="22"/>
  <c r="M36" i="22"/>
  <c r="AW37" i="1"/>
  <c r="AW36" i="1"/>
  <c r="AX39" i="1"/>
  <c r="AW39" i="1"/>
  <c r="AX38" i="1"/>
  <c r="AW38" i="1"/>
  <c r="AX37" i="1"/>
  <c r="AX36" i="1"/>
  <c r="AV37" i="1"/>
  <c r="AV38" i="1"/>
  <c r="AV39" i="1"/>
  <c r="AV36" i="1"/>
  <c r="AV35" i="1"/>
  <c r="AV14" i="1"/>
  <c r="G20" i="13" l="1"/>
  <c r="E36" i="24" l="1"/>
  <c r="D36" i="24"/>
  <c r="C36" i="24"/>
  <c r="L36" i="21"/>
  <c r="L22" i="21"/>
  <c r="L29" i="21" s="1"/>
  <c r="C10" i="12" l="1"/>
  <c r="E54" i="22" l="1"/>
  <c r="E74" i="22"/>
  <c r="D17" i="23" l="1"/>
  <c r="D18" i="23"/>
  <c r="D19" i="23"/>
  <c r="D20" i="23"/>
  <c r="D16" i="23"/>
  <c r="J31" i="23" l="1"/>
  <c r="K31" i="23"/>
  <c r="F31" i="13" l="1"/>
  <c r="E8" i="23"/>
  <c r="E7" i="23"/>
  <c r="E6" i="23"/>
  <c r="E5" i="23"/>
  <c r="E4" i="23"/>
  <c r="B6" i="16"/>
  <c r="H5" i="16" l="1"/>
  <c r="C11" i="16" s="1"/>
  <c r="H6" i="16"/>
  <c r="C12" i="16" s="1"/>
  <c r="H7" i="16"/>
  <c r="C13" i="16" s="1"/>
  <c r="H8" i="16"/>
  <c r="C14" i="16" s="1"/>
  <c r="H9" i="16"/>
  <c r="C15" i="16" s="1"/>
  <c r="L23" i="21"/>
  <c r="H10" i="16" l="1"/>
  <c r="AV22" i="11"/>
  <c r="AS74" i="1"/>
  <c r="AW35" i="1"/>
  <c r="AX35" i="1"/>
  <c r="M49" i="22" l="1"/>
  <c r="M35" i="22" s="1"/>
  <c r="M21" i="22"/>
  <c r="C7" i="4" l="1"/>
  <c r="C6" i="4"/>
  <c r="C5" i="4"/>
  <c r="I4" i="4"/>
  <c r="G10" i="13" l="1"/>
  <c r="G31" i="13" l="1"/>
  <c r="B63" i="24"/>
  <c r="Z36" i="20"/>
  <c r="Z22" i="20" s="1"/>
  <c r="Z23" i="20"/>
  <c r="AA23" i="20"/>
  <c r="AB23" i="20"/>
  <c r="Z24" i="20"/>
  <c r="AA24" i="20"/>
  <c r="AB24" i="20"/>
  <c r="Z25" i="20"/>
  <c r="AA25" i="20"/>
  <c r="AB25" i="20"/>
  <c r="Z26" i="20"/>
  <c r="AA26" i="20"/>
  <c r="AB26" i="20"/>
  <c r="AA36" i="20"/>
  <c r="AB36" i="20"/>
  <c r="AB22" i="20" s="1"/>
  <c r="AB29" i="20" s="1"/>
  <c r="AB41" i="20" s="1"/>
  <c r="Z54" i="20"/>
  <c r="AA54" i="20"/>
  <c r="AB54" i="20"/>
  <c r="B64" i="24"/>
  <c r="B69" i="24"/>
  <c r="B68" i="24"/>
  <c r="B67" i="24"/>
  <c r="B66" i="24"/>
  <c r="B65" i="24"/>
  <c r="AB32" i="20" l="1"/>
  <c r="AB44" i="20" s="1"/>
  <c r="AB31" i="20"/>
  <c r="AB43" i="20" s="1"/>
  <c r="AB33" i="20"/>
  <c r="AB45" i="20" s="1"/>
  <c r="AB30" i="20"/>
  <c r="AB42" i="20" s="1"/>
  <c r="Z32" i="20"/>
  <c r="Z44" i="20" s="1"/>
  <c r="Z51" i="20" s="1"/>
  <c r="Z58" i="20" s="1"/>
  <c r="Z30" i="20"/>
  <c r="Z42" i="20" s="1"/>
  <c r="Z49" i="20" s="1"/>
  <c r="Z33" i="20"/>
  <c r="Z45" i="20" s="1"/>
  <c r="Z52" i="20" s="1"/>
  <c r="Z29" i="20"/>
  <c r="Z41" i="20" s="1"/>
  <c r="Z48" i="20" s="1"/>
  <c r="AA32" i="20"/>
  <c r="AA44" i="20" s="1"/>
  <c r="Z31" i="20"/>
  <c r="Z43" i="20" s="1"/>
  <c r="Z50" i="20" s="1"/>
  <c r="AA22" i="20"/>
  <c r="AA51" i="20" l="1"/>
  <c r="AA33" i="20"/>
  <c r="AA45" i="20" s="1"/>
  <c r="Z57" i="20"/>
  <c r="AA58" i="20"/>
  <c r="AB51" i="20"/>
  <c r="AB58" i="20" s="1"/>
  <c r="Z55" i="20"/>
  <c r="Z63" i="20" s="1"/>
  <c r="Z60" i="20" s="1"/>
  <c r="Z56" i="20"/>
  <c r="Z59" i="20"/>
  <c r="AA29" i="20"/>
  <c r="AA41" i="20" s="1"/>
  <c r="AA48" i="20" s="1"/>
  <c r="AA31" i="20"/>
  <c r="AA43" i="20" s="1"/>
  <c r="AA50" i="20" s="1"/>
  <c r="AA30" i="20"/>
  <c r="AA42" i="20" s="1"/>
  <c r="AA52" i="20" l="1"/>
  <c r="AA49" i="20"/>
  <c r="AA55" i="20"/>
  <c r="AA59" i="20"/>
  <c r="AB52" i="20" s="1"/>
  <c r="AB59" i="20" s="1"/>
  <c r="AA56" i="20"/>
  <c r="AB49" i="20" s="1"/>
  <c r="AB56" i="20" s="1"/>
  <c r="AA57" i="20"/>
  <c r="AB50" i="20" s="1"/>
  <c r="AB57" i="20" s="1"/>
  <c r="Z61" i="20"/>
  <c r="AA61" i="20" l="1"/>
  <c r="AA63" i="20"/>
  <c r="AA60" i="20" s="1"/>
  <c r="AB48" i="20"/>
  <c r="AB55" i="20" s="1"/>
  <c r="AB61" i="20" l="1"/>
  <c r="AB63" i="20"/>
  <c r="AB60" i="20" s="1"/>
  <c r="AV67" i="1" l="1"/>
  <c r="M67" i="22" l="1"/>
  <c r="AU67" i="1"/>
  <c r="I29" i="4" l="1"/>
  <c r="H28" i="4"/>
  <c r="H27" i="4"/>
  <c r="G28" i="4"/>
  <c r="G29" i="4"/>
  <c r="G30" i="4"/>
  <c r="G31" i="4"/>
  <c r="G27" i="4"/>
  <c r="H22" i="4"/>
  <c r="H29" i="4" s="1"/>
  <c r="H23" i="4"/>
  <c r="H30" i="4" s="1"/>
  <c r="H24" i="4"/>
  <c r="H31" i="4" s="1"/>
  <c r="H21" i="4"/>
  <c r="I21" i="4"/>
  <c r="I28" i="4" s="1"/>
  <c r="I22" i="4"/>
  <c r="I23" i="4"/>
  <c r="I30" i="4" s="1"/>
  <c r="I24" i="4"/>
  <c r="I31" i="4" s="1"/>
  <c r="I20" i="4"/>
  <c r="I27" i="4" s="1"/>
  <c r="D8" i="4" l="1"/>
  <c r="C19" i="23" s="1"/>
  <c r="D5" i="4"/>
  <c r="C16" i="23" s="1"/>
  <c r="J20" i="4"/>
  <c r="J27" i="4" s="1"/>
  <c r="G25" i="4"/>
  <c r="J24" i="4"/>
  <c r="J31" i="4" s="1"/>
  <c r="D9" i="4" s="1"/>
  <c r="C20" i="23" s="1"/>
  <c r="J23" i="4"/>
  <c r="J30" i="4" s="1"/>
  <c r="J22" i="4"/>
  <c r="J29" i="4" s="1"/>
  <c r="D7" i="4" s="1"/>
  <c r="C18" i="23" s="1"/>
  <c r="J21" i="4"/>
  <c r="J28" i="4" s="1"/>
  <c r="D6" i="4" s="1"/>
  <c r="C17" i="23" s="1"/>
  <c r="I25" i="4" l="1"/>
  <c r="H25" i="4"/>
  <c r="J25" i="4"/>
  <c r="B7" i="16"/>
  <c r="B8" i="24"/>
  <c r="B7" i="24"/>
  <c r="B6" i="24"/>
  <c r="B5" i="24"/>
  <c r="B4" i="24"/>
  <c r="D4" i="24"/>
  <c r="D10" i="4" l="1"/>
  <c r="D11" i="4" s="1"/>
  <c r="E18" i="5" l="1"/>
  <c r="E17" i="5"/>
  <c r="E20" i="5"/>
  <c r="E19" i="5"/>
  <c r="E16" i="5"/>
  <c r="C16" i="16"/>
  <c r="C17" i="16" s="1"/>
  <c r="B9" i="24"/>
  <c r="C54" i="24"/>
  <c r="B54" i="24"/>
  <c r="A36" i="24"/>
  <c r="B45" i="24"/>
  <c r="B44" i="24"/>
  <c r="B43" i="24"/>
  <c r="B42" i="24"/>
  <c r="B41" i="24"/>
  <c r="C14" i="24"/>
  <c r="D14" i="24" s="1"/>
  <c r="E14" i="24" s="1"/>
  <c r="D8" i="24"/>
  <c r="D7" i="24"/>
  <c r="D6" i="24"/>
  <c r="D5" i="24"/>
  <c r="E31" i="13"/>
  <c r="G31" i="23"/>
  <c r="G21" i="23"/>
  <c r="L31" i="23" s="1"/>
  <c r="F8" i="23"/>
  <c r="F4" i="23"/>
  <c r="D9" i="23"/>
  <c r="C9" i="23"/>
  <c r="J21" i="23" s="1"/>
  <c r="G8" i="23"/>
  <c r="G7" i="23"/>
  <c r="R7" i="23" s="1"/>
  <c r="F18" i="13" s="1"/>
  <c r="F7" i="23"/>
  <c r="S7" i="23" s="1"/>
  <c r="G18" i="13" s="1"/>
  <c r="G6" i="23"/>
  <c r="R6" i="23" s="1"/>
  <c r="F17" i="13" s="1"/>
  <c r="F6" i="23"/>
  <c r="M6" i="23" s="1"/>
  <c r="G5" i="23"/>
  <c r="R5" i="23" s="1"/>
  <c r="F16" i="13" s="1"/>
  <c r="F5" i="23"/>
  <c r="D31" i="13" l="1"/>
  <c r="S5" i="23"/>
  <c r="G16" i="13" s="1"/>
  <c r="M5" i="23"/>
  <c r="S6" i="23"/>
  <c r="G17" i="13" s="1"/>
  <c r="D9" i="24"/>
  <c r="S8" i="23"/>
  <c r="G19" i="13" s="1"/>
  <c r="M8" i="23"/>
  <c r="R8" i="23"/>
  <c r="F19" i="13" s="1"/>
  <c r="M7" i="23"/>
  <c r="B58" i="24" l="1"/>
  <c r="B57" i="24" l="1"/>
  <c r="B56" i="24" l="1"/>
  <c r="Z14" i="20"/>
  <c r="AA14" i="20" s="1"/>
  <c r="AB14" i="20" s="1"/>
  <c r="B59" i="24" l="1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AI29" i="19" l="1"/>
  <c r="AI30" i="19"/>
  <c r="AI31" i="19"/>
  <c r="AI32" i="19"/>
  <c r="AI33" i="19"/>
  <c r="X29" i="19"/>
  <c r="Y29" i="19"/>
  <c r="Y41" i="19" s="1"/>
  <c r="Z29" i="19"/>
  <c r="Z41" i="19" s="1"/>
  <c r="AA29" i="19"/>
  <c r="AA41" i="19" s="1"/>
  <c r="AB29" i="19"/>
  <c r="AC29" i="19"/>
  <c r="AC41" i="19" s="1"/>
  <c r="AD29" i="19"/>
  <c r="AD41" i="19" s="1"/>
  <c r="AE29" i="19"/>
  <c r="AE41" i="19" s="1"/>
  <c r="AF29" i="19"/>
  <c r="AG29" i="19"/>
  <c r="AG41" i="19" s="1"/>
  <c r="AH29" i="19"/>
  <c r="AH41" i="19" s="1"/>
  <c r="X30" i="19"/>
  <c r="X42" i="19" s="1"/>
  <c r="Y30" i="19"/>
  <c r="Z30" i="19"/>
  <c r="Z42" i="19" s="1"/>
  <c r="AA30" i="19"/>
  <c r="AA42" i="19" s="1"/>
  <c r="AB30" i="19"/>
  <c r="AB42" i="19" s="1"/>
  <c r="AC30" i="19"/>
  <c r="AD30" i="19"/>
  <c r="AD42" i="19" s="1"/>
  <c r="AE30" i="19"/>
  <c r="AE42" i="19" s="1"/>
  <c r="AF30" i="19"/>
  <c r="AF42" i="19" s="1"/>
  <c r="AG30" i="19"/>
  <c r="AH30" i="19"/>
  <c r="AH42" i="19" s="1"/>
  <c r="X31" i="19"/>
  <c r="X43" i="19" s="1"/>
  <c r="Y31" i="19"/>
  <c r="Z31" i="19"/>
  <c r="AA31" i="19"/>
  <c r="AA43" i="19" s="1"/>
  <c r="AB31" i="19"/>
  <c r="AC31" i="19"/>
  <c r="AD31" i="19"/>
  <c r="AE31" i="19"/>
  <c r="AE43" i="19" s="1"/>
  <c r="AF31" i="19"/>
  <c r="AF43" i="19" s="1"/>
  <c r="AG31" i="19"/>
  <c r="AH31" i="19"/>
  <c r="X32" i="19"/>
  <c r="X44" i="19" s="1"/>
  <c r="Y32" i="19"/>
  <c r="Y44" i="19" s="1"/>
  <c r="Z32" i="19"/>
  <c r="Z44" i="19" s="1"/>
  <c r="AA32" i="19"/>
  <c r="AB32" i="19"/>
  <c r="AB44" i="19" s="1"/>
  <c r="AC32" i="19"/>
  <c r="AC44" i="19" s="1"/>
  <c r="AD32" i="19"/>
  <c r="AD44" i="19" s="1"/>
  <c r="AE32" i="19"/>
  <c r="AF32" i="19"/>
  <c r="AF44" i="19" s="1"/>
  <c r="AG32" i="19"/>
  <c r="AG44" i="19" s="1"/>
  <c r="AH32" i="19"/>
  <c r="AH44" i="19" s="1"/>
  <c r="X33" i="19"/>
  <c r="Y33" i="19"/>
  <c r="Y45" i="19" s="1"/>
  <c r="Z33" i="19"/>
  <c r="Z45" i="19" s="1"/>
  <c r="AA33" i="19"/>
  <c r="AA45" i="19" s="1"/>
  <c r="AB33" i="19"/>
  <c r="AC33" i="19"/>
  <c r="AC45" i="19" s="1"/>
  <c r="AD33" i="19"/>
  <c r="AD45" i="19" s="1"/>
  <c r="AE33" i="19"/>
  <c r="AE45" i="19" s="1"/>
  <c r="AF33" i="19"/>
  <c r="AG33" i="19"/>
  <c r="AG45" i="19" s="1"/>
  <c r="AH33" i="19"/>
  <c r="AH45" i="19" s="1"/>
  <c r="X54" i="19"/>
  <c r="Y54" i="19"/>
  <c r="Z54" i="19"/>
  <c r="AA54" i="19"/>
  <c r="AB54" i="19"/>
  <c r="AC54" i="19"/>
  <c r="AD54" i="19"/>
  <c r="AE54" i="19"/>
  <c r="AF54" i="19"/>
  <c r="AG54" i="19"/>
  <c r="AH54" i="19"/>
  <c r="AI54" i="19"/>
  <c r="W54" i="19"/>
  <c r="X41" i="19"/>
  <c r="AB41" i="19"/>
  <c r="AF41" i="19"/>
  <c r="Y42" i="19"/>
  <c r="AC42" i="19"/>
  <c r="AG42" i="19"/>
  <c r="Y43" i="19"/>
  <c r="Z43" i="19"/>
  <c r="AB43" i="19"/>
  <c r="AC43" i="19"/>
  <c r="AD43" i="19"/>
  <c r="AG43" i="19"/>
  <c r="AH43" i="19"/>
  <c r="AA44" i="19"/>
  <c r="AE44" i="19"/>
  <c r="X45" i="19"/>
  <c r="AB45" i="19"/>
  <c r="AF45" i="19"/>
  <c r="W33" i="19"/>
  <c r="W45" i="19" s="1"/>
  <c r="W32" i="19"/>
  <c r="W44" i="19" s="1"/>
  <c r="W31" i="19"/>
  <c r="W43" i="19" s="1"/>
  <c r="W30" i="19"/>
  <c r="W42" i="19" s="1"/>
  <c r="W29" i="19"/>
  <c r="W41" i="19" s="1"/>
  <c r="F42" i="21"/>
  <c r="F55" i="21"/>
  <c r="G55" i="21"/>
  <c r="H55" i="21"/>
  <c r="I55" i="21"/>
  <c r="J55" i="21"/>
  <c r="K55" i="21"/>
  <c r="E55" i="21"/>
  <c r="X68" i="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I51" i="11"/>
  <c r="AI53" i="1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C24" i="24" l="1"/>
  <c r="C23" i="24"/>
  <c r="C26" i="24"/>
  <c r="C25" i="24"/>
  <c r="AV21" i="1"/>
  <c r="AU21" i="1"/>
  <c r="E26" i="24" l="1"/>
  <c r="D26" i="24"/>
  <c r="E23" i="24"/>
  <c r="D23" i="24"/>
  <c r="E25" i="24"/>
  <c r="D25" i="24"/>
  <c r="E22" i="24"/>
  <c r="D22" i="24"/>
  <c r="E24" i="24"/>
  <c r="D24" i="24"/>
  <c r="B55" i="24"/>
  <c r="D29" i="24" l="1"/>
  <c r="D41" i="24" s="1"/>
  <c r="E31" i="24"/>
  <c r="E43" i="24" s="1"/>
  <c r="E32" i="24"/>
  <c r="E44" i="24" s="1"/>
  <c r="D30" i="24"/>
  <c r="D42" i="24" s="1"/>
  <c r="B61" i="24"/>
  <c r="B60" i="24"/>
  <c r="E29" i="24"/>
  <c r="E41" i="24" s="1"/>
  <c r="D33" i="24"/>
  <c r="E30" i="24"/>
  <c r="E42" i="24" s="1"/>
  <c r="D31" i="24"/>
  <c r="D43" i="24" s="1"/>
  <c r="D32" i="24"/>
  <c r="D44" i="24" s="1"/>
  <c r="E33" i="24"/>
  <c r="E45" i="24" s="1"/>
  <c r="D45" i="24" l="1"/>
  <c r="B21" i="22" l="1"/>
  <c r="C21" i="22"/>
  <c r="B22" i="22"/>
  <c r="C22" i="22"/>
  <c r="B23" i="22"/>
  <c r="C23" i="22"/>
  <c r="B24" i="22"/>
  <c r="C24" i="22"/>
  <c r="B25" i="22"/>
  <c r="C25" i="22"/>
  <c r="B54" i="22"/>
  <c r="K67" i="22"/>
  <c r="L67" i="22"/>
  <c r="F67" i="22"/>
  <c r="G67" i="22"/>
  <c r="H67" i="22"/>
  <c r="I67" i="22"/>
  <c r="J67" i="22"/>
  <c r="E67" i="22"/>
  <c r="J42" i="22"/>
  <c r="K42" i="22"/>
  <c r="L42" i="22"/>
  <c r="J43" i="22"/>
  <c r="K43" i="22"/>
  <c r="L43" i="22"/>
  <c r="J44" i="22"/>
  <c r="K44" i="22"/>
  <c r="L44" i="22"/>
  <c r="J45" i="22"/>
  <c r="K45" i="22"/>
  <c r="K57" i="22" s="1"/>
  <c r="L45" i="22"/>
  <c r="J46" i="22"/>
  <c r="K46" i="22"/>
  <c r="L46" i="22"/>
  <c r="K21" i="22"/>
  <c r="K54" i="22" s="1"/>
  <c r="L21" i="22"/>
  <c r="K22" i="22"/>
  <c r="K55" i="22" s="1"/>
  <c r="L22" i="22"/>
  <c r="L55" i="22" s="1"/>
  <c r="K23" i="22"/>
  <c r="K56" i="22" s="1"/>
  <c r="L23" i="22"/>
  <c r="K24" i="22"/>
  <c r="L24" i="22"/>
  <c r="K25" i="22"/>
  <c r="K58" i="22" s="1"/>
  <c r="L25" i="22"/>
  <c r="C14" i="22"/>
  <c r="D14" i="22" s="1"/>
  <c r="E14" i="22" s="1"/>
  <c r="F14" i="22" s="1"/>
  <c r="G14" i="22" s="1"/>
  <c r="H14" i="22" s="1"/>
  <c r="I14" i="22" s="1"/>
  <c r="J14" i="22" s="1"/>
  <c r="K14" i="22" s="1"/>
  <c r="L14" i="22" s="1"/>
  <c r="L56" i="22" l="1"/>
  <c r="L57" i="22"/>
  <c r="L58" i="22"/>
  <c r="L54" i="22"/>
  <c r="AJ54" i="1" l="1"/>
  <c r="AJ55" i="1"/>
  <c r="AJ56" i="1"/>
  <c r="AJ57" i="1"/>
  <c r="AJ58" i="1"/>
  <c r="AT67" i="1"/>
  <c r="AS67" i="1"/>
  <c r="AR67" i="1"/>
  <c r="AQ67" i="1"/>
  <c r="AP67" i="1"/>
  <c r="AO67" i="1"/>
  <c r="AN67" i="1"/>
  <c r="AM67" i="1"/>
  <c r="AL67" i="1"/>
  <c r="AK67" i="1"/>
  <c r="AJ67" i="1"/>
  <c r="AJ14" i="11" l="1"/>
  <c r="AK14" i="11" s="1"/>
  <c r="AL14" i="11" s="1"/>
  <c r="AM14" i="11" s="1"/>
  <c r="AN14" i="11" s="1"/>
  <c r="AO14" i="11" s="1"/>
  <c r="AP14" i="11" s="1"/>
  <c r="AQ14" i="11" s="1"/>
  <c r="AR14" i="11" s="1"/>
  <c r="AS14" i="11" s="1"/>
  <c r="AT14" i="11" s="1"/>
  <c r="AU14" i="11" s="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U42" i="11" s="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U43" i="11" s="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U44" i="11" s="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U45" i="11" s="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U46" i="11" s="1"/>
  <c r="AJ14" i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J21" i="1"/>
  <c r="AK21" i="1"/>
  <c r="AL21" i="1"/>
  <c r="AM21" i="1"/>
  <c r="AN21" i="1"/>
  <c r="AO21" i="1"/>
  <c r="AP21" i="1"/>
  <c r="AQ21" i="1"/>
  <c r="AR21" i="1"/>
  <c r="AS21" i="1"/>
  <c r="AT21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U54" i="1" s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K54" i="1"/>
  <c r="AL54" i="1"/>
  <c r="AM54" i="1"/>
  <c r="AN54" i="1"/>
  <c r="AO54" i="1"/>
  <c r="AP54" i="1"/>
  <c r="AQ54" i="1"/>
  <c r="AR54" i="1"/>
  <c r="AS54" i="1"/>
  <c r="AT54" i="1"/>
  <c r="AK55" i="1"/>
  <c r="AL55" i="1"/>
  <c r="AM55" i="1"/>
  <c r="AN55" i="1"/>
  <c r="AO55" i="1"/>
  <c r="AP55" i="1"/>
  <c r="AQ55" i="1"/>
  <c r="AR55" i="1"/>
  <c r="AS55" i="1"/>
  <c r="AT55" i="1"/>
  <c r="AJ63" i="1"/>
  <c r="AK56" i="1"/>
  <c r="AL56" i="1"/>
  <c r="AM56" i="1"/>
  <c r="AN56" i="1"/>
  <c r="AO56" i="1"/>
  <c r="AP56" i="1"/>
  <c r="AQ56" i="1"/>
  <c r="AR56" i="1"/>
  <c r="AS56" i="1"/>
  <c r="AT56" i="1"/>
  <c r="AJ64" i="1"/>
  <c r="AJ71" i="1" s="1"/>
  <c r="AK57" i="1"/>
  <c r="AL57" i="1"/>
  <c r="AM57" i="1"/>
  <c r="AN57" i="1"/>
  <c r="AO57" i="1"/>
  <c r="AP57" i="1"/>
  <c r="AQ57" i="1"/>
  <c r="AR57" i="1"/>
  <c r="AS57" i="1"/>
  <c r="AT57" i="1"/>
  <c r="AJ65" i="1"/>
  <c r="AJ72" i="1" s="1"/>
  <c r="AK58" i="1"/>
  <c r="AL58" i="1"/>
  <c r="AM58" i="1"/>
  <c r="AN58" i="1"/>
  <c r="AO58" i="1"/>
  <c r="AP58" i="1"/>
  <c r="AQ58" i="1"/>
  <c r="AR58" i="1"/>
  <c r="AS58" i="1"/>
  <c r="AT58" i="1"/>
  <c r="AJ62" i="1"/>
  <c r="AJ69" i="1" s="1"/>
  <c r="N14" i="20"/>
  <c r="O14" i="20" s="1"/>
  <c r="P14" i="20" s="1"/>
  <c r="Q14" i="20" s="1"/>
  <c r="R14" i="20" s="1"/>
  <c r="S14" i="20" s="1"/>
  <c r="T14" i="20" s="1"/>
  <c r="U14" i="20" s="1"/>
  <c r="V14" i="20" s="1"/>
  <c r="W14" i="20" s="1"/>
  <c r="X14" i="20" s="1"/>
  <c r="Y14" i="20" s="1"/>
  <c r="N29" i="20"/>
  <c r="N41" i="20" s="1"/>
  <c r="O29" i="20"/>
  <c r="P29" i="20"/>
  <c r="Q29" i="20"/>
  <c r="R29" i="20"/>
  <c r="S29" i="20"/>
  <c r="T29" i="20"/>
  <c r="U29" i="20"/>
  <c r="V29" i="20"/>
  <c r="W29" i="20"/>
  <c r="X29" i="20"/>
  <c r="Y29" i="20"/>
  <c r="Y41" i="20" s="1"/>
  <c r="N30" i="20"/>
  <c r="N42" i="20" s="1"/>
  <c r="O30" i="20"/>
  <c r="P30" i="20"/>
  <c r="Q30" i="20"/>
  <c r="R30" i="20"/>
  <c r="S30" i="20"/>
  <c r="T30" i="20"/>
  <c r="U30" i="20"/>
  <c r="V30" i="20"/>
  <c r="W30" i="20"/>
  <c r="X30" i="20"/>
  <c r="Y30" i="20"/>
  <c r="Y42" i="20" s="1"/>
  <c r="N31" i="20"/>
  <c r="N43" i="20" s="1"/>
  <c r="O31" i="20"/>
  <c r="P31" i="20"/>
  <c r="Q31" i="20"/>
  <c r="R31" i="20"/>
  <c r="S31" i="20"/>
  <c r="T31" i="20"/>
  <c r="U31" i="20"/>
  <c r="V31" i="20"/>
  <c r="W31" i="20"/>
  <c r="X31" i="20"/>
  <c r="Y31" i="20"/>
  <c r="Y43" i="20" s="1"/>
  <c r="N32" i="20"/>
  <c r="N44" i="20" s="1"/>
  <c r="O32" i="20"/>
  <c r="P32" i="20"/>
  <c r="Q32" i="20"/>
  <c r="R32" i="20"/>
  <c r="S32" i="20"/>
  <c r="T32" i="20"/>
  <c r="U32" i="20"/>
  <c r="V32" i="20"/>
  <c r="W32" i="20"/>
  <c r="X32" i="20"/>
  <c r="Y32" i="20"/>
  <c r="Y44" i="20" s="1"/>
  <c r="N33" i="20"/>
  <c r="N45" i="20" s="1"/>
  <c r="O33" i="20"/>
  <c r="P33" i="20"/>
  <c r="Q33" i="20"/>
  <c r="R33" i="20"/>
  <c r="R45" i="20" s="1"/>
  <c r="S33" i="20"/>
  <c r="T33" i="20"/>
  <c r="U33" i="20"/>
  <c r="V33" i="20"/>
  <c r="V45" i="20" s="1"/>
  <c r="W33" i="20"/>
  <c r="X33" i="20"/>
  <c r="Y33" i="20"/>
  <c r="Y45" i="20" s="1"/>
  <c r="O41" i="20"/>
  <c r="P41" i="20"/>
  <c r="Q41" i="20"/>
  <c r="R41" i="20"/>
  <c r="S41" i="20"/>
  <c r="T41" i="20"/>
  <c r="U41" i="20"/>
  <c r="V41" i="20"/>
  <c r="W41" i="20"/>
  <c r="X41" i="20"/>
  <c r="O42" i="20"/>
  <c r="P42" i="20"/>
  <c r="Q42" i="20"/>
  <c r="R42" i="20"/>
  <c r="S42" i="20"/>
  <c r="T42" i="20"/>
  <c r="U42" i="20"/>
  <c r="V42" i="20"/>
  <c r="W42" i="20"/>
  <c r="X42" i="20"/>
  <c r="O43" i="20"/>
  <c r="P43" i="20"/>
  <c r="Q43" i="20"/>
  <c r="R43" i="20"/>
  <c r="S43" i="20"/>
  <c r="T43" i="20"/>
  <c r="U43" i="20"/>
  <c r="V43" i="20"/>
  <c r="W43" i="20"/>
  <c r="X43" i="20"/>
  <c r="O44" i="20"/>
  <c r="P44" i="20"/>
  <c r="Q44" i="20"/>
  <c r="R44" i="20"/>
  <c r="S44" i="20"/>
  <c r="T44" i="20"/>
  <c r="U44" i="20"/>
  <c r="V44" i="20"/>
  <c r="W44" i="20"/>
  <c r="X44" i="20"/>
  <c r="O45" i="20"/>
  <c r="P45" i="20"/>
  <c r="Q45" i="20"/>
  <c r="S45" i="20"/>
  <c r="T45" i="20"/>
  <c r="U45" i="20"/>
  <c r="W45" i="20"/>
  <c r="X45" i="20"/>
  <c r="N67" i="22"/>
  <c r="C58" i="22"/>
  <c r="B58" i="22"/>
  <c r="B65" i="22" s="1"/>
  <c r="B72" i="22" s="1"/>
  <c r="C57" i="22"/>
  <c r="B57" i="22"/>
  <c r="B64" i="22" s="1"/>
  <c r="C56" i="22"/>
  <c r="B56" i="22"/>
  <c r="B63" i="22" s="1"/>
  <c r="B70" i="22" s="1"/>
  <c r="C55" i="22"/>
  <c r="B55" i="22"/>
  <c r="B62" i="22" s="1"/>
  <c r="C54" i="22"/>
  <c r="B61" i="22"/>
  <c r="O49" i="22"/>
  <c r="O35" i="22" s="1"/>
  <c r="O42" i="22" s="1"/>
  <c r="N49" i="22"/>
  <c r="N35" i="22" s="1"/>
  <c r="I46" i="22"/>
  <c r="H46" i="22"/>
  <c r="G46" i="22"/>
  <c r="I45" i="22"/>
  <c r="H45" i="22"/>
  <c r="G45" i="22"/>
  <c r="I44" i="22"/>
  <c r="H44" i="22"/>
  <c r="G44" i="22"/>
  <c r="I43" i="22"/>
  <c r="H43" i="22"/>
  <c r="G43" i="22"/>
  <c r="I42" i="22"/>
  <c r="H42" i="22"/>
  <c r="G42" i="22"/>
  <c r="O39" i="22"/>
  <c r="N39" i="22"/>
  <c r="M39" i="22"/>
  <c r="A39" i="22"/>
  <c r="O38" i="22"/>
  <c r="N38" i="22"/>
  <c r="M38" i="22"/>
  <c r="A38" i="22"/>
  <c r="O37" i="22"/>
  <c r="N37" i="22"/>
  <c r="A37" i="22"/>
  <c r="O36" i="22"/>
  <c r="N36" i="22"/>
  <c r="A36" i="22"/>
  <c r="A35" i="22"/>
  <c r="A49" i="22" s="1"/>
  <c r="O25" i="22"/>
  <c r="N25" i="22"/>
  <c r="M25" i="22"/>
  <c r="J25" i="22"/>
  <c r="J58" i="22" s="1"/>
  <c r="I25" i="22"/>
  <c r="H25" i="22"/>
  <c r="H58" i="22" s="1"/>
  <c r="G25" i="22"/>
  <c r="G58" i="22" s="1"/>
  <c r="F25" i="22"/>
  <c r="F58" i="22" s="1"/>
  <c r="E25" i="22"/>
  <c r="E58" i="22" s="1"/>
  <c r="D25" i="22"/>
  <c r="D58" i="22" s="1"/>
  <c r="O24" i="22"/>
  <c r="N24" i="22"/>
  <c r="M24" i="22"/>
  <c r="J24" i="22"/>
  <c r="I24" i="22"/>
  <c r="I57" i="22" s="1"/>
  <c r="H24" i="22"/>
  <c r="G24" i="22"/>
  <c r="F24" i="22"/>
  <c r="E24" i="22"/>
  <c r="E57" i="22" s="1"/>
  <c r="D24" i="22"/>
  <c r="D57" i="22" s="1"/>
  <c r="O23" i="22"/>
  <c r="N23" i="22"/>
  <c r="M23" i="22"/>
  <c r="J23" i="22"/>
  <c r="I23" i="22"/>
  <c r="H23" i="22"/>
  <c r="G23" i="22"/>
  <c r="F23" i="22"/>
  <c r="F56" i="22" s="1"/>
  <c r="E23" i="22"/>
  <c r="E56" i="22" s="1"/>
  <c r="D23" i="22"/>
  <c r="D56" i="22" s="1"/>
  <c r="O22" i="22"/>
  <c r="N22" i="22"/>
  <c r="M22" i="22"/>
  <c r="J22" i="22"/>
  <c r="I22" i="22"/>
  <c r="I55" i="22" s="1"/>
  <c r="H22" i="22"/>
  <c r="G22" i="22"/>
  <c r="F22" i="22"/>
  <c r="E22" i="22"/>
  <c r="E55" i="22" s="1"/>
  <c r="D22" i="22"/>
  <c r="D55" i="22" s="1"/>
  <c r="O21" i="22"/>
  <c r="N21" i="22"/>
  <c r="J21" i="22"/>
  <c r="J54" i="22" s="1"/>
  <c r="I21" i="22"/>
  <c r="H21" i="22"/>
  <c r="H54" i="22" s="1"/>
  <c r="G21" i="22"/>
  <c r="G54" i="22" s="1"/>
  <c r="F21" i="22"/>
  <c r="F54" i="22" s="1"/>
  <c r="E21" i="22"/>
  <c r="D21" i="22"/>
  <c r="D54" i="22" s="1"/>
  <c r="C8" i="22"/>
  <c r="C7" i="22"/>
  <c r="C6" i="22"/>
  <c r="C5" i="22"/>
  <c r="C4" i="22"/>
  <c r="L55" i="21"/>
  <c r="E46" i="21"/>
  <c r="D46" i="21"/>
  <c r="C46" i="21"/>
  <c r="B46" i="21"/>
  <c r="B53" i="21" s="1"/>
  <c r="B60" i="21" s="1"/>
  <c r="E45" i="21"/>
  <c r="D45" i="21"/>
  <c r="C45" i="21"/>
  <c r="B45" i="21"/>
  <c r="B52" i="21" s="1"/>
  <c r="E44" i="21"/>
  <c r="D44" i="21"/>
  <c r="C44" i="21"/>
  <c r="B44" i="21"/>
  <c r="B51" i="21" s="1"/>
  <c r="E43" i="21"/>
  <c r="D43" i="21"/>
  <c r="C43" i="21"/>
  <c r="B43" i="21"/>
  <c r="B50" i="21" s="1"/>
  <c r="E42" i="21"/>
  <c r="D42" i="21"/>
  <c r="C42" i="21"/>
  <c r="B42" i="21"/>
  <c r="B49" i="21" s="1"/>
  <c r="B56" i="21" s="1"/>
  <c r="N36" i="21"/>
  <c r="N22" i="21" s="1"/>
  <c r="N29" i="21" s="1"/>
  <c r="N42" i="21" s="1"/>
  <c r="M36" i="21"/>
  <c r="M22" i="21" s="1"/>
  <c r="M29" i="21" s="1"/>
  <c r="M42" i="21" s="1"/>
  <c r="L42" i="21"/>
  <c r="A36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F44" i="21"/>
  <c r="K43" i="21"/>
  <c r="J43" i="21"/>
  <c r="I43" i="21"/>
  <c r="H43" i="21"/>
  <c r="G43" i="21"/>
  <c r="F43" i="21"/>
  <c r="K42" i="21"/>
  <c r="J42" i="21"/>
  <c r="H42" i="21"/>
  <c r="G42" i="21"/>
  <c r="N26" i="21"/>
  <c r="M26" i="21"/>
  <c r="L26" i="21"/>
  <c r="N25" i="21"/>
  <c r="M25" i="21"/>
  <c r="M32" i="21" s="1"/>
  <c r="M45" i="21" s="1"/>
  <c r="L25" i="21"/>
  <c r="N24" i="21"/>
  <c r="M24" i="21"/>
  <c r="L24" i="21"/>
  <c r="L31" i="21" s="1"/>
  <c r="L44" i="21" s="1"/>
  <c r="N23" i="21"/>
  <c r="M23" i="21"/>
  <c r="C14" i="21"/>
  <c r="D14" i="21" s="1"/>
  <c r="E14" i="21" s="1"/>
  <c r="F14" i="21" s="1"/>
  <c r="G14" i="21" s="1"/>
  <c r="H14" i="21" s="1"/>
  <c r="I14" i="21" s="1"/>
  <c r="J14" i="21" s="1"/>
  <c r="C8" i="21"/>
  <c r="C7" i="21"/>
  <c r="C6" i="21"/>
  <c r="C5" i="21"/>
  <c r="C4" i="21"/>
  <c r="M42" i="22" l="1"/>
  <c r="N30" i="21"/>
  <c r="N43" i="21" s="1"/>
  <c r="N33" i="21"/>
  <c r="N46" i="21" s="1"/>
  <c r="K14" i="21"/>
  <c r="L14" i="21" s="1"/>
  <c r="M14" i="21" s="1"/>
  <c r="N14" i="21" s="1"/>
  <c r="O67" i="22"/>
  <c r="AU58" i="1"/>
  <c r="AU57" i="1"/>
  <c r="AU56" i="1"/>
  <c r="AU55" i="1"/>
  <c r="M31" i="21"/>
  <c r="M44" i="21" s="1"/>
  <c r="N32" i="21"/>
  <c r="N45" i="21" s="1"/>
  <c r="N31" i="21"/>
  <c r="N44" i="21" s="1"/>
  <c r="C9" i="21"/>
  <c r="M30" i="21"/>
  <c r="M43" i="21" s="1"/>
  <c r="N46" i="22"/>
  <c r="O54" i="22"/>
  <c r="G55" i="22"/>
  <c r="G57" i="22"/>
  <c r="J56" i="22"/>
  <c r="H57" i="22"/>
  <c r="M14" i="22"/>
  <c r="N14" i="22" s="1"/>
  <c r="O14" i="22" s="1"/>
  <c r="C63" i="22"/>
  <c r="F55" i="22"/>
  <c r="J55" i="22"/>
  <c r="H56" i="22"/>
  <c r="M43" i="22"/>
  <c r="M55" i="22" s="1"/>
  <c r="M45" i="22"/>
  <c r="M57" i="22" s="1"/>
  <c r="N43" i="22"/>
  <c r="N55" i="22" s="1"/>
  <c r="N44" i="22"/>
  <c r="N56" i="22" s="1"/>
  <c r="N45" i="22"/>
  <c r="N42" i="22"/>
  <c r="M44" i="22"/>
  <c r="M56" i="22" s="1"/>
  <c r="M46" i="22"/>
  <c r="M58" i="22" s="1"/>
  <c r="D6" i="22"/>
  <c r="O43" i="22"/>
  <c r="O55" i="22" s="1"/>
  <c r="O44" i="22"/>
  <c r="O56" i="22" s="1"/>
  <c r="O45" i="22"/>
  <c r="O57" i="22" s="1"/>
  <c r="O46" i="22"/>
  <c r="O58" i="22" s="1"/>
  <c r="C9" i="22"/>
  <c r="I56" i="22"/>
  <c r="L33" i="21"/>
  <c r="L46" i="21" s="1"/>
  <c r="L30" i="21"/>
  <c r="L43" i="21" s="1"/>
  <c r="L32" i="21"/>
  <c r="AK62" i="1"/>
  <c r="AK65" i="1"/>
  <c r="AK72" i="1" s="1"/>
  <c r="AJ70" i="1"/>
  <c r="AK64" i="1"/>
  <c r="AK71" i="1" s="1"/>
  <c r="AK69" i="1"/>
  <c r="AL62" i="1" s="1"/>
  <c r="B69" i="22"/>
  <c r="C62" i="22" s="1"/>
  <c r="D5" i="22"/>
  <c r="H55" i="22"/>
  <c r="F57" i="22"/>
  <c r="J57" i="22"/>
  <c r="B68" i="22"/>
  <c r="C70" i="22"/>
  <c r="D63" i="22" s="1"/>
  <c r="D4" i="22"/>
  <c r="D8" i="22"/>
  <c r="B71" i="22"/>
  <c r="D7" i="22"/>
  <c r="I54" i="22"/>
  <c r="G56" i="22"/>
  <c r="I58" i="22"/>
  <c r="N58" i="22"/>
  <c r="C65" i="22"/>
  <c r="B4" i="21"/>
  <c r="D4" i="21" s="1"/>
  <c r="B57" i="21"/>
  <c r="C50" i="21" s="1"/>
  <c r="I42" i="21"/>
  <c r="G44" i="21"/>
  <c r="B59" i="21"/>
  <c r="C52" i="21" s="1"/>
  <c r="C49" i="21"/>
  <c r="M33" i="21"/>
  <c r="M46" i="21" s="1"/>
  <c r="B58" i="21"/>
  <c r="C51" i="21" s="1"/>
  <c r="C53" i="21"/>
  <c r="N54" i="22" l="1"/>
  <c r="M54" i="22"/>
  <c r="B7" i="22"/>
  <c r="E7" i="22" s="1"/>
  <c r="N57" i="22"/>
  <c r="B8" i="22"/>
  <c r="E8" i="22" s="1"/>
  <c r="B7" i="21"/>
  <c r="D7" i="21" s="1"/>
  <c r="B4" i="22"/>
  <c r="E4" i="22" s="1"/>
  <c r="B6" i="22"/>
  <c r="E6" i="22" s="1"/>
  <c r="B6" i="21"/>
  <c r="D6" i="21" s="1"/>
  <c r="B5" i="21"/>
  <c r="D5" i="21" s="1"/>
  <c r="L45" i="21"/>
  <c r="C61" i="22"/>
  <c r="B76" i="22"/>
  <c r="B73" i="22"/>
  <c r="B5" i="22"/>
  <c r="E5" i="22" s="1"/>
  <c r="AK63" i="1"/>
  <c r="AK70" i="1" s="1"/>
  <c r="AL63" i="1" s="1"/>
  <c r="AL70" i="1" s="1"/>
  <c r="AM63" i="1" s="1"/>
  <c r="AL65" i="1"/>
  <c r="AL72" i="1" s="1"/>
  <c r="AM65" i="1" s="1"/>
  <c r="AL64" i="1"/>
  <c r="AL71" i="1" s="1"/>
  <c r="AM64" i="1" s="1"/>
  <c r="AL69" i="1"/>
  <c r="AM62" i="1" s="1"/>
  <c r="B8" i="21"/>
  <c r="D8" i="21" s="1"/>
  <c r="D9" i="22"/>
  <c r="C69" i="22"/>
  <c r="D62" i="22"/>
  <c r="C68" i="22"/>
  <c r="D61" i="22" s="1"/>
  <c r="D70" i="22"/>
  <c r="E63" i="22" s="1"/>
  <c r="C72" i="22"/>
  <c r="C64" i="22"/>
  <c r="B74" i="22"/>
  <c r="C58" i="21"/>
  <c r="D51" i="21" s="1"/>
  <c r="C57" i="21"/>
  <c r="D50" i="21" s="1"/>
  <c r="B62" i="21"/>
  <c r="C60" i="21"/>
  <c r="D53" i="21" s="1"/>
  <c r="C59" i="21"/>
  <c r="D52" i="21" s="1"/>
  <c r="B64" i="21"/>
  <c r="C56" i="21"/>
  <c r="D49" i="21" s="1"/>
  <c r="D56" i="21" s="1"/>
  <c r="B9" i="22" l="1"/>
  <c r="B9" i="21"/>
  <c r="AM69" i="1"/>
  <c r="AN62" i="1" s="1"/>
  <c r="AM72" i="1"/>
  <c r="AN65" i="1" s="1"/>
  <c r="AM71" i="1"/>
  <c r="AN64" i="1" s="1"/>
  <c r="AM70" i="1"/>
  <c r="AN63" i="1" s="1"/>
  <c r="E70" i="22"/>
  <c r="F63" i="22"/>
  <c r="E9" i="22"/>
  <c r="D68" i="22"/>
  <c r="E61" i="22" s="1"/>
  <c r="D69" i="22"/>
  <c r="E62" i="22" s="1"/>
  <c r="D65" i="22"/>
  <c r="C71" i="22"/>
  <c r="C74" i="22" s="1"/>
  <c r="D57" i="21"/>
  <c r="E50" i="21" s="1"/>
  <c r="D9" i="21"/>
  <c r="D59" i="21"/>
  <c r="E52" i="21" s="1"/>
  <c r="C62" i="21"/>
  <c r="D60" i="21"/>
  <c r="E53" i="21"/>
  <c r="D58" i="21"/>
  <c r="E51" i="21" s="1"/>
  <c r="E49" i="21"/>
  <c r="B61" i="21"/>
  <c r="C64" i="21"/>
  <c r="D62" i="21" l="1"/>
  <c r="D64" i="22"/>
  <c r="C76" i="22"/>
  <c r="C73" i="22" s="1"/>
  <c r="AN71" i="1"/>
  <c r="AO64" i="1" s="1"/>
  <c r="AN70" i="1"/>
  <c r="AO63" i="1" s="1"/>
  <c r="AN72" i="1"/>
  <c r="AO65" i="1" s="1"/>
  <c r="AN69" i="1"/>
  <c r="AO62" i="1" s="1"/>
  <c r="D72" i="22"/>
  <c r="E68" i="22"/>
  <c r="F61" i="22" s="1"/>
  <c r="D71" i="22"/>
  <c r="E64" i="22"/>
  <c r="E69" i="22"/>
  <c r="F62" i="22" s="1"/>
  <c r="F70" i="22"/>
  <c r="G63" i="22" s="1"/>
  <c r="E56" i="21"/>
  <c r="F49" i="21"/>
  <c r="E60" i="21"/>
  <c r="F53" i="21" s="1"/>
  <c r="E59" i="21"/>
  <c r="F52" i="21"/>
  <c r="C61" i="21"/>
  <c r="D64" i="21"/>
  <c r="E58" i="21"/>
  <c r="F51" i="21"/>
  <c r="E57" i="21"/>
  <c r="E62" i="21" l="1"/>
  <c r="D76" i="22"/>
  <c r="D74" i="22"/>
  <c r="AO70" i="1"/>
  <c r="AP63" i="1" s="1"/>
  <c r="AO72" i="1"/>
  <c r="AP65" i="1"/>
  <c r="AO71" i="1"/>
  <c r="AP64" i="1" s="1"/>
  <c r="AO69" i="1"/>
  <c r="AP62" i="1" s="1"/>
  <c r="F69" i="22"/>
  <c r="G62" i="22" s="1"/>
  <c r="D73" i="22"/>
  <c r="G70" i="22"/>
  <c r="H63" i="22" s="1"/>
  <c r="F68" i="22"/>
  <c r="G61" i="22" s="1"/>
  <c r="E71" i="22"/>
  <c r="F64" i="22" s="1"/>
  <c r="E65" i="22"/>
  <c r="D61" i="21"/>
  <c r="E64" i="21"/>
  <c r="F50" i="21"/>
  <c r="F58" i="21"/>
  <c r="G51" i="21" s="1"/>
  <c r="F59" i="21"/>
  <c r="G52" i="21" s="1"/>
  <c r="F56" i="21"/>
  <c r="F60" i="21"/>
  <c r="G53" i="21" s="1"/>
  <c r="G49" i="21" l="1"/>
  <c r="G56" i="21" s="1"/>
  <c r="H49" i="21" s="1"/>
  <c r="AP71" i="1"/>
  <c r="AQ64" i="1"/>
  <c r="AP69" i="1"/>
  <c r="AQ62" i="1" s="1"/>
  <c r="AP72" i="1"/>
  <c r="AQ65" i="1" s="1"/>
  <c r="AP70" i="1"/>
  <c r="AQ63" i="1" s="1"/>
  <c r="F71" i="22"/>
  <c r="G64" i="22" s="1"/>
  <c r="H70" i="22"/>
  <c r="I63" i="22" s="1"/>
  <c r="G69" i="22"/>
  <c r="H62" i="22" s="1"/>
  <c r="G68" i="22"/>
  <c r="H61" i="22" s="1"/>
  <c r="E72" i="22"/>
  <c r="G59" i="21"/>
  <c r="H52" i="21" s="1"/>
  <c r="G60" i="21"/>
  <c r="H53" i="21" s="1"/>
  <c r="G58" i="21"/>
  <c r="H51" i="21" s="1"/>
  <c r="E61" i="21"/>
  <c r="F57" i="21"/>
  <c r="F64" i="21" s="1"/>
  <c r="F62" i="21" l="1"/>
  <c r="AQ70" i="1"/>
  <c r="AR63" i="1" s="1"/>
  <c r="AQ72" i="1"/>
  <c r="AR65" i="1" s="1"/>
  <c r="AQ69" i="1"/>
  <c r="AR62" i="1" s="1"/>
  <c r="AQ71" i="1"/>
  <c r="AR64" i="1" s="1"/>
  <c r="G50" i="21"/>
  <c r="G57" i="21" s="1"/>
  <c r="G62" i="21" s="1"/>
  <c r="H69" i="22"/>
  <c r="I62" i="22" s="1"/>
  <c r="I70" i="22"/>
  <c r="J63" i="22" s="1"/>
  <c r="H68" i="22"/>
  <c r="I61" i="22" s="1"/>
  <c r="G71" i="22"/>
  <c r="H64" i="22" s="1"/>
  <c r="E76" i="22"/>
  <c r="F65" i="22"/>
  <c r="H58" i="21"/>
  <c r="I51" i="21"/>
  <c r="F61" i="21"/>
  <c r="H60" i="21"/>
  <c r="I53" i="21" s="1"/>
  <c r="H56" i="21"/>
  <c r="I49" i="21" s="1"/>
  <c r="H59" i="21"/>
  <c r="I52" i="21" s="1"/>
  <c r="AR71" i="1" l="1"/>
  <c r="AS64" i="1" s="1"/>
  <c r="AR72" i="1"/>
  <c r="AS65" i="1"/>
  <c r="AR69" i="1"/>
  <c r="AS62" i="1" s="1"/>
  <c r="AR70" i="1"/>
  <c r="AS63" i="1" s="1"/>
  <c r="H50" i="21"/>
  <c r="H57" i="21" s="1"/>
  <c r="H62" i="21" s="1"/>
  <c r="G64" i="21"/>
  <c r="G61" i="21" s="1"/>
  <c r="H71" i="22"/>
  <c r="I64" i="22" s="1"/>
  <c r="E73" i="22"/>
  <c r="J70" i="22"/>
  <c r="K63" i="22" s="1"/>
  <c r="I68" i="22"/>
  <c r="I69" i="22"/>
  <c r="J62" i="22" s="1"/>
  <c r="F72" i="22"/>
  <c r="F74" i="22" s="1"/>
  <c r="I59" i="21"/>
  <c r="J52" i="21" s="1"/>
  <c r="I56" i="21"/>
  <c r="J49" i="21" s="1"/>
  <c r="I60" i="21"/>
  <c r="J53" i="21" s="1"/>
  <c r="I58" i="21"/>
  <c r="J51" i="21" s="1"/>
  <c r="I50" i="21" l="1"/>
  <c r="H64" i="21"/>
  <c r="H61" i="21" s="1"/>
  <c r="K70" i="22"/>
  <c r="L63" i="22"/>
  <c r="F76" i="22"/>
  <c r="F73" i="22" s="1"/>
  <c r="G65" i="22"/>
  <c r="G72" i="22" s="1"/>
  <c r="G74" i="22" s="1"/>
  <c r="AS72" i="1"/>
  <c r="AT65" i="1" s="1"/>
  <c r="AS69" i="1"/>
  <c r="AT62" i="1" s="1"/>
  <c r="AS71" i="1"/>
  <c r="AT64" i="1" s="1"/>
  <c r="AS70" i="1"/>
  <c r="AT63" i="1" s="1"/>
  <c r="J69" i="22"/>
  <c r="K62" i="22" s="1"/>
  <c r="I71" i="22"/>
  <c r="J64" i="22" s="1"/>
  <c r="J61" i="22"/>
  <c r="I57" i="21"/>
  <c r="J50" i="21" s="1"/>
  <c r="J58" i="21"/>
  <c r="K51" i="21" s="1"/>
  <c r="J56" i="21"/>
  <c r="K49" i="21" s="1"/>
  <c r="J59" i="21"/>
  <c r="K52" i="21" s="1"/>
  <c r="J60" i="21"/>
  <c r="K53" i="21" s="1"/>
  <c r="L70" i="22" l="1"/>
  <c r="M63" i="22"/>
  <c r="M70" i="22" s="1"/>
  <c r="I62" i="21"/>
  <c r="I64" i="21"/>
  <c r="I61" i="21" s="1"/>
  <c r="K69" i="22"/>
  <c r="H65" i="22"/>
  <c r="H72" i="22" s="1"/>
  <c r="H74" i="22" s="1"/>
  <c r="G76" i="22"/>
  <c r="G73" i="22" s="1"/>
  <c r="AT71" i="1"/>
  <c r="AU64" i="1" s="1"/>
  <c r="AT72" i="1"/>
  <c r="AU65" i="1" s="1"/>
  <c r="AT70" i="1"/>
  <c r="AU63" i="1" s="1"/>
  <c r="AT69" i="1"/>
  <c r="AU62" i="1" s="1"/>
  <c r="J71" i="22"/>
  <c r="K64" i="22" s="1"/>
  <c r="J68" i="22"/>
  <c r="K61" i="22" s="1"/>
  <c r="J57" i="21"/>
  <c r="K50" i="21" s="1"/>
  <c r="J64" i="21" l="1"/>
  <c r="J61" i="21" s="1"/>
  <c r="K68" i="22"/>
  <c r="L61" i="22" s="1"/>
  <c r="L68" i="22" s="1"/>
  <c r="K71" i="22"/>
  <c r="L64" i="22" s="1"/>
  <c r="L62" i="22"/>
  <c r="AU70" i="1"/>
  <c r="AU71" i="1"/>
  <c r="AU72" i="1"/>
  <c r="AU69" i="1"/>
  <c r="H76" i="22"/>
  <c r="H73" i="22" s="1"/>
  <c r="I65" i="22"/>
  <c r="J62" i="21"/>
  <c r="L69" i="22" l="1"/>
  <c r="M62" i="22"/>
  <c r="M69" i="22" s="1"/>
  <c r="L71" i="22"/>
  <c r="M64" i="22" s="1"/>
  <c r="M71" i="22" s="1"/>
  <c r="M61" i="22"/>
  <c r="M68" i="22" s="1"/>
  <c r="I72" i="22"/>
  <c r="J65" i="22"/>
  <c r="N61" i="22" l="1"/>
  <c r="N68" i="22" s="1"/>
  <c r="J72" i="22"/>
  <c r="J74" i="22" s="1"/>
  <c r="I74" i="22"/>
  <c r="I76" i="22"/>
  <c r="K65" i="22" l="1"/>
  <c r="J76" i="22"/>
  <c r="I73" i="22"/>
  <c r="K72" i="22" l="1"/>
  <c r="K74" i="22" s="1"/>
  <c r="L65" i="22"/>
  <c r="J73" i="22"/>
  <c r="L72" i="22" l="1"/>
  <c r="L74" i="22" s="1"/>
  <c r="M65" i="22"/>
  <c r="M72" i="22" s="1"/>
  <c r="K76" i="22"/>
  <c r="M74" i="22" l="1"/>
  <c r="M76" i="22"/>
  <c r="L76" i="22"/>
  <c r="L73" i="22" s="1"/>
  <c r="K73" i="22"/>
  <c r="M73" i="22" l="1"/>
  <c r="AB49" i="1"/>
  <c r="AA49" i="1"/>
  <c r="Z49" i="1"/>
  <c r="AV49" i="1" l="1"/>
  <c r="AV42" i="1" s="1"/>
  <c r="G29" i="20" l="1"/>
  <c r="N63" i="22" l="1"/>
  <c r="N70" i="22" s="1"/>
  <c r="K60" i="21"/>
  <c r="L53" i="21" s="1"/>
  <c r="K58" i="21"/>
  <c r="L51" i="21" s="1"/>
  <c r="K59" i="21"/>
  <c r="L52" i="21" s="1"/>
  <c r="B15" i="4"/>
  <c r="G4" i="23" s="1"/>
  <c r="M4" i="23" l="1"/>
  <c r="S4" i="23"/>
  <c r="G15" i="13" s="1"/>
  <c r="R4" i="23"/>
  <c r="F15" i="13" s="1"/>
  <c r="N62" i="22"/>
  <c r="N69" i="22" s="1"/>
  <c r="L59" i="21"/>
  <c r="M52" i="21" s="1"/>
  <c r="L60" i="21"/>
  <c r="M53" i="21" s="1"/>
  <c r="L58" i="21"/>
  <c r="M51" i="21" s="1"/>
  <c r="D54" i="1"/>
  <c r="D4" i="11"/>
  <c r="B4" i="11"/>
  <c r="O62" i="22" l="1"/>
  <c r="O69" i="22" s="1"/>
  <c r="O63" i="22"/>
  <c r="N64" i="22"/>
  <c r="N71" i="22" s="1"/>
  <c r="K57" i="21"/>
  <c r="L50" i="21" s="1"/>
  <c r="K56" i="21"/>
  <c r="G31" i="5"/>
  <c r="G21" i="5"/>
  <c r="L49" i="21" l="1"/>
  <c r="L56" i="21" s="1"/>
  <c r="K64" i="21"/>
  <c r="K61" i="21" s="1"/>
  <c r="O70" i="22"/>
  <c r="F6" i="22" s="1"/>
  <c r="G6" i="22" s="1"/>
  <c r="C28" i="23" s="1"/>
  <c r="F5" i="22"/>
  <c r="G5" i="22" s="1"/>
  <c r="C27" i="23" s="1"/>
  <c r="L57" i="21"/>
  <c r="M50" i="21" s="1"/>
  <c r="K62" i="21"/>
  <c r="B4" i="20"/>
  <c r="L62" i="21" l="1"/>
  <c r="O64" i="22"/>
  <c r="M49" i="21"/>
  <c r="L64" i="21"/>
  <c r="B16" i="16" l="1"/>
  <c r="O71" i="22"/>
  <c r="F7" i="22" s="1"/>
  <c r="G7" i="22" s="1"/>
  <c r="C29" i="23" s="1"/>
  <c r="L61" i="21"/>
  <c r="AW49" i="1"/>
  <c r="AI67" i="1" l="1"/>
  <c r="AI21" i="1" l="1"/>
  <c r="L54" i="20" l="1"/>
  <c r="K54" i="20"/>
  <c r="J54" i="20"/>
  <c r="I54" i="20"/>
  <c r="H54" i="20"/>
  <c r="G54" i="20"/>
  <c r="F54" i="20"/>
  <c r="E54" i="20"/>
  <c r="D54" i="20"/>
  <c r="C54" i="20"/>
  <c r="B54" i="20"/>
  <c r="C29" i="20"/>
  <c r="C30" i="20"/>
  <c r="C31" i="20"/>
  <c r="C32" i="20"/>
  <c r="C33" i="20"/>
  <c r="B31" i="20"/>
  <c r="B32" i="20"/>
  <c r="B30" i="20"/>
  <c r="B29" i="20"/>
  <c r="B41" i="20" s="1"/>
  <c r="O61" i="22" l="1"/>
  <c r="O68" i="22" s="1"/>
  <c r="F4" i="22" s="1"/>
  <c r="B33" i="20"/>
  <c r="L29" i="20"/>
  <c r="L41" i="20" s="1"/>
  <c r="M29" i="20"/>
  <c r="M41" i="20" s="1"/>
  <c r="L30" i="20"/>
  <c r="L42" i="20" s="1"/>
  <c r="M30" i="20"/>
  <c r="M42" i="20" s="1"/>
  <c r="L31" i="20"/>
  <c r="L43" i="20" s="1"/>
  <c r="M31" i="20"/>
  <c r="M43" i="20" s="1"/>
  <c r="L32" i="20"/>
  <c r="L44" i="20" s="1"/>
  <c r="M32" i="20"/>
  <c r="M44" i="20" s="1"/>
  <c r="L33" i="20"/>
  <c r="L45" i="20" s="1"/>
  <c r="M33" i="20"/>
  <c r="M45" i="20" s="1"/>
  <c r="G4" i="22" l="1"/>
  <c r="C26" i="23" s="1"/>
  <c r="A36" i="20"/>
  <c r="K33" i="20"/>
  <c r="K45" i="20" s="1"/>
  <c r="J33" i="20"/>
  <c r="J45" i="20" s="1"/>
  <c r="I33" i="20"/>
  <c r="I45" i="20" s="1"/>
  <c r="H33" i="20"/>
  <c r="H45" i="20" s="1"/>
  <c r="G33" i="20"/>
  <c r="G45" i="20" s="1"/>
  <c r="F33" i="20"/>
  <c r="F45" i="20" s="1"/>
  <c r="E33" i="20"/>
  <c r="E45" i="20" s="1"/>
  <c r="D33" i="20"/>
  <c r="C45" i="20"/>
  <c r="B45" i="20"/>
  <c r="B52" i="20" s="1"/>
  <c r="K32" i="20"/>
  <c r="K44" i="20" s="1"/>
  <c r="J32" i="20"/>
  <c r="J44" i="20" s="1"/>
  <c r="I32" i="20"/>
  <c r="I44" i="20" s="1"/>
  <c r="H32" i="20"/>
  <c r="H44" i="20" s="1"/>
  <c r="G32" i="20"/>
  <c r="G44" i="20" s="1"/>
  <c r="F32" i="20"/>
  <c r="F44" i="20" s="1"/>
  <c r="E32" i="20"/>
  <c r="E44" i="20" s="1"/>
  <c r="D32" i="20"/>
  <c r="C44" i="20"/>
  <c r="B44" i="20"/>
  <c r="B51" i="20" s="1"/>
  <c r="K31" i="20"/>
  <c r="K43" i="20" s="1"/>
  <c r="J31" i="20"/>
  <c r="J43" i="20" s="1"/>
  <c r="I31" i="20"/>
  <c r="I43" i="20" s="1"/>
  <c r="H31" i="20"/>
  <c r="H43" i="20" s="1"/>
  <c r="G31" i="20"/>
  <c r="G43" i="20" s="1"/>
  <c r="F31" i="20"/>
  <c r="F43" i="20" s="1"/>
  <c r="E31" i="20"/>
  <c r="E43" i="20" s="1"/>
  <c r="D31" i="20"/>
  <c r="C43" i="20"/>
  <c r="B43" i="20"/>
  <c r="B50" i="20" s="1"/>
  <c r="K30" i="20"/>
  <c r="K42" i="20" s="1"/>
  <c r="J30" i="20"/>
  <c r="J42" i="20" s="1"/>
  <c r="I30" i="20"/>
  <c r="I42" i="20" s="1"/>
  <c r="H30" i="20"/>
  <c r="H42" i="20" s="1"/>
  <c r="G30" i="20"/>
  <c r="G42" i="20" s="1"/>
  <c r="F30" i="20"/>
  <c r="F42" i="20" s="1"/>
  <c r="E30" i="20"/>
  <c r="E42" i="20" s="1"/>
  <c r="D30" i="20"/>
  <c r="C42" i="20"/>
  <c r="B42" i="20"/>
  <c r="B49" i="20" s="1"/>
  <c r="K29" i="20"/>
  <c r="K41" i="20" s="1"/>
  <c r="J29" i="20"/>
  <c r="J41" i="20" s="1"/>
  <c r="I29" i="20"/>
  <c r="I41" i="20" s="1"/>
  <c r="H29" i="20"/>
  <c r="H41" i="20" s="1"/>
  <c r="G41" i="20"/>
  <c r="F29" i="20"/>
  <c r="F41" i="20" s="1"/>
  <c r="E29" i="20"/>
  <c r="E41" i="20" s="1"/>
  <c r="D29" i="20"/>
  <c r="C41" i="20"/>
  <c r="C14" i="20"/>
  <c r="D14" i="20" s="1"/>
  <c r="E14" i="20" s="1"/>
  <c r="F14" i="20" s="1"/>
  <c r="G14" i="20" s="1"/>
  <c r="H14" i="20" s="1"/>
  <c r="I14" i="20" s="1"/>
  <c r="J14" i="20" s="1"/>
  <c r="K14" i="20" s="1"/>
  <c r="L14" i="20" s="1"/>
  <c r="M14" i="20" s="1"/>
  <c r="B8" i="20"/>
  <c r="B7" i="20"/>
  <c r="B6" i="20"/>
  <c r="B5" i="20"/>
  <c r="D43" i="20" l="1"/>
  <c r="D45" i="20"/>
  <c r="D41" i="20"/>
  <c r="D42" i="20"/>
  <c r="D44" i="20"/>
  <c r="B48" i="20"/>
  <c r="B55" i="20" s="1"/>
  <c r="B9" i="20"/>
  <c r="B59" i="20"/>
  <c r="C52" i="20" s="1"/>
  <c r="B57" i="20"/>
  <c r="C50" i="20" s="1"/>
  <c r="B56" i="20"/>
  <c r="C49" i="20" s="1"/>
  <c r="B58" i="20"/>
  <c r="C8" i="20" l="1"/>
  <c r="D8" i="20" s="1"/>
  <c r="C5" i="20"/>
  <c r="D5" i="20" s="1"/>
  <c r="C7" i="20"/>
  <c r="D7" i="20" s="1"/>
  <c r="C4" i="20"/>
  <c r="D4" i="20" s="1"/>
  <c r="C6" i="20"/>
  <c r="D6" i="20" s="1"/>
  <c r="B63" i="20"/>
  <c r="B60" i="20" s="1"/>
  <c r="B61" i="20"/>
  <c r="C59" i="20"/>
  <c r="D52" i="20" s="1"/>
  <c r="C57" i="20"/>
  <c r="D50" i="20" s="1"/>
  <c r="C48" i="20"/>
  <c r="C56" i="20"/>
  <c r="D49" i="20" s="1"/>
  <c r="C51" i="20"/>
  <c r="D9" i="20" l="1"/>
  <c r="C9" i="20"/>
  <c r="D59" i="20"/>
  <c r="E52" i="20" s="1"/>
  <c r="D56" i="20"/>
  <c r="C55" i="20"/>
  <c r="D48" i="20" s="1"/>
  <c r="D57" i="20"/>
  <c r="C58" i="20"/>
  <c r="D51" i="20" s="1"/>
  <c r="D55" i="20" l="1"/>
  <c r="E48" i="20" s="1"/>
  <c r="E59" i="20"/>
  <c r="F52" i="20" s="1"/>
  <c r="D58" i="20"/>
  <c r="E51" i="20" s="1"/>
  <c r="E50" i="20"/>
  <c r="C61" i="20"/>
  <c r="C63" i="20"/>
  <c r="E49" i="20"/>
  <c r="F59" i="20" l="1"/>
  <c r="E55" i="20"/>
  <c r="F48" i="20" s="1"/>
  <c r="D61" i="20"/>
  <c r="E56" i="20"/>
  <c r="F49" i="20" s="1"/>
  <c r="C60" i="20"/>
  <c r="D63" i="20"/>
  <c r="E58" i="20"/>
  <c r="F51" i="20" s="1"/>
  <c r="E57" i="20"/>
  <c r="AI41" i="19"/>
  <c r="AI42" i="19"/>
  <c r="AI43" i="19"/>
  <c r="AI44" i="19"/>
  <c r="AI45" i="19"/>
  <c r="L29" i="19"/>
  <c r="L41" i="19" s="1"/>
  <c r="M29" i="19"/>
  <c r="M41" i="19" s="1"/>
  <c r="N29" i="19"/>
  <c r="N41" i="19" s="1"/>
  <c r="O29" i="19"/>
  <c r="P29" i="19"/>
  <c r="P41" i="19" s="1"/>
  <c r="Q29" i="19"/>
  <c r="Q41" i="19" s="1"/>
  <c r="R29" i="19"/>
  <c r="R41" i="19" s="1"/>
  <c r="S29" i="19"/>
  <c r="T29" i="19"/>
  <c r="T41" i="19" s="1"/>
  <c r="U29" i="19"/>
  <c r="U41" i="19" s="1"/>
  <c r="V29" i="19"/>
  <c r="V41" i="19" s="1"/>
  <c r="L30" i="19"/>
  <c r="M30" i="19"/>
  <c r="M42" i="19" s="1"/>
  <c r="N30" i="19"/>
  <c r="N42" i="19" s="1"/>
  <c r="O30" i="19"/>
  <c r="O42" i="19" s="1"/>
  <c r="P30" i="19"/>
  <c r="Q30" i="19"/>
  <c r="Q42" i="19" s="1"/>
  <c r="R30" i="19"/>
  <c r="R42" i="19" s="1"/>
  <c r="S30" i="19"/>
  <c r="S42" i="19" s="1"/>
  <c r="T30" i="19"/>
  <c r="U30" i="19"/>
  <c r="U42" i="19" s="1"/>
  <c r="V30" i="19"/>
  <c r="V42" i="19" s="1"/>
  <c r="L31" i="19"/>
  <c r="L43" i="19" s="1"/>
  <c r="M31" i="19"/>
  <c r="N31" i="19"/>
  <c r="N43" i="19" s="1"/>
  <c r="O31" i="19"/>
  <c r="O43" i="19" s="1"/>
  <c r="P31" i="19"/>
  <c r="Q31" i="19"/>
  <c r="R31" i="19"/>
  <c r="R43" i="19" s="1"/>
  <c r="S31" i="19"/>
  <c r="S43" i="19" s="1"/>
  <c r="T31" i="19"/>
  <c r="T43" i="19" s="1"/>
  <c r="U31" i="19"/>
  <c r="V31" i="19"/>
  <c r="V43" i="19" s="1"/>
  <c r="L32" i="19"/>
  <c r="L44" i="19" s="1"/>
  <c r="M32" i="19"/>
  <c r="M44" i="19" s="1"/>
  <c r="N32" i="19"/>
  <c r="O32" i="19"/>
  <c r="O44" i="19" s="1"/>
  <c r="P32" i="19"/>
  <c r="P44" i="19" s="1"/>
  <c r="Q32" i="19"/>
  <c r="Q44" i="19" s="1"/>
  <c r="R32" i="19"/>
  <c r="S32" i="19"/>
  <c r="S44" i="19" s="1"/>
  <c r="T32" i="19"/>
  <c r="T44" i="19" s="1"/>
  <c r="U32" i="19"/>
  <c r="U44" i="19" s="1"/>
  <c r="V32" i="19"/>
  <c r="L33" i="19"/>
  <c r="L45" i="19" s="1"/>
  <c r="M33" i="19"/>
  <c r="M45" i="19" s="1"/>
  <c r="N33" i="19"/>
  <c r="N45" i="19" s="1"/>
  <c r="O33" i="19"/>
  <c r="P33" i="19"/>
  <c r="P45" i="19" s="1"/>
  <c r="Q33" i="19"/>
  <c r="Q45" i="19" s="1"/>
  <c r="R33" i="19"/>
  <c r="R45" i="19" s="1"/>
  <c r="S33" i="19"/>
  <c r="T33" i="19"/>
  <c r="T45" i="19" s="1"/>
  <c r="U33" i="19"/>
  <c r="U45" i="19" s="1"/>
  <c r="V33" i="19"/>
  <c r="V45" i="19" s="1"/>
  <c r="O41" i="19"/>
  <c r="S41" i="19"/>
  <c r="L42" i="19"/>
  <c r="P42" i="19"/>
  <c r="T42" i="19"/>
  <c r="M43" i="19"/>
  <c r="P43" i="19"/>
  <c r="Q43" i="19"/>
  <c r="U43" i="19"/>
  <c r="N44" i="19"/>
  <c r="R44" i="19"/>
  <c r="V44" i="19"/>
  <c r="O45" i="19"/>
  <c r="S45" i="19"/>
  <c r="L54" i="19"/>
  <c r="M54" i="19"/>
  <c r="N54" i="19"/>
  <c r="O54" i="19"/>
  <c r="P54" i="19"/>
  <c r="Q54" i="19"/>
  <c r="R54" i="19"/>
  <c r="S54" i="19"/>
  <c r="T54" i="19"/>
  <c r="U54" i="19"/>
  <c r="V54" i="19"/>
  <c r="AI29" i="11"/>
  <c r="AI30" i="11"/>
  <c r="AI31" i="11"/>
  <c r="AI32" i="11"/>
  <c r="AI33" i="11"/>
  <c r="AI55" i="11"/>
  <c r="X29" i="11"/>
  <c r="X42" i="11" s="1"/>
  <c r="Y29" i="11"/>
  <c r="Z29" i="11"/>
  <c r="Z42" i="11" s="1"/>
  <c r="AA29" i="11"/>
  <c r="AA42" i="11" s="1"/>
  <c r="AB29" i="11"/>
  <c r="AB42" i="11" s="1"/>
  <c r="AC29" i="11"/>
  <c r="AD29" i="11"/>
  <c r="AD42" i="11" s="1"/>
  <c r="AE29" i="11"/>
  <c r="AE42" i="11" s="1"/>
  <c r="AF29" i="11"/>
  <c r="AF42" i="11" s="1"/>
  <c r="AG29" i="11"/>
  <c r="AH29" i="11"/>
  <c r="X30" i="11"/>
  <c r="X43" i="11" s="1"/>
  <c r="Y30" i="11"/>
  <c r="Y43" i="11" s="1"/>
  <c r="Z30" i="11"/>
  <c r="AA30" i="11"/>
  <c r="AA43" i="11" s="1"/>
  <c r="AB30" i="11"/>
  <c r="AB43" i="11" s="1"/>
  <c r="AC30" i="11"/>
  <c r="AC43" i="11" s="1"/>
  <c r="AD30" i="11"/>
  <c r="AE30" i="11"/>
  <c r="AE43" i="11" s="1"/>
  <c r="AF30" i="11"/>
  <c r="AF43" i="11" s="1"/>
  <c r="AG30" i="11"/>
  <c r="AG43" i="11" s="1"/>
  <c r="AH30" i="11"/>
  <c r="X31" i="11"/>
  <c r="X44" i="11" s="1"/>
  <c r="Y31" i="11"/>
  <c r="Y44" i="11" s="1"/>
  <c r="Z31" i="11"/>
  <c r="Z44" i="11" s="1"/>
  <c r="AA31" i="11"/>
  <c r="AB31" i="11"/>
  <c r="AB44" i="11" s="1"/>
  <c r="AC31" i="11"/>
  <c r="AC44" i="11" s="1"/>
  <c r="AD31" i="11"/>
  <c r="AD44" i="11" s="1"/>
  <c r="AE31" i="11"/>
  <c r="AF31" i="11"/>
  <c r="AF44" i="11" s="1"/>
  <c r="AG31" i="11"/>
  <c r="AG44" i="11" s="1"/>
  <c r="AH31" i="11"/>
  <c r="AH44" i="11" s="1"/>
  <c r="X32" i="11"/>
  <c r="Y32" i="11"/>
  <c r="Y45" i="11" s="1"/>
  <c r="Z32" i="11"/>
  <c r="Z45" i="11" s="1"/>
  <c r="AA32" i="11"/>
  <c r="AA45" i="11" s="1"/>
  <c r="AB32" i="11"/>
  <c r="AC32" i="11"/>
  <c r="AC45" i="11" s="1"/>
  <c r="AD32" i="11"/>
  <c r="AD45" i="11" s="1"/>
  <c r="AE32" i="11"/>
  <c r="AE45" i="11" s="1"/>
  <c r="AF32" i="11"/>
  <c r="AG32" i="11"/>
  <c r="AG45" i="11" s="1"/>
  <c r="AH32" i="11"/>
  <c r="AH45" i="11" s="1"/>
  <c r="X33" i="11"/>
  <c r="X46" i="11" s="1"/>
  <c r="Y33" i="11"/>
  <c r="Z33" i="11"/>
  <c r="Z46" i="11" s="1"/>
  <c r="AA33" i="11"/>
  <c r="AA46" i="11" s="1"/>
  <c r="AB33" i="11"/>
  <c r="AB46" i="11" s="1"/>
  <c r="AC33" i="11"/>
  <c r="AD33" i="11"/>
  <c r="AD46" i="11" s="1"/>
  <c r="AE33" i="11"/>
  <c r="AE46" i="11" s="1"/>
  <c r="AF33" i="11"/>
  <c r="AF46" i="11" s="1"/>
  <c r="AG33" i="11"/>
  <c r="AG46" i="11" s="1"/>
  <c r="AH33" i="11"/>
  <c r="AH46" i="11" s="1"/>
  <c r="Y42" i="11"/>
  <c r="AC42" i="11"/>
  <c r="AG42" i="11"/>
  <c r="AH42" i="11"/>
  <c r="Z43" i="11"/>
  <c r="AD43" i="11"/>
  <c r="AH43" i="11"/>
  <c r="AA44" i="11"/>
  <c r="AE44" i="11"/>
  <c r="X45" i="11"/>
  <c r="AB45" i="11"/>
  <c r="AF45" i="11"/>
  <c r="Y46" i="11"/>
  <c r="AC46" i="11"/>
  <c r="X55" i="11"/>
  <c r="Y55" i="11"/>
  <c r="Z55" i="11"/>
  <c r="AA55" i="11"/>
  <c r="AB55" i="11"/>
  <c r="AC55" i="11"/>
  <c r="AD55" i="11"/>
  <c r="AE55" i="11"/>
  <c r="AF55" i="11"/>
  <c r="AG55" i="11"/>
  <c r="AH55" i="11"/>
  <c r="AH67" i="1"/>
  <c r="AG67" i="1"/>
  <c r="AF67" i="1"/>
  <c r="AE67" i="1"/>
  <c r="AD67" i="1"/>
  <c r="AC67" i="1"/>
  <c r="AB67" i="1"/>
  <c r="AA67" i="1"/>
  <c r="Z67" i="1"/>
  <c r="Y67" i="1"/>
  <c r="X67" i="1"/>
  <c r="F56" i="20" l="1"/>
  <c r="G49" i="20" s="1"/>
  <c r="F55" i="20"/>
  <c r="G48" i="20" s="1"/>
  <c r="F58" i="20"/>
  <c r="G51" i="20" s="1"/>
  <c r="E61" i="20"/>
  <c r="F50" i="20"/>
  <c r="D60" i="20"/>
  <c r="E63" i="20"/>
  <c r="G52" i="20"/>
  <c r="G55" i="20" l="1"/>
  <c r="H48" i="20" s="1"/>
  <c r="F57" i="20"/>
  <c r="F63" i="20" s="1"/>
  <c r="E60" i="20"/>
  <c r="G58" i="20"/>
  <c r="H51" i="20" s="1"/>
  <c r="G56" i="20"/>
  <c r="H49" i="20" s="1"/>
  <c r="G59" i="20"/>
  <c r="H52" i="20" s="1"/>
  <c r="G50" i="20" l="1"/>
  <c r="G57" i="20" s="1"/>
  <c r="G61" i="20" s="1"/>
  <c r="F61" i="20"/>
  <c r="H58" i="20"/>
  <c r="I51" i="20" s="1"/>
  <c r="F60" i="20"/>
  <c r="H59" i="20"/>
  <c r="I52" i="20" s="1"/>
  <c r="H55" i="20"/>
  <c r="I48" i="20" s="1"/>
  <c r="H56" i="20"/>
  <c r="I49" i="20" s="1"/>
  <c r="H50" i="20" l="1"/>
  <c r="H57" i="20" s="1"/>
  <c r="H61" i="20" s="1"/>
  <c r="G63" i="20"/>
  <c r="G60" i="20" s="1"/>
  <c r="I56" i="20"/>
  <c r="J49" i="20" s="1"/>
  <c r="I55" i="20"/>
  <c r="J48" i="20" s="1"/>
  <c r="I59" i="20"/>
  <c r="J52" i="20" s="1"/>
  <c r="I58" i="20"/>
  <c r="J51" i="20" s="1"/>
  <c r="H63" i="20" l="1"/>
  <c r="H60" i="20" s="1"/>
  <c r="J56" i="20"/>
  <c r="K49" i="20" s="1"/>
  <c r="J59" i="20"/>
  <c r="K52" i="20" s="1"/>
  <c r="J55" i="20"/>
  <c r="K48" i="20" s="1"/>
  <c r="I50" i="20"/>
  <c r="J58" i="20"/>
  <c r="K51" i="20" s="1"/>
  <c r="K59" i="20" l="1"/>
  <c r="L52" i="20" s="1"/>
  <c r="K55" i="20"/>
  <c r="L48" i="20" s="1"/>
  <c r="K58" i="20"/>
  <c r="K56" i="20"/>
  <c r="L49" i="20" s="1"/>
  <c r="L56" i="20" s="1"/>
  <c r="M49" i="20" s="1"/>
  <c r="I57" i="20"/>
  <c r="J50" i="20" s="1"/>
  <c r="M56" i="20" l="1"/>
  <c r="N49" i="20" s="1"/>
  <c r="N56" i="20" s="1"/>
  <c r="O49" i="20" s="1"/>
  <c r="O56" i="20" s="1"/>
  <c r="P49" i="20" s="1"/>
  <c r="P56" i="20" s="1"/>
  <c r="Q49" i="20" s="1"/>
  <c r="Q56" i="20" s="1"/>
  <c r="R49" i="20" s="1"/>
  <c r="L55" i="20"/>
  <c r="M48" i="20" s="1"/>
  <c r="L59" i="20"/>
  <c r="M52" i="20" s="1"/>
  <c r="L51" i="20"/>
  <c r="J57" i="20"/>
  <c r="J61" i="20" s="1"/>
  <c r="I61" i="20"/>
  <c r="I63" i="20"/>
  <c r="AH21" i="1"/>
  <c r="AH22" i="1"/>
  <c r="AI22" i="1"/>
  <c r="AH23" i="1"/>
  <c r="AI23" i="1"/>
  <c r="AH24" i="1"/>
  <c r="AI24" i="1"/>
  <c r="AH25" i="1"/>
  <c r="AI25" i="1"/>
  <c r="AH42" i="1"/>
  <c r="AH54" i="1" s="1"/>
  <c r="AI42" i="1"/>
  <c r="AH43" i="1"/>
  <c r="AI43" i="1"/>
  <c r="AH44" i="1"/>
  <c r="AH56" i="1" s="1"/>
  <c r="AI44" i="1"/>
  <c r="AH45" i="1"/>
  <c r="AI45" i="1"/>
  <c r="AH46" i="1"/>
  <c r="AH58" i="1" s="1"/>
  <c r="AI46" i="1"/>
  <c r="X21" i="1"/>
  <c r="Y21" i="1"/>
  <c r="Z21" i="1"/>
  <c r="AA21" i="1"/>
  <c r="AB21" i="1"/>
  <c r="AC21" i="1"/>
  <c r="AD21" i="1"/>
  <c r="AE21" i="1"/>
  <c r="AF21" i="1"/>
  <c r="AG21" i="1"/>
  <c r="X22" i="1"/>
  <c r="Y22" i="1"/>
  <c r="Z22" i="1"/>
  <c r="AA22" i="1"/>
  <c r="AB22" i="1"/>
  <c r="AC22" i="1"/>
  <c r="AD22" i="1"/>
  <c r="AE22" i="1"/>
  <c r="AF22" i="1"/>
  <c r="AG22" i="1"/>
  <c r="X23" i="1"/>
  <c r="Y23" i="1"/>
  <c r="Z23" i="1"/>
  <c r="AA23" i="1"/>
  <c r="AB23" i="1"/>
  <c r="AC23" i="1"/>
  <c r="AD23" i="1"/>
  <c r="AE23" i="1"/>
  <c r="AF23" i="1"/>
  <c r="AG23" i="1"/>
  <c r="X24" i="1"/>
  <c r="Y24" i="1"/>
  <c r="Z24" i="1"/>
  <c r="AA24" i="1"/>
  <c r="AB24" i="1"/>
  <c r="AC24" i="1"/>
  <c r="AD24" i="1"/>
  <c r="AE24" i="1"/>
  <c r="AF24" i="1"/>
  <c r="AG24" i="1"/>
  <c r="X25" i="1"/>
  <c r="Y25" i="1"/>
  <c r="Z25" i="1"/>
  <c r="AA25" i="1"/>
  <c r="AB25" i="1"/>
  <c r="AC25" i="1"/>
  <c r="AD25" i="1"/>
  <c r="AE25" i="1"/>
  <c r="AF25" i="1"/>
  <c r="AG25" i="1"/>
  <c r="X42" i="1"/>
  <c r="X54" i="1" s="1"/>
  <c r="Y42" i="1"/>
  <c r="Y54" i="1" s="1"/>
  <c r="Z42" i="1"/>
  <c r="AA42" i="1"/>
  <c r="AB42" i="1"/>
  <c r="AB54" i="1" s="1"/>
  <c r="AC42" i="1"/>
  <c r="AD42" i="1"/>
  <c r="AE42" i="1"/>
  <c r="AF42" i="1"/>
  <c r="AF54" i="1" s="1"/>
  <c r="AG42" i="1"/>
  <c r="X43" i="1"/>
  <c r="Y43" i="1"/>
  <c r="Z43" i="1"/>
  <c r="Z55" i="1" s="1"/>
  <c r="AA43" i="1"/>
  <c r="AA55" i="1" s="1"/>
  <c r="AB43" i="1"/>
  <c r="AC43" i="1"/>
  <c r="AD43" i="1"/>
  <c r="AD55" i="1" s="1"/>
  <c r="AE43" i="1"/>
  <c r="AE55" i="1" s="1"/>
  <c r="AF43" i="1"/>
  <c r="AG43" i="1"/>
  <c r="X44" i="1"/>
  <c r="X56" i="1" s="1"/>
  <c r="Y44" i="1"/>
  <c r="Z44" i="1"/>
  <c r="AA44" i="1"/>
  <c r="AB44" i="1"/>
  <c r="AB56" i="1" s="1"/>
  <c r="AC44" i="1"/>
  <c r="AC56" i="1" s="1"/>
  <c r="AD44" i="1"/>
  <c r="AD56" i="1" s="1"/>
  <c r="AE44" i="1"/>
  <c r="AF44" i="1"/>
  <c r="AF56" i="1" s="1"/>
  <c r="AG44" i="1"/>
  <c r="AG56" i="1" s="1"/>
  <c r="X45" i="1"/>
  <c r="Y45" i="1"/>
  <c r="Z45" i="1"/>
  <c r="Z57" i="1" s="1"/>
  <c r="AA45" i="1"/>
  <c r="AA57" i="1" s="1"/>
  <c r="AB45" i="1"/>
  <c r="AC45" i="1"/>
  <c r="AD45" i="1"/>
  <c r="AD57" i="1" s="1"/>
  <c r="AE45" i="1"/>
  <c r="AE57" i="1" s="1"/>
  <c r="AF45" i="1"/>
  <c r="AG45" i="1"/>
  <c r="X46" i="1"/>
  <c r="X58" i="1" s="1"/>
  <c r="Y46" i="1"/>
  <c r="Y58" i="1" s="1"/>
  <c r="Z46" i="1"/>
  <c r="Z58" i="1" s="1"/>
  <c r="AA46" i="1"/>
  <c r="AB46" i="1"/>
  <c r="AB58" i="1" s="1"/>
  <c r="AC46" i="1"/>
  <c r="AC58" i="1" s="1"/>
  <c r="AD46" i="1"/>
  <c r="AE46" i="1"/>
  <c r="AF46" i="1"/>
  <c r="AF58" i="1" s="1"/>
  <c r="AG46" i="1"/>
  <c r="AG58" i="1" s="1"/>
  <c r="Z54" i="1"/>
  <c r="AC54" i="1"/>
  <c r="AD54" i="1"/>
  <c r="X55" i="1"/>
  <c r="AB55" i="1"/>
  <c r="AC55" i="1"/>
  <c r="AF55" i="1"/>
  <c r="Y56" i="1"/>
  <c r="Z56" i="1"/>
  <c r="X57" i="1"/>
  <c r="Y57" i="1"/>
  <c r="AB57" i="1"/>
  <c r="AF57" i="1"/>
  <c r="AD58" i="1"/>
  <c r="AE58" i="1"/>
  <c r="R56" i="20" l="1"/>
  <c r="S49" i="20" s="1"/>
  <c r="S56" i="20" s="1"/>
  <c r="T49" i="20" s="1"/>
  <c r="T56" i="20" s="1"/>
  <c r="U49" i="20" s="1"/>
  <c r="U56" i="20" s="1"/>
  <c r="V49" i="20" s="1"/>
  <c r="V56" i="20" s="1"/>
  <c r="W49" i="20" s="1"/>
  <c r="W56" i="20" s="1"/>
  <c r="X49" i="20" s="1"/>
  <c r="X56" i="20" s="1"/>
  <c r="Y49" i="20" s="1"/>
  <c r="AG57" i="1"/>
  <c r="AC57" i="1"/>
  <c r="AE56" i="1"/>
  <c r="AG55" i="1"/>
  <c r="Y55" i="1"/>
  <c r="AE54" i="1"/>
  <c r="AG54" i="1"/>
  <c r="N65" i="22"/>
  <c r="N72" i="22" s="1"/>
  <c r="N76" i="22" s="1"/>
  <c r="AA58" i="1"/>
  <c r="AA56" i="1"/>
  <c r="AA54" i="1"/>
  <c r="M59" i="20"/>
  <c r="N52" i="20" s="1"/>
  <c r="M55" i="20"/>
  <c r="N48" i="20" s="1"/>
  <c r="N55" i="20" s="1"/>
  <c r="AI58" i="1"/>
  <c r="AV55" i="11"/>
  <c r="AI56" i="1"/>
  <c r="L58" i="20"/>
  <c r="M51" i="20" s="1"/>
  <c r="K50" i="20"/>
  <c r="J63" i="20"/>
  <c r="I60" i="20"/>
  <c r="AI57" i="1"/>
  <c r="AI55" i="1"/>
  <c r="AH57" i="1"/>
  <c r="AH55" i="1"/>
  <c r="AI54" i="1"/>
  <c r="N59" i="20" l="1"/>
  <c r="O52" i="20" s="1"/>
  <c r="O59" i="20" s="1"/>
  <c r="P52" i="20" s="1"/>
  <c r="P59" i="20" s="1"/>
  <c r="Q52" i="20" s="1"/>
  <c r="Q59" i="20" s="1"/>
  <c r="R52" i="20" s="1"/>
  <c r="O48" i="20"/>
  <c r="Y56" i="20"/>
  <c r="N51" i="20"/>
  <c r="N58" i="20" s="1"/>
  <c r="O51" i="20" s="1"/>
  <c r="O58" i="20" s="1"/>
  <c r="P51" i="20" s="1"/>
  <c r="P58" i="20" s="1"/>
  <c r="Q51" i="20" s="1"/>
  <c r="Q58" i="20" s="1"/>
  <c r="R51" i="20" s="1"/>
  <c r="M58" i="20"/>
  <c r="K57" i="20"/>
  <c r="K61" i="20" s="1"/>
  <c r="J60" i="20"/>
  <c r="O55" i="20" l="1"/>
  <c r="P48" i="20"/>
  <c r="R58" i="20"/>
  <c r="S51" i="20" s="1"/>
  <c r="S58" i="20" s="1"/>
  <c r="T51" i="20" s="1"/>
  <c r="T58" i="20" s="1"/>
  <c r="U51" i="20" s="1"/>
  <c r="U58" i="20" s="1"/>
  <c r="V51" i="20" s="1"/>
  <c r="R59" i="20"/>
  <c r="S52" i="20" s="1"/>
  <c r="S59" i="20" s="1"/>
  <c r="T52" i="20" s="1"/>
  <c r="T59" i="20" s="1"/>
  <c r="U52" i="20" s="1"/>
  <c r="U59" i="20" s="1"/>
  <c r="V52" i="20" s="1"/>
  <c r="V59" i="20" s="1"/>
  <c r="W52" i="20" s="1"/>
  <c r="W59" i="20" s="1"/>
  <c r="X52" i="20" s="1"/>
  <c r="X59" i="20" s="1"/>
  <c r="Y52" i="20" s="1"/>
  <c r="K63" i="20"/>
  <c r="K60" i="20" s="1"/>
  <c r="L50" i="20"/>
  <c r="N74" i="22" l="1"/>
  <c r="O65" i="22"/>
  <c r="O72" i="22" s="1"/>
  <c r="O76" i="22" s="1"/>
  <c r="O73" i="22" s="1"/>
  <c r="V58" i="20"/>
  <c r="W51" i="20" s="1"/>
  <c r="W58" i="20" s="1"/>
  <c r="X51" i="20" s="1"/>
  <c r="X58" i="20" s="1"/>
  <c r="Y51" i="20" s="1"/>
  <c r="Y59" i="20"/>
  <c r="P55" i="20"/>
  <c r="Q48" i="20" s="1"/>
  <c r="Q55" i="20" s="1"/>
  <c r="L57" i="20"/>
  <c r="O74" i="22" l="1"/>
  <c r="F8" i="22"/>
  <c r="G8" i="22" s="1"/>
  <c r="N73" i="22"/>
  <c r="Y58" i="20"/>
  <c r="R48" i="20"/>
  <c r="M50" i="20"/>
  <c r="L61" i="20"/>
  <c r="L63" i="20"/>
  <c r="F9" i="22" l="1"/>
  <c r="F10" i="22" s="1"/>
  <c r="G9" i="22"/>
  <c r="C30" i="23"/>
  <c r="R55" i="20"/>
  <c r="S48" i="20"/>
  <c r="M57" i="20"/>
  <c r="M61" i="20" s="1"/>
  <c r="L60" i="20"/>
  <c r="N50" i="20" l="1"/>
  <c r="N57" i="20" s="1"/>
  <c r="O50" i="20"/>
  <c r="O57" i="20" s="1"/>
  <c r="N61" i="20"/>
  <c r="S55" i="20"/>
  <c r="T48" i="20" s="1"/>
  <c r="M63" i="20"/>
  <c r="P50" i="20" l="1"/>
  <c r="O61" i="20"/>
  <c r="M60" i="20"/>
  <c r="N63" i="20"/>
  <c r="T55" i="20"/>
  <c r="P57" i="20" l="1"/>
  <c r="P61" i="20" s="1"/>
  <c r="Q50" i="20"/>
  <c r="Q57" i="20" s="1"/>
  <c r="U48" i="20"/>
  <c r="N60" i="20"/>
  <c r="O63" i="20"/>
  <c r="R50" i="20" l="1"/>
  <c r="Q61" i="20"/>
  <c r="O60" i="20"/>
  <c r="P63" i="20"/>
  <c r="U55" i="20"/>
  <c r="V48" i="20"/>
  <c r="AX36" i="11"/>
  <c r="AW36" i="11"/>
  <c r="AV36" i="11"/>
  <c r="R57" i="20" l="1"/>
  <c r="R61" i="20" s="1"/>
  <c r="Q63" i="20"/>
  <c r="P60" i="20"/>
  <c r="V55" i="20"/>
  <c r="AX49" i="1"/>
  <c r="S50" i="20" l="1"/>
  <c r="S57" i="20" s="1"/>
  <c r="W48" i="20"/>
  <c r="Q60" i="20"/>
  <c r="R63" i="20"/>
  <c r="T50" i="20" l="1"/>
  <c r="T57" i="20" s="1"/>
  <c r="S61" i="20"/>
  <c r="W55" i="20"/>
  <c r="X48" i="20" s="1"/>
  <c r="R60" i="20"/>
  <c r="S63" i="20"/>
  <c r="AV29" i="11"/>
  <c r="W29" i="11"/>
  <c r="R29" i="11"/>
  <c r="S29" i="11"/>
  <c r="S42" i="11" s="1"/>
  <c r="T29" i="11"/>
  <c r="T42" i="11" s="1"/>
  <c r="U29" i="11"/>
  <c r="V29" i="11"/>
  <c r="R30" i="11"/>
  <c r="R43" i="11" s="1"/>
  <c r="S30" i="11"/>
  <c r="S43" i="11" s="1"/>
  <c r="T30" i="11"/>
  <c r="T43" i="11" s="1"/>
  <c r="U30" i="11"/>
  <c r="V30" i="11"/>
  <c r="V43" i="11" s="1"/>
  <c r="W30" i="11"/>
  <c r="W43" i="11" s="1"/>
  <c r="R31" i="11"/>
  <c r="R44" i="11" s="1"/>
  <c r="S31" i="11"/>
  <c r="S44" i="11" s="1"/>
  <c r="T31" i="11"/>
  <c r="T44" i="11" s="1"/>
  <c r="U31" i="11"/>
  <c r="U44" i="11" s="1"/>
  <c r="V31" i="11"/>
  <c r="V44" i="11" s="1"/>
  <c r="W31" i="11"/>
  <c r="W44" i="11" s="1"/>
  <c r="R32" i="11"/>
  <c r="R45" i="11" s="1"/>
  <c r="S32" i="11"/>
  <c r="S45" i="11" s="1"/>
  <c r="T32" i="11"/>
  <c r="U32" i="11"/>
  <c r="U45" i="11" s="1"/>
  <c r="V32" i="11"/>
  <c r="V45" i="11" s="1"/>
  <c r="W32" i="11"/>
  <c r="W45" i="11" s="1"/>
  <c r="R33" i="11"/>
  <c r="S33" i="11"/>
  <c r="T33" i="11"/>
  <c r="T46" i="11" s="1"/>
  <c r="U33" i="11"/>
  <c r="U46" i="11" s="1"/>
  <c r="V33" i="11"/>
  <c r="W33" i="11"/>
  <c r="W46" i="11" s="1"/>
  <c r="Q33" i="11"/>
  <c r="Q32" i="11"/>
  <c r="Q31" i="11"/>
  <c r="Q30" i="11"/>
  <c r="C42" i="11"/>
  <c r="D42" i="11"/>
  <c r="E42" i="11"/>
  <c r="F42" i="11"/>
  <c r="G42" i="11"/>
  <c r="C43" i="11"/>
  <c r="D43" i="11"/>
  <c r="E43" i="11"/>
  <c r="F43" i="11"/>
  <c r="C44" i="11"/>
  <c r="D44" i="11"/>
  <c r="E44" i="11"/>
  <c r="C45" i="11"/>
  <c r="D45" i="11"/>
  <c r="E45" i="11"/>
  <c r="C46" i="11"/>
  <c r="D46" i="11"/>
  <c r="E46" i="11"/>
  <c r="R46" i="11"/>
  <c r="B43" i="11"/>
  <c r="B44" i="11"/>
  <c r="B45" i="11"/>
  <c r="B46" i="11"/>
  <c r="B42" i="11"/>
  <c r="AW22" i="11"/>
  <c r="V46" i="11"/>
  <c r="S46" i="11"/>
  <c r="P33" i="11"/>
  <c r="P46" i="11" s="1"/>
  <c r="O33" i="11"/>
  <c r="O46" i="11" s="1"/>
  <c r="N33" i="11"/>
  <c r="N46" i="11" s="1"/>
  <c r="M33" i="11"/>
  <c r="M46" i="11" s="1"/>
  <c r="L33" i="11"/>
  <c r="L46" i="11" s="1"/>
  <c r="K33" i="11"/>
  <c r="K46" i="11" s="1"/>
  <c r="J33" i="11"/>
  <c r="J46" i="11" s="1"/>
  <c r="I33" i="11"/>
  <c r="I46" i="11" s="1"/>
  <c r="H33" i="11"/>
  <c r="H46" i="11" s="1"/>
  <c r="G33" i="11"/>
  <c r="G46" i="11" s="1"/>
  <c r="F33" i="11"/>
  <c r="F46" i="11" s="1"/>
  <c r="T45" i="11"/>
  <c r="P32" i="11"/>
  <c r="P45" i="11" s="1"/>
  <c r="O32" i="11"/>
  <c r="O45" i="11" s="1"/>
  <c r="N32" i="11"/>
  <c r="N45" i="11" s="1"/>
  <c r="M32" i="11"/>
  <c r="M45" i="11" s="1"/>
  <c r="L32" i="11"/>
  <c r="L45" i="11" s="1"/>
  <c r="K32" i="11"/>
  <c r="K45" i="11" s="1"/>
  <c r="J32" i="11"/>
  <c r="J45" i="11" s="1"/>
  <c r="I32" i="11"/>
  <c r="I45" i="11" s="1"/>
  <c r="H32" i="11"/>
  <c r="H45" i="11" s="1"/>
  <c r="G32" i="11"/>
  <c r="G45" i="11" s="1"/>
  <c r="F32" i="11"/>
  <c r="F45" i="11" s="1"/>
  <c r="P31" i="11"/>
  <c r="P44" i="11" s="1"/>
  <c r="O31" i="11"/>
  <c r="O44" i="11" s="1"/>
  <c r="N31" i="11"/>
  <c r="N44" i="11" s="1"/>
  <c r="M31" i="11"/>
  <c r="M44" i="11" s="1"/>
  <c r="L31" i="11"/>
  <c r="L44" i="11" s="1"/>
  <c r="K31" i="11"/>
  <c r="K44" i="11" s="1"/>
  <c r="J31" i="11"/>
  <c r="J44" i="11" s="1"/>
  <c r="I31" i="11"/>
  <c r="I44" i="11" s="1"/>
  <c r="H31" i="11"/>
  <c r="H44" i="11" s="1"/>
  <c r="G31" i="11"/>
  <c r="G44" i="11" s="1"/>
  <c r="F31" i="11"/>
  <c r="F44" i="11" s="1"/>
  <c r="U43" i="11"/>
  <c r="Q43" i="11"/>
  <c r="P30" i="11"/>
  <c r="P43" i="11" s="1"/>
  <c r="O30" i="11"/>
  <c r="O43" i="11" s="1"/>
  <c r="N30" i="11"/>
  <c r="N43" i="11" s="1"/>
  <c r="M30" i="11"/>
  <c r="M43" i="11" s="1"/>
  <c r="L30" i="11"/>
  <c r="L43" i="11" s="1"/>
  <c r="K30" i="11"/>
  <c r="K43" i="11" s="1"/>
  <c r="J30" i="11"/>
  <c r="J43" i="11" s="1"/>
  <c r="I30" i="11"/>
  <c r="I43" i="11" s="1"/>
  <c r="H30" i="11"/>
  <c r="H43" i="11" s="1"/>
  <c r="G30" i="11"/>
  <c r="G43" i="11" s="1"/>
  <c r="W42" i="11"/>
  <c r="V42" i="11"/>
  <c r="U42" i="11"/>
  <c r="R42" i="11"/>
  <c r="P29" i="11"/>
  <c r="P42" i="11" s="1"/>
  <c r="O29" i="11"/>
  <c r="O42" i="11" s="1"/>
  <c r="N29" i="11"/>
  <c r="N42" i="11" s="1"/>
  <c r="M29" i="11"/>
  <c r="M42" i="11" s="1"/>
  <c r="L29" i="11"/>
  <c r="L42" i="11" s="1"/>
  <c r="K29" i="11"/>
  <c r="K42" i="11" s="1"/>
  <c r="J29" i="11"/>
  <c r="J42" i="11" s="1"/>
  <c r="I29" i="11"/>
  <c r="I42" i="11" s="1"/>
  <c r="H29" i="11"/>
  <c r="H42" i="11" s="1"/>
  <c r="A36" i="11"/>
  <c r="AV42" i="11" l="1"/>
  <c r="U50" i="20"/>
  <c r="U57" i="20" s="1"/>
  <c r="T61" i="20"/>
  <c r="S60" i="20"/>
  <c r="T63" i="20"/>
  <c r="X55" i="20"/>
  <c r="Y48" i="20" s="1"/>
  <c r="Q42" i="11"/>
  <c r="Q46" i="11"/>
  <c r="Q45" i="11"/>
  <c r="Q44" i="11"/>
  <c r="AX22" i="11"/>
  <c r="V50" i="20" l="1"/>
  <c r="V57" i="20" s="1"/>
  <c r="U61" i="20"/>
  <c r="Y55" i="20"/>
  <c r="T60" i="20"/>
  <c r="U63" i="20"/>
  <c r="W50" i="20" l="1"/>
  <c r="W57" i="20" s="1"/>
  <c r="V61" i="20"/>
  <c r="U60" i="20"/>
  <c r="V63" i="20"/>
  <c r="X50" i="20" l="1"/>
  <c r="X57" i="20" s="1"/>
  <c r="W61" i="20"/>
  <c r="V60" i="20"/>
  <c r="W63" i="20"/>
  <c r="Y50" i="20" l="1"/>
  <c r="X61" i="20"/>
  <c r="W60" i="20"/>
  <c r="X63" i="20"/>
  <c r="B29" i="19"/>
  <c r="B41" i="19" s="1"/>
  <c r="Y57" i="20" l="1"/>
  <c r="Y61" i="20" s="1"/>
  <c r="X60" i="20"/>
  <c r="Y63" i="20"/>
  <c r="Y60" i="20" s="1"/>
  <c r="B33" i="19"/>
  <c r="B45" i="19" s="1"/>
  <c r="B32" i="19"/>
  <c r="B31" i="19"/>
  <c r="B30" i="19"/>
  <c r="C33" i="19"/>
  <c r="C32" i="19"/>
  <c r="C31" i="19"/>
  <c r="C30" i="19"/>
  <c r="C29" i="19"/>
  <c r="D33" i="19"/>
  <c r="D32" i="19"/>
  <c r="D31" i="19"/>
  <c r="D30" i="19"/>
  <c r="D29" i="19"/>
  <c r="E33" i="19"/>
  <c r="E32" i="19"/>
  <c r="E31" i="19"/>
  <c r="E30" i="19"/>
  <c r="E29" i="19"/>
  <c r="F43" i="1" l="1"/>
  <c r="F42" i="1"/>
  <c r="F29" i="19"/>
  <c r="C5" i="19"/>
  <c r="C6" i="19"/>
  <c r="C7" i="19"/>
  <c r="C8" i="19"/>
  <c r="C4" i="19"/>
  <c r="C41" i="19"/>
  <c r="D41" i="19"/>
  <c r="E41" i="19"/>
  <c r="C42" i="19"/>
  <c r="D42" i="19"/>
  <c r="E42" i="19"/>
  <c r="C43" i="19"/>
  <c r="D43" i="19"/>
  <c r="E43" i="19"/>
  <c r="C44" i="19"/>
  <c r="D44" i="19"/>
  <c r="E44" i="19"/>
  <c r="C45" i="19"/>
  <c r="D45" i="19"/>
  <c r="E45" i="19"/>
  <c r="B42" i="19"/>
  <c r="B43" i="19"/>
  <c r="B44" i="19"/>
  <c r="B52" i="19" l="1"/>
  <c r="B51" i="19"/>
  <c r="B50" i="19"/>
  <c r="B49" i="19"/>
  <c r="B48" i="19"/>
  <c r="K33" i="19"/>
  <c r="K45" i="19" s="1"/>
  <c r="J33" i="19"/>
  <c r="J45" i="19" s="1"/>
  <c r="I33" i="19"/>
  <c r="I45" i="19" s="1"/>
  <c r="H33" i="19"/>
  <c r="H45" i="19" s="1"/>
  <c r="G33" i="19"/>
  <c r="G45" i="19" s="1"/>
  <c r="F33" i="19"/>
  <c r="F45" i="19" s="1"/>
  <c r="K32" i="19"/>
  <c r="K44" i="19" s="1"/>
  <c r="J32" i="19"/>
  <c r="J44" i="19" s="1"/>
  <c r="I32" i="19"/>
  <c r="I44" i="19" s="1"/>
  <c r="H32" i="19"/>
  <c r="H44" i="19" s="1"/>
  <c r="G32" i="19"/>
  <c r="G44" i="19" s="1"/>
  <c r="F32" i="19"/>
  <c r="F44" i="19" s="1"/>
  <c r="K31" i="19"/>
  <c r="K43" i="19" s="1"/>
  <c r="J31" i="19"/>
  <c r="J43" i="19" s="1"/>
  <c r="I31" i="19"/>
  <c r="I43" i="19" s="1"/>
  <c r="H31" i="19"/>
  <c r="H43" i="19" s="1"/>
  <c r="G31" i="19"/>
  <c r="G43" i="19" s="1"/>
  <c r="F31" i="19"/>
  <c r="F43" i="19" s="1"/>
  <c r="K30" i="19"/>
  <c r="K42" i="19" s="1"/>
  <c r="J30" i="19"/>
  <c r="J42" i="19" s="1"/>
  <c r="I30" i="19"/>
  <c r="I42" i="19" s="1"/>
  <c r="H30" i="19"/>
  <c r="H42" i="19" s="1"/>
  <c r="G30" i="19"/>
  <c r="G42" i="19" s="1"/>
  <c r="F30" i="19"/>
  <c r="F42" i="19" s="1"/>
  <c r="K29" i="19"/>
  <c r="K41" i="19" s="1"/>
  <c r="J29" i="19"/>
  <c r="J41" i="19" s="1"/>
  <c r="I29" i="19"/>
  <c r="I41" i="19" s="1"/>
  <c r="H29" i="19"/>
  <c r="H41" i="19" s="1"/>
  <c r="G29" i="19"/>
  <c r="G41" i="19" s="1"/>
  <c r="F41" i="19"/>
  <c r="A36" i="19"/>
  <c r="C14" i="19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R14" i="19" s="1"/>
  <c r="S14" i="19" s="1"/>
  <c r="T14" i="19" s="1"/>
  <c r="U14" i="19" s="1"/>
  <c r="V14" i="19" s="1"/>
  <c r="V25" i="1"/>
  <c r="V24" i="1"/>
  <c r="V23" i="1"/>
  <c r="V22" i="1"/>
  <c r="V21" i="1"/>
  <c r="W67" i="1"/>
  <c r="W14" i="19" l="1"/>
  <c r="X14" i="19" s="1"/>
  <c r="Y14" i="19" s="1"/>
  <c r="Z14" i="19" s="1"/>
  <c r="AA14" i="19" s="1"/>
  <c r="AB14" i="19" s="1"/>
  <c r="AC14" i="19" s="1"/>
  <c r="AD14" i="19" s="1"/>
  <c r="AE14" i="19" s="1"/>
  <c r="AF14" i="19" s="1"/>
  <c r="AG14" i="19" s="1"/>
  <c r="AH14" i="19" s="1"/>
  <c r="AI14" i="19" s="1"/>
  <c r="K54" i="19"/>
  <c r="B7" i="19" l="1"/>
  <c r="D7" i="19" s="1"/>
  <c r="B6" i="19"/>
  <c r="D6" i="19" s="1"/>
  <c r="C9" i="19"/>
  <c r="B8" i="19" l="1"/>
  <c r="D8" i="19" s="1"/>
  <c r="B5" i="19"/>
  <c r="D5" i="19" s="1"/>
  <c r="B4" i="19"/>
  <c r="D4" i="19" s="1"/>
  <c r="B9" i="19" l="1"/>
  <c r="D9" i="19"/>
  <c r="W55" i="11"/>
  <c r="V67" i="1" l="1"/>
  <c r="U67" i="1"/>
  <c r="T67" i="1"/>
  <c r="H54" i="19" l="1"/>
  <c r="T55" i="11"/>
  <c r="I54" i="19"/>
  <c r="U55" i="11"/>
  <c r="J54" i="19"/>
  <c r="V55" i="11"/>
  <c r="S67" i="1"/>
  <c r="R67" i="1"/>
  <c r="Q67" i="1"/>
  <c r="P67" i="1"/>
  <c r="O67" i="1"/>
  <c r="N67" i="1"/>
  <c r="M67" i="1"/>
  <c r="M55" i="11" s="1"/>
  <c r="K67" i="1"/>
  <c r="L67" i="1"/>
  <c r="L55" i="11" s="1"/>
  <c r="Q42" i="1"/>
  <c r="F54" i="19" l="1"/>
  <c r="R55" i="11"/>
  <c r="G54" i="19"/>
  <c r="S55" i="11"/>
  <c r="B54" i="19"/>
  <c r="N55" i="11"/>
  <c r="C54" i="19"/>
  <c r="O55" i="11"/>
  <c r="D54" i="19"/>
  <c r="P55" i="11"/>
  <c r="E54" i="19"/>
  <c r="Q55" i="11"/>
  <c r="G42" i="1"/>
  <c r="B58" i="19" l="1"/>
  <c r="C51" i="19" s="1"/>
  <c r="C58" i="19" s="1"/>
  <c r="D51" i="19" s="1"/>
  <c r="D58" i="19" s="1"/>
  <c r="E51" i="19" s="1"/>
  <c r="E58" i="19" s="1"/>
  <c r="F51" i="19" s="1"/>
  <c r="F58" i="19" s="1"/>
  <c r="G51" i="19" s="1"/>
  <c r="G58" i="19" s="1"/>
  <c r="H51" i="19" s="1"/>
  <c r="H58" i="19" s="1"/>
  <c r="I51" i="19" s="1"/>
  <c r="I58" i="19" s="1"/>
  <c r="J51" i="19" s="1"/>
  <c r="J58" i="19" s="1"/>
  <c r="K51" i="19" s="1"/>
  <c r="B56" i="19"/>
  <c r="C49" i="19" s="1"/>
  <c r="C56" i="19" s="1"/>
  <c r="D49" i="19" s="1"/>
  <c r="D56" i="19" s="1"/>
  <c r="E49" i="19" s="1"/>
  <c r="E56" i="19" s="1"/>
  <c r="F49" i="19" s="1"/>
  <c r="F56" i="19" s="1"/>
  <c r="G49" i="19" s="1"/>
  <c r="G56" i="19" s="1"/>
  <c r="H49" i="19" s="1"/>
  <c r="H56" i="19" s="1"/>
  <c r="I49" i="19" s="1"/>
  <c r="I56" i="19" s="1"/>
  <c r="J49" i="19" s="1"/>
  <c r="J56" i="19" s="1"/>
  <c r="K49" i="19" s="1"/>
  <c r="B55" i="19"/>
  <c r="B57" i="19"/>
  <c r="C50" i="19" s="1"/>
  <c r="C57" i="19" s="1"/>
  <c r="D50" i="19" s="1"/>
  <c r="D57" i="19" s="1"/>
  <c r="E50" i="19" s="1"/>
  <c r="E57" i="19" s="1"/>
  <c r="F50" i="19" s="1"/>
  <c r="F57" i="19" s="1"/>
  <c r="G50" i="19" s="1"/>
  <c r="G57" i="19" s="1"/>
  <c r="H50" i="19" s="1"/>
  <c r="H57" i="19" s="1"/>
  <c r="I50" i="19" s="1"/>
  <c r="I57" i="19" s="1"/>
  <c r="J50" i="19" s="1"/>
  <c r="J57" i="19" s="1"/>
  <c r="K50" i="19" s="1"/>
  <c r="B59" i="19"/>
  <c r="C52" i="19" s="1"/>
  <c r="C59" i="19" s="1"/>
  <c r="D52" i="19" s="1"/>
  <c r="B63" i="19" l="1"/>
  <c r="K57" i="19"/>
  <c r="L50" i="19"/>
  <c r="K56" i="19"/>
  <c r="K58" i="19"/>
  <c r="L51" i="19" s="1"/>
  <c r="D59" i="19"/>
  <c r="E52" i="19" s="1"/>
  <c r="E59" i="19" s="1"/>
  <c r="F52" i="19" s="1"/>
  <c r="F59" i="19" s="1"/>
  <c r="G52" i="19" s="1"/>
  <c r="G59" i="19" s="1"/>
  <c r="H52" i="19" s="1"/>
  <c r="H59" i="19" s="1"/>
  <c r="I52" i="19" s="1"/>
  <c r="I59" i="19" s="1"/>
  <c r="J52" i="19" s="1"/>
  <c r="J59" i="19" s="1"/>
  <c r="K52" i="19" s="1"/>
  <c r="C48" i="19"/>
  <c r="B61" i="19"/>
  <c r="B60" i="19"/>
  <c r="L49" i="19" l="1"/>
  <c r="K59" i="19"/>
  <c r="L52" i="19" s="1"/>
  <c r="L59" i="19" s="1"/>
  <c r="M52" i="19" s="1"/>
  <c r="L56" i="19"/>
  <c r="M49" i="19" s="1"/>
  <c r="L58" i="19"/>
  <c r="M51" i="19" s="1"/>
  <c r="L57" i="19"/>
  <c r="M50" i="19" s="1"/>
  <c r="M57" i="19" s="1"/>
  <c r="N50" i="19" s="1"/>
  <c r="N57" i="19" s="1"/>
  <c r="O50" i="19" s="1"/>
  <c r="C55" i="19"/>
  <c r="D48" i="19" s="1"/>
  <c r="C63" i="19" l="1"/>
  <c r="M56" i="19"/>
  <c r="N49" i="19" s="1"/>
  <c r="M58" i="19"/>
  <c r="N51" i="19" s="1"/>
  <c r="N58" i="19" s="1"/>
  <c r="O51" i="19" s="1"/>
  <c r="O57" i="19"/>
  <c r="P50" i="19" s="1"/>
  <c r="P57" i="19" s="1"/>
  <c r="Q50" i="19" s="1"/>
  <c r="Q57" i="19" s="1"/>
  <c r="R50" i="19" s="1"/>
  <c r="M59" i="19"/>
  <c r="N52" i="19" s="1"/>
  <c r="D55" i="19"/>
  <c r="E48" i="19" s="1"/>
  <c r="C60" i="19"/>
  <c r="C61" i="19"/>
  <c r="D21" i="1"/>
  <c r="D25" i="1"/>
  <c r="E25" i="1"/>
  <c r="E58" i="1" s="1"/>
  <c r="F25" i="1"/>
  <c r="G25" i="1"/>
  <c r="H25" i="1"/>
  <c r="I25" i="1"/>
  <c r="J25" i="1"/>
  <c r="W25" i="1"/>
  <c r="AV25" i="1"/>
  <c r="AW25" i="1"/>
  <c r="AX25" i="1"/>
  <c r="K25" i="1"/>
  <c r="L25" i="1"/>
  <c r="M25" i="1"/>
  <c r="N25" i="1"/>
  <c r="O25" i="1"/>
  <c r="P25" i="1"/>
  <c r="Q25" i="1"/>
  <c r="R25" i="1"/>
  <c r="S25" i="1"/>
  <c r="T25" i="1"/>
  <c r="U25" i="1"/>
  <c r="B58" i="1"/>
  <c r="B65" i="1" s="1"/>
  <c r="C58" i="1"/>
  <c r="D67" i="1"/>
  <c r="D55" i="11" s="1"/>
  <c r="E67" i="1"/>
  <c r="E55" i="11" s="1"/>
  <c r="F46" i="1"/>
  <c r="F67" i="1"/>
  <c r="F55" i="11" s="1"/>
  <c r="G46" i="1"/>
  <c r="G67" i="1"/>
  <c r="H46" i="1"/>
  <c r="H58" i="1" s="1"/>
  <c r="H67" i="1"/>
  <c r="H55" i="11" s="1"/>
  <c r="I46" i="1"/>
  <c r="I67" i="1"/>
  <c r="I55" i="11" s="1"/>
  <c r="J46" i="1"/>
  <c r="J67" i="1"/>
  <c r="J55" i="11" s="1"/>
  <c r="K46" i="1"/>
  <c r="K58" i="1" s="1"/>
  <c r="L46" i="1"/>
  <c r="M46" i="1"/>
  <c r="N46" i="1"/>
  <c r="O46" i="1"/>
  <c r="O58" i="1" s="1"/>
  <c r="P46" i="1"/>
  <c r="Q46" i="1"/>
  <c r="R46" i="1"/>
  <c r="S46" i="1"/>
  <c r="T46" i="1"/>
  <c r="U46" i="1"/>
  <c r="V46" i="1"/>
  <c r="V58" i="1" s="1"/>
  <c r="W46" i="1"/>
  <c r="AW67" i="1"/>
  <c r="AV26" i="11"/>
  <c r="AV33" i="11" s="1"/>
  <c r="AW26" i="11"/>
  <c r="AW33" i="11" s="1"/>
  <c r="AW46" i="11" s="1"/>
  <c r="AX26" i="11"/>
  <c r="AX33" i="11" s="1"/>
  <c r="AX46" i="11" s="1"/>
  <c r="B55" i="11"/>
  <c r="C55" i="11"/>
  <c r="G55" i="11"/>
  <c r="K55" i="11"/>
  <c r="D24" i="1"/>
  <c r="D57" i="1" s="1"/>
  <c r="E24" i="1"/>
  <c r="E57" i="1" s="1"/>
  <c r="F24" i="1"/>
  <c r="G24" i="1"/>
  <c r="H24" i="1"/>
  <c r="I24" i="1"/>
  <c r="J24" i="1"/>
  <c r="W24" i="1"/>
  <c r="AV24" i="1"/>
  <c r="AW24" i="1"/>
  <c r="AX24" i="1"/>
  <c r="K24" i="1"/>
  <c r="L24" i="1"/>
  <c r="M24" i="1"/>
  <c r="N24" i="1"/>
  <c r="O24" i="1"/>
  <c r="P24" i="1"/>
  <c r="Q24" i="1"/>
  <c r="R24" i="1"/>
  <c r="S24" i="1"/>
  <c r="T24" i="1"/>
  <c r="U24" i="1"/>
  <c r="B57" i="1"/>
  <c r="B64" i="1" s="1"/>
  <c r="C57" i="1"/>
  <c r="F45" i="1"/>
  <c r="G45" i="1"/>
  <c r="G57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AV25" i="11"/>
  <c r="AV32" i="11" s="1"/>
  <c r="AW25" i="11"/>
  <c r="AW32" i="11" s="1"/>
  <c r="AW45" i="11" s="1"/>
  <c r="AX25" i="11"/>
  <c r="AX32" i="11" s="1"/>
  <c r="AX45" i="11" s="1"/>
  <c r="D23" i="1"/>
  <c r="E23" i="1"/>
  <c r="F23" i="1"/>
  <c r="G23" i="1"/>
  <c r="H23" i="1"/>
  <c r="I23" i="1"/>
  <c r="J23" i="1"/>
  <c r="W23" i="1"/>
  <c r="AV23" i="1"/>
  <c r="AW23" i="1"/>
  <c r="AX23" i="1"/>
  <c r="K23" i="1"/>
  <c r="L23" i="1"/>
  <c r="M23" i="1"/>
  <c r="N23" i="1"/>
  <c r="O23" i="1"/>
  <c r="P23" i="1"/>
  <c r="Q23" i="1"/>
  <c r="R23" i="1"/>
  <c r="S23" i="1"/>
  <c r="T23" i="1"/>
  <c r="U23" i="1"/>
  <c r="B56" i="1"/>
  <c r="B63" i="1" s="1"/>
  <c r="C56" i="1"/>
  <c r="E56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AV24" i="11"/>
  <c r="AV31" i="11" s="1"/>
  <c r="AW24" i="11"/>
  <c r="AW31" i="11" s="1"/>
  <c r="AW44" i="11" s="1"/>
  <c r="AX24" i="11"/>
  <c r="AX31" i="11" s="1"/>
  <c r="AX44" i="11" s="1"/>
  <c r="D22" i="1"/>
  <c r="D55" i="1" s="1"/>
  <c r="E22" i="1"/>
  <c r="E55" i="1" s="1"/>
  <c r="F22" i="1"/>
  <c r="F55" i="1" s="1"/>
  <c r="G22" i="1"/>
  <c r="H22" i="1"/>
  <c r="I22" i="1"/>
  <c r="J22" i="1"/>
  <c r="W22" i="1"/>
  <c r="AV22" i="1"/>
  <c r="AW22" i="1"/>
  <c r="AX22" i="1"/>
  <c r="K22" i="1"/>
  <c r="L22" i="1"/>
  <c r="M22" i="1"/>
  <c r="N22" i="1"/>
  <c r="O22" i="1"/>
  <c r="P22" i="1"/>
  <c r="Q22" i="1"/>
  <c r="R22" i="1"/>
  <c r="S22" i="1"/>
  <c r="T22" i="1"/>
  <c r="U22" i="1"/>
  <c r="B55" i="1"/>
  <c r="B62" i="1" s="1"/>
  <c r="B69" i="1" s="1"/>
  <c r="C55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V55" i="1" s="1"/>
  <c r="W43" i="1"/>
  <c r="AV23" i="11"/>
  <c r="AW23" i="11"/>
  <c r="AW30" i="11" s="1"/>
  <c r="AW43" i="11" s="1"/>
  <c r="AX23" i="11"/>
  <c r="AX30" i="11" s="1"/>
  <c r="AX43" i="11" s="1"/>
  <c r="E21" i="1"/>
  <c r="F21" i="1"/>
  <c r="F54" i="1" s="1"/>
  <c r="G21" i="1"/>
  <c r="G54" i="1" s="1"/>
  <c r="H21" i="1"/>
  <c r="I21" i="1"/>
  <c r="J21" i="1"/>
  <c r="K21" i="1"/>
  <c r="L21" i="1"/>
  <c r="M21" i="1"/>
  <c r="N21" i="1"/>
  <c r="O21" i="1"/>
  <c r="P21" i="1"/>
  <c r="Q21" i="1"/>
  <c r="Q54" i="1" s="1"/>
  <c r="R21" i="1"/>
  <c r="S21" i="1"/>
  <c r="T21" i="1"/>
  <c r="U21" i="1"/>
  <c r="W21" i="1"/>
  <c r="AW21" i="1"/>
  <c r="AX21" i="1"/>
  <c r="B54" i="1"/>
  <c r="B61" i="1" s="1"/>
  <c r="C54" i="1"/>
  <c r="H42" i="1"/>
  <c r="I42" i="1"/>
  <c r="J42" i="1"/>
  <c r="K42" i="1"/>
  <c r="K54" i="1" s="1"/>
  <c r="L42" i="1"/>
  <c r="M42" i="1"/>
  <c r="N42" i="1"/>
  <c r="O42" i="1"/>
  <c r="O54" i="1" s="1"/>
  <c r="P42" i="1"/>
  <c r="R42" i="1"/>
  <c r="S42" i="1"/>
  <c r="T42" i="1"/>
  <c r="U42" i="1"/>
  <c r="V42" i="1"/>
  <c r="W42" i="1"/>
  <c r="AW29" i="11"/>
  <c r="AX29" i="11"/>
  <c r="AX42" i="11" s="1"/>
  <c r="C9" i="5"/>
  <c r="D9" i="5"/>
  <c r="D20" i="5"/>
  <c r="D19" i="5"/>
  <c r="D18" i="5"/>
  <c r="D17" i="5"/>
  <c r="D16" i="5"/>
  <c r="G16" i="5" s="1"/>
  <c r="G8" i="5"/>
  <c r="G7" i="5"/>
  <c r="G6" i="5"/>
  <c r="G5" i="5"/>
  <c r="B53" i="11"/>
  <c r="B52" i="11"/>
  <c r="B51" i="11"/>
  <c r="B50" i="11"/>
  <c r="B49" i="11"/>
  <c r="C14" i="11"/>
  <c r="D14" i="11" s="1"/>
  <c r="E14" i="11" s="1"/>
  <c r="F14" i="11" s="1"/>
  <c r="G14" i="11" s="1"/>
  <c r="H14" i="11" s="1"/>
  <c r="I14" i="11" s="1"/>
  <c r="J14" i="11" s="1"/>
  <c r="K14" i="11" s="1"/>
  <c r="D8" i="11"/>
  <c r="D7" i="11"/>
  <c r="D6" i="11"/>
  <c r="D5" i="11"/>
  <c r="B10" i="12"/>
  <c r="A35" i="1"/>
  <c r="A49" i="1" s="1"/>
  <c r="A39" i="1"/>
  <c r="A38" i="1"/>
  <c r="A37" i="1"/>
  <c r="A36" i="1"/>
  <c r="C14" i="1"/>
  <c r="D14" i="1" s="1"/>
  <c r="E14" i="1" s="1"/>
  <c r="F14" i="1" s="1"/>
  <c r="G14" i="1" s="1"/>
  <c r="H14" i="1" s="1"/>
  <c r="I14" i="1" s="1"/>
  <c r="J14" i="1" s="1"/>
  <c r="K14" i="1" s="1"/>
  <c r="D4" i="1"/>
  <c r="D5" i="1"/>
  <c r="D6" i="1"/>
  <c r="D7" i="1"/>
  <c r="D8" i="1"/>
  <c r="G15" i="4"/>
  <c r="G14" i="4"/>
  <c r="G13" i="4"/>
  <c r="G12" i="4"/>
  <c r="H11" i="4"/>
  <c r="G11" i="4"/>
  <c r="G9" i="4"/>
  <c r="B10" i="4"/>
  <c r="I8" i="4"/>
  <c r="I15" i="4" s="1"/>
  <c r="H8" i="4"/>
  <c r="H15" i="4" s="1"/>
  <c r="I7" i="4"/>
  <c r="J7" i="4" s="1"/>
  <c r="J14" i="4" s="1"/>
  <c r="H7" i="4"/>
  <c r="H14" i="4" s="1"/>
  <c r="I6" i="4"/>
  <c r="J6" i="4" s="1"/>
  <c r="J13" i="4" s="1"/>
  <c r="H6" i="4"/>
  <c r="H13" i="4" s="1"/>
  <c r="I5" i="4"/>
  <c r="J5" i="4" s="1"/>
  <c r="J12" i="4" s="1"/>
  <c r="H5" i="4"/>
  <c r="D54" i="24" l="1"/>
  <c r="M55" i="21"/>
  <c r="C4" i="11"/>
  <c r="AV54" i="1"/>
  <c r="G56" i="1"/>
  <c r="E4" i="1"/>
  <c r="R57" i="19"/>
  <c r="S50" i="19" s="1"/>
  <c r="O58" i="19"/>
  <c r="P51" i="19" s="1"/>
  <c r="N56" i="19"/>
  <c r="O49" i="19" s="1"/>
  <c r="O56" i="19" s="1"/>
  <c r="P49" i="19" s="1"/>
  <c r="P56" i="19" s="1"/>
  <c r="Q49" i="19" s="1"/>
  <c r="N59" i="19"/>
  <c r="O52" i="19" s="1"/>
  <c r="O59" i="19" s="1"/>
  <c r="P52" i="19" s="1"/>
  <c r="I57" i="1"/>
  <c r="G55" i="1"/>
  <c r="F56" i="1"/>
  <c r="AV30" i="11"/>
  <c r="C5" i="11" s="1"/>
  <c r="I12" i="4"/>
  <c r="I14" i="4"/>
  <c r="I9" i="4"/>
  <c r="H9" i="4"/>
  <c r="I11" i="4"/>
  <c r="I13" i="4"/>
  <c r="AV46" i="11"/>
  <c r="C8" i="11"/>
  <c r="AV45" i="11"/>
  <c r="C7" i="11"/>
  <c r="AV44" i="11"/>
  <c r="C6" i="11"/>
  <c r="AW42" i="11"/>
  <c r="E55" i="19"/>
  <c r="F48" i="19" s="1"/>
  <c r="R55" i="1"/>
  <c r="N55" i="1"/>
  <c r="D63" i="19"/>
  <c r="D60" i="19" s="1"/>
  <c r="D61" i="19"/>
  <c r="B58" i="11"/>
  <c r="C51" i="11" s="1"/>
  <c r="C58" i="11" s="1"/>
  <c r="D51" i="11" s="1"/>
  <c r="B60" i="11"/>
  <c r="AX67" i="1"/>
  <c r="L14" i="1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56" i="11"/>
  <c r="S58" i="1"/>
  <c r="C53" i="11"/>
  <c r="C60" i="11" s="1"/>
  <c r="D53" i="11" s="1"/>
  <c r="I56" i="1"/>
  <c r="H55" i="1"/>
  <c r="T56" i="1"/>
  <c r="P56" i="1"/>
  <c r="L56" i="1"/>
  <c r="T57" i="1"/>
  <c r="P57" i="1"/>
  <c r="L57" i="1"/>
  <c r="H57" i="1"/>
  <c r="G58" i="1"/>
  <c r="V56" i="1"/>
  <c r="N56" i="1"/>
  <c r="F57" i="1"/>
  <c r="J21" i="5"/>
  <c r="K57" i="1"/>
  <c r="S54" i="1"/>
  <c r="R57" i="1"/>
  <c r="N57" i="1"/>
  <c r="R58" i="1"/>
  <c r="N58" i="1"/>
  <c r="B57" i="11"/>
  <c r="C50" i="11" s="1"/>
  <c r="C57" i="11" s="1"/>
  <c r="B59" i="11"/>
  <c r="C52" i="11" s="1"/>
  <c r="C59" i="11" s="1"/>
  <c r="D52" i="11" s="1"/>
  <c r="J57" i="1"/>
  <c r="I58" i="1"/>
  <c r="I55" i="1"/>
  <c r="N54" i="1"/>
  <c r="H54" i="1"/>
  <c r="Q56" i="1"/>
  <c r="J56" i="1"/>
  <c r="V54" i="1"/>
  <c r="R54" i="1"/>
  <c r="J54" i="1"/>
  <c r="K55" i="1"/>
  <c r="S57" i="1"/>
  <c r="T55" i="1"/>
  <c r="P55" i="1"/>
  <c r="L55" i="1"/>
  <c r="O55" i="1"/>
  <c r="L58" i="1"/>
  <c r="K56" i="1"/>
  <c r="H56" i="1"/>
  <c r="P54" i="1"/>
  <c r="L54" i="1"/>
  <c r="M54" i="1"/>
  <c r="I54" i="1"/>
  <c r="C62" i="1"/>
  <c r="C69" i="1" s="1"/>
  <c r="D62" i="1" s="1"/>
  <c r="J55" i="1"/>
  <c r="AW42" i="1"/>
  <c r="D9" i="1"/>
  <c r="S55" i="1"/>
  <c r="U56" i="1"/>
  <c r="R56" i="1"/>
  <c r="T58" i="1"/>
  <c r="P58" i="1"/>
  <c r="M56" i="1"/>
  <c r="V57" i="1"/>
  <c r="AV46" i="1"/>
  <c r="W58" i="1"/>
  <c r="W56" i="1"/>
  <c r="W55" i="1"/>
  <c r="W57" i="1"/>
  <c r="Q58" i="1"/>
  <c r="T54" i="1"/>
  <c r="O57" i="1"/>
  <c r="U55" i="1"/>
  <c r="Q55" i="1"/>
  <c r="M55" i="1"/>
  <c r="S56" i="1"/>
  <c r="O56" i="1"/>
  <c r="U58" i="1"/>
  <c r="M58" i="1"/>
  <c r="U57" i="1"/>
  <c r="Q57" i="1"/>
  <c r="M57" i="1"/>
  <c r="W54" i="1"/>
  <c r="E7" i="1"/>
  <c r="E8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C8" i="4"/>
  <c r="J4" i="4"/>
  <c r="J8" i="4"/>
  <c r="J15" i="4" s="1"/>
  <c r="C9" i="4" s="1"/>
  <c r="H12" i="4"/>
  <c r="G4" i="5"/>
  <c r="D9" i="11"/>
  <c r="E6" i="1"/>
  <c r="D56" i="1"/>
  <c r="B70" i="1"/>
  <c r="C63" i="1" s="1"/>
  <c r="B71" i="1"/>
  <c r="C64" i="1" s="1"/>
  <c r="U54" i="1"/>
  <c r="E54" i="1"/>
  <c r="AW46" i="1"/>
  <c r="AW58" i="1" s="1"/>
  <c r="B72" i="1"/>
  <c r="C65" i="1" s="1"/>
  <c r="H31" i="13"/>
  <c r="E5" i="1"/>
  <c r="AV45" i="1"/>
  <c r="AV43" i="1"/>
  <c r="AV44" i="1"/>
  <c r="J58" i="1"/>
  <c r="AW44" i="1"/>
  <c r="AW56" i="1" s="1"/>
  <c r="AW45" i="1"/>
  <c r="AW57" i="1" s="1"/>
  <c r="AW43" i="1"/>
  <c r="AW55" i="1" s="1"/>
  <c r="B68" i="1"/>
  <c r="F58" i="1"/>
  <c r="D58" i="1"/>
  <c r="AW55" i="11"/>
  <c r="AW54" i="1" l="1"/>
  <c r="M59" i="21"/>
  <c r="N52" i="21" s="1"/>
  <c r="M60" i="21"/>
  <c r="N53" i="21" s="1"/>
  <c r="M58" i="21"/>
  <c r="N51" i="21" s="1"/>
  <c r="M57" i="21"/>
  <c r="N50" i="21" s="1"/>
  <c r="M56" i="21"/>
  <c r="E54" i="24"/>
  <c r="N55" i="21"/>
  <c r="C19" i="5"/>
  <c r="C20" i="5"/>
  <c r="C18" i="5"/>
  <c r="AV57" i="1"/>
  <c r="AV64" i="1" s="1"/>
  <c r="AV56" i="1"/>
  <c r="AV63" i="1" s="1"/>
  <c r="AV58" i="1"/>
  <c r="AV65" i="1" s="1"/>
  <c r="AV55" i="1"/>
  <c r="AV62" i="1" s="1"/>
  <c r="E5" i="20"/>
  <c r="F5" i="20" s="1"/>
  <c r="F27" i="5" s="1"/>
  <c r="E8" i="20"/>
  <c r="F8" i="20" s="1"/>
  <c r="F30" i="5" s="1"/>
  <c r="E7" i="20"/>
  <c r="F7" i="20" s="1"/>
  <c r="F29" i="5" s="1"/>
  <c r="E6" i="20"/>
  <c r="F6" i="20" s="1"/>
  <c r="F28" i="5" s="1"/>
  <c r="Q56" i="19"/>
  <c r="R49" i="19" s="1"/>
  <c r="P58" i="19"/>
  <c r="Q51" i="19" s="1"/>
  <c r="Q58" i="19" s="1"/>
  <c r="R51" i="19" s="1"/>
  <c r="R58" i="19" s="1"/>
  <c r="S51" i="19" s="1"/>
  <c r="P59" i="19"/>
  <c r="Q52" i="19" s="1"/>
  <c r="S57" i="19"/>
  <c r="T50" i="19" s="1"/>
  <c r="T57" i="19" s="1"/>
  <c r="U50" i="19" s="1"/>
  <c r="U57" i="19" s="1"/>
  <c r="V50" i="19" s="1"/>
  <c r="X14" i="11"/>
  <c r="Y14" i="11" s="1"/>
  <c r="Z14" i="11" s="1"/>
  <c r="AA14" i="11" s="1"/>
  <c r="AB14" i="11" s="1"/>
  <c r="AC14" i="11" s="1"/>
  <c r="AD14" i="11" s="1"/>
  <c r="AE14" i="11" s="1"/>
  <c r="AF14" i="11" s="1"/>
  <c r="AG14" i="11" s="1"/>
  <c r="AH14" i="11" s="1"/>
  <c r="AI14" i="11" s="1"/>
  <c r="AW14" i="11" s="1"/>
  <c r="AX14" i="11" s="1"/>
  <c r="AV43" i="1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W14" i="1" s="1"/>
  <c r="AX14" i="1" s="1"/>
  <c r="F55" i="19"/>
  <c r="G48" i="19" s="1"/>
  <c r="E63" i="19"/>
  <c r="E60" i="19" s="1"/>
  <c r="E61" i="19"/>
  <c r="C49" i="11"/>
  <c r="C56" i="11" s="1"/>
  <c r="C62" i="11" s="1"/>
  <c r="B64" i="11"/>
  <c r="B61" i="11" s="1"/>
  <c r="AX55" i="11"/>
  <c r="C61" i="1"/>
  <c r="B76" i="1"/>
  <c r="B73" i="1" s="1"/>
  <c r="D50" i="11"/>
  <c r="D57" i="11" s="1"/>
  <c r="E50" i="11" s="1"/>
  <c r="B62" i="11"/>
  <c r="D69" i="1"/>
  <c r="E62" i="1" s="1"/>
  <c r="C68" i="1"/>
  <c r="D61" i="1" s="1"/>
  <c r="C70" i="1"/>
  <c r="D63" i="1" s="1"/>
  <c r="B74" i="1"/>
  <c r="C72" i="1"/>
  <c r="D65" i="1" s="1"/>
  <c r="J9" i="4"/>
  <c r="J11" i="4"/>
  <c r="E9" i="1"/>
  <c r="C71" i="1"/>
  <c r="D64" i="1" s="1"/>
  <c r="C9" i="11"/>
  <c r="AX42" i="1"/>
  <c r="AX43" i="1"/>
  <c r="AX55" i="1" s="1"/>
  <c r="AX44" i="1"/>
  <c r="AX56" i="1" s="1"/>
  <c r="AX46" i="1"/>
  <c r="AX58" i="1" s="1"/>
  <c r="AX45" i="1"/>
  <c r="AX57" i="1" s="1"/>
  <c r="D59" i="11"/>
  <c r="D58" i="11"/>
  <c r="D60" i="11"/>
  <c r="AX54" i="1" l="1"/>
  <c r="N57" i="21"/>
  <c r="E5" i="21" s="1"/>
  <c r="F5" i="21" s="1"/>
  <c r="D27" i="23" s="1"/>
  <c r="N58" i="21"/>
  <c r="E6" i="21" s="1"/>
  <c r="F6" i="21" s="1"/>
  <c r="D28" i="23" s="1"/>
  <c r="N60" i="21"/>
  <c r="E8" i="21" s="1"/>
  <c r="F8" i="21" s="1"/>
  <c r="D30" i="23" s="1"/>
  <c r="N49" i="21"/>
  <c r="N56" i="21" s="1"/>
  <c r="E4" i="21" s="1"/>
  <c r="M62" i="21"/>
  <c r="M64" i="21"/>
  <c r="M61" i="21" s="1"/>
  <c r="N59" i="21"/>
  <c r="E7" i="21" s="1"/>
  <c r="F7" i="21" s="1"/>
  <c r="D29" i="23" s="1"/>
  <c r="G16" i="23"/>
  <c r="K26" i="23" s="1"/>
  <c r="C4" i="23"/>
  <c r="G18" i="23"/>
  <c r="C6" i="23"/>
  <c r="C7" i="23"/>
  <c r="G19" i="23"/>
  <c r="C8" i="23"/>
  <c r="G20" i="23"/>
  <c r="C17" i="5"/>
  <c r="C8" i="1"/>
  <c r="C4" i="1"/>
  <c r="F4" i="1" s="1"/>
  <c r="C5" i="1"/>
  <c r="C6" i="1"/>
  <c r="C7" i="1"/>
  <c r="E4" i="20"/>
  <c r="E9" i="20" s="1"/>
  <c r="E10" i="20" s="1"/>
  <c r="V57" i="19"/>
  <c r="W50" i="19" s="1"/>
  <c r="S58" i="19"/>
  <c r="T51" i="19" s="1"/>
  <c r="Q59" i="19"/>
  <c r="R52" i="19" s="1"/>
  <c r="R59" i="19" s="1"/>
  <c r="S52" i="19" s="1"/>
  <c r="S59" i="19" s="1"/>
  <c r="T52" i="19" s="1"/>
  <c r="R56" i="19"/>
  <c r="S49" i="19" s="1"/>
  <c r="S56" i="19" s="1"/>
  <c r="T49" i="19" s="1"/>
  <c r="T56" i="19" s="1"/>
  <c r="U49" i="19" s="1"/>
  <c r="D49" i="11"/>
  <c r="D56" i="11" s="1"/>
  <c r="E49" i="11" s="1"/>
  <c r="E56" i="11" s="1"/>
  <c r="F49" i="11" s="1"/>
  <c r="G55" i="19"/>
  <c r="H48" i="19" s="1"/>
  <c r="F63" i="19"/>
  <c r="G63" i="19" s="1"/>
  <c r="F61" i="19"/>
  <c r="C64" i="11"/>
  <c r="C61" i="11" s="1"/>
  <c r="D71" i="1"/>
  <c r="E64" i="1" s="1"/>
  <c r="C76" i="1"/>
  <c r="D68" i="1"/>
  <c r="E69" i="1"/>
  <c r="F62" i="1" s="1"/>
  <c r="C16" i="5"/>
  <c r="C10" i="4"/>
  <c r="C11" i="4" s="1"/>
  <c r="C74" i="1"/>
  <c r="D72" i="1"/>
  <c r="E65" i="1" s="1"/>
  <c r="D70" i="1"/>
  <c r="E63" i="1" s="1"/>
  <c r="E52" i="11"/>
  <c r="E57" i="11"/>
  <c r="F50" i="11" s="1"/>
  <c r="E53" i="11"/>
  <c r="E51" i="11"/>
  <c r="D8" i="23" l="1"/>
  <c r="H8" i="23" s="1"/>
  <c r="L8" i="23" s="1"/>
  <c r="G30" i="23"/>
  <c r="F4" i="21"/>
  <c r="E9" i="21"/>
  <c r="E10" i="21" s="1"/>
  <c r="N62" i="21"/>
  <c r="N64" i="21"/>
  <c r="N61" i="21" s="1"/>
  <c r="D6" i="23"/>
  <c r="J18" i="23" s="1"/>
  <c r="G28" i="23"/>
  <c r="D7" i="23"/>
  <c r="J19" i="23" s="1"/>
  <c r="G29" i="23"/>
  <c r="D5" i="23"/>
  <c r="G27" i="23"/>
  <c r="P6" i="23"/>
  <c r="D17" i="13" s="1"/>
  <c r="J6" i="23"/>
  <c r="P8" i="23"/>
  <c r="D19" i="13" s="1"/>
  <c r="J8" i="23"/>
  <c r="C5" i="23"/>
  <c r="G17" i="23"/>
  <c r="P4" i="23"/>
  <c r="D15" i="13" s="1"/>
  <c r="J4" i="23"/>
  <c r="J7" i="23"/>
  <c r="P7" i="23"/>
  <c r="D18" i="13" s="1"/>
  <c r="W57" i="19"/>
  <c r="X50" i="19"/>
  <c r="X57" i="19" s="1"/>
  <c r="Y50" i="19" s="1"/>
  <c r="Y57" i="19" s="1"/>
  <c r="Z50" i="19" s="1"/>
  <c r="Z57" i="19" s="1"/>
  <c r="AA50" i="19" s="1"/>
  <c r="AA57" i="19" s="1"/>
  <c r="AB50" i="19" s="1"/>
  <c r="AB57" i="19" s="1"/>
  <c r="AC50" i="19" s="1"/>
  <c r="AC57" i="19" s="1"/>
  <c r="AD50" i="19" s="1"/>
  <c r="AD57" i="19" s="1"/>
  <c r="AE50" i="19" s="1"/>
  <c r="AE57" i="19" s="1"/>
  <c r="AF50" i="19" s="1"/>
  <c r="AF57" i="19" s="1"/>
  <c r="AG50" i="19" s="1"/>
  <c r="AG57" i="19" s="1"/>
  <c r="AH50" i="19" s="1"/>
  <c r="C9" i="1"/>
  <c r="E61" i="1"/>
  <c r="E68" i="1" s="1"/>
  <c r="D74" i="1"/>
  <c r="F4" i="20"/>
  <c r="F9" i="20" s="1"/>
  <c r="U56" i="19"/>
  <c r="V49" i="19" s="1"/>
  <c r="T59" i="19"/>
  <c r="U52" i="19" s="1"/>
  <c r="U59" i="19" s="1"/>
  <c r="T58" i="19"/>
  <c r="F60" i="19"/>
  <c r="D62" i="11"/>
  <c r="H55" i="19"/>
  <c r="I48" i="19" s="1"/>
  <c r="G61" i="19"/>
  <c r="G60" i="19"/>
  <c r="D64" i="11"/>
  <c r="D61" i="11" s="1"/>
  <c r="E70" i="1"/>
  <c r="F63" i="1" s="1"/>
  <c r="E72" i="1"/>
  <c r="F65" i="1" s="1"/>
  <c r="F72" i="1" s="1"/>
  <c r="G65" i="1" s="1"/>
  <c r="F69" i="1"/>
  <c r="G62" i="1" s="1"/>
  <c r="D76" i="1"/>
  <c r="C73" i="1"/>
  <c r="E71" i="1"/>
  <c r="F64" i="1" s="1"/>
  <c r="E60" i="11"/>
  <c r="F53" i="11" s="1"/>
  <c r="F57" i="11"/>
  <c r="G50" i="11" s="1"/>
  <c r="E58" i="11"/>
  <c r="F51" i="11" s="1"/>
  <c r="E59" i="11"/>
  <c r="F52" i="11" s="1"/>
  <c r="F56" i="11"/>
  <c r="G49" i="11" s="1"/>
  <c r="J20" i="23" l="1"/>
  <c r="H6" i="23"/>
  <c r="L6" i="23" s="1"/>
  <c r="N6" i="23" s="1"/>
  <c r="H7" i="23"/>
  <c r="L7" i="23" s="1"/>
  <c r="F9" i="21"/>
  <c r="D26" i="23"/>
  <c r="K5" i="23"/>
  <c r="Q5" i="23"/>
  <c r="E16" i="13" s="1"/>
  <c r="Q6" i="23"/>
  <c r="K6" i="23"/>
  <c r="K7" i="23"/>
  <c r="Q7" i="23"/>
  <c r="K8" i="23"/>
  <c r="N8" i="23" s="1"/>
  <c r="Q8" i="23"/>
  <c r="J17" i="23"/>
  <c r="P5" i="23"/>
  <c r="D16" i="13" s="1"/>
  <c r="H5" i="23"/>
  <c r="L5" i="23" s="1"/>
  <c r="J5" i="23"/>
  <c r="AH57" i="19"/>
  <c r="AI50" i="19"/>
  <c r="AI57" i="19" s="1"/>
  <c r="F26" i="5"/>
  <c r="V56" i="19"/>
  <c r="W49" i="19" s="1"/>
  <c r="V52" i="19"/>
  <c r="U51" i="19"/>
  <c r="I55" i="19"/>
  <c r="J48" i="19" s="1"/>
  <c r="H63" i="19"/>
  <c r="H60" i="19" s="1"/>
  <c r="H61" i="19"/>
  <c r="E74" i="1"/>
  <c r="G69" i="1"/>
  <c r="H62" i="1" s="1"/>
  <c r="H69" i="1" s="1"/>
  <c r="I62" i="1" s="1"/>
  <c r="G72" i="1"/>
  <c r="H65" i="1" s="1"/>
  <c r="H72" i="1" s="1"/>
  <c r="I65" i="1" s="1"/>
  <c r="I72" i="1" s="1"/>
  <c r="J65" i="1" s="1"/>
  <c r="J72" i="1" s="1"/>
  <c r="K65" i="1" s="1"/>
  <c r="F61" i="1"/>
  <c r="F71" i="1"/>
  <c r="G64" i="1" s="1"/>
  <c r="G71" i="1" s="1"/>
  <c r="H64" i="1" s="1"/>
  <c r="E76" i="1"/>
  <c r="D73" i="1"/>
  <c r="F70" i="1"/>
  <c r="G63" i="1" s="1"/>
  <c r="E62" i="11"/>
  <c r="G57" i="11"/>
  <c r="H50" i="11" s="1"/>
  <c r="F58" i="11"/>
  <c r="G51" i="11" s="1"/>
  <c r="F59" i="11"/>
  <c r="E64" i="11"/>
  <c r="F60" i="11"/>
  <c r="G53" i="11" s="1"/>
  <c r="G56" i="11"/>
  <c r="N7" i="23" l="1"/>
  <c r="T6" i="23"/>
  <c r="E17" i="13"/>
  <c r="T7" i="23"/>
  <c r="E18" i="13"/>
  <c r="T8" i="23"/>
  <c r="E19" i="13"/>
  <c r="T5" i="23"/>
  <c r="N5" i="23"/>
  <c r="W56" i="19"/>
  <c r="X49" i="19"/>
  <c r="E6" i="19"/>
  <c r="F6" i="19" s="1"/>
  <c r="F4" i="5"/>
  <c r="V59" i="19"/>
  <c r="W52" i="19" s="1"/>
  <c r="U58" i="19"/>
  <c r="I61" i="19"/>
  <c r="I63" i="19"/>
  <c r="I60" i="19" s="1"/>
  <c r="J55" i="19"/>
  <c r="K48" i="19" s="1"/>
  <c r="H71" i="1"/>
  <c r="I64" i="1" s="1"/>
  <c r="I71" i="1" s="1"/>
  <c r="G70" i="1"/>
  <c r="H63" i="1" s="1"/>
  <c r="H70" i="1" s="1"/>
  <c r="F68" i="1"/>
  <c r="F74" i="1" s="1"/>
  <c r="E73" i="1"/>
  <c r="F62" i="11"/>
  <c r="K72" i="1"/>
  <c r="L65" i="1" s="1"/>
  <c r="E61" i="11"/>
  <c r="F64" i="11"/>
  <c r="I69" i="1"/>
  <c r="J62" i="1" s="1"/>
  <c r="G58" i="11"/>
  <c r="H51" i="11" s="1"/>
  <c r="H57" i="11"/>
  <c r="I50" i="11" s="1"/>
  <c r="G52" i="11"/>
  <c r="H49" i="11"/>
  <c r="G60" i="11"/>
  <c r="H53" i="11" s="1"/>
  <c r="W59" i="19" l="1"/>
  <c r="X52" i="19"/>
  <c r="X59" i="19" s="1"/>
  <c r="Y52" i="19" s="1"/>
  <c r="Y59" i="19" s="1"/>
  <c r="Z52" i="19" s="1"/>
  <c r="Z59" i="19" s="1"/>
  <c r="AA52" i="19" s="1"/>
  <c r="AA59" i="19" s="1"/>
  <c r="AB52" i="19" s="1"/>
  <c r="AB59" i="19" s="1"/>
  <c r="AC52" i="19" s="1"/>
  <c r="AC59" i="19" s="1"/>
  <c r="AD52" i="19" s="1"/>
  <c r="AD59" i="19" s="1"/>
  <c r="AE52" i="19" s="1"/>
  <c r="AE59" i="19" s="1"/>
  <c r="AF52" i="19" s="1"/>
  <c r="AF59" i="19" s="1"/>
  <c r="AG52" i="19" s="1"/>
  <c r="AG59" i="19" s="1"/>
  <c r="AH52" i="19" s="1"/>
  <c r="X56" i="19"/>
  <c r="Y49" i="19"/>
  <c r="Y56" i="19" s="1"/>
  <c r="Z49" i="19" s="1"/>
  <c r="Z56" i="19" s="1"/>
  <c r="AA49" i="19" s="1"/>
  <c r="AA56" i="19" s="1"/>
  <c r="AB49" i="19" s="1"/>
  <c r="AB56" i="19" s="1"/>
  <c r="AC49" i="19" s="1"/>
  <c r="AC56" i="19" s="1"/>
  <c r="AD49" i="19" s="1"/>
  <c r="AD56" i="19" s="1"/>
  <c r="AE49" i="19" s="1"/>
  <c r="AE56" i="19" s="1"/>
  <c r="AF49" i="19" s="1"/>
  <c r="AF56" i="19" s="1"/>
  <c r="AG49" i="19" s="1"/>
  <c r="AG56" i="19" s="1"/>
  <c r="AH49" i="19" s="1"/>
  <c r="S4" i="5"/>
  <c r="G5" i="13" s="1"/>
  <c r="G26" i="13" s="1"/>
  <c r="M4" i="5"/>
  <c r="G20" i="5"/>
  <c r="K30" i="23" s="1"/>
  <c r="F8" i="5"/>
  <c r="G18" i="5"/>
  <c r="K28" i="23" s="1"/>
  <c r="F6" i="5"/>
  <c r="G19" i="5"/>
  <c r="K29" i="23" s="1"/>
  <c r="F7" i="5"/>
  <c r="G17" i="5"/>
  <c r="K27" i="23" s="1"/>
  <c r="F5" i="5"/>
  <c r="K55" i="19"/>
  <c r="L48" i="19" s="1"/>
  <c r="V51" i="19"/>
  <c r="J61" i="19"/>
  <c r="J63" i="19"/>
  <c r="K63" i="19" s="1"/>
  <c r="K60" i="19" s="1"/>
  <c r="G61" i="1"/>
  <c r="G68" i="1" s="1"/>
  <c r="G74" i="1" s="1"/>
  <c r="I63" i="1"/>
  <c r="I70" i="1" s="1"/>
  <c r="J63" i="1" s="1"/>
  <c r="J64" i="1"/>
  <c r="J71" i="1" s="1"/>
  <c r="K64" i="1" s="1"/>
  <c r="F76" i="1"/>
  <c r="J69" i="1"/>
  <c r="K62" i="1" s="1"/>
  <c r="L72" i="1"/>
  <c r="M65" i="1" s="1"/>
  <c r="H60" i="11"/>
  <c r="I53" i="11" s="1"/>
  <c r="G59" i="11"/>
  <c r="G62" i="11" s="1"/>
  <c r="H58" i="11"/>
  <c r="I51" i="11" s="1"/>
  <c r="F61" i="11"/>
  <c r="H56" i="11"/>
  <c r="I49" i="11" s="1"/>
  <c r="I57" i="11"/>
  <c r="J50" i="11" s="1"/>
  <c r="K32" i="23" l="1"/>
  <c r="AH56" i="19"/>
  <c r="AI49" i="19"/>
  <c r="AI56" i="19" s="1"/>
  <c r="E5" i="19" s="1"/>
  <c r="F5" i="19" s="1"/>
  <c r="AH59" i="19"/>
  <c r="AI52" i="19"/>
  <c r="AI59" i="19" s="1"/>
  <c r="E8" i="19"/>
  <c r="F8" i="19" s="1"/>
  <c r="K61" i="19"/>
  <c r="S5" i="5"/>
  <c r="G6" i="13" s="1"/>
  <c r="G27" i="13" s="1"/>
  <c r="M5" i="5"/>
  <c r="S7" i="5"/>
  <c r="G8" i="13" s="1"/>
  <c r="G29" i="13" s="1"/>
  <c r="M7" i="5"/>
  <c r="S8" i="5"/>
  <c r="G9" i="13" s="1"/>
  <c r="G30" i="13" s="1"/>
  <c r="M8" i="5"/>
  <c r="S6" i="5"/>
  <c r="G7" i="13" s="1"/>
  <c r="G28" i="13" s="1"/>
  <c r="M6" i="5"/>
  <c r="V58" i="19"/>
  <c r="W51" i="19" s="1"/>
  <c r="L55" i="19"/>
  <c r="M48" i="19" s="1"/>
  <c r="J60" i="19"/>
  <c r="G64" i="11"/>
  <c r="G61" i="11" s="1"/>
  <c r="H61" i="1"/>
  <c r="F73" i="1"/>
  <c r="G76" i="1"/>
  <c r="H52" i="11"/>
  <c r="H59" i="11" s="1"/>
  <c r="K71" i="1"/>
  <c r="L64" i="1" s="1"/>
  <c r="I60" i="11"/>
  <c r="J53" i="11" s="1"/>
  <c r="K69" i="1"/>
  <c r="L62" i="1" s="1"/>
  <c r="I56" i="11"/>
  <c r="J49" i="11" s="1"/>
  <c r="M72" i="1"/>
  <c r="N65" i="1" s="1"/>
  <c r="J70" i="1"/>
  <c r="I58" i="11"/>
  <c r="J51" i="11" s="1"/>
  <c r="J57" i="11"/>
  <c r="K50" i="11" s="1"/>
  <c r="W58" i="19" l="1"/>
  <c r="X51" i="19"/>
  <c r="M55" i="19"/>
  <c r="N48" i="19" s="1"/>
  <c r="L63" i="19"/>
  <c r="L60" i="19" s="1"/>
  <c r="L61" i="19"/>
  <c r="H64" i="11"/>
  <c r="H61" i="11" s="1"/>
  <c r="G73" i="1"/>
  <c r="H68" i="1"/>
  <c r="I52" i="11"/>
  <c r="I59" i="11" s="1"/>
  <c r="J52" i="11" s="1"/>
  <c r="H62" i="11"/>
  <c r="J58" i="11"/>
  <c r="K51" i="11" s="1"/>
  <c r="J56" i="11"/>
  <c r="K49" i="11" s="1"/>
  <c r="J60" i="11"/>
  <c r="K53" i="11" s="1"/>
  <c r="K63" i="1"/>
  <c r="N72" i="1"/>
  <c r="L69" i="1"/>
  <c r="M62" i="1" s="1"/>
  <c r="L71" i="1"/>
  <c r="M64" i="1" s="1"/>
  <c r="K57" i="11"/>
  <c r="X58" i="19" l="1"/>
  <c r="Y51" i="19"/>
  <c r="N55" i="19"/>
  <c r="O48" i="19" s="1"/>
  <c r="M61" i="19"/>
  <c r="M63" i="19"/>
  <c r="M60" i="19" s="1"/>
  <c r="L50" i="11"/>
  <c r="L57" i="11" s="1"/>
  <c r="M50" i="11" s="1"/>
  <c r="H74" i="1"/>
  <c r="I61" i="1"/>
  <c r="I68" i="1" s="1"/>
  <c r="H76" i="1"/>
  <c r="H73" i="1" s="1"/>
  <c r="M69" i="1"/>
  <c r="N62" i="1" s="1"/>
  <c r="J59" i="11"/>
  <c r="K52" i="11" s="1"/>
  <c r="I64" i="11"/>
  <c r="K56" i="11"/>
  <c r="L49" i="11" s="1"/>
  <c r="K70" i="1"/>
  <c r="I62" i="11"/>
  <c r="K58" i="11"/>
  <c r="M71" i="1"/>
  <c r="N64" i="1" s="1"/>
  <c r="K60" i="11"/>
  <c r="Y58" i="19" l="1"/>
  <c r="Z51" i="19"/>
  <c r="O55" i="19"/>
  <c r="P48" i="19" s="1"/>
  <c r="N61" i="19"/>
  <c r="N63" i="19"/>
  <c r="N60" i="19" s="1"/>
  <c r="L53" i="11"/>
  <c r="L60" i="11" s="1"/>
  <c r="M53" i="11" s="1"/>
  <c r="M60" i="11" s="1"/>
  <c r="N53" i="11" s="1"/>
  <c r="L56" i="11"/>
  <c r="M49" i="11" s="1"/>
  <c r="M57" i="11"/>
  <c r="N50" i="11" s="1"/>
  <c r="L51" i="11"/>
  <c r="L58" i="11" s="1"/>
  <c r="M51" i="11" s="1"/>
  <c r="I76" i="1"/>
  <c r="J61" i="1"/>
  <c r="J68" i="1" s="1"/>
  <c r="I74" i="1"/>
  <c r="J62" i="11"/>
  <c r="N71" i="1"/>
  <c r="N69" i="1"/>
  <c r="K59" i="11"/>
  <c r="L63" i="1"/>
  <c r="I61" i="11"/>
  <c r="J64" i="11"/>
  <c r="Z58" i="19" l="1"/>
  <c r="AA51" i="19"/>
  <c r="P55" i="19"/>
  <c r="O61" i="19"/>
  <c r="O63" i="19"/>
  <c r="O60" i="19" s="1"/>
  <c r="N57" i="11"/>
  <c r="N60" i="11"/>
  <c r="M58" i="11"/>
  <c r="N51" i="11" s="1"/>
  <c r="M56" i="11"/>
  <c r="N49" i="11" s="1"/>
  <c r="L52" i="11"/>
  <c r="L59" i="11" s="1"/>
  <c r="M52" i="11" s="1"/>
  <c r="M59" i="11" s="1"/>
  <c r="N52" i="11" s="1"/>
  <c r="I73" i="1"/>
  <c r="J76" i="1"/>
  <c r="K61" i="1"/>
  <c r="K68" i="1" s="1"/>
  <c r="K74" i="1" s="1"/>
  <c r="J74" i="1"/>
  <c r="K62" i="11"/>
  <c r="L70" i="1"/>
  <c r="J61" i="11"/>
  <c r="K64" i="11"/>
  <c r="AA58" i="19" l="1"/>
  <c r="AB51" i="19"/>
  <c r="P61" i="19"/>
  <c r="P63" i="19"/>
  <c r="P60" i="19" s="1"/>
  <c r="Q48" i="19"/>
  <c r="L62" i="11"/>
  <c r="L64" i="11"/>
  <c r="L61" i="11" s="1"/>
  <c r="N56" i="11"/>
  <c r="N58" i="11"/>
  <c r="N59" i="11"/>
  <c r="M62" i="11"/>
  <c r="J73" i="1"/>
  <c r="K61" i="11"/>
  <c r="M63" i="1"/>
  <c r="AB58" i="19" l="1"/>
  <c r="AC51" i="19"/>
  <c r="Q55" i="19"/>
  <c r="R48" i="19" s="1"/>
  <c r="M64" i="11"/>
  <c r="M61" i="11" s="1"/>
  <c r="N62" i="11"/>
  <c r="L61" i="1"/>
  <c r="L68" i="1" s="1"/>
  <c r="M61" i="1" s="1"/>
  <c r="K76" i="1"/>
  <c r="K73" i="1" s="1"/>
  <c r="M70" i="1"/>
  <c r="AC58" i="19" l="1"/>
  <c r="AD51" i="19"/>
  <c r="R55" i="19"/>
  <c r="Q61" i="19"/>
  <c r="Q63" i="19"/>
  <c r="Q60" i="19" s="1"/>
  <c r="M68" i="1"/>
  <c r="N61" i="1" s="1"/>
  <c r="N64" i="11"/>
  <c r="N61" i="11" s="1"/>
  <c r="L74" i="1"/>
  <c r="L76" i="1"/>
  <c r="L73" i="1" s="1"/>
  <c r="N63" i="1"/>
  <c r="AD58" i="19" l="1"/>
  <c r="AE51" i="19"/>
  <c r="M74" i="1"/>
  <c r="R61" i="19"/>
  <c r="R63" i="19"/>
  <c r="R60" i="19" s="1"/>
  <c r="S48" i="19"/>
  <c r="N68" i="1"/>
  <c r="M76" i="1"/>
  <c r="N70" i="1"/>
  <c r="AE58" i="19" l="1"/>
  <c r="AF51" i="19"/>
  <c r="S55" i="19"/>
  <c r="T48" i="19" s="1"/>
  <c r="M73" i="1"/>
  <c r="N76" i="1"/>
  <c r="N74" i="1"/>
  <c r="AF58" i="19" l="1"/>
  <c r="AG51" i="19"/>
  <c r="T55" i="19"/>
  <c r="U48" i="19" s="1"/>
  <c r="S61" i="19"/>
  <c r="S63" i="19"/>
  <c r="S60" i="19" s="1"/>
  <c r="N73" i="1"/>
  <c r="AG58" i="19" l="1"/>
  <c r="AH51" i="19"/>
  <c r="U55" i="19"/>
  <c r="V48" i="19" s="1"/>
  <c r="T61" i="19"/>
  <c r="T63" i="19"/>
  <c r="T60" i="19" s="1"/>
  <c r="AH58" i="19" l="1"/>
  <c r="AI51" i="19"/>
  <c r="AI58" i="19" s="1"/>
  <c r="V55" i="19"/>
  <c r="V61" i="19" s="1"/>
  <c r="U61" i="19"/>
  <c r="U63" i="19"/>
  <c r="U60" i="19" s="1"/>
  <c r="W48" i="19" l="1"/>
  <c r="W55" i="19"/>
  <c r="X48" i="19"/>
  <c r="E7" i="19"/>
  <c r="F7" i="19" s="1"/>
  <c r="V63" i="19"/>
  <c r="V60" i="19" s="1"/>
  <c r="X55" i="19" l="1"/>
  <c r="W63" i="19"/>
  <c r="W60" i="19" s="1"/>
  <c r="W61" i="19"/>
  <c r="X63" i="19" l="1"/>
  <c r="X61" i="19"/>
  <c r="X60" i="19"/>
  <c r="Y48" i="19"/>
  <c r="Y55" i="19" s="1"/>
  <c r="O65" i="1"/>
  <c r="O72" i="1" s="1"/>
  <c r="P65" i="1" s="1"/>
  <c r="P72" i="1" s="1"/>
  <c r="Q65" i="1" s="1"/>
  <c r="Q72" i="1" s="1"/>
  <c r="R65" i="1" s="1"/>
  <c r="R72" i="1" s="1"/>
  <c r="S65" i="1" s="1"/>
  <c r="S72" i="1" s="1"/>
  <c r="T65" i="1" s="1"/>
  <c r="T72" i="1" s="1"/>
  <c r="U65" i="1" s="1"/>
  <c r="U72" i="1" s="1"/>
  <c r="V65" i="1" s="1"/>
  <c r="V72" i="1" s="1"/>
  <c r="W65" i="1" s="1"/>
  <c r="B8" i="1"/>
  <c r="F8" i="1" s="1"/>
  <c r="O64" i="1"/>
  <c r="O71" i="1" s="1"/>
  <c r="P64" i="1" s="1"/>
  <c r="P71" i="1" s="1"/>
  <c r="Q64" i="1" s="1"/>
  <c r="Q71" i="1" s="1"/>
  <c r="R64" i="1" s="1"/>
  <c r="R71" i="1" s="1"/>
  <c r="S64" i="1" s="1"/>
  <c r="S71" i="1" s="1"/>
  <c r="T64" i="1" s="1"/>
  <c r="T71" i="1" s="1"/>
  <c r="U64" i="1" s="1"/>
  <c r="U71" i="1" s="1"/>
  <c r="V64" i="1" s="1"/>
  <c r="V71" i="1" s="1"/>
  <c r="W64" i="1" s="1"/>
  <c r="B7" i="1"/>
  <c r="F7" i="1" s="1"/>
  <c r="Z48" i="19" l="1"/>
  <c r="Y63" i="19"/>
  <c r="Y60" i="19"/>
  <c r="Y61" i="19"/>
  <c r="W71" i="1"/>
  <c r="X64" i="1"/>
  <c r="W72" i="1"/>
  <c r="O63" i="1"/>
  <c r="O70" i="1" s="1"/>
  <c r="B6" i="1"/>
  <c r="F6" i="1" s="1"/>
  <c r="Z55" i="19" l="1"/>
  <c r="AA48" i="19"/>
  <c r="X65" i="1"/>
  <c r="X72" i="1" s="1"/>
  <c r="X71" i="1"/>
  <c r="Y64" i="1" s="1"/>
  <c r="Y71" i="1" s="1"/>
  <c r="Z64" i="1" s="1"/>
  <c r="Z71" i="1" s="1"/>
  <c r="AA64" i="1" s="1"/>
  <c r="AA71" i="1" s="1"/>
  <c r="AB64" i="1" s="1"/>
  <c r="AB71" i="1" s="1"/>
  <c r="AC64" i="1" s="1"/>
  <c r="AC71" i="1" s="1"/>
  <c r="AD64" i="1" s="1"/>
  <c r="AD71" i="1" s="1"/>
  <c r="AE64" i="1" s="1"/>
  <c r="AE71" i="1" s="1"/>
  <c r="AF64" i="1" s="1"/>
  <c r="AF71" i="1" s="1"/>
  <c r="AG64" i="1" s="1"/>
  <c r="AG71" i="1" s="1"/>
  <c r="AH64" i="1" s="1"/>
  <c r="AH71" i="1" s="1"/>
  <c r="AI64" i="1" s="1"/>
  <c r="P63" i="1"/>
  <c r="AA55" i="19" l="1"/>
  <c r="AB48" i="19"/>
  <c r="Z63" i="19"/>
  <c r="Z60" i="19" s="1"/>
  <c r="Z61" i="19"/>
  <c r="Y65" i="1"/>
  <c r="Y72" i="1" s="1"/>
  <c r="Z65" i="1" s="1"/>
  <c r="Z72" i="1" s="1"/>
  <c r="AA65" i="1" s="1"/>
  <c r="AA72" i="1" s="1"/>
  <c r="AB65" i="1" s="1"/>
  <c r="AB72" i="1" s="1"/>
  <c r="AC65" i="1" s="1"/>
  <c r="AC72" i="1" s="1"/>
  <c r="AD65" i="1" s="1"/>
  <c r="AD72" i="1" s="1"/>
  <c r="AE65" i="1" s="1"/>
  <c r="AE72" i="1" s="1"/>
  <c r="AF65" i="1" s="1"/>
  <c r="AF72" i="1" s="1"/>
  <c r="AG65" i="1" s="1"/>
  <c r="AG72" i="1" s="1"/>
  <c r="AH65" i="1" s="1"/>
  <c r="AH72" i="1" s="1"/>
  <c r="AI65" i="1" s="1"/>
  <c r="AI72" i="1" s="1"/>
  <c r="AV72" i="1" s="1"/>
  <c r="AW65" i="1" s="1"/>
  <c r="AW72" i="1" s="1"/>
  <c r="AX65" i="1" s="1"/>
  <c r="AX72" i="1" s="1"/>
  <c r="AI71" i="1"/>
  <c r="AV71" i="1" s="1"/>
  <c r="AW64" i="1" s="1"/>
  <c r="AW71" i="1" s="1"/>
  <c r="AX64" i="1" s="1"/>
  <c r="AX71" i="1" s="1"/>
  <c r="O62" i="1"/>
  <c r="O69" i="1" s="1"/>
  <c r="P62" i="1" s="1"/>
  <c r="P69" i="1" s="1"/>
  <c r="Q62" i="1" s="1"/>
  <c r="Q69" i="1" s="1"/>
  <c r="R62" i="1" s="1"/>
  <c r="R69" i="1" s="1"/>
  <c r="S62" i="1" s="1"/>
  <c r="S69" i="1" s="1"/>
  <c r="T62" i="1" s="1"/>
  <c r="T69" i="1" s="1"/>
  <c r="U62" i="1" s="1"/>
  <c r="U69" i="1" s="1"/>
  <c r="V62" i="1" s="1"/>
  <c r="V69" i="1" s="1"/>
  <c r="W62" i="1" s="1"/>
  <c r="B5" i="1"/>
  <c r="F5" i="1" s="1"/>
  <c r="P70" i="1"/>
  <c r="AB55" i="19" l="1"/>
  <c r="AC48" i="19"/>
  <c r="AA63" i="19"/>
  <c r="AA60" i="19"/>
  <c r="AA61" i="19"/>
  <c r="G8" i="1"/>
  <c r="H8" i="1" s="1"/>
  <c r="C30" i="5" s="1"/>
  <c r="C8" i="5" s="1"/>
  <c r="G7" i="1"/>
  <c r="H7" i="1" s="1"/>
  <c r="C29" i="5" s="1"/>
  <c r="C7" i="5" s="1"/>
  <c r="J7" i="5" s="1"/>
  <c r="W69" i="1"/>
  <c r="X62" i="1"/>
  <c r="Q63" i="1"/>
  <c r="AC55" i="19" l="1"/>
  <c r="AD48" i="19"/>
  <c r="AB61" i="19"/>
  <c r="AB63" i="19"/>
  <c r="AB60" i="19" s="1"/>
  <c r="J8" i="5"/>
  <c r="P7" i="5"/>
  <c r="D8" i="13" s="1"/>
  <c r="P8" i="5"/>
  <c r="D9" i="13" s="1"/>
  <c r="X69" i="1"/>
  <c r="Y62" i="1" s="1"/>
  <c r="Y69" i="1" s="1"/>
  <c r="Z62" i="1" s="1"/>
  <c r="Z69" i="1" s="1"/>
  <c r="AA62" i="1" s="1"/>
  <c r="AA69" i="1" s="1"/>
  <c r="AB62" i="1" s="1"/>
  <c r="AB69" i="1" s="1"/>
  <c r="AC62" i="1" s="1"/>
  <c r="AC69" i="1" s="1"/>
  <c r="AD62" i="1" s="1"/>
  <c r="AD69" i="1" s="1"/>
  <c r="AE62" i="1" s="1"/>
  <c r="AE69" i="1" s="1"/>
  <c r="AF62" i="1" s="1"/>
  <c r="AF69" i="1" s="1"/>
  <c r="AG62" i="1" s="1"/>
  <c r="AG69" i="1" s="1"/>
  <c r="AH62" i="1" s="1"/>
  <c r="AH69" i="1" s="1"/>
  <c r="AI62" i="1" s="1"/>
  <c r="B8" i="11"/>
  <c r="E8" i="11" s="1"/>
  <c r="Q70" i="1"/>
  <c r="R63" i="1" s="1"/>
  <c r="R70" i="1" s="1"/>
  <c r="S63" i="1" s="1"/>
  <c r="D30" i="13" l="1"/>
  <c r="D29" i="13"/>
  <c r="AD55" i="19"/>
  <c r="AE48" i="19"/>
  <c r="AC63" i="19"/>
  <c r="AC60" i="19"/>
  <c r="AC61" i="19"/>
  <c r="AI69" i="1"/>
  <c r="O53" i="11"/>
  <c r="O60" i="11" s="1"/>
  <c r="B5" i="11"/>
  <c r="E5" i="11" s="1"/>
  <c r="O50" i="11"/>
  <c r="O57" i="11" s="1"/>
  <c r="S70" i="1"/>
  <c r="T63" i="1"/>
  <c r="AE55" i="19" l="1"/>
  <c r="AF48" i="19"/>
  <c r="AD61" i="19"/>
  <c r="AD63" i="19"/>
  <c r="AD60" i="19" s="1"/>
  <c r="AV69" i="1"/>
  <c r="P53" i="11"/>
  <c r="P60" i="11" s="1"/>
  <c r="Q53" i="11" s="1"/>
  <c r="Q60" i="11" s="1"/>
  <c r="R53" i="11" s="1"/>
  <c r="R60" i="11" s="1"/>
  <c r="S53" i="11" s="1"/>
  <c r="S60" i="11" s="1"/>
  <c r="T53" i="11" s="1"/>
  <c r="T60" i="11" s="1"/>
  <c r="U53" i="11" s="1"/>
  <c r="U60" i="11" s="1"/>
  <c r="V53" i="11" s="1"/>
  <c r="V60" i="11" s="1"/>
  <c r="W53" i="11" s="1"/>
  <c r="B7" i="11"/>
  <c r="E7" i="11" s="1"/>
  <c r="O52" i="11"/>
  <c r="O59" i="11" s="1"/>
  <c r="P52" i="11" s="1"/>
  <c r="P59" i="11" s="1"/>
  <c r="Q52" i="11" s="1"/>
  <c r="Q59" i="11" s="1"/>
  <c r="R52" i="11" s="1"/>
  <c r="R59" i="11" s="1"/>
  <c r="S52" i="11" s="1"/>
  <c r="S59" i="11" s="1"/>
  <c r="T52" i="11" s="1"/>
  <c r="T59" i="11" s="1"/>
  <c r="U52" i="11" s="1"/>
  <c r="U59" i="11" s="1"/>
  <c r="V52" i="11" s="1"/>
  <c r="P50" i="11"/>
  <c r="T70" i="1"/>
  <c r="U63" i="1" s="1"/>
  <c r="AF55" i="19" l="1"/>
  <c r="AG48" i="19"/>
  <c r="AE63" i="19"/>
  <c r="AE60" i="19" s="1"/>
  <c r="AE61" i="19"/>
  <c r="AW62" i="1"/>
  <c r="AW69" i="1" s="1"/>
  <c r="AX62" i="1" s="1"/>
  <c r="AX69" i="1" s="1"/>
  <c r="W60" i="11"/>
  <c r="X53" i="11"/>
  <c r="V59" i="11"/>
  <c r="W52" i="11" s="1"/>
  <c r="P57" i="11"/>
  <c r="Q50" i="11" s="1"/>
  <c r="Q57" i="11" s="1"/>
  <c r="R50" i="11" s="1"/>
  <c r="R57" i="11" s="1"/>
  <c r="S50" i="11" s="1"/>
  <c r="S57" i="11" s="1"/>
  <c r="T50" i="11" s="1"/>
  <c r="T57" i="11" s="1"/>
  <c r="U50" i="11" s="1"/>
  <c r="U70" i="1"/>
  <c r="V63" i="1" s="1"/>
  <c r="AG55" i="19" l="1"/>
  <c r="AH48" i="19"/>
  <c r="AF61" i="19"/>
  <c r="AF63" i="19"/>
  <c r="AF60" i="19" s="1"/>
  <c r="G5" i="1"/>
  <c r="H5" i="1" s="1"/>
  <c r="C27" i="5" s="1"/>
  <c r="C5" i="5" s="1"/>
  <c r="J5" i="5" s="1"/>
  <c r="X60" i="11"/>
  <c r="W59" i="11"/>
  <c r="X52" i="11" s="1"/>
  <c r="U57" i="11"/>
  <c r="V50" i="11" s="1"/>
  <c r="V57" i="11" s="1"/>
  <c r="W50" i="11" s="1"/>
  <c r="V70" i="1"/>
  <c r="W63" i="1" s="1"/>
  <c r="AH55" i="19" l="1"/>
  <c r="AI48" i="19"/>
  <c r="AI55" i="19" s="1"/>
  <c r="AG63" i="19"/>
  <c r="AG60" i="19"/>
  <c r="AG61" i="19"/>
  <c r="P5" i="5"/>
  <c r="D6" i="13" s="1"/>
  <c r="X59" i="11"/>
  <c r="Y52" i="11" s="1"/>
  <c r="Y59" i="11" s="1"/>
  <c r="Z52" i="11" s="1"/>
  <c r="Z59" i="11" s="1"/>
  <c r="AA52" i="11" s="1"/>
  <c r="Y53" i="11"/>
  <c r="W57" i="11"/>
  <c r="W70" i="1"/>
  <c r="D27" i="13" l="1"/>
  <c r="AI61" i="19"/>
  <c r="E4" i="19"/>
  <c r="AH61" i="19"/>
  <c r="AH63" i="19"/>
  <c r="AI63" i="19" s="1"/>
  <c r="AI60" i="19" s="1"/>
  <c r="X50" i="11"/>
  <c r="AA59" i="11"/>
  <c r="AB52" i="11" s="1"/>
  <c r="Y60" i="11"/>
  <c r="Z53" i="11" s="1"/>
  <c r="Z60" i="11" s="1"/>
  <c r="AA53" i="11" s="1"/>
  <c r="AA60" i="11" s="1"/>
  <c r="AB53" i="11" s="1"/>
  <c r="X63" i="1"/>
  <c r="X70" i="1" s="1"/>
  <c r="AH60" i="19" l="1"/>
  <c r="F4" i="19"/>
  <c r="E9" i="19"/>
  <c r="E10" i="19" s="1"/>
  <c r="AB60" i="11"/>
  <c r="AC53" i="11"/>
  <c r="X57" i="11"/>
  <c r="Y50" i="11" s="1"/>
  <c r="Y57" i="11" s="1"/>
  <c r="Z50" i="11" s="1"/>
  <c r="AB59" i="11"/>
  <c r="AC52" i="11" s="1"/>
  <c r="AC59" i="11" s="1"/>
  <c r="AD52" i="11" s="1"/>
  <c r="AD59" i="11" s="1"/>
  <c r="AE52" i="11" s="1"/>
  <c r="Y63" i="1"/>
  <c r="Y70" i="1" s="1"/>
  <c r="Z63" i="1" s="1"/>
  <c r="Z70" i="1" s="1"/>
  <c r="AA63" i="1" s="1"/>
  <c r="AA70" i="1" s="1"/>
  <c r="AB63" i="1" s="1"/>
  <c r="AB70" i="1" s="1"/>
  <c r="AC63" i="1" s="1"/>
  <c r="AC70" i="1" s="1"/>
  <c r="AD63" i="1" s="1"/>
  <c r="AD70" i="1" s="1"/>
  <c r="AE63" i="1" s="1"/>
  <c r="AE70" i="1" s="1"/>
  <c r="AF63" i="1" s="1"/>
  <c r="AF70" i="1" s="1"/>
  <c r="AG63" i="1" s="1"/>
  <c r="AG70" i="1" s="1"/>
  <c r="AH63" i="1" s="1"/>
  <c r="AH70" i="1" s="1"/>
  <c r="AI63" i="1" s="1"/>
  <c r="F9" i="19" l="1"/>
  <c r="AI70" i="1"/>
  <c r="Z57" i="11"/>
  <c r="AA50" i="11" s="1"/>
  <c r="AA57" i="11" s="1"/>
  <c r="AB50" i="11" s="1"/>
  <c r="AB57" i="11" s="1"/>
  <c r="AC50" i="11" s="1"/>
  <c r="AE59" i="11"/>
  <c r="AC60" i="11"/>
  <c r="AD53" i="11" s="1"/>
  <c r="AV70" i="1" l="1"/>
  <c r="AW63" i="1" s="1"/>
  <c r="AW70" i="1" s="1"/>
  <c r="AX63" i="1" s="1"/>
  <c r="AX70" i="1" s="1"/>
  <c r="AC57" i="11"/>
  <c r="AD50" i="11"/>
  <c r="AD60" i="11"/>
  <c r="AE53" i="11" s="1"/>
  <c r="AE60" i="11" s="1"/>
  <c r="AF53" i="11" s="1"/>
  <c r="AF52" i="11"/>
  <c r="G6" i="1" l="1"/>
  <c r="H6" i="1" s="1"/>
  <c r="C28" i="5" s="1"/>
  <c r="C6" i="5" s="1"/>
  <c r="J6" i="5" s="1"/>
  <c r="AF59" i="11"/>
  <c r="AG52" i="11" s="1"/>
  <c r="AG59" i="11" s="1"/>
  <c r="AH52" i="11" s="1"/>
  <c r="AD57" i="11"/>
  <c r="AF60" i="11"/>
  <c r="AG53" i="11" s="1"/>
  <c r="P6" i="5" l="1"/>
  <c r="D7" i="13" s="1"/>
  <c r="AH59" i="11"/>
  <c r="AI52" i="11" s="1"/>
  <c r="AG60" i="11"/>
  <c r="AH53" i="11" s="1"/>
  <c r="AE50" i="11"/>
  <c r="AE57" i="11" s="1"/>
  <c r="AF50" i="11" s="1"/>
  <c r="AF57" i="11" s="1"/>
  <c r="AG50" i="11" s="1"/>
  <c r="D28" i="13" l="1"/>
  <c r="AI59" i="11"/>
  <c r="AJ52" i="11" s="1"/>
  <c r="AH60" i="11"/>
  <c r="AG57" i="11"/>
  <c r="AH50" i="11" s="1"/>
  <c r="AJ59" i="11" l="1"/>
  <c r="AK52" i="11"/>
  <c r="AI60" i="11"/>
  <c r="AJ53" i="11" s="1"/>
  <c r="AH57" i="11"/>
  <c r="AI50" i="11" s="1"/>
  <c r="O49" i="11"/>
  <c r="O56" i="11" s="1"/>
  <c r="P49" i="11" s="1"/>
  <c r="E4" i="11"/>
  <c r="AJ60" i="11" l="1"/>
  <c r="AK53" i="11" s="1"/>
  <c r="AK59" i="11"/>
  <c r="AI57" i="11"/>
  <c r="AJ50" i="11" s="1"/>
  <c r="P56" i="11"/>
  <c r="Q49" i="11" s="1"/>
  <c r="Q56" i="11" s="1"/>
  <c r="AK60" i="11" l="1"/>
  <c r="AL53" i="11" s="1"/>
  <c r="AL52" i="11"/>
  <c r="AJ57" i="11"/>
  <c r="AK50" i="11" s="1"/>
  <c r="R49" i="11"/>
  <c r="AK57" i="11" l="1"/>
  <c r="AL50" i="11" s="1"/>
  <c r="AL60" i="11"/>
  <c r="AL59" i="11"/>
  <c r="R56" i="11"/>
  <c r="S49" i="11" s="1"/>
  <c r="AL57" i="11" l="1"/>
  <c r="AM53" i="11"/>
  <c r="AM52" i="11"/>
  <c r="S56" i="11"/>
  <c r="T49" i="11" s="1"/>
  <c r="T56" i="11" s="1"/>
  <c r="AM59" i="11" l="1"/>
  <c r="AM60" i="11"/>
  <c r="AN53" i="11" s="1"/>
  <c r="AM50" i="11"/>
  <c r="U49" i="11"/>
  <c r="U56" i="11" s="1"/>
  <c r="AN60" i="11" l="1"/>
  <c r="AM57" i="11"/>
  <c r="AN50" i="11" s="1"/>
  <c r="AN52" i="11"/>
  <c r="V49" i="11"/>
  <c r="AN57" i="11" l="1"/>
  <c r="AO50" i="11" s="1"/>
  <c r="AN59" i="11"/>
  <c r="AO52" i="11" s="1"/>
  <c r="AO53" i="11"/>
  <c r="B4" i="1"/>
  <c r="O61" i="1"/>
  <c r="V56" i="11"/>
  <c r="W49" i="11" s="1"/>
  <c r="O68" i="1"/>
  <c r="AO59" i="11" l="1"/>
  <c r="AP52" i="11" s="1"/>
  <c r="AO57" i="11"/>
  <c r="AO60" i="11"/>
  <c r="O74" i="1"/>
  <c r="O76" i="1"/>
  <c r="O73" i="1" s="1"/>
  <c r="P61" i="1"/>
  <c r="F9" i="1"/>
  <c r="B9" i="1"/>
  <c r="W56" i="11"/>
  <c r="AP59" i="11" l="1"/>
  <c r="AQ52" i="11" s="1"/>
  <c r="AP50" i="11"/>
  <c r="AP53" i="11"/>
  <c r="X49" i="11"/>
  <c r="P68" i="1"/>
  <c r="Q61" i="1" s="1"/>
  <c r="P76" i="1"/>
  <c r="AQ59" i="11" l="1"/>
  <c r="AR52" i="11" s="1"/>
  <c r="AP60" i="11"/>
  <c r="AP57" i="11"/>
  <c r="AQ50" i="11" s="1"/>
  <c r="X56" i="11"/>
  <c r="Y49" i="11" s="1"/>
  <c r="Q68" i="1"/>
  <c r="Q74" i="1" s="1"/>
  <c r="P74" i="1"/>
  <c r="P73" i="1"/>
  <c r="AQ57" i="11" l="1"/>
  <c r="AR50" i="11" s="1"/>
  <c r="AR57" i="11" s="1"/>
  <c r="AR59" i="11"/>
  <c r="AS52" i="11" s="1"/>
  <c r="AQ53" i="11"/>
  <c r="Y56" i="11"/>
  <c r="Q76" i="1"/>
  <c r="Q73" i="1" s="1"/>
  <c r="R61" i="1"/>
  <c r="R68" i="1" s="1"/>
  <c r="AS59" i="11" l="1"/>
  <c r="AT52" i="11" s="1"/>
  <c r="AS50" i="11"/>
  <c r="AQ60" i="11"/>
  <c r="AR53" i="11" s="1"/>
  <c r="Z49" i="11"/>
  <c r="B6" i="11"/>
  <c r="O51" i="11"/>
  <c r="O58" i="11" s="1"/>
  <c r="R76" i="1"/>
  <c r="R73" i="1" s="1"/>
  <c r="S61" i="1"/>
  <c r="S68" i="1" s="1"/>
  <c r="S74" i="1" s="1"/>
  <c r="R74" i="1"/>
  <c r="AR60" i="11" l="1"/>
  <c r="AS53" i="11" s="1"/>
  <c r="AS57" i="11"/>
  <c r="AT50" i="11" s="1"/>
  <c r="AT59" i="11"/>
  <c r="AU52" i="11" s="1"/>
  <c r="Z56" i="11"/>
  <c r="AA49" i="11" s="1"/>
  <c r="O64" i="11"/>
  <c r="O61" i="11" s="1"/>
  <c r="P51" i="11"/>
  <c r="P58" i="11" s="1"/>
  <c r="O62" i="11"/>
  <c r="E6" i="11"/>
  <c r="E9" i="11" s="1"/>
  <c r="B9" i="11"/>
  <c r="S76" i="1"/>
  <c r="S73" i="1" s="1"/>
  <c r="T61" i="1"/>
  <c r="T68" i="1" s="1"/>
  <c r="AU59" i="11" l="1"/>
  <c r="AV52" i="11"/>
  <c r="AT57" i="11"/>
  <c r="AU50" i="11" s="1"/>
  <c r="AS60" i="11"/>
  <c r="AT53" i="11" s="1"/>
  <c r="AA56" i="11"/>
  <c r="AB49" i="11"/>
  <c r="Q51" i="11"/>
  <c r="Q58" i="11" s="1"/>
  <c r="P62" i="11"/>
  <c r="P64" i="11"/>
  <c r="T76" i="1"/>
  <c r="T73" i="1" s="1"/>
  <c r="U61" i="1"/>
  <c r="U68" i="1" s="1"/>
  <c r="T74" i="1"/>
  <c r="AU57" i="11" l="1"/>
  <c r="AV50" i="11"/>
  <c r="AV59" i="11"/>
  <c r="AW52" i="11" s="1"/>
  <c r="AW59" i="11" s="1"/>
  <c r="AX52" i="11" s="1"/>
  <c r="AX59" i="11" s="1"/>
  <c r="F7" i="11" s="1"/>
  <c r="G7" i="11" s="1"/>
  <c r="D29" i="5" s="1"/>
  <c r="AT60" i="11"/>
  <c r="AU53" i="11" s="1"/>
  <c r="AB56" i="11"/>
  <c r="P61" i="11"/>
  <c r="Q64" i="11"/>
  <c r="R51" i="11"/>
  <c r="Q62" i="11"/>
  <c r="U74" i="1"/>
  <c r="V61" i="1"/>
  <c r="U76" i="1"/>
  <c r="U73" i="1" s="1"/>
  <c r="AU60" i="11" l="1"/>
  <c r="AV53" i="11"/>
  <c r="D7" i="5"/>
  <c r="AV57" i="11"/>
  <c r="AW50" i="11" s="1"/>
  <c r="AW57" i="11" s="1"/>
  <c r="AX50" i="11" s="1"/>
  <c r="AX57" i="11" s="1"/>
  <c r="F5" i="11" s="1"/>
  <c r="G5" i="11" s="1"/>
  <c r="D27" i="5" s="1"/>
  <c r="AC49" i="11"/>
  <c r="R58" i="11"/>
  <c r="S51" i="11" s="1"/>
  <c r="S58" i="11" s="1"/>
  <c r="Q61" i="11"/>
  <c r="R64" i="11"/>
  <c r="V68" i="1"/>
  <c r="V76" i="1" s="1"/>
  <c r="V73" i="1" s="1"/>
  <c r="Q7" i="5" l="1"/>
  <c r="K7" i="5"/>
  <c r="D5" i="5"/>
  <c r="AV60" i="11"/>
  <c r="AW53" i="11" s="1"/>
  <c r="AW60" i="11" s="1"/>
  <c r="AX53" i="11" s="1"/>
  <c r="AX60" i="11" s="1"/>
  <c r="F8" i="11" s="1"/>
  <c r="G8" i="11" s="1"/>
  <c r="D30" i="5" s="1"/>
  <c r="AC56" i="11"/>
  <c r="AD49" i="11" s="1"/>
  <c r="V74" i="1"/>
  <c r="R61" i="11"/>
  <c r="S64" i="11"/>
  <c r="T51" i="11"/>
  <c r="T58" i="11" s="1"/>
  <c r="S62" i="11"/>
  <c r="R62" i="11"/>
  <c r="W61" i="1"/>
  <c r="E8" i="13" l="1"/>
  <c r="D8" i="5"/>
  <c r="K5" i="5"/>
  <c r="Q5" i="5"/>
  <c r="AD56" i="11"/>
  <c r="AE49" i="11"/>
  <c r="W68" i="1"/>
  <c r="X61" i="1" s="1"/>
  <c r="U51" i="11"/>
  <c r="U58" i="11" s="1"/>
  <c r="T62" i="11"/>
  <c r="S61" i="11"/>
  <c r="T64" i="11"/>
  <c r="E29" i="13" l="1"/>
  <c r="E6" i="13"/>
  <c r="Q8" i="5"/>
  <c r="K8" i="5"/>
  <c r="W76" i="1"/>
  <c r="W74" i="1"/>
  <c r="AE56" i="11"/>
  <c r="AF49" i="11"/>
  <c r="W73" i="1"/>
  <c r="T61" i="11"/>
  <c r="U64" i="11"/>
  <c r="V51" i="11"/>
  <c r="V58" i="11" s="1"/>
  <c r="U62" i="11"/>
  <c r="E27" i="13" l="1"/>
  <c r="E9" i="13"/>
  <c r="AF56" i="11"/>
  <c r="AG49" i="11" s="1"/>
  <c r="X76" i="1"/>
  <c r="X74" i="1"/>
  <c r="Y61" i="1"/>
  <c r="Y68" i="1" s="1"/>
  <c r="Y74" i="1" s="1"/>
  <c r="W51" i="11"/>
  <c r="V62" i="11"/>
  <c r="U61" i="11"/>
  <c r="V64" i="11"/>
  <c r="E30" i="13" l="1"/>
  <c r="AG56" i="11"/>
  <c r="AH49" i="11"/>
  <c r="Y76" i="1"/>
  <c r="Y73" i="1" s="1"/>
  <c r="Z61" i="1"/>
  <c r="Z68" i="1" s="1"/>
  <c r="Z74" i="1" s="1"/>
  <c r="X73" i="1"/>
  <c r="W58" i="11"/>
  <c r="X51" i="11" s="1"/>
  <c r="X58" i="11" s="1"/>
  <c r="X62" i="11" s="1"/>
  <c r="V61" i="11"/>
  <c r="AH56" i="11" l="1"/>
  <c r="AI49" i="11" s="1"/>
  <c r="Y51" i="11"/>
  <c r="Y58" i="11" s="1"/>
  <c r="AA61" i="1"/>
  <c r="AA68" i="1" s="1"/>
  <c r="Z76" i="1"/>
  <c r="Z73" i="1" s="1"/>
  <c r="W62" i="11"/>
  <c r="W64" i="11"/>
  <c r="W61" i="11" s="1"/>
  <c r="AI56" i="11" l="1"/>
  <c r="AJ49" i="11" s="1"/>
  <c r="X64" i="11"/>
  <c r="X61" i="11" s="1"/>
  <c r="Z51" i="11"/>
  <c r="Z58" i="11" s="1"/>
  <c r="Y62" i="11"/>
  <c r="AB61" i="1"/>
  <c r="AB68" i="1" s="1"/>
  <c r="AB74" i="1" s="1"/>
  <c r="AA74" i="1"/>
  <c r="AA76" i="1"/>
  <c r="AA73" i="1" s="1"/>
  <c r="AJ56" i="11" l="1"/>
  <c r="AK49" i="11" s="1"/>
  <c r="Y64" i="11"/>
  <c r="Y61" i="11" s="1"/>
  <c r="AC61" i="1"/>
  <c r="AC68" i="1" s="1"/>
  <c r="AD61" i="1" s="1"/>
  <c r="AA51" i="11"/>
  <c r="Z62" i="11"/>
  <c r="AB76" i="1"/>
  <c r="AB73" i="1" s="1"/>
  <c r="Z64" i="11" l="1"/>
  <c r="Z61" i="11" s="1"/>
  <c r="AK56" i="11"/>
  <c r="AA58" i="11"/>
  <c r="AB51" i="11" s="1"/>
  <c r="AD68" i="1"/>
  <c r="AE61" i="1" s="1"/>
  <c r="AC74" i="1"/>
  <c r="AC76" i="1"/>
  <c r="AC73" i="1" s="1"/>
  <c r="AL49" i="11" l="1"/>
  <c r="AB58" i="11"/>
  <c r="AC51" i="11" s="1"/>
  <c r="AC58" i="11" s="1"/>
  <c r="AA64" i="11"/>
  <c r="AA61" i="11" s="1"/>
  <c r="AA62" i="11"/>
  <c r="AE68" i="1"/>
  <c r="AF61" i="1" s="1"/>
  <c r="AD74" i="1"/>
  <c r="AD76" i="1"/>
  <c r="AD73" i="1" s="1"/>
  <c r="AL56" i="11" l="1"/>
  <c r="AD51" i="11"/>
  <c r="AC62" i="11"/>
  <c r="AB62" i="11"/>
  <c r="AB64" i="11"/>
  <c r="AB61" i="11" s="1"/>
  <c r="AF68" i="1"/>
  <c r="AG61" i="1"/>
  <c r="AG68" i="1" s="1"/>
  <c r="AE74" i="1"/>
  <c r="AE76" i="1"/>
  <c r="AE73" i="1" s="1"/>
  <c r="AM49" i="11" l="1"/>
  <c r="AC64" i="11"/>
  <c r="AC61" i="11" s="1"/>
  <c r="AD58" i="11"/>
  <c r="AE51" i="11" s="1"/>
  <c r="AH61" i="1"/>
  <c r="AG74" i="1"/>
  <c r="AF74" i="1"/>
  <c r="AF76" i="1"/>
  <c r="AF73" i="1" s="1"/>
  <c r="AM56" i="11" l="1"/>
  <c r="AE58" i="11"/>
  <c r="AD64" i="11"/>
  <c r="AD61" i="11" s="1"/>
  <c r="AD62" i="11"/>
  <c r="AG76" i="1"/>
  <c r="AG73" i="1" s="1"/>
  <c r="AH68" i="1"/>
  <c r="AI61" i="1" s="1"/>
  <c r="AJ61" i="1" l="1"/>
  <c r="AN49" i="11"/>
  <c r="AI68" i="1"/>
  <c r="AI74" i="1" s="1"/>
  <c r="AE64" i="11"/>
  <c r="AE61" i="11" s="1"/>
  <c r="AE62" i="11"/>
  <c r="AF51" i="11"/>
  <c r="AF58" i="11" s="1"/>
  <c r="AH74" i="1"/>
  <c r="AH76" i="1"/>
  <c r="AJ68" i="1" l="1"/>
  <c r="AJ74" i="1" s="1"/>
  <c r="AK61" i="1"/>
  <c r="AN56" i="11"/>
  <c r="AH73" i="1"/>
  <c r="AI76" i="1"/>
  <c r="AG51" i="11"/>
  <c r="AG58" i="11" s="1"/>
  <c r="AF64" i="11"/>
  <c r="AF61" i="11" s="1"/>
  <c r="AF62" i="11"/>
  <c r="AI73" i="1" l="1"/>
  <c r="AJ76" i="1"/>
  <c r="AK68" i="1"/>
  <c r="AK74" i="1" s="1"/>
  <c r="AL61" i="1"/>
  <c r="AO49" i="11"/>
  <c r="AH51" i="11"/>
  <c r="AG62" i="11"/>
  <c r="AG64" i="11"/>
  <c r="AG61" i="11" s="1"/>
  <c r="AJ73" i="1" l="1"/>
  <c r="AK76" i="1"/>
  <c r="AL68" i="1"/>
  <c r="AL74" i="1" s="1"/>
  <c r="AO56" i="11"/>
  <c r="AH58" i="11"/>
  <c r="AH62" i="11"/>
  <c r="AH64" i="11"/>
  <c r="AM61" i="1" l="1"/>
  <c r="AK73" i="1"/>
  <c r="AL76" i="1"/>
  <c r="AP49" i="11"/>
  <c r="AI58" i="11"/>
  <c r="AJ51" i="11" s="1"/>
  <c r="AI62" i="11"/>
  <c r="AH61" i="11"/>
  <c r="AI64" i="11"/>
  <c r="AL73" i="1" l="1"/>
  <c r="AM68" i="1"/>
  <c r="AM74" i="1" s="1"/>
  <c r="AN61" i="1"/>
  <c r="AP56" i="11"/>
  <c r="AJ58" i="11"/>
  <c r="AK51" i="11"/>
  <c r="AI61" i="11"/>
  <c r="AN68" i="1" l="1"/>
  <c r="AN74" i="1" s="1"/>
  <c r="AO61" i="1"/>
  <c r="AM76" i="1"/>
  <c r="AJ62" i="11"/>
  <c r="AJ64" i="11"/>
  <c r="AJ61" i="11" s="1"/>
  <c r="AK58" i="11"/>
  <c r="AL51" i="11" s="1"/>
  <c r="AQ49" i="11"/>
  <c r="AM73" i="1" l="1"/>
  <c r="AN76" i="1"/>
  <c r="AO68" i="1"/>
  <c r="AO74" i="1" s="1"/>
  <c r="AP61" i="1"/>
  <c r="AL58" i="11"/>
  <c r="AQ56" i="11"/>
  <c r="AK62" i="11"/>
  <c r="AK64" i="11"/>
  <c r="AK61" i="11" s="1"/>
  <c r="AN73" i="1" l="1"/>
  <c r="AO76" i="1"/>
  <c r="AP68" i="1"/>
  <c r="AP74" i="1" s="1"/>
  <c r="AQ61" i="1"/>
  <c r="AL64" i="11"/>
  <c r="AL61" i="11" s="1"/>
  <c r="AL62" i="11"/>
  <c r="AR49" i="11"/>
  <c r="AR56" i="11" s="1"/>
  <c r="AM51" i="11"/>
  <c r="AQ68" i="1" l="1"/>
  <c r="AQ74" i="1" s="1"/>
  <c r="AR61" i="1"/>
  <c r="AO73" i="1"/>
  <c r="AP76" i="1"/>
  <c r="AM58" i="11"/>
  <c r="AS49" i="11"/>
  <c r="AP73" i="1" l="1"/>
  <c r="AQ76" i="1"/>
  <c r="AR68" i="1"/>
  <c r="AR74" i="1" s="1"/>
  <c r="AS61" i="1"/>
  <c r="AS56" i="11"/>
  <c r="AM64" i="11"/>
  <c r="AM61" i="11" s="1"/>
  <c r="AM62" i="11"/>
  <c r="AN51" i="11"/>
  <c r="AS68" i="1" l="1"/>
  <c r="AT61" i="1"/>
  <c r="AQ73" i="1"/>
  <c r="AR76" i="1"/>
  <c r="AN58" i="11"/>
  <c r="AT49" i="11"/>
  <c r="AR73" i="1" l="1"/>
  <c r="AS76" i="1"/>
  <c r="AT68" i="1"/>
  <c r="AT74" i="1" s="1"/>
  <c r="AN64" i="11"/>
  <c r="AN61" i="11" s="1"/>
  <c r="AN62" i="11"/>
  <c r="AO51" i="11"/>
  <c r="AT56" i="11"/>
  <c r="AS73" i="1" l="1"/>
  <c r="AT76" i="1"/>
  <c r="AU61" i="1"/>
  <c r="AO58" i="11"/>
  <c r="AU49" i="11"/>
  <c r="AU56" i="11" l="1"/>
  <c r="AV49" i="11"/>
  <c r="AV56" i="11" s="1"/>
  <c r="AU68" i="1"/>
  <c r="AU74" i="1" s="1"/>
  <c r="AT73" i="1"/>
  <c r="AO64" i="11"/>
  <c r="AO61" i="11" s="1"/>
  <c r="AO62" i="11"/>
  <c r="AP51" i="11"/>
  <c r="AU76" i="1" l="1"/>
  <c r="AU73" i="1" s="1"/>
  <c r="AV61" i="1"/>
  <c r="AP58" i="11"/>
  <c r="AW49" i="11"/>
  <c r="AW56" i="11" s="1"/>
  <c r="AV68" i="1" l="1"/>
  <c r="AX49" i="11"/>
  <c r="AX56" i="11" s="1"/>
  <c r="AP62" i="11"/>
  <c r="AP64" i="11"/>
  <c r="AP61" i="11" s="1"/>
  <c r="AQ51" i="11"/>
  <c r="AV76" i="1" l="1"/>
  <c r="AV74" i="1"/>
  <c r="AW61" i="1"/>
  <c r="AQ58" i="11"/>
  <c r="F4" i="11"/>
  <c r="AW68" i="1" l="1"/>
  <c r="AW74" i="1" s="1"/>
  <c r="AV73" i="1"/>
  <c r="G4" i="11"/>
  <c r="AQ64" i="11"/>
  <c r="AQ61" i="11" s="1"/>
  <c r="AQ62" i="11"/>
  <c r="AR51" i="11"/>
  <c r="D4" i="23" l="1"/>
  <c r="J16" i="23" s="1"/>
  <c r="G26" i="23"/>
  <c r="AW76" i="1"/>
  <c r="AX61" i="1"/>
  <c r="AX68" i="1" s="1"/>
  <c r="AR58" i="11"/>
  <c r="AR62" i="11" s="1"/>
  <c r="D26" i="5"/>
  <c r="D4" i="5" s="1"/>
  <c r="K4" i="23" l="1"/>
  <c r="H4" i="23"/>
  <c r="L4" i="23" s="1"/>
  <c r="J22" i="23"/>
  <c r="Q4" i="23"/>
  <c r="G4" i="1"/>
  <c r="AX74" i="1"/>
  <c r="AW73" i="1"/>
  <c r="AX76" i="1"/>
  <c r="AX73" i="1" s="1"/>
  <c r="K4" i="5"/>
  <c r="Q4" i="5"/>
  <c r="E5" i="13" s="1"/>
  <c r="AR64" i="11"/>
  <c r="AR61" i="11" s="1"/>
  <c r="AS51" i="11"/>
  <c r="T4" i="23" l="1"/>
  <c r="E15" i="13"/>
  <c r="N4" i="23"/>
  <c r="G9" i="1"/>
  <c r="G10" i="1" s="1"/>
  <c r="H4" i="1"/>
  <c r="AS58" i="11"/>
  <c r="E26" i="13" l="1"/>
  <c r="H9" i="1"/>
  <c r="C26" i="5"/>
  <c r="AS62" i="11"/>
  <c r="AS64" i="11"/>
  <c r="AS61" i="11" s="1"/>
  <c r="AT51" i="11"/>
  <c r="C4" i="5" l="1"/>
  <c r="J4" i="5" s="1"/>
  <c r="AT58" i="11"/>
  <c r="P4" i="5" l="1"/>
  <c r="AT62" i="11"/>
  <c r="AT64" i="11"/>
  <c r="AU51" i="11"/>
  <c r="AU58" i="11" l="1"/>
  <c r="AU64" i="11" s="1"/>
  <c r="AV51" i="11"/>
  <c r="AV58" i="11" s="1"/>
  <c r="AU62" i="11"/>
  <c r="D5" i="13"/>
  <c r="AT61" i="11"/>
  <c r="D26" i="13" l="1"/>
  <c r="AW51" i="11"/>
  <c r="AW58" i="11" s="1"/>
  <c r="AW62" i="11" s="1"/>
  <c r="AV62" i="11"/>
  <c r="AU61" i="11"/>
  <c r="AV64" i="11"/>
  <c r="AV61" i="11" s="1"/>
  <c r="AX51" i="11" l="1"/>
  <c r="AX58" i="11" s="1"/>
  <c r="AW64" i="11"/>
  <c r="AW61" i="11" s="1"/>
  <c r="AX62" i="11"/>
  <c r="F6" i="11"/>
  <c r="G6" i="11" l="1"/>
  <c r="F9" i="11"/>
  <c r="F10" i="11" s="1"/>
  <c r="AX64" i="11"/>
  <c r="AX61" i="11" s="1"/>
  <c r="D28" i="5" l="1"/>
  <c r="G9" i="11"/>
  <c r="D6" i="5" l="1"/>
  <c r="K6" i="5" l="1"/>
  <c r="Q6" i="5"/>
  <c r="E7" i="13" l="1"/>
  <c r="E28" i="13" l="1"/>
  <c r="C22" i="24" l="1"/>
  <c r="C33" i="24" s="1"/>
  <c r="C8" i="24" l="1"/>
  <c r="E8" i="24" s="1"/>
  <c r="C45" i="24"/>
  <c r="C52" i="24" s="1"/>
  <c r="C30" i="24"/>
  <c r="C29" i="24"/>
  <c r="C31" i="24"/>
  <c r="C32" i="24"/>
  <c r="C59" i="24" l="1"/>
  <c r="D52" i="24"/>
  <c r="C4" i="24"/>
  <c r="C41" i="24"/>
  <c r="C48" i="24" s="1"/>
  <c r="C5" i="24"/>
  <c r="E5" i="24" s="1"/>
  <c r="C42" i="24"/>
  <c r="C49" i="24" s="1"/>
  <c r="C44" i="24"/>
  <c r="C51" i="24" s="1"/>
  <c r="C7" i="24"/>
  <c r="E7" i="24" s="1"/>
  <c r="C6" i="24"/>
  <c r="E6" i="24" s="1"/>
  <c r="C43" i="24"/>
  <c r="C50" i="24" s="1"/>
  <c r="E4" i="24" l="1"/>
  <c r="C9" i="24"/>
  <c r="C58" i="24"/>
  <c r="D51" i="24" s="1"/>
  <c r="C56" i="24"/>
  <c r="D59" i="24"/>
  <c r="E52" i="24" s="1"/>
  <c r="E59" i="24" s="1"/>
  <c r="F8" i="24" s="1"/>
  <c r="G8" i="24" s="1"/>
  <c r="E30" i="5" s="1"/>
  <c r="C55" i="24"/>
  <c r="D50" i="24"/>
  <c r="C57" i="24"/>
  <c r="E8" i="5" l="1"/>
  <c r="G30" i="5"/>
  <c r="J30" i="23" s="1"/>
  <c r="L30" i="23" s="1"/>
  <c r="D49" i="24"/>
  <c r="D57" i="24"/>
  <c r="E50" i="24" s="1"/>
  <c r="E57" i="24" s="1"/>
  <c r="F6" i="24" s="1"/>
  <c r="G6" i="24" s="1"/>
  <c r="E28" i="5" s="1"/>
  <c r="D58" i="24"/>
  <c r="E51" i="24"/>
  <c r="E58" i="24" s="1"/>
  <c r="F7" i="24" s="1"/>
  <c r="G7" i="24" s="1"/>
  <c r="E29" i="5" s="1"/>
  <c r="C61" i="24"/>
  <c r="C63" i="24"/>
  <c r="C60" i="24" s="1"/>
  <c r="D48" i="24"/>
  <c r="E9" i="24"/>
  <c r="G28" i="5" l="1"/>
  <c r="J28" i="23" s="1"/>
  <c r="L28" i="23" s="1"/>
  <c r="E6" i="5"/>
  <c r="G29" i="5"/>
  <c r="J29" i="23" s="1"/>
  <c r="L29" i="23" s="1"/>
  <c r="E7" i="5"/>
  <c r="D56" i="24"/>
  <c r="E49" i="24"/>
  <c r="E56" i="24" s="1"/>
  <c r="D55" i="24"/>
  <c r="E48" i="24"/>
  <c r="E55" i="24" s="1"/>
  <c r="H8" i="5"/>
  <c r="J20" i="5"/>
  <c r="L8" i="5"/>
  <c r="N8" i="5" s="1"/>
  <c r="R8" i="5"/>
  <c r="D63" i="24" l="1"/>
  <c r="D61" i="24"/>
  <c r="D60" i="24"/>
  <c r="F4" i="24"/>
  <c r="E61" i="24"/>
  <c r="E63" i="24"/>
  <c r="E60" i="24"/>
  <c r="L7" i="5"/>
  <c r="N7" i="5" s="1"/>
  <c r="H7" i="5"/>
  <c r="J19" i="5"/>
  <c r="R7" i="5"/>
  <c r="J18" i="5"/>
  <c r="L6" i="5"/>
  <c r="H6" i="5"/>
  <c r="R6" i="5"/>
  <c r="T8" i="5"/>
  <c r="F9" i="13"/>
  <c r="H9" i="13" s="1"/>
  <c r="F5" i="24"/>
  <c r="G5" i="24" s="1"/>
  <c r="E27" i="5" s="1"/>
  <c r="F9" i="24" l="1"/>
  <c r="F10" i="24" s="1"/>
  <c r="G4" i="24"/>
  <c r="F8" i="13"/>
  <c r="H8" i="13" s="1"/>
  <c r="T7" i="5"/>
  <c r="F7" i="13"/>
  <c r="H7" i="13" s="1"/>
  <c r="T6" i="5"/>
  <c r="E5" i="5"/>
  <c r="G27" i="5"/>
  <c r="J27" i="23" s="1"/>
  <c r="L27" i="23" s="1"/>
  <c r="F30" i="13"/>
  <c r="N6" i="5"/>
  <c r="H30" i="13" l="1"/>
  <c r="F29" i="13"/>
  <c r="E26" i="5"/>
  <c r="G9" i="24"/>
  <c r="L5" i="5"/>
  <c r="H5" i="5"/>
  <c r="J17" i="5"/>
  <c r="R5" i="5"/>
  <c r="F28" i="13"/>
  <c r="H29" i="13" l="1"/>
  <c r="H28" i="13"/>
  <c r="T5" i="5"/>
  <c r="F6" i="13"/>
  <c r="H6" i="13" s="1"/>
  <c r="G26" i="5"/>
  <c r="J26" i="23" s="1"/>
  <c r="E4" i="5"/>
  <c r="J16" i="5" s="1"/>
  <c r="N5" i="5"/>
  <c r="R4" i="5" l="1"/>
  <c r="L4" i="5"/>
  <c r="H4" i="5"/>
  <c r="L26" i="23"/>
  <c r="L32" i="23" s="1"/>
  <c r="J32" i="23"/>
  <c r="F27" i="13"/>
  <c r="H27" i="13" l="1"/>
  <c r="N4" i="5"/>
  <c r="F5" i="13"/>
  <c r="H5" i="13" s="1"/>
  <c r="T4" i="5"/>
  <c r="J22" i="5"/>
  <c r="L22" i="5" s="1"/>
  <c r="L24" i="5" s="1"/>
  <c r="F26" i="13" l="1"/>
  <c r="H26" i="13" l="1"/>
</calcChain>
</file>

<file path=xl/comments1.xml><?xml version="1.0" encoding="utf-8"?>
<comments xmlns="http://schemas.openxmlformats.org/spreadsheetml/2006/main">
  <authors>
    <author>Logan, Raysene</author>
  </authors>
  <commentList>
    <comment ref="X68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$3,196 Interest adj - interest on Cardinals sign/radio allocation adjustments booked in Nov 2017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2.xml><?xml version="1.0" encoding="utf-8"?>
<comments xmlns="http://schemas.openxmlformats.org/spreadsheetml/2006/main">
  <authors>
    <author>Raysene Logan</author>
    <author>Logan, Raysene</author>
  </authors>
  <commentList>
    <comment ref="AR56" authorId="0" shape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$9,652 Interest adj - interest on HER report adjustments booked in July 2019</t>
        </r>
      </text>
    </comment>
    <comment ref="N65" authorId="1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3.xml><?xml version="1.0" encoding="utf-8"?>
<comments xmlns="http://schemas.openxmlformats.org/spreadsheetml/2006/main">
  <authors>
    <author>Logan, Raysene</author>
  </authors>
  <commentList>
    <comment ref="B64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Nov 1, 2019, ending MEEIA 1 balance rolled into MEEIA 2 for rate calculation</t>
        </r>
      </text>
    </comment>
  </commentList>
</comments>
</file>

<file path=xl/sharedStrings.xml><?xml version="1.0" encoding="utf-8"?>
<sst xmlns="http://schemas.openxmlformats.org/spreadsheetml/2006/main" count="832" uniqueCount="179">
  <si>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</si>
  <si>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</si>
  <si>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</si>
  <si>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</si>
  <si>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</si>
  <si>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</si>
  <si>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</si>
  <si>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</si>
  <si>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</si>
  <si>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</si>
  <si>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</si>
  <si>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</si>
  <si>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</si>
  <si>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</si>
  <si>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</si>
  <si>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</si>
  <si>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</si>
  <si>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</si>
  <si>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</si>
  <si>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</si>
  <si>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</si>
  <si>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</si>
  <si>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</si>
  <si>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</si>
  <si>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</si>
  <si>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</si>
  <si>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</si>
  <si>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</si>
  <si>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</si>
  <si>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</si>
  <si>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</si>
  <si>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</si>
  <si>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</si>
  <si>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</si>
  <si>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</si>
  <si>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</si>
  <si>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</si>
  <si>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</si>
  <si>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</si>
  <si>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</si>
  <si>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</si>
  <si>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</si>
  <si>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</si>
  <si>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</si>
  <si>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</si>
  <si>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</si>
  <si>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</si>
  <si>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</si>
  <si>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</si>
  <si>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</si>
  <si>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</si>
  <si>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</si>
  <si>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</si>
  <si>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</si>
  <si>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</si>
  <si>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</si>
  <si>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</si>
  <si>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</si>
  <si>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</si>
  <si>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</si>
  <si>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</si>
  <si>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</si>
  <si>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</si>
  <si>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</si>
  <si>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</si>
  <si>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</si>
  <si>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</si>
  <si>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</si>
  <si>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</si>
  <si>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</si>
  <si>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</si>
  <si>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</si>
  <si>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</si>
  <si>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</si>
  <si>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</si>
  <si>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</si>
  <si>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</si>
  <si>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</si>
  <si>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</si>
  <si>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</si>
  <si>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</si>
  <si>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</si>
  <si>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</si>
  <si>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</si>
  <si>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</si>
  <si>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</si>
  <si>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</si>
  <si>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</si>
  <si>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4. Total Interest</t>
  </si>
  <si>
    <t>SOURCE: MEEIA 2 Over/Under Calculation file</t>
  </si>
  <si>
    <t>1. Actual monthly TD</t>
  </si>
  <si>
    <t>(Over)/Under</t>
  </si>
  <si>
    <t>5. Total Interest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</si>
  <si>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</si>
  <si>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</si>
  <si>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</si>
  <si>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</si>
  <si>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</si>
  <si>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</si>
  <si>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</si>
  <si>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TD Reconciliation Calculation</t>
  </si>
  <si>
    <t>Total $</t>
  </si>
  <si>
    <t>Allocated Actual Revenue</t>
  </si>
  <si>
    <t>4. Actual Revenue Credits - Low Income Exemption</t>
  </si>
  <si>
    <t>6. Current Tariff Rate</t>
  </si>
  <si>
    <t>MEEIA 1 Ending Balance</t>
  </si>
  <si>
    <t>1. Actual PI Amortization</t>
  </si>
  <si>
    <t>PI Amortization</t>
  </si>
  <si>
    <t>2. Actual Revenues - Performance Incentive</t>
  </si>
  <si>
    <t>3. Actual Revenue Credits - Low Income Exemption</t>
  </si>
  <si>
    <t>5. Current Tariff Rate</t>
  </si>
  <si>
    <t>1. Actual monthly performance incentive amortization by rate class</t>
  </si>
  <si>
    <t>1F. Forecasted monthly performance incentive amortization by rate class</t>
  </si>
  <si>
    <t>2. Actual monthly billed revenues by rate class (performance incentive revenues only)</t>
  </si>
  <si>
    <t>2F. Forecasted billed revenues by rate class</t>
  </si>
  <si>
    <t>Performance Incentive Reconciliation Calculation</t>
  </si>
  <si>
    <t>5. Actual performance incentive rate component of the tariff rate</t>
  </si>
  <si>
    <t>3. Actual monthly revenue credit for low income exempt customers (performance incentive revenues only)</t>
  </si>
  <si>
    <t>PIR</t>
  </si>
  <si>
    <t>SOURCE: Caculated based on amounts in Stipulation</t>
  </si>
  <si>
    <t>4. Actual monthly revenue credit for low income exempt customers (program cost revenues only)</t>
  </si>
  <si>
    <t>5. Total monthly interest booked</t>
  </si>
  <si>
    <t>5F. Forecasted interest for accrued over/under</t>
  </si>
  <si>
    <t>6. Actual program cost rate component of the tariff rate</t>
  </si>
  <si>
    <t>Beg Bal (M1)</t>
  </si>
  <si>
    <t>Ordered Adjustments</t>
  </si>
  <si>
    <t>1. OA</t>
  </si>
  <si>
    <t>4. Effective Period kWh</t>
  </si>
  <si>
    <t>5. Actual TD rate component of the tariff rate</t>
  </si>
  <si>
    <t>3. Actual monthly revenue credit for low income exempt customers (TD revenues only)</t>
  </si>
  <si>
    <t>2. Actual TD Revenues</t>
  </si>
  <si>
    <t>Total Reconciled</t>
  </si>
  <si>
    <t>Total Forecasted</t>
  </si>
  <si>
    <t>Ordered Adjustments Reconciliation Calculation</t>
  </si>
  <si>
    <t>OAR</t>
  </si>
  <si>
    <t>1. Actual OA to Amortize</t>
  </si>
  <si>
    <t>2. Actual Revenues - Ordered Adjustments</t>
  </si>
  <si>
    <t>1. Actual ordered adjustments to amortize by rate class</t>
  </si>
  <si>
    <t>2. Actual monthly billed revenues by rate class (ordered adjustment revenues only)</t>
  </si>
  <si>
    <t>3. Actual monthly revenue credit for low income exempt customers (ordered adjustment revenues only)</t>
  </si>
  <si>
    <t>5. Actual ordered adjustment rate component of the tariff rate</t>
  </si>
  <si>
    <t>Nov 2019 filing</t>
  </si>
  <si>
    <t>OA to Amortize</t>
  </si>
  <si>
    <t>OA ($)</t>
  </si>
  <si>
    <t>OAR ($)</t>
  </si>
  <si>
    <t>Ordered Adj Rate</t>
  </si>
  <si>
    <t>EO Rate</t>
  </si>
  <si>
    <t>For Tariff (rounded)</t>
  </si>
  <si>
    <t>Projections for 2020 EEIC</t>
  </si>
  <si>
    <t>SOURCE: MEEIA 3 Over/Under Calculation file</t>
  </si>
  <si>
    <t>MEEIA 2019-21 EEIR Components (Applicable to MEEIA Cycle 3 Plan)</t>
  </si>
  <si>
    <t>Earnings Opportunity Reconciliation Calculation</t>
  </si>
  <si>
    <t>EO Amortization</t>
  </si>
  <si>
    <t>EOR</t>
  </si>
  <si>
    <t>1. Actual EO Amortization</t>
  </si>
  <si>
    <t>2. Actual Revenues - Earnings Opportunity</t>
  </si>
  <si>
    <t>1. Actual monthly earnings opportunity amortization by rate class</t>
  </si>
  <si>
    <t>1F. Forecasted monthly earnings opportunity amortization by rate class</t>
  </si>
  <si>
    <t>2. Actual monthly billed revenues by rate class (earnings opportunity revenues only)</t>
  </si>
  <si>
    <t>3. Actual monthly revenue credit for low income exempt customers (earnings opportunity revenues only)</t>
  </si>
  <si>
    <t>5. Actual earnings opportunity rate component of the tariff rate</t>
  </si>
  <si>
    <t>Earnings Opportunity Calculation (MEEIA 2)</t>
  </si>
  <si>
    <t>MEEIA 2</t>
  </si>
  <si>
    <t>MEEIA 3</t>
  </si>
  <si>
    <t>Nov 2020 filing</t>
  </si>
  <si>
    <t>EO</t>
  </si>
  <si>
    <t>Program Cost Calculation</t>
  </si>
  <si>
    <t>MEEIA 2 Allocations</t>
  </si>
  <si>
    <t>MEEIA 3 Allocations</t>
  </si>
  <si>
    <t>1. EO</t>
  </si>
  <si>
    <t>1. EO awarded &amp; split between 2019 and 2020 filings</t>
  </si>
  <si>
    <t>2. kWh reduced for opt-out</t>
  </si>
  <si>
    <t>%</t>
  </si>
  <si>
    <t>EO Totals</t>
  </si>
  <si>
    <t>3. Forecasted kWh by Rate Class (Reduced for Opt-Out, Includes Low Income) - 12 Months</t>
  </si>
  <si>
    <t>2. Cumulative kWh by Rate Class (Reduced for Opt-out) - 2016 through 2018</t>
  </si>
  <si>
    <t>M3</t>
  </si>
  <si>
    <t>M2</t>
  </si>
  <si>
    <t>12.06.19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</si>
</sst>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_(&quot;$&quot;* #,##0.000000_);_(&quot;$&quot;* \(#,##0.000000\);_(&quot;$&quot;* &quot;-&quot;??_);_(@_)"/>
    <numFmt numFmtId="171" formatCode="&quot;$&quot;#,##0.000000_);[Red]\(&quot;$&quot;#,##0.000000\)"/>
    <numFmt numFmtId="172" formatCode="_(&quot;$&quot;* #,##0.000_);_(&quot;$&quot;* \(#,##0.000\);_(&quot;$&quot;* &quot;-&quot;??_);_(@_)"/>
    <numFmt numFmtId="173" formatCode="_(* #,##0.000000_);_(* \(#,##0.000000\);_(* &quot;-&quot;??_);_(@_)"/>
    <numFmt numFmtId="174" formatCode="&quot;$&quot;#,##0.00000000_);[Red]\(&quot;$&quot;#,##0.00000000\)"/>
    <numFmt numFmtId="175" formatCode="mmm\-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76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359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1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2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1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1" fontId="10" fillId="7" borderId="3" xfId="0" applyNumberFormat="1" applyFont="1" applyFill="1" applyBorder="1" applyAlignment="1">
      <alignment vertical="center" wrapText="1"/>
    </xf>
    <xf numFmtId="171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1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1" fontId="33" fillId="0" borderId="6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171" fontId="31" fillId="0" borderId="10" xfId="0" applyNumberFormat="1" applyFont="1" applyBorder="1" applyAlignment="1">
      <alignment horizontal="center" vertical="center" wrapText="1"/>
    </xf>
    <xf numFmtId="171" fontId="0" fillId="0" borderId="6" xfId="0" applyNumberFormat="1" applyBorder="1" applyAlignment="1">
      <alignment vertical="center" wrapText="1"/>
    </xf>
    <xf numFmtId="171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4" fillId="4" borderId="9" xfId="5" applyNumberFormat="1" applyBorder="1"/>
    <xf numFmtId="165" fontId="4" fillId="4" borderId="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0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165" fontId="0" fillId="0" borderId="11" xfId="0" applyNumberFormat="1" applyBorder="1"/>
    <xf numFmtId="165" fontId="0" fillId="0" borderId="42" xfId="0" applyNumberFormat="1" applyBorder="1"/>
    <xf numFmtId="165" fontId="5" fillId="0" borderId="9" xfId="6" applyNumberFormat="1" applyFill="1" applyBorder="1"/>
    <xf numFmtId="165" fontId="4" fillId="4" borderId="6" xfId="5" applyNumberFormat="1" applyBorder="1"/>
    <xf numFmtId="165" fontId="4" fillId="0" borderId="0" xfId="11" applyNumberFormat="1" applyFont="1" applyFill="1" applyBorder="1"/>
    <xf numFmtId="165" fontId="6" fillId="6" borderId="43" xfId="7" applyNumberFormat="1" applyBorder="1"/>
    <xf numFmtId="44" fontId="5" fillId="5" borderId="1" xfId="11" applyNumberFormat="1" applyFont="1" applyFill="1" applyBorder="1"/>
    <xf numFmtId="171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165" fontId="6" fillId="6" borderId="45" xfId="11" applyNumberFormat="1" applyFont="1" applyFill="1" applyBorder="1"/>
    <xf numFmtId="165" fontId="14" fillId="8" borderId="37" xfId="13" applyNumberForma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1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10" fontId="14" fillId="0" borderId="0" xfId="13" applyNumberFormat="1" applyFill="1" applyBorder="1" applyAlignment="1">
      <alignment horizontal="center"/>
    </xf>
    <xf numFmtId="169" fontId="0" fillId="0" borderId="0" xfId="2" applyNumberFormat="1" applyFont="1" applyFill="1" applyBorder="1"/>
    <xf numFmtId="169" fontId="0" fillId="0" borderId="10" xfId="2" applyNumberFormat="1" applyFont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6" fontId="8" fillId="0" borderId="0" xfId="0" applyNumberFormat="1" applyFont="1"/>
    <xf numFmtId="0" fontId="0" fillId="0" borderId="0" xfId="0" applyFont="1" applyFill="1"/>
    <xf numFmtId="165" fontId="14" fillId="0" borderId="0" xfId="13" applyNumberFormat="1" applyFill="1" applyBorder="1"/>
    <xf numFmtId="165" fontId="5" fillId="5" borderId="0" xfId="6" applyNumberFormat="1" applyBorder="1"/>
    <xf numFmtId="0" fontId="8" fillId="0" borderId="0" xfId="0" applyFont="1" applyAlignment="1">
      <alignment horizontal="center"/>
    </xf>
    <xf numFmtId="165" fontId="0" fillId="0" borderId="48" xfId="0" applyNumberFormat="1" applyBorder="1"/>
    <xf numFmtId="0" fontId="0" fillId="0" borderId="46" xfId="0" applyBorder="1"/>
    <xf numFmtId="165" fontId="0" fillId="0" borderId="46" xfId="0" applyNumberFormat="1" applyBorder="1"/>
    <xf numFmtId="0" fontId="0" fillId="0" borderId="47" xfId="0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170" fontId="5" fillId="0" borderId="0" xfId="6" applyNumberFormat="1" applyFill="1" applyBorder="1"/>
    <xf numFmtId="0" fontId="0" fillId="0" borderId="49" xfId="0" applyBorder="1"/>
    <xf numFmtId="8" fontId="0" fillId="0" borderId="49" xfId="0" applyNumberFormat="1" applyBorder="1"/>
    <xf numFmtId="3" fontId="0" fillId="0" borderId="49" xfId="0" applyNumberFormat="1" applyBorder="1"/>
    <xf numFmtId="165" fontId="0" fillId="0" borderId="9" xfId="0" applyNumberFormat="1" applyFill="1" applyBorder="1"/>
    <xf numFmtId="165" fontId="14" fillId="0" borderId="9" xfId="13" applyNumberFormat="1" applyFill="1" applyBorder="1"/>
    <xf numFmtId="165" fontId="37" fillId="5" borderId="46" xfId="6" applyNumberFormat="1" applyFont="1" applyBorder="1"/>
    <xf numFmtId="165" fontId="5" fillId="5" borderId="42" xfId="6" applyNumberFormat="1" applyBorder="1"/>
    <xf numFmtId="8" fontId="0" fillId="0" borderId="0" xfId="0" applyNumberFormat="1" applyBorder="1"/>
    <xf numFmtId="8" fontId="0" fillId="0" borderId="42" xfId="0" applyNumberFormat="1" applyBorder="1"/>
    <xf numFmtId="165" fontId="0" fillId="0" borderId="0" xfId="2" applyNumberFormat="1" applyFont="1" applyBorder="1"/>
    <xf numFmtId="0" fontId="10" fillId="7" borderId="6" xfId="0" applyNumberFormat="1" applyFont="1" applyFill="1" applyBorder="1" applyAlignment="1">
      <alignment vertical="center" wrapText="1"/>
    </xf>
    <xf numFmtId="165" fontId="4" fillId="4" borderId="10" xfId="5" applyNumberFormat="1" applyBorder="1"/>
    <xf numFmtId="0" fontId="8" fillId="0" borderId="0" xfId="0" applyFont="1" applyFill="1" applyBorder="1" applyAlignment="1">
      <alignment horizontal="center"/>
    </xf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0" fontId="0" fillId="0" borderId="0" xfId="0" applyAlignment="1">
      <alignment horizontal="right"/>
    </xf>
    <xf numFmtId="173" fontId="0" fillId="0" borderId="0" xfId="1" applyNumberFormat="1" applyFont="1"/>
    <xf numFmtId="5" fontId="0" fillId="0" borderId="0" xfId="0" applyNumberFormat="1"/>
    <xf numFmtId="0" fontId="8" fillId="0" borderId="0" xfId="0" applyFont="1" applyAlignment="1">
      <alignment horizontal="center"/>
    </xf>
    <xf numFmtId="44" fontId="4" fillId="0" borderId="9" xfId="5" applyNumberFormat="1" applyFill="1" applyBorder="1"/>
    <xf numFmtId="165" fontId="4" fillId="0" borderId="10" xfId="11" applyNumberFormat="1" applyFont="1" applyFill="1" applyBorder="1"/>
    <xf numFmtId="165" fontId="0" fillId="0" borderId="48" xfId="0" applyNumberFormat="1" applyFill="1" applyBorder="1"/>
    <xf numFmtId="165" fontId="4" fillId="4" borderId="11" xfId="5" applyNumberFormat="1" applyBorder="1"/>
    <xf numFmtId="165" fontId="4" fillId="4" borderId="42" xfId="5" applyNumberFormat="1" applyBorder="1"/>
    <xf numFmtId="43" fontId="0" fillId="0" borderId="0" xfId="1" applyFont="1" applyBorder="1"/>
    <xf numFmtId="43" fontId="0" fillId="0" borderId="0" xfId="1" applyNumberFormat="1" applyFont="1"/>
    <xf numFmtId="165" fontId="5" fillId="5" borderId="32" xfId="11" applyNumberFormat="1" applyFont="1" applyFill="1" applyBorder="1"/>
    <xf numFmtId="165" fontId="14" fillId="8" borderId="32" xfId="1" applyNumberFormat="1" applyFont="1" applyFill="1" applyBorder="1"/>
    <xf numFmtId="171" fontId="0" fillId="0" borderId="0" xfId="1" applyNumberFormat="1" applyFont="1"/>
    <xf numFmtId="174" fontId="10" fillId="7" borderId="4" xfId="0" applyNumberFormat="1" applyFont="1" applyFill="1" applyBorder="1" applyAlignment="1">
      <alignment vertical="center" wrapText="1"/>
    </xf>
    <xf numFmtId="44" fontId="14" fillId="8" borderId="31" xfId="13" applyNumberFormat="1" applyBorder="1"/>
    <xf numFmtId="0" fontId="9" fillId="0" borderId="0" xfId="0" applyFont="1" applyAlignment="1">
      <alignment horizontal="center"/>
    </xf>
    <xf numFmtId="167" fontId="5" fillId="5" borderId="1" xfId="1" applyNumberFormat="1" applyFont="1" applyFill="1" applyBorder="1"/>
    <xf numFmtId="0" fontId="0" fillId="0" borderId="29" xfId="0" applyBorder="1"/>
    <xf numFmtId="164" fontId="0" fillId="0" borderId="29" xfId="0" applyNumberFormat="1" applyBorder="1"/>
    <xf numFmtId="165" fontId="5" fillId="5" borderId="50" xfId="6" applyNumberFormat="1" applyBorder="1"/>
    <xf numFmtId="0" fontId="0" fillId="0" borderId="30" xfId="0" applyBorder="1"/>
    <xf numFmtId="44" fontId="0" fillId="0" borderId="30" xfId="0" applyNumberFormat="1" applyBorder="1"/>
    <xf numFmtId="165" fontId="14" fillId="8" borderId="50" xfId="13" applyNumberFormat="1" applyBorder="1"/>
    <xf numFmtId="165" fontId="14" fillId="0" borderId="30" xfId="13" applyNumberFormat="1" applyFill="1" applyBorder="1"/>
    <xf numFmtId="165" fontId="5" fillId="5" borderId="51" xfId="11" applyNumberFormat="1" applyFont="1" applyFill="1" applyBorder="1"/>
    <xf numFmtId="165" fontId="5" fillId="0" borderId="29" xfId="11" applyNumberFormat="1" applyFont="1" applyFill="1" applyBorder="1"/>
    <xf numFmtId="169" fontId="0" fillId="0" borderId="30" xfId="2" applyNumberFormat="1" applyFont="1" applyFill="1" applyBorder="1"/>
    <xf numFmtId="165" fontId="6" fillId="6" borderId="52" xfId="7" applyNumberFormat="1" applyBorder="1"/>
    <xf numFmtId="0" fontId="0" fillId="0" borderId="48" xfId="0" applyBorder="1"/>
    <xf numFmtId="166" fontId="0" fillId="0" borderId="9" xfId="0" applyNumberFormat="1" applyBorder="1"/>
    <xf numFmtId="166" fontId="0" fillId="0" borderId="0" xfId="0" applyNumberFormat="1" applyBorder="1"/>
    <xf numFmtId="166" fontId="0" fillId="0" borderId="10" xfId="0" applyNumberFormat="1" applyBorder="1"/>
    <xf numFmtId="165" fontId="37" fillId="5" borderId="53" xfId="6" applyNumberFormat="1" applyFont="1" applyBorder="1"/>
    <xf numFmtId="165" fontId="5" fillId="5" borderId="30" xfId="6" applyNumberFormat="1" applyBorder="1"/>
    <xf numFmtId="165" fontId="5" fillId="5" borderId="5" xfId="6" applyNumberFormat="1" applyBorder="1"/>
    <xf numFmtId="165" fontId="5" fillId="5" borderId="13" xfId="6" applyNumberFormat="1" applyBorder="1"/>
    <xf numFmtId="44" fontId="0" fillId="0" borderId="10" xfId="0" applyNumberFormat="1" applyBorder="1"/>
    <xf numFmtId="165" fontId="14" fillId="0" borderId="10" xfId="13" applyNumberFormat="1" applyFill="1" applyBorder="1"/>
    <xf numFmtId="165" fontId="5" fillId="5" borderId="19" xfId="11" applyNumberFormat="1" applyFont="1" applyFill="1" applyBorder="1"/>
    <xf numFmtId="165" fontId="5" fillId="0" borderId="8" xfId="11" applyNumberFormat="1" applyFont="1" applyFill="1" applyBorder="1"/>
    <xf numFmtId="169" fontId="0" fillId="0" borderId="10" xfId="2" applyNumberFormat="1" applyFont="1" applyFill="1" applyBorder="1"/>
    <xf numFmtId="8" fontId="0" fillId="0" borderId="54" xfId="0" applyNumberFormat="1" applyBorder="1"/>
    <xf numFmtId="5" fontId="11" fillId="0" borderId="6" xfId="0" applyNumberFormat="1" applyFont="1" applyFill="1" applyBorder="1" applyAlignment="1">
      <alignment horizontal="right" vertical="center" wrapText="1"/>
    </xf>
    <xf numFmtId="6" fontId="11" fillId="0" borderId="6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6" fillId="0" borderId="0" xfId="1" applyFont="1" applyFill="1" applyBorder="1"/>
    <xf numFmtId="43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7" fillId="0" borderId="0" xfId="8" applyFill="1" applyBorder="1" applyAlignment="1">
      <alignment horizontal="right"/>
    </xf>
    <xf numFmtId="3" fontId="0" fillId="0" borderId="0" xfId="0" applyNumberFormat="1" applyFill="1" applyBorder="1"/>
    <xf numFmtId="167" fontId="5" fillId="0" borderId="0" xfId="6" applyNumberFormat="1" applyFill="1" applyBorder="1"/>
    <xf numFmtId="165" fontId="13" fillId="0" borderId="0" xfId="12" applyNumberFormat="1" applyFill="1" applyBorder="1"/>
    <xf numFmtId="167" fontId="14" fillId="0" borderId="0" xfId="13" applyNumberFormat="1" applyFill="1" applyBorder="1"/>
    <xf numFmtId="0" fontId="9" fillId="0" borderId="0" xfId="0" applyFont="1" applyFill="1" applyBorder="1" applyAlignment="1"/>
    <xf numFmtId="0" fontId="8" fillId="0" borderId="7" xfId="0" applyFont="1" applyBorder="1" applyAlignment="1">
      <alignment horizontal="right"/>
    </xf>
    <xf numFmtId="165" fontId="14" fillId="8" borderId="55" xfId="13" applyNumberFormat="1" applyBorder="1" applyAlignment="1">
      <alignment horizontal="center"/>
    </xf>
    <xf numFmtId="165" fontId="14" fillId="8" borderId="56" xfId="13" applyNumberFormat="1" applyBorder="1" applyAlignment="1">
      <alignment horizontal="center"/>
    </xf>
    <xf numFmtId="165" fontId="14" fillId="8" borderId="57" xfId="13" applyNumberFormat="1" applyBorder="1" applyAlignment="1">
      <alignment horizontal="center"/>
    </xf>
    <xf numFmtId="43" fontId="0" fillId="0" borderId="9" xfId="1" applyFont="1" applyBorder="1"/>
    <xf numFmtId="43" fontId="0" fillId="0" borderId="10" xfId="1" applyFont="1" applyBorder="1"/>
    <xf numFmtId="43" fontId="6" fillId="6" borderId="2" xfId="1" applyNumberFormat="1" applyFont="1" applyFill="1" applyBorder="1"/>
    <xf numFmtId="44" fontId="14" fillId="8" borderId="32" xfId="13" applyNumberFormat="1" applyBorder="1"/>
    <xf numFmtId="44" fontId="6" fillId="6" borderId="43" xfId="7" applyNumberFormat="1" applyBorder="1"/>
    <xf numFmtId="0" fontId="9" fillId="0" borderId="0" xfId="0" applyFont="1" applyFill="1" applyAlignment="1">
      <alignment horizontal="center"/>
    </xf>
    <xf numFmtId="6" fontId="10" fillId="0" borderId="6" xfId="0" applyNumberFormat="1" applyFont="1" applyFill="1" applyBorder="1" applyAlignment="1">
      <alignment vertical="center" wrapText="1"/>
    </xf>
    <xf numFmtId="6" fontId="10" fillId="0" borderId="6" xfId="0" applyNumberFormat="1" applyFont="1" applyFill="1" applyBorder="1" applyAlignment="1">
      <alignment horizontal="right" vertical="center" wrapText="1"/>
    </xf>
    <xf numFmtId="44" fontId="6" fillId="6" borderId="2" xfId="7" applyNumberFormat="1"/>
    <xf numFmtId="44" fontId="5" fillId="5" borderId="34" xfId="11" applyNumberFormat="1" applyFont="1" applyFill="1" applyBorder="1"/>
    <xf numFmtId="44" fontId="5" fillId="5" borderId="14" xfId="11" applyNumberFormat="1" applyFont="1" applyFill="1" applyBorder="1"/>
    <xf numFmtId="165" fontId="0" fillId="0" borderId="0" xfId="0" applyNumberFormat="1" applyFill="1"/>
    <xf numFmtId="0" fontId="8" fillId="0" borderId="0" xfId="0" applyFont="1" applyAlignment="1">
      <alignment horizontal="center"/>
    </xf>
    <xf numFmtId="171" fontId="0" fillId="0" borderId="0" xfId="0" applyNumberFormat="1" applyFill="1"/>
    <xf numFmtId="175" fontId="0" fillId="0" borderId="0" xfId="0" applyNumberFormat="1" applyFill="1"/>
    <xf numFmtId="0" fontId="0" fillId="0" borderId="0" xfId="0" applyFill="1" applyAlignment="1">
      <alignment horizontal="center"/>
    </xf>
    <xf numFmtId="6" fontId="0" fillId="0" borderId="0" xfId="0" applyNumberFormat="1" applyFill="1"/>
    <xf numFmtId="6" fontId="8" fillId="0" borderId="0" xfId="0" applyNumberFormat="1" applyFont="1" applyFill="1"/>
    <xf numFmtId="8" fontId="0" fillId="0" borderId="0" xfId="0" applyNumberFormat="1" applyFill="1"/>
    <xf numFmtId="5" fontId="0" fillId="0" borderId="0" xfId="0" applyNumberFormat="1" applyFill="1"/>
    <xf numFmtId="5" fontId="8" fillId="0" borderId="0" xfId="0" applyNumberFormat="1" applyFont="1" applyFill="1"/>
    <xf numFmtId="0" fontId="8" fillId="0" borderId="9" xfId="0" applyFont="1" applyFill="1" applyBorder="1" applyAlignment="1">
      <alignment horizontal="right"/>
    </xf>
    <xf numFmtId="167" fontId="6" fillId="6" borderId="44" xfId="1" applyNumberFormat="1" applyFont="1" applyFill="1" applyBorder="1"/>
    <xf numFmtId="10" fontId="6" fillId="0" borderId="0" xfId="1" applyNumberFormat="1" applyFont="1" applyFill="1" applyBorder="1"/>
    <xf numFmtId="167" fontId="6" fillId="0" borderId="0" xfId="1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168" fontId="5" fillId="0" borderId="0" xfId="2" applyNumberFormat="1" applyFont="1" applyFill="1" applyBorder="1" applyAlignment="1">
      <alignment horizontal="center"/>
    </xf>
    <xf numFmtId="41" fontId="14" fillId="0" borderId="0" xfId="11" applyNumberFormat="1" applyFont="1" applyFill="1" applyBorder="1" applyAlignment="1">
      <alignment horizontal="center"/>
    </xf>
    <xf numFmtId="165" fontId="6" fillId="0" borderId="0" xfId="11" applyNumberFormat="1" applyFont="1" applyFill="1" applyBorder="1"/>
    <xf numFmtId="165" fontId="14" fillId="0" borderId="0" xfId="13" applyNumberFormat="1" applyFill="1" applyBorder="1" applyAlignment="1">
      <alignment horizontal="center"/>
    </xf>
    <xf numFmtId="9" fontId="6" fillId="6" borderId="44" xfId="2" applyFont="1" applyFill="1" applyBorder="1" applyAlignment="1">
      <alignment horizontal="center"/>
    </xf>
    <xf numFmtId="165" fontId="4" fillId="7" borderId="9" xfId="5" applyNumberFormat="1" applyFill="1" applyBorder="1"/>
    <xf numFmtId="165" fontId="4" fillId="7" borderId="0" xfId="5" applyNumberFormat="1" applyFill="1" applyBorder="1"/>
    <xf numFmtId="165" fontId="4" fillId="7" borderId="10" xfId="5" applyNumberFormat="1" applyFill="1" applyBorder="1"/>
    <xf numFmtId="165" fontId="5" fillId="7" borderId="1" xfId="11" applyNumberFormat="1" applyFont="1" applyFill="1" applyBorder="1"/>
    <xf numFmtId="43" fontId="0" fillId="0" borderId="0" xfId="1" applyFont="1" applyFill="1"/>
    <xf numFmtId="165" fontId="4" fillId="7" borderId="6" xfId="5" applyNumberFormat="1" applyFill="1" applyBorder="1"/>
    <xf numFmtId="0" fontId="0" fillId="0" borderId="7" xfId="0" applyFill="1" applyBorder="1"/>
    <xf numFmtId="0" fontId="8" fillId="0" borderId="1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4" fillId="37" borderId="0" xfId="0" applyFont="1" applyFill="1" applyAlignment="1">
      <alignment vertical="center"/>
    </xf>
    <xf numFmtId="0" fontId="0" fillId="37" borderId="0" xfId="0" applyFill="1"/>
    <xf numFmtId="0" fontId="31" fillId="37" borderId="8" xfId="0" applyFont="1" applyFill="1" applyBorder="1" applyAlignment="1">
      <alignment horizontal="center" vertical="center" wrapText="1"/>
    </xf>
    <xf numFmtId="0" fontId="31" fillId="37" borderId="6" xfId="0" applyFont="1" applyFill="1" applyBorder="1" applyAlignment="1">
      <alignment horizontal="center" vertical="center" wrapText="1"/>
    </xf>
    <xf numFmtId="0" fontId="32" fillId="37" borderId="5" xfId="0" applyFont="1" applyFill="1" applyBorder="1" applyAlignment="1">
      <alignment vertical="center" wrapText="1"/>
    </xf>
    <xf numFmtId="171" fontId="33" fillId="37" borderId="6" xfId="0" applyNumberFormat="1" applyFont="1" applyFill="1" applyBorder="1" applyAlignment="1">
      <alignment horizontal="center" vertical="center" wrapText="1"/>
    </xf>
    <xf numFmtId="171" fontId="0" fillId="37" borderId="0" xfId="0" applyNumberFormat="1" applyFill="1"/>
    <xf numFmtId="171" fontId="31" fillId="37" borderId="8" xfId="0" applyNumberFormat="1" applyFont="1" applyFill="1" applyBorder="1" applyAlignment="1">
      <alignment horizontal="center" vertical="center" wrapText="1"/>
    </xf>
    <xf numFmtId="171" fontId="31" fillId="37" borderId="10" xfId="0" applyNumberFormat="1" applyFont="1" applyFill="1" applyBorder="1" applyAlignment="1">
      <alignment horizontal="center" vertical="center" wrapText="1"/>
    </xf>
    <xf numFmtId="171" fontId="0" fillId="37" borderId="6" xfId="0" applyNumberFormat="1" applyFill="1" applyBorder="1" applyAlignment="1">
      <alignment vertical="center" wrapText="1"/>
    </xf>
    <xf numFmtId="171" fontId="31" fillId="37" borderId="6" xfId="0" applyNumberFormat="1" applyFont="1" applyFill="1" applyBorder="1" applyAlignment="1">
      <alignment horizontal="center" vertical="center" wrapText="1"/>
    </xf>
    <xf numFmtId="0" fontId="20" fillId="37" borderId="0" xfId="0" applyFont="1" applyFill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3" borderId="7" xfId="4" applyBorder="1" applyAlignment="1">
      <alignment horizontal="center"/>
    </xf>
    <xf numFmtId="0" fontId="3" fillId="3" borderId="12" xfId="4" applyBorder="1" applyAlignment="1">
      <alignment horizontal="center"/>
    </xf>
    <xf numFmtId="0" fontId="3" fillId="3" borderId="8" xfId="4" applyBorder="1" applyAlignment="1">
      <alignment horizontal="center"/>
    </xf>
    <xf numFmtId="0" fontId="8" fillId="36" borderId="0" xfId="0" applyFont="1" applyFill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0" fillId="37" borderId="29" xfId="0" applyFont="1" applyFill="1" applyBorder="1" applyAlignment="1">
      <alignment vertical="center" wrapText="1"/>
    </xf>
    <xf numFmtId="0" fontId="30" fillId="37" borderId="5" xfId="0" applyFont="1" applyFill="1" applyBorder="1" applyAlignment="1">
      <alignment vertical="center" wrapText="1"/>
    </xf>
    <xf numFmtId="0" fontId="30" fillId="37" borderId="30" xfId="0" applyFont="1" applyFill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49"/>
  <sheetViews>
    <sheetView workbookViewId="0">
      <selection activeCell="M18" sqref="M18"/>
    </sheetView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5.140625" style="165" customWidth="1"/>
    <col min="5" max="5" width="16.140625" customWidth="1"/>
    <col min="6" max="6" width="12.7109375" customWidth="1"/>
    <col min="7" max="10" width="17.7109375" customWidth="1"/>
  </cols>
  <sheetData>
    <row r="1" spans="1:20" ht="15.75" thickBot="1" x14ac:dyDescent="0.3">
      <c r="A1" s="8" t="s">
        <v>148</v>
      </c>
    </row>
    <row r="2" spans="1:20" ht="15.75" thickBot="1" x14ac:dyDescent="0.3">
      <c r="B2" s="341" t="s">
        <v>166</v>
      </c>
      <c r="C2" s="341"/>
      <c r="D2" s="270"/>
      <c r="F2" s="338" t="s">
        <v>167</v>
      </c>
      <c r="G2" s="339"/>
      <c r="H2" s="339"/>
      <c r="I2" s="339"/>
      <c r="J2" s="340"/>
      <c r="L2" s="3" t="s">
        <v>26</v>
      </c>
    </row>
    <row r="3" spans="1:20" x14ac:dyDescent="0.25">
      <c r="C3" s="271" t="s">
        <v>162</v>
      </c>
      <c r="D3" s="271" t="s">
        <v>163</v>
      </c>
      <c r="F3" s="19"/>
      <c r="G3" s="33" t="s">
        <v>0</v>
      </c>
      <c r="H3" s="33" t="s">
        <v>1</v>
      </c>
      <c r="I3" s="33" t="s">
        <v>2</v>
      </c>
      <c r="J3" s="34" t="s">
        <v>3</v>
      </c>
      <c r="L3" s="57" t="s">
        <v>45</v>
      </c>
      <c r="M3" s="49"/>
      <c r="N3" s="49"/>
      <c r="O3" s="49"/>
      <c r="P3" s="49"/>
      <c r="Q3" s="49"/>
      <c r="R3" s="49"/>
      <c r="S3" s="49"/>
      <c r="T3" s="49"/>
    </row>
    <row r="4" spans="1:20" x14ac:dyDescent="0.25">
      <c r="B4" s="47" t="s">
        <v>30</v>
      </c>
      <c r="C4" s="6" t="s">
        <v>10</v>
      </c>
      <c r="D4" s="271" t="s">
        <v>10</v>
      </c>
      <c r="E4" s="48"/>
      <c r="F4" s="25"/>
      <c r="G4" s="44">
        <v>1</v>
      </c>
      <c r="H4" s="44">
        <v>0</v>
      </c>
      <c r="I4" s="27">
        <f>IFERROR(B5/SUM($B$5:$B$9),0)</f>
        <v>0.45914857195359543</v>
      </c>
      <c r="J4" s="28">
        <f>I4</f>
        <v>0.45914857195359543</v>
      </c>
      <c r="L4" s="57" t="s">
        <v>27</v>
      </c>
      <c r="M4" s="49"/>
      <c r="N4" s="49"/>
      <c r="O4" s="49"/>
      <c r="P4" s="49"/>
      <c r="Q4" s="49"/>
      <c r="R4" s="49"/>
      <c r="S4" s="49"/>
      <c r="T4" s="49"/>
    </row>
    <row r="5" spans="1:20" x14ac:dyDescent="0.25">
      <c r="A5" s="59" t="s">
        <v>31</v>
      </c>
      <c r="B5" s="40">
        <v>12811195859.280928</v>
      </c>
      <c r="C5" s="42">
        <f>SUM(G11:J11)</f>
        <v>0</v>
      </c>
      <c r="D5" s="42">
        <f>SUM(G27:J27)</f>
        <v>34453834.210631579</v>
      </c>
      <c r="E5" s="48"/>
      <c r="F5" s="25"/>
      <c r="G5" s="44">
        <v>0</v>
      </c>
      <c r="H5" s="27">
        <f>IFERROR(B6/SUM($B$6:$B$9),0)</f>
        <v>0.21364710996647179</v>
      </c>
      <c r="I5" s="27">
        <f>IFERROR(B6/SUM($B$5:$B$9),0)</f>
        <v>0.11555134452335353</v>
      </c>
      <c r="J5" s="28">
        <f>I5</f>
        <v>0.11555134452335353</v>
      </c>
      <c r="L5" s="57" t="s">
        <v>40</v>
      </c>
    </row>
    <row r="6" spans="1:20" x14ac:dyDescent="0.25">
      <c r="A6" s="22" t="s">
        <v>4</v>
      </c>
      <c r="B6" s="40">
        <v>3224121769.9824286</v>
      </c>
      <c r="C6" s="42">
        <f>SUM(G12:J12)</f>
        <v>190378.58957291339</v>
      </c>
      <c r="D6" s="42">
        <f>SUM(G28:J28)</f>
        <v>7293023.303629946</v>
      </c>
      <c r="E6" s="48"/>
      <c r="F6" s="25"/>
      <c r="G6" s="44">
        <v>0</v>
      </c>
      <c r="H6" s="27">
        <f>IFERROR(B7/SUM($B$6:$B$9),0)</f>
        <v>0.48509260818024386</v>
      </c>
      <c r="I6" s="27">
        <f>IFERROR(B7/SUM($B$5:$B$9),0)</f>
        <v>0.26236302986903992</v>
      </c>
      <c r="J6" s="28">
        <f>I6</f>
        <v>0.26236302986903992</v>
      </c>
    </row>
    <row r="7" spans="1:20" x14ac:dyDescent="0.25">
      <c r="A7" s="22" t="s">
        <v>5</v>
      </c>
      <c r="B7" s="40">
        <v>7320471775.8032055</v>
      </c>
      <c r="C7" s="42">
        <f>SUM(G13:J13)</f>
        <v>432260.6871307253</v>
      </c>
      <c r="D7" s="42">
        <f>SUM(G29:J29)</f>
        <v>16559043.070755059</v>
      </c>
      <c r="E7" s="48"/>
      <c r="F7" s="25"/>
      <c r="G7" s="44">
        <v>0</v>
      </c>
      <c r="H7" s="27">
        <f>IFERROR(B8/SUM($B$6:$B$9),0)</f>
        <v>0.20801997076176951</v>
      </c>
      <c r="I7" s="27">
        <f>IFERROR(B8/SUM($B$5:$B$9),0)</f>
        <v>0.11250789824867437</v>
      </c>
      <c r="J7" s="28">
        <f>I7</f>
        <v>0.11250789824867437</v>
      </c>
    </row>
    <row r="8" spans="1:20" ht="15.75" thickBot="1" x14ac:dyDescent="0.3">
      <c r="A8" s="22" t="s">
        <v>6</v>
      </c>
      <c r="B8" s="40">
        <v>3139203317.2336435</v>
      </c>
      <c r="C8" s="42">
        <f>SUM(G14:J14)</f>
        <v>185364.30772613443</v>
      </c>
      <c r="D8" s="42">
        <f>SUM(G30:J30)</f>
        <v>7100936.186892895</v>
      </c>
      <c r="E8" s="48"/>
      <c r="F8" s="25"/>
      <c r="G8" s="44">
        <v>0</v>
      </c>
      <c r="H8" s="27">
        <f>IFERROR(B9/SUM($B$6:$B$9),0)</f>
        <v>9.3240311091515024E-2</v>
      </c>
      <c r="I8" s="27">
        <f>IFERROR(B9/SUM($B$5:$B$9),0)</f>
        <v>5.042915540533692E-2</v>
      </c>
      <c r="J8" s="28">
        <f>I8</f>
        <v>5.042915540533692E-2</v>
      </c>
    </row>
    <row r="9" spans="1:20" ht="16.5" thickTop="1" thickBot="1" x14ac:dyDescent="0.3">
      <c r="A9" s="22" t="s">
        <v>7</v>
      </c>
      <c r="B9" s="40">
        <v>1407077853.181653</v>
      </c>
      <c r="C9" s="42">
        <f>SUM(G15:J15)</f>
        <v>83085.415570227036</v>
      </c>
      <c r="D9" s="42">
        <f>SUM(G31:J31)</f>
        <v>3182836.2280905158</v>
      </c>
      <c r="E9" s="4"/>
      <c r="F9" s="35" t="s">
        <v>25</v>
      </c>
      <c r="G9" s="60">
        <f>1-SUM(G4:G8)</f>
        <v>0</v>
      </c>
      <c r="H9" s="60">
        <f>(1-SUM(H4:H8))</f>
        <v>-2.2204460492503131E-16</v>
      </c>
      <c r="I9" s="60">
        <f>1-SUM(I4:I8)</f>
        <v>0</v>
      </c>
      <c r="J9" s="61">
        <f>1-SUM(J4:J8)</f>
        <v>0</v>
      </c>
    </row>
    <row r="10" spans="1:20" ht="16.5" thickTop="1" thickBot="1" x14ac:dyDescent="0.3">
      <c r="A10" s="22" t="s">
        <v>9</v>
      </c>
      <c r="B10" s="41">
        <f>SUM(B5:B9)</f>
        <v>27902070575.481853</v>
      </c>
      <c r="C10" s="24">
        <f>SUM(C5:C9)</f>
        <v>891089.00000000023</v>
      </c>
      <c r="D10" s="24">
        <f>SUM(D5:D9)</f>
        <v>68589673</v>
      </c>
      <c r="E10" s="4"/>
      <c r="F10" s="38" t="s">
        <v>38</v>
      </c>
      <c r="G10" s="43">
        <v>0</v>
      </c>
      <c r="H10" s="43">
        <v>891089</v>
      </c>
      <c r="I10" s="43">
        <v>0</v>
      </c>
      <c r="J10" s="68">
        <v>0</v>
      </c>
      <c r="K10" s="2" t="s">
        <v>36</v>
      </c>
    </row>
    <row r="11" spans="1:20" ht="16.5" thickTop="1" thickBot="1" x14ac:dyDescent="0.3">
      <c r="B11" s="39" t="s">
        <v>25</v>
      </c>
      <c r="C11" s="21">
        <f>SUM(G10:J10)-C10</f>
        <v>0</v>
      </c>
      <c r="D11" s="21">
        <f>SUM(G26:J26)-D10</f>
        <v>0</v>
      </c>
      <c r="E11" s="4"/>
      <c r="F11" s="25" t="s">
        <v>0</v>
      </c>
      <c r="G11" s="36">
        <f>G4*G$10</f>
        <v>0</v>
      </c>
      <c r="H11" s="36">
        <f>H4*H$10</f>
        <v>0</v>
      </c>
      <c r="I11" s="36">
        <f>I4*I$10</f>
        <v>0</v>
      </c>
      <c r="J11" s="37">
        <f t="shared" ref="G11:J15" si="0">J4*J$10</f>
        <v>0</v>
      </c>
    </row>
    <row r="12" spans="1:20" ht="15.75" thickTop="1" x14ac:dyDescent="0.25">
      <c r="E12" s="4"/>
      <c r="F12" s="25" t="s">
        <v>4</v>
      </c>
      <c r="G12" s="29">
        <f t="shared" si="0"/>
        <v>0</v>
      </c>
      <c r="H12" s="29">
        <f t="shared" si="0"/>
        <v>190378.58957291339</v>
      </c>
      <c r="I12" s="29">
        <f t="shared" si="0"/>
        <v>0</v>
      </c>
      <c r="J12" s="30">
        <f t="shared" si="0"/>
        <v>0</v>
      </c>
    </row>
    <row r="13" spans="1:20" x14ac:dyDescent="0.25">
      <c r="B13" s="52"/>
      <c r="C13" s="52"/>
      <c r="D13" s="52"/>
      <c r="E13" s="4"/>
      <c r="F13" s="25" t="s">
        <v>5</v>
      </c>
      <c r="G13" s="29">
        <f t="shared" si="0"/>
        <v>0</v>
      </c>
      <c r="H13" s="29">
        <f t="shared" si="0"/>
        <v>432260.6871307253</v>
      </c>
      <c r="I13" s="29">
        <f t="shared" si="0"/>
        <v>0</v>
      </c>
      <c r="J13" s="30">
        <f t="shared" si="0"/>
        <v>0</v>
      </c>
    </row>
    <row r="14" spans="1:20" x14ac:dyDescent="0.25">
      <c r="A14" s="59" t="s">
        <v>39</v>
      </c>
      <c r="B14" s="63">
        <v>3.3447363555154465E-2</v>
      </c>
      <c r="C14" s="72"/>
      <c r="E14" s="4"/>
      <c r="F14" s="25" t="s">
        <v>6</v>
      </c>
      <c r="G14" s="29">
        <f t="shared" si="0"/>
        <v>0</v>
      </c>
      <c r="H14" s="29">
        <f t="shared" si="0"/>
        <v>185364.30772613443</v>
      </c>
      <c r="I14" s="29">
        <f t="shared" si="0"/>
        <v>0</v>
      </c>
      <c r="J14" s="30">
        <f t="shared" si="0"/>
        <v>0</v>
      </c>
    </row>
    <row r="15" spans="1:20" ht="15.75" thickBot="1" x14ac:dyDescent="0.3">
      <c r="A15" s="22" t="s">
        <v>37</v>
      </c>
      <c r="B15" s="41">
        <f>B5*(1-B14)</f>
        <v>12382695133.799269</v>
      </c>
      <c r="C15" s="72"/>
      <c r="E15" s="4"/>
      <c r="F15" s="26" t="s">
        <v>7</v>
      </c>
      <c r="G15" s="31">
        <f t="shared" si="0"/>
        <v>0</v>
      </c>
      <c r="H15" s="31">
        <f t="shared" si="0"/>
        <v>83085.415570227036</v>
      </c>
      <c r="I15" s="31">
        <f t="shared" si="0"/>
        <v>0</v>
      </c>
      <c r="J15" s="32">
        <f t="shared" si="0"/>
        <v>0</v>
      </c>
    </row>
    <row r="16" spans="1:20" x14ac:dyDescent="0.25">
      <c r="C16" s="5"/>
      <c r="D16" s="5"/>
    </row>
    <row r="17" spans="1:33" ht="15.75" thickBot="1" x14ac:dyDescent="0.3">
      <c r="A17" s="205"/>
      <c r="B17" s="273"/>
      <c r="C17" s="205"/>
      <c r="D17" s="205"/>
    </row>
    <row r="18" spans="1:33" ht="15.75" thickBot="1" x14ac:dyDescent="0.3">
      <c r="A18" s="205"/>
      <c r="B18" s="281"/>
      <c r="C18" s="281"/>
      <c r="D18" s="274"/>
      <c r="E18" s="165"/>
      <c r="F18" s="338" t="s">
        <v>168</v>
      </c>
      <c r="G18" s="339"/>
      <c r="H18" s="339"/>
      <c r="I18" s="339"/>
      <c r="J18" s="340"/>
      <c r="K18" s="165"/>
      <c r="L18" s="57"/>
      <c r="M18" s="49"/>
      <c r="N18" s="49"/>
      <c r="O18" s="49"/>
      <c r="P18" s="49"/>
      <c r="Q18" s="49"/>
      <c r="R18" s="49"/>
      <c r="S18" s="49"/>
      <c r="T18" s="49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205"/>
      <c r="B19" s="220"/>
      <c r="C19" s="220"/>
      <c r="D19" s="220"/>
      <c r="E19" s="165"/>
      <c r="F19" s="167"/>
      <c r="G19" s="173" t="s">
        <v>0</v>
      </c>
      <c r="H19" s="173" t="s">
        <v>1</v>
      </c>
      <c r="I19" s="173" t="s">
        <v>2</v>
      </c>
      <c r="J19" s="174" t="s">
        <v>3</v>
      </c>
      <c r="K19" s="165"/>
      <c r="L19" s="57"/>
      <c r="M19" s="49"/>
      <c r="N19" s="49"/>
      <c r="O19" s="49"/>
      <c r="P19" s="49"/>
      <c r="Q19" s="49"/>
      <c r="R19" s="49"/>
      <c r="S19" s="49"/>
      <c r="T19" s="49"/>
    </row>
    <row r="20" spans="1:33" x14ac:dyDescent="0.25">
      <c r="A20" s="275"/>
      <c r="B20" s="278"/>
      <c r="C20" s="205"/>
      <c r="D20" s="279"/>
      <c r="E20" s="48"/>
      <c r="F20" s="169"/>
      <c r="G20" s="44">
        <v>1</v>
      </c>
      <c r="H20" s="44">
        <v>0</v>
      </c>
      <c r="I20" s="171">
        <f>IFERROR(B5/SUM($B$5:$B$9),0)</f>
        <v>0.45914857195359543</v>
      </c>
      <c r="J20" s="172">
        <f>I20</f>
        <v>0.45914857195359543</v>
      </c>
      <c r="K20" s="165"/>
      <c r="L20" s="57"/>
      <c r="M20" s="49"/>
      <c r="N20" s="49"/>
      <c r="O20" s="49"/>
      <c r="P20" s="49"/>
      <c r="Q20" s="49"/>
      <c r="R20" s="49"/>
      <c r="S20" s="49"/>
      <c r="T20" s="49"/>
    </row>
    <row r="21" spans="1:33" x14ac:dyDescent="0.25">
      <c r="A21" s="275"/>
      <c r="B21" s="278"/>
      <c r="C21" s="205"/>
      <c r="D21" s="279"/>
      <c r="E21" s="48"/>
      <c r="F21" s="169"/>
      <c r="G21" s="44">
        <v>0</v>
      </c>
      <c r="H21" s="171">
        <f>IFERROR(B6/SUM($B$6:$B$9),0)</f>
        <v>0.21364710996647179</v>
      </c>
      <c r="I21" s="171">
        <f t="shared" ref="I21:I24" si="1">IFERROR(B6/SUM($B$5:$B$9),0)</f>
        <v>0.11555134452335353</v>
      </c>
      <c r="J21" s="172">
        <f>I21</f>
        <v>0.11555134452335353</v>
      </c>
      <c r="K21" s="165"/>
      <c r="L21" s="57"/>
      <c r="M21" s="49"/>
      <c r="N21" s="49"/>
      <c r="O21" s="49"/>
      <c r="P21" s="49"/>
      <c r="Q21" s="49"/>
      <c r="R21" s="49"/>
      <c r="S21" s="49"/>
      <c r="T21" s="49"/>
    </row>
    <row r="22" spans="1:33" x14ac:dyDescent="0.25">
      <c r="A22" s="275"/>
      <c r="B22" s="278"/>
      <c r="C22" s="205"/>
      <c r="D22" s="279"/>
      <c r="E22" s="48"/>
      <c r="F22" s="169"/>
      <c r="G22" s="44">
        <v>0</v>
      </c>
      <c r="H22" s="171">
        <f t="shared" ref="H22:H24" si="2">IFERROR(B7/SUM($B$6:$B$9),0)</f>
        <v>0.48509260818024386</v>
      </c>
      <c r="I22" s="171">
        <f t="shared" si="1"/>
        <v>0.26236302986903992</v>
      </c>
      <c r="J22" s="172">
        <f>I22</f>
        <v>0.26236302986903992</v>
      </c>
      <c r="K22" s="165"/>
      <c r="L22" s="165"/>
    </row>
    <row r="23" spans="1:33" x14ac:dyDescent="0.25">
      <c r="A23" s="275"/>
      <c r="B23" s="278"/>
      <c r="C23" s="205"/>
      <c r="D23" s="279"/>
      <c r="E23" s="48"/>
      <c r="F23" s="169"/>
      <c r="G23" s="44">
        <v>0</v>
      </c>
      <c r="H23" s="171">
        <f t="shared" si="2"/>
        <v>0.20801997076176951</v>
      </c>
      <c r="I23" s="171">
        <f t="shared" si="1"/>
        <v>0.11250789824867437</v>
      </c>
      <c r="J23" s="172">
        <f>I23</f>
        <v>0.11250789824867437</v>
      </c>
      <c r="K23" s="165"/>
      <c r="L23" s="165"/>
    </row>
    <row r="24" spans="1:33" ht="15.75" thickBot="1" x14ac:dyDescent="0.3">
      <c r="A24" s="275"/>
      <c r="B24" s="278"/>
      <c r="C24" s="205"/>
      <c r="D24" s="279"/>
      <c r="E24" s="48"/>
      <c r="F24" s="169"/>
      <c r="G24" s="44">
        <v>0</v>
      </c>
      <c r="H24" s="171">
        <f t="shared" si="2"/>
        <v>9.3240311091515024E-2</v>
      </c>
      <c r="I24" s="171">
        <f t="shared" si="1"/>
        <v>5.042915540533692E-2</v>
      </c>
      <c r="J24" s="172">
        <f>I24</f>
        <v>5.042915540533692E-2</v>
      </c>
      <c r="K24" s="165"/>
      <c r="L24" s="165"/>
    </row>
    <row r="25" spans="1:33" ht="16.5" thickTop="1" thickBot="1" x14ac:dyDescent="0.3">
      <c r="A25" s="275"/>
      <c r="B25" s="280"/>
      <c r="C25" s="205"/>
      <c r="D25" s="195"/>
      <c r="E25" s="4"/>
      <c r="F25" s="175" t="s">
        <v>25</v>
      </c>
      <c r="G25" s="181">
        <f>1-SUM(G20:G24)</f>
        <v>0</v>
      </c>
      <c r="H25" s="181">
        <f>(1-SUM(H20:H24))</f>
        <v>-2.2204460492503131E-16</v>
      </c>
      <c r="I25" s="181">
        <f>1-SUM(I20:I24)</f>
        <v>0</v>
      </c>
      <c r="J25" s="182">
        <f>1-SUM(J20:J24)</f>
        <v>0</v>
      </c>
      <c r="K25" s="165"/>
      <c r="L25" s="165"/>
    </row>
    <row r="26" spans="1:33" ht="16.5" thickTop="1" thickBot="1" x14ac:dyDescent="0.3">
      <c r="A26" s="205"/>
      <c r="B26" s="276"/>
      <c r="C26" s="205"/>
      <c r="D26" s="272"/>
      <c r="E26" s="4"/>
      <c r="F26" s="178" t="s">
        <v>38</v>
      </c>
      <c r="G26" s="43">
        <v>28844214.999999993</v>
      </c>
      <c r="H26" s="43">
        <v>27528020</v>
      </c>
      <c r="I26" s="43">
        <v>8131912</v>
      </c>
      <c r="J26" s="68">
        <v>4085526</v>
      </c>
      <c r="K26" s="2" t="s">
        <v>36</v>
      </c>
      <c r="L26" s="165"/>
    </row>
    <row r="27" spans="1:33" x14ac:dyDescent="0.25">
      <c r="A27" s="205"/>
      <c r="B27" s="205"/>
      <c r="C27" s="205"/>
      <c r="D27" s="205"/>
      <c r="E27" s="4"/>
      <c r="F27" s="282" t="s">
        <v>0</v>
      </c>
      <c r="G27" s="283">
        <f>G20*G$26</f>
        <v>28844214.999999993</v>
      </c>
      <c r="H27" s="283">
        <f>H20*H$26</f>
        <v>0</v>
      </c>
      <c r="I27" s="283">
        <f>I20*I$26</f>
        <v>3733755.782052306</v>
      </c>
      <c r="J27" s="284">
        <f>J20*J$26</f>
        <v>1875863.4285792848</v>
      </c>
      <c r="K27" s="165"/>
      <c r="L27" s="165"/>
    </row>
    <row r="28" spans="1:33" x14ac:dyDescent="0.25">
      <c r="A28" s="205"/>
      <c r="B28" s="205"/>
      <c r="C28" s="205"/>
      <c r="D28" s="205"/>
      <c r="E28" s="4"/>
      <c r="F28" s="169" t="s">
        <v>4</v>
      </c>
      <c r="G28" s="176">
        <f t="shared" ref="G28:J31" si="3">G21*G$26</f>
        <v>0</v>
      </c>
      <c r="H28" s="176">
        <f t="shared" si="3"/>
        <v>5881281.9160992345</v>
      </c>
      <c r="I28" s="176">
        <f t="shared" si="3"/>
        <v>939653.36514559283</v>
      </c>
      <c r="J28" s="177">
        <f t="shared" si="3"/>
        <v>472088.02238511847</v>
      </c>
      <c r="K28" s="165"/>
      <c r="L28" s="165"/>
    </row>
    <row r="29" spans="1:33" x14ac:dyDescent="0.25">
      <c r="A29" s="205"/>
      <c r="B29" s="277"/>
      <c r="C29" s="277"/>
      <c r="D29" s="277"/>
      <c r="E29" s="4"/>
      <c r="F29" s="169" t="s">
        <v>5</v>
      </c>
      <c r="G29" s="176">
        <f t="shared" si="3"/>
        <v>0</v>
      </c>
      <c r="H29" s="176">
        <f t="shared" si="3"/>
        <v>13353639.019837916</v>
      </c>
      <c r="I29" s="176">
        <f t="shared" si="3"/>
        <v>2133513.0709484043</v>
      </c>
      <c r="J29" s="177">
        <f t="shared" si="3"/>
        <v>1071890.9799687392</v>
      </c>
      <c r="K29" s="165"/>
      <c r="L29" s="165"/>
    </row>
    <row r="30" spans="1:33" x14ac:dyDescent="0.25">
      <c r="A30" s="275"/>
      <c r="B30" s="50"/>
      <c r="C30" s="205"/>
      <c r="D30" s="205"/>
      <c r="E30" s="4"/>
      <c r="F30" s="169" t="s">
        <v>6</v>
      </c>
      <c r="G30" s="176">
        <f t="shared" si="3"/>
        <v>0</v>
      </c>
      <c r="H30" s="176">
        <f t="shared" si="3"/>
        <v>5726377.9155294066</v>
      </c>
      <c r="I30" s="176">
        <f t="shared" si="3"/>
        <v>914904.32786317402</v>
      </c>
      <c r="J30" s="177">
        <f t="shared" si="3"/>
        <v>459653.94350031362</v>
      </c>
      <c r="K30" s="165"/>
      <c r="L30" s="165"/>
    </row>
    <row r="31" spans="1:33" ht="15.75" thickBot="1" x14ac:dyDescent="0.3">
      <c r="A31" s="275"/>
      <c r="B31" s="280"/>
      <c r="C31" s="205"/>
      <c r="D31" s="205"/>
      <c r="E31" s="4"/>
      <c r="F31" s="170" t="s">
        <v>7</v>
      </c>
      <c r="G31" s="285">
        <f t="shared" si="3"/>
        <v>0</v>
      </c>
      <c r="H31" s="285">
        <f t="shared" si="3"/>
        <v>2566721.1485334472</v>
      </c>
      <c r="I31" s="285">
        <f t="shared" si="3"/>
        <v>410085.45399052417</v>
      </c>
      <c r="J31" s="159">
        <f t="shared" si="3"/>
        <v>206029.62556654454</v>
      </c>
      <c r="K31" s="165"/>
      <c r="L31" s="165"/>
    </row>
    <row r="45" spans="2:5" x14ac:dyDescent="0.25">
      <c r="B45" s="7"/>
      <c r="C45" s="7"/>
      <c r="D45" s="55"/>
      <c r="E45" s="7"/>
    </row>
    <row r="49" spans="2:5" x14ac:dyDescent="0.25">
      <c r="B49" s="7"/>
      <c r="C49" s="7"/>
      <c r="D49" s="55"/>
      <c r="E49" s="7"/>
    </row>
  </sheetData>
  <mergeCells count="3">
    <mergeCell ref="F2:J2"/>
    <mergeCell ref="B2:C2"/>
    <mergeCell ref="F18:J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8"/>
  <sheetViews>
    <sheetView workbookViewId="0"/>
  </sheetViews>
  <sheetFormatPr defaultRowHeight="15" x14ac:dyDescent="0.25"/>
  <cols>
    <col min="2" max="2" width="18" customWidth="1"/>
    <col min="3" max="3" width="17.140625" customWidth="1"/>
    <col min="4" max="4" width="14.28515625" bestFit="1" customWidth="1"/>
    <col min="5" max="5" width="11.140625" customWidth="1"/>
    <col min="6" max="6" width="15.140625" customWidth="1"/>
    <col min="7" max="7" width="13.28515625" customWidth="1"/>
  </cols>
  <sheetData>
    <row r="1" spans="1:11" x14ac:dyDescent="0.25">
      <c r="A1" s="8" t="s">
        <v>125</v>
      </c>
      <c r="B1" s="165"/>
      <c r="C1" s="165"/>
    </row>
    <row r="2" spans="1:11" x14ac:dyDescent="0.25">
      <c r="A2" s="165"/>
      <c r="B2" s="203"/>
      <c r="C2" s="203"/>
    </row>
    <row r="3" spans="1:11" x14ac:dyDescent="0.25">
      <c r="A3" s="165"/>
      <c r="B3" s="165"/>
      <c r="C3" s="165"/>
      <c r="K3" s="57"/>
    </row>
    <row r="4" spans="1:11" x14ac:dyDescent="0.25">
      <c r="A4" s="168" t="s">
        <v>126</v>
      </c>
      <c r="B4" s="155">
        <v>0</v>
      </c>
      <c r="C4" s="165"/>
      <c r="D4" s="49"/>
      <c r="K4" s="57"/>
    </row>
    <row r="8" spans="1:11" x14ac:dyDescent="0.25">
      <c r="B8" s="4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AI67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B15" sqref="B15"/>
    </sheetView>
  </sheetViews>
  <sheetFormatPr defaultColWidth="9.140625" defaultRowHeight="15" x14ac:dyDescent="0.25"/>
  <cols>
    <col min="1" max="1" width="23.42578125" style="165" customWidth="1"/>
    <col min="2" max="2" width="18" style="165" customWidth="1"/>
    <col min="3" max="3" width="16.4257812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1" width="16" style="165" bestFit="1" customWidth="1"/>
    <col min="12" max="25" width="16" style="165" customWidth="1"/>
    <col min="26" max="26" width="16.42578125" style="165" customWidth="1"/>
    <col min="27" max="27" width="17.28515625" style="165" customWidth="1"/>
    <col min="28" max="28" width="16.85546875" style="165" customWidth="1"/>
    <col min="29" max="29" width="13.85546875" style="165" bestFit="1" customWidth="1"/>
    <col min="30" max="30" width="10.85546875" style="165" bestFit="1" customWidth="1"/>
    <col min="31" max="31" width="9.140625" style="165"/>
    <col min="32" max="32" width="12.7109375" style="165" bestFit="1" customWidth="1"/>
    <col min="33" max="16384" width="9.140625" style="165"/>
  </cols>
  <sheetData>
    <row r="2" spans="1:35" x14ac:dyDescent="0.25">
      <c r="B2" s="184" t="s">
        <v>133</v>
      </c>
      <c r="I2" s="3" t="s">
        <v>26</v>
      </c>
    </row>
    <row r="3" spans="1:35" x14ac:dyDescent="0.25">
      <c r="B3" s="227" t="s">
        <v>142</v>
      </c>
      <c r="C3" s="227" t="s">
        <v>64</v>
      </c>
      <c r="D3" s="227" t="s">
        <v>91</v>
      </c>
      <c r="E3" s="227" t="s">
        <v>65</v>
      </c>
      <c r="F3" s="227" t="s">
        <v>134</v>
      </c>
      <c r="H3" s="57" t="s">
        <v>137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35" x14ac:dyDescent="0.25">
      <c r="A4" s="165" t="s">
        <v>0</v>
      </c>
      <c r="B4" s="24">
        <f>SUM(B15:AB15)</f>
        <v>-940687.7402471113</v>
      </c>
      <c r="C4" s="24">
        <f>SUM(B29:AB29)</f>
        <v>-953850.77343083941</v>
      </c>
      <c r="D4" s="24">
        <f>B4-C4</f>
        <v>13163.033183728112</v>
      </c>
      <c r="E4" s="24">
        <f>SUM(B55:AB55)</f>
        <v>-11466.851574165854</v>
      </c>
      <c r="F4" s="42">
        <f>D4+E4</f>
        <v>1696.181609562258</v>
      </c>
      <c r="H4" s="57" t="s">
        <v>138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35" x14ac:dyDescent="0.25">
      <c r="A5" s="165" t="s">
        <v>4</v>
      </c>
      <c r="B5" s="24">
        <f>SUM(B16:AB16)</f>
        <v>-11582.466861389938</v>
      </c>
      <c r="C5" s="24">
        <f t="shared" ref="C5:C8" si="0">SUM(B30:AB30)</f>
        <v>-10619.16421086562</v>
      </c>
      <c r="D5" s="24">
        <f>B5-C5</f>
        <v>-963.30265052431787</v>
      </c>
      <c r="E5" s="24">
        <f>SUM(B56:AB56)</f>
        <v>-219.43747523076075</v>
      </c>
      <c r="F5" s="42">
        <f>D5+E5</f>
        <v>-1182.7401257550787</v>
      </c>
      <c r="H5" s="57" t="s">
        <v>114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35" x14ac:dyDescent="0.25">
      <c r="A6" s="165" t="s">
        <v>5</v>
      </c>
      <c r="B6" s="24">
        <f>SUM(B17:AB17)</f>
        <v>-26806.583515906786</v>
      </c>
      <c r="C6" s="24">
        <f t="shared" si="0"/>
        <v>-27304.833326193519</v>
      </c>
      <c r="D6" s="24">
        <f>B6-C6</f>
        <v>498.2498102867321</v>
      </c>
      <c r="E6" s="24">
        <f>SUM(B57:AB57)</f>
        <v>-424.03976207889019</v>
      </c>
      <c r="F6" s="42">
        <f>D6+E6</f>
        <v>74.210048207841908</v>
      </c>
      <c r="H6" s="57" t="s">
        <v>139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35" x14ac:dyDescent="0.25">
      <c r="A7" s="165" t="s">
        <v>6</v>
      </c>
      <c r="B7" s="24">
        <f>SUM(B18:AB18)</f>
        <v>-11835.717668050816</v>
      </c>
      <c r="C7" s="24">
        <f t="shared" si="0"/>
        <v>-11671.694388240649</v>
      </c>
      <c r="D7" s="24">
        <f>B7-C7</f>
        <v>-164.02327981016788</v>
      </c>
      <c r="E7" s="24">
        <f>SUM(B58:AB58)</f>
        <v>-193.18949043610507</v>
      </c>
      <c r="F7" s="42">
        <f>D7+E7</f>
        <v>-357.21277024627295</v>
      </c>
      <c r="H7" s="57" t="s">
        <v>82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35" ht="15.75" thickBot="1" x14ac:dyDescent="0.3">
      <c r="A8" s="165" t="s">
        <v>7</v>
      </c>
      <c r="B8" s="24">
        <f>SUM(B19:AB19)</f>
        <v>-5674.7717075412038</v>
      </c>
      <c r="C8" s="24">
        <f t="shared" si="0"/>
        <v>-5209.9374470564799</v>
      </c>
      <c r="D8" s="24">
        <f>B8-C8</f>
        <v>-464.83426048472393</v>
      </c>
      <c r="E8" s="24">
        <f>SUM(B59:AB59)</f>
        <v>-102.78739309713481</v>
      </c>
      <c r="F8" s="42">
        <f>D8+E8</f>
        <v>-567.62165358185871</v>
      </c>
      <c r="H8" s="57" t="s">
        <v>96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35" ht="16.5" thickTop="1" thickBot="1" x14ac:dyDescent="0.3">
      <c r="B9" s="87">
        <f>SUM(B4:B8)</f>
        <v>-996587.28</v>
      </c>
      <c r="C9" s="87">
        <f>SUM(C4:C8)</f>
        <v>-1008656.4028031958</v>
      </c>
      <c r="D9" s="87">
        <f>SUM(D4:D8)</f>
        <v>12069.122803195634</v>
      </c>
      <c r="E9" s="87">
        <f>SUM(E4:E8)</f>
        <v>-12406.305695008745</v>
      </c>
      <c r="F9" s="87">
        <f>SUM(F4:F8)</f>
        <v>-337.18289181311036</v>
      </c>
      <c r="H9" s="57" t="s">
        <v>140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35" ht="16.5" thickTop="1" thickBot="1" x14ac:dyDescent="0.3">
      <c r="D10" s="39" t="s">
        <v>25</v>
      </c>
      <c r="E10" s="21">
        <f>E9-SUM(B38:AB38)</f>
        <v>-1.5912880729956669E-2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35" ht="15.75" thickTop="1" x14ac:dyDescent="0.25">
      <c r="E11" s="4"/>
      <c r="G11" s="3"/>
    </row>
    <row r="12" spans="1:35" ht="15.75" thickBo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48"/>
      <c r="AA12" s="48"/>
    </row>
    <row r="13" spans="1:35" ht="15.75" thickBot="1" x14ac:dyDescent="0.3">
      <c r="B13" s="167"/>
      <c r="C13" s="120"/>
      <c r="D13" s="138" t="s">
        <v>119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349" t="s">
        <v>67</v>
      </c>
      <c r="AA13" s="350"/>
      <c r="AB13" s="351"/>
    </row>
    <row r="14" spans="1:35" x14ac:dyDescent="0.25">
      <c r="A14" s="165" t="s">
        <v>135</v>
      </c>
      <c r="B14" s="91">
        <v>43040</v>
      </c>
      <c r="C14" s="92">
        <f t="shared" ref="C14:K14" si="1">EDATE(B14,1)</f>
        <v>43070</v>
      </c>
      <c r="D14" s="92">
        <f t="shared" si="1"/>
        <v>43101</v>
      </c>
      <c r="E14" s="92">
        <f t="shared" si="1"/>
        <v>43132</v>
      </c>
      <c r="F14" s="92">
        <f t="shared" si="1"/>
        <v>43160</v>
      </c>
      <c r="G14" s="92">
        <f t="shared" si="1"/>
        <v>43191</v>
      </c>
      <c r="H14" s="92">
        <f t="shared" si="1"/>
        <v>43221</v>
      </c>
      <c r="I14" s="92">
        <f t="shared" si="1"/>
        <v>43252</v>
      </c>
      <c r="J14" s="92">
        <f t="shared" si="1"/>
        <v>43282</v>
      </c>
      <c r="K14" s="92">
        <f t="shared" si="1"/>
        <v>43313</v>
      </c>
      <c r="L14" s="92">
        <f t="shared" ref="L14" si="2">EDATE(K14,1)</f>
        <v>43344</v>
      </c>
      <c r="M14" s="92">
        <f t="shared" ref="M14" si="3">EDATE(L14,1)</f>
        <v>43374</v>
      </c>
      <c r="N14" s="92">
        <f t="shared" ref="N14" si="4">EDATE(M14,1)</f>
        <v>43405</v>
      </c>
      <c r="O14" s="92">
        <f t="shared" ref="O14" si="5">EDATE(N14,1)</f>
        <v>43435</v>
      </c>
      <c r="P14" s="92">
        <f t="shared" ref="P14" si="6">EDATE(O14,1)</f>
        <v>43466</v>
      </c>
      <c r="Q14" s="92">
        <f t="shared" ref="Q14" si="7">EDATE(P14,1)</f>
        <v>43497</v>
      </c>
      <c r="R14" s="92">
        <f t="shared" ref="R14" si="8">EDATE(Q14,1)</f>
        <v>43525</v>
      </c>
      <c r="S14" s="92">
        <f t="shared" ref="S14" si="9">EDATE(R14,1)</f>
        <v>43556</v>
      </c>
      <c r="T14" s="92">
        <f t="shared" ref="T14" si="10">EDATE(S14,1)</f>
        <v>43586</v>
      </c>
      <c r="U14" s="92">
        <f t="shared" ref="U14" si="11">EDATE(T14,1)</f>
        <v>43617</v>
      </c>
      <c r="V14" s="92">
        <f t="shared" ref="V14" si="12">EDATE(U14,1)</f>
        <v>43647</v>
      </c>
      <c r="W14" s="92">
        <f t="shared" ref="W14" si="13">EDATE(V14,1)</f>
        <v>43678</v>
      </c>
      <c r="X14" s="92">
        <f t="shared" ref="X14" si="14">EDATE(W14,1)</f>
        <v>43709</v>
      </c>
      <c r="Y14" s="92">
        <f t="shared" ref="Y14" si="15">EDATE(X14,1)</f>
        <v>43739</v>
      </c>
      <c r="Z14" s="91">
        <f t="shared" ref="Z14" si="16">EDATE(Y14,1)</f>
        <v>43770</v>
      </c>
      <c r="AA14" s="92">
        <f t="shared" ref="AA14" si="17">EDATE(Z14,1)</f>
        <v>43800</v>
      </c>
      <c r="AB14" s="93">
        <f t="shared" ref="AB14" si="18">EDATE(AA14,1)</f>
        <v>43831</v>
      </c>
      <c r="AC14" s="1"/>
      <c r="AD14" s="1"/>
      <c r="AE14" s="1"/>
      <c r="AF14" s="1"/>
      <c r="AG14" s="1"/>
      <c r="AH14" s="1"/>
      <c r="AI14" s="1"/>
    </row>
    <row r="15" spans="1:35" x14ac:dyDescent="0.25">
      <c r="A15" s="49" t="s">
        <v>0</v>
      </c>
      <c r="B15" s="94">
        <v>-921734.3709472178</v>
      </c>
      <c r="C15" s="95"/>
      <c r="D15" s="95"/>
      <c r="E15" s="95"/>
      <c r="F15" s="95"/>
      <c r="G15" s="95"/>
      <c r="H15" s="95"/>
      <c r="I15" s="95"/>
      <c r="J15" s="95"/>
      <c r="K15" s="104"/>
      <c r="L15" s="104"/>
      <c r="M15" s="104"/>
      <c r="N15" s="104">
        <v>-18953.369299893475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39">
        <v>0</v>
      </c>
      <c r="AA15" s="140">
        <v>0</v>
      </c>
      <c r="AB15" s="141">
        <v>0</v>
      </c>
      <c r="AC15" s="49"/>
    </row>
    <row r="16" spans="1:35" x14ac:dyDescent="0.25">
      <c r="A16" s="49" t="s">
        <v>4</v>
      </c>
      <c r="B16" s="94">
        <v>-5996.3551165116669</v>
      </c>
      <c r="C16" s="95"/>
      <c r="D16" s="95"/>
      <c r="E16" s="95"/>
      <c r="F16" s="95"/>
      <c r="G16" s="95"/>
      <c r="H16" s="95"/>
      <c r="I16" s="95"/>
      <c r="J16" s="95"/>
      <c r="K16" s="104"/>
      <c r="L16" s="104"/>
      <c r="M16" s="104"/>
      <c r="N16" s="104">
        <v>-5586.1117448782697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39">
        <v>0</v>
      </c>
      <c r="AA16" s="140">
        <v>0</v>
      </c>
      <c r="AB16" s="141">
        <v>0</v>
      </c>
      <c r="AC16" s="49"/>
    </row>
    <row r="17" spans="1:30" x14ac:dyDescent="0.25">
      <c r="A17" s="49" t="s">
        <v>5</v>
      </c>
      <c r="B17" s="94">
        <v>-13905.086120111719</v>
      </c>
      <c r="C17" s="95"/>
      <c r="D17" s="95"/>
      <c r="E17" s="95"/>
      <c r="F17" s="95"/>
      <c r="G17" s="95"/>
      <c r="H17" s="95"/>
      <c r="I17" s="95"/>
      <c r="J17" s="95"/>
      <c r="K17" s="104"/>
      <c r="L17" s="104"/>
      <c r="M17" s="104"/>
      <c r="N17" s="104">
        <v>-12901.497395795068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39">
        <v>0</v>
      </c>
      <c r="AA17" s="140">
        <v>0</v>
      </c>
      <c r="AB17" s="141">
        <v>0</v>
      </c>
      <c r="AC17" s="49"/>
    </row>
    <row r="18" spans="1:30" x14ac:dyDescent="0.25">
      <c r="A18" s="49" t="s">
        <v>6</v>
      </c>
      <c r="B18" s="94">
        <v>-6107.6805178623044</v>
      </c>
      <c r="C18" s="95"/>
      <c r="D18" s="95"/>
      <c r="E18" s="95"/>
      <c r="F18" s="95"/>
      <c r="G18" s="95"/>
      <c r="H18" s="95"/>
      <c r="I18" s="95"/>
      <c r="J18" s="95"/>
      <c r="K18" s="104"/>
      <c r="L18" s="104"/>
      <c r="M18" s="104"/>
      <c r="N18" s="104">
        <v>-5728.037150188512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39">
        <v>0</v>
      </c>
      <c r="AA18" s="140">
        <v>0</v>
      </c>
      <c r="AB18" s="141">
        <v>0</v>
      </c>
      <c r="AC18" s="49"/>
    </row>
    <row r="19" spans="1:30" x14ac:dyDescent="0.25">
      <c r="A19" s="49" t="s">
        <v>7</v>
      </c>
      <c r="B19" s="94">
        <v>-2843.7872982965264</v>
      </c>
      <c r="C19" s="95"/>
      <c r="D19" s="95"/>
      <c r="E19" s="95"/>
      <c r="F19" s="95"/>
      <c r="G19" s="95"/>
      <c r="H19" s="95"/>
      <c r="I19" s="95"/>
      <c r="J19" s="95"/>
      <c r="K19" s="104"/>
      <c r="L19" s="104"/>
      <c r="M19" s="104"/>
      <c r="N19" s="104">
        <v>-2830.984409244677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39">
        <v>0</v>
      </c>
      <c r="AA19" s="140">
        <v>0</v>
      </c>
      <c r="AB19" s="141">
        <v>0</v>
      </c>
      <c r="AC19" s="49"/>
    </row>
    <row r="20" spans="1:30" x14ac:dyDescent="0.25"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8"/>
      <c r="AA20" s="99"/>
      <c r="AB20" s="102"/>
    </row>
    <row r="21" spans="1:30" x14ac:dyDescent="0.25">
      <c r="A21" s="165" t="s">
        <v>136</v>
      </c>
      <c r="B21" s="100"/>
      <c r="C21" s="99"/>
      <c r="D21" s="103" t="s">
        <v>68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8"/>
      <c r="AA21" s="99"/>
      <c r="AB21" s="102"/>
      <c r="AC21" s="116" t="s">
        <v>110</v>
      </c>
      <c r="AD21" s="49"/>
    </row>
    <row r="22" spans="1:30" x14ac:dyDescent="0.25">
      <c r="A22" s="49" t="s">
        <v>0</v>
      </c>
      <c r="B22" s="94">
        <v>0</v>
      </c>
      <c r="C22" s="95">
        <v>0</v>
      </c>
      <c r="D22" s="95">
        <v>-11204.14</v>
      </c>
      <c r="E22" s="95">
        <v>-94588.49</v>
      </c>
      <c r="F22" s="95">
        <v>-76195.319999999978</v>
      </c>
      <c r="G22" s="95">
        <v>-73607.73</v>
      </c>
      <c r="H22" s="95">
        <v>-59967.37000000001</v>
      </c>
      <c r="I22" s="95">
        <v>-89116.420000000027</v>
      </c>
      <c r="J22" s="95">
        <v>-104503.22999999998</v>
      </c>
      <c r="K22" s="104">
        <v>-93654.23</v>
      </c>
      <c r="L22" s="104">
        <v>-90073.77</v>
      </c>
      <c r="M22" s="104">
        <v>-69694.899999999994</v>
      </c>
      <c r="N22" s="104">
        <v>-64666.009999999995</v>
      </c>
      <c r="O22" s="104">
        <v>-90010.949999999983</v>
      </c>
      <c r="P22" s="104">
        <v>-88889.919999999998</v>
      </c>
      <c r="Q22" s="104">
        <v>5583.4500000000007</v>
      </c>
      <c r="R22" s="104">
        <v>4934.5999999999995</v>
      </c>
      <c r="S22" s="104">
        <v>2934.1099999999997</v>
      </c>
      <c r="T22" s="104">
        <v>2155.3000000000002</v>
      </c>
      <c r="U22" s="104">
        <v>3933.52</v>
      </c>
      <c r="V22" s="104">
        <v>5799.95</v>
      </c>
      <c r="W22" s="104">
        <v>6297.84</v>
      </c>
      <c r="X22" s="104">
        <v>5619.8099999999995</v>
      </c>
      <c r="Y22" s="104">
        <v>4021.98</v>
      </c>
      <c r="Z22" s="110">
        <f>'PCR (M2)'!AV28*$AC22+Z36</f>
        <v>3975.1313409157879</v>
      </c>
      <c r="AA22" s="114">
        <f>'PCR (M2)'!AW28*$AC22+AA36</f>
        <v>5721.0047624470035</v>
      </c>
      <c r="AB22" s="115">
        <f>'PCR (M2)'!AX28*$AC22+AB36</f>
        <v>7479.3504515843506</v>
      </c>
      <c r="AC22" s="105">
        <v>5.0000000000000004E-6</v>
      </c>
      <c r="AD22" s="49"/>
    </row>
    <row r="23" spans="1:30" x14ac:dyDescent="0.25">
      <c r="A23" s="49" t="s">
        <v>4</v>
      </c>
      <c r="B23" s="94">
        <v>0</v>
      </c>
      <c r="C23" s="95">
        <v>0</v>
      </c>
      <c r="D23" s="95">
        <v>-58.16</v>
      </c>
      <c r="E23" s="95">
        <v>-608.88999999999976</v>
      </c>
      <c r="F23" s="95">
        <v>-442.86000000000007</v>
      </c>
      <c r="G23" s="95">
        <v>-435.03000000000009</v>
      </c>
      <c r="H23" s="95">
        <v>-381.88000000000011</v>
      </c>
      <c r="I23" s="95">
        <v>-511.93000000000006</v>
      </c>
      <c r="J23" s="95">
        <v>-575.79</v>
      </c>
      <c r="K23" s="104">
        <v>-531.20000000000005</v>
      </c>
      <c r="L23" s="104">
        <v>-518.59000000000015</v>
      </c>
      <c r="M23" s="104">
        <v>-442.88</v>
      </c>
      <c r="N23" s="104">
        <v>-388.14999999999992</v>
      </c>
      <c r="O23" s="104">
        <v>-493.66000000000008</v>
      </c>
      <c r="P23" s="104">
        <v>-529.12</v>
      </c>
      <c r="Q23" s="104">
        <v>-530.28</v>
      </c>
      <c r="R23" s="104">
        <v>-493.34000000000009</v>
      </c>
      <c r="S23" s="104">
        <v>-376.36999999999995</v>
      </c>
      <c r="T23" s="104">
        <v>-350.45</v>
      </c>
      <c r="U23" s="104">
        <v>-425.62999999999994</v>
      </c>
      <c r="V23" s="104">
        <v>-503.28000000000003</v>
      </c>
      <c r="W23" s="104">
        <v>-521.25</v>
      </c>
      <c r="X23" s="104">
        <v>-497.26</v>
      </c>
      <c r="Y23" s="104">
        <v>-436.5</v>
      </c>
      <c r="Z23" s="110">
        <f>'PCR (M2)'!AV29*$AC23</f>
        <v>-461.33049797357069</v>
      </c>
      <c r="AA23" s="114">
        <f>'PCR (M2)'!AW29*$AC23</f>
        <v>-549.69659438616657</v>
      </c>
      <c r="AB23" s="115">
        <f>'PCR (M2)'!AX29*$AC23</f>
        <v>-664.15302616546865</v>
      </c>
      <c r="AC23" s="105">
        <v>-1.9999999999999999E-6</v>
      </c>
      <c r="AD23" s="49"/>
    </row>
    <row r="24" spans="1:30" x14ac:dyDescent="0.25">
      <c r="A24" s="49" t="s">
        <v>5</v>
      </c>
      <c r="B24" s="94">
        <v>0</v>
      </c>
      <c r="C24" s="95">
        <v>0</v>
      </c>
      <c r="D24" s="95">
        <v>-102.03</v>
      </c>
      <c r="E24" s="95">
        <v>-1260.97</v>
      </c>
      <c r="F24" s="95">
        <v>-1173.2299999999998</v>
      </c>
      <c r="G24" s="95">
        <v>-1193.3399999999999</v>
      </c>
      <c r="H24" s="95">
        <v>-1183.3799999999999</v>
      </c>
      <c r="I24" s="95">
        <v>-1411.2900000000002</v>
      </c>
      <c r="J24" s="95">
        <v>-1498.6599999999996</v>
      </c>
      <c r="K24" s="104">
        <v>-1418.5000000000005</v>
      </c>
      <c r="L24" s="104">
        <v>-1442.8999999999999</v>
      </c>
      <c r="M24" s="104">
        <v>-1311.3</v>
      </c>
      <c r="N24" s="104">
        <v>-1166.71</v>
      </c>
      <c r="O24" s="104">
        <v>-1269.7600000000002</v>
      </c>
      <c r="P24" s="104">
        <v>-1292.7499999999998</v>
      </c>
      <c r="Q24" s="104">
        <v>-1247.2100000000003</v>
      </c>
      <c r="R24" s="104">
        <v>-1176.6200000000006</v>
      </c>
      <c r="S24" s="104">
        <v>-1058.1300000000001</v>
      </c>
      <c r="T24" s="104">
        <v>-1096.9299999999996</v>
      </c>
      <c r="U24" s="104">
        <v>-1220.73</v>
      </c>
      <c r="V24" s="104">
        <v>-1312.24</v>
      </c>
      <c r="W24" s="104">
        <v>-1343.29</v>
      </c>
      <c r="X24" s="104">
        <v>-1356.6500000000003</v>
      </c>
      <c r="Y24" s="104">
        <v>-1245.56</v>
      </c>
      <c r="Z24" s="110">
        <f>'PCR (M2)'!AV30*$AC24</f>
        <v>-1112.3772125130449</v>
      </c>
      <c r="AA24" s="114">
        <f>'PCR (M2)'!AW30*$AC24</f>
        <v>-1208.0021693484839</v>
      </c>
      <c r="AB24" s="115">
        <f>'PCR (M2)'!AX30*$AC24</f>
        <v>-1340.1597098103236</v>
      </c>
      <c r="AC24" s="105">
        <v>-1.9999999999999999E-6</v>
      </c>
      <c r="AD24" s="49"/>
    </row>
    <row r="25" spans="1:30" x14ac:dyDescent="0.25">
      <c r="A25" s="49" t="s">
        <v>6</v>
      </c>
      <c r="B25" s="94">
        <v>0</v>
      </c>
      <c r="C25" s="95">
        <v>0</v>
      </c>
      <c r="D25" s="95">
        <v>-58.64</v>
      </c>
      <c r="E25" s="95">
        <v>-481.78999999999996</v>
      </c>
      <c r="F25" s="95">
        <v>-485.44</v>
      </c>
      <c r="G25" s="95">
        <v>-504.2999999999999</v>
      </c>
      <c r="H25" s="95">
        <v>-579.20000000000005</v>
      </c>
      <c r="I25" s="95">
        <v>-628.11999999999989</v>
      </c>
      <c r="J25" s="95">
        <v>-650.43000000000018</v>
      </c>
      <c r="K25" s="104">
        <v>-639.34</v>
      </c>
      <c r="L25" s="104">
        <v>-622.20999999999981</v>
      </c>
      <c r="M25" s="104">
        <v>-583.54999999999995</v>
      </c>
      <c r="N25" s="104">
        <v>-542.99999999999989</v>
      </c>
      <c r="O25" s="104">
        <v>-583.95000000000005</v>
      </c>
      <c r="P25" s="104">
        <v>-518.4</v>
      </c>
      <c r="Q25" s="104">
        <v>-497.17999999999989</v>
      </c>
      <c r="R25" s="104">
        <v>-478.87</v>
      </c>
      <c r="S25" s="104">
        <v>-459.1</v>
      </c>
      <c r="T25" s="104">
        <v>-458.3900000000001</v>
      </c>
      <c r="U25" s="104">
        <v>-532.74999999999989</v>
      </c>
      <c r="V25" s="104">
        <v>-535.31999999999994</v>
      </c>
      <c r="W25" s="104">
        <v>-562.00999999999988</v>
      </c>
      <c r="X25" s="104">
        <v>-558.71</v>
      </c>
      <c r="Y25" s="104">
        <v>-517.72</v>
      </c>
      <c r="Z25" s="110">
        <f>'PCR (M2)'!AV31*$AC25</f>
        <v>-483.5033470158649</v>
      </c>
      <c r="AA25" s="114">
        <f>'PCR (M2)'!AW31*$AC25</f>
        <v>-497.24086102804307</v>
      </c>
      <c r="AB25" s="115">
        <f>'PCR (M2)'!AX31*$AC25</f>
        <v>-532.72412327718689</v>
      </c>
      <c r="AC25" s="105">
        <v>-1.9999999999999999E-6</v>
      </c>
      <c r="AD25" s="49"/>
    </row>
    <row r="26" spans="1:30" x14ac:dyDescent="0.25">
      <c r="A26" s="49" t="s">
        <v>7</v>
      </c>
      <c r="B26" s="94">
        <v>0</v>
      </c>
      <c r="C26" s="95">
        <v>0</v>
      </c>
      <c r="D26" s="95">
        <v>-11.07</v>
      </c>
      <c r="E26" s="95">
        <v>-122.92999999999999</v>
      </c>
      <c r="F26" s="95">
        <v>-142.99</v>
      </c>
      <c r="G26" s="95">
        <v>-245.89</v>
      </c>
      <c r="H26" s="95">
        <v>-281.14999999999998</v>
      </c>
      <c r="I26" s="95">
        <v>-311.15999999999997</v>
      </c>
      <c r="J26" s="95">
        <v>-281.26999999999992</v>
      </c>
      <c r="K26" s="104">
        <v>-320.44999999999993</v>
      </c>
      <c r="L26" s="104">
        <v>-300.97000000000003</v>
      </c>
      <c r="M26" s="104">
        <v>-297.18</v>
      </c>
      <c r="N26" s="104">
        <v>-279.21999999999997</v>
      </c>
      <c r="O26" s="104">
        <v>-271.94</v>
      </c>
      <c r="P26" s="104">
        <v>-241.87000000000003</v>
      </c>
      <c r="Q26" s="104">
        <v>-192.15</v>
      </c>
      <c r="R26" s="104">
        <v>-198.64999999999998</v>
      </c>
      <c r="S26" s="104">
        <v>-197.76000000000002</v>
      </c>
      <c r="T26" s="104">
        <v>-192.96999999999997</v>
      </c>
      <c r="U26" s="104">
        <v>-243.04000000000005</v>
      </c>
      <c r="V26" s="104">
        <v>-226.22</v>
      </c>
      <c r="W26" s="104">
        <v>-250.53000000000003</v>
      </c>
      <c r="X26" s="104">
        <v>-253.89</v>
      </c>
      <c r="Y26" s="104">
        <v>-239.54</v>
      </c>
      <c r="Z26" s="110">
        <f>'PCR (M2)'!AV32*$AC26</f>
        <v>-225.97139840232819</v>
      </c>
      <c r="AA26" s="114">
        <f>'PCR (M2)'!AW32*$AC26</f>
        <v>-222.91348796407243</v>
      </c>
      <c r="AB26" s="115">
        <f>'PCR (M2)'!AX32*$AC26</f>
        <v>-225.95693025847973</v>
      </c>
      <c r="AC26" s="105">
        <v>-1.9999999999999999E-6</v>
      </c>
      <c r="AD26" s="49"/>
    </row>
    <row r="27" spans="1:30" x14ac:dyDescent="0.25">
      <c r="A27" s="49"/>
      <c r="B27" s="100"/>
      <c r="C27" s="108"/>
      <c r="D27" s="233"/>
      <c r="E27" s="233"/>
      <c r="F27" s="233"/>
      <c r="G27" s="233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0"/>
      <c r="AA27" s="99"/>
      <c r="AB27" s="102"/>
    </row>
    <row r="28" spans="1:30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8"/>
      <c r="AA28" s="99"/>
      <c r="AB28" s="102"/>
    </row>
    <row r="29" spans="1:30" x14ac:dyDescent="0.25">
      <c r="A29" s="165" t="s">
        <v>0</v>
      </c>
      <c r="B29" s="110">
        <f>+IFERROR((B22-B36)+(B36*B22/SUM(B22:B26)),0)</f>
        <v>0</v>
      </c>
      <c r="C29" s="114">
        <f>+IFERROR((C22-C36)+(C36*C22/SUM(C22:C26)),0)</f>
        <v>0</v>
      </c>
      <c r="D29" s="114">
        <f t="shared" ref="D29:F29" si="19">+(D22-D36)+(D36*D22/SUM(D22:D26))</f>
        <v>-11212.618540681071</v>
      </c>
      <c r="E29" s="114">
        <f t="shared" si="19"/>
        <v>-94682.744407777034</v>
      </c>
      <c r="F29" s="114">
        <f t="shared" si="19"/>
        <v>-76280.627958119221</v>
      </c>
      <c r="G29" s="114">
        <f>+(G22-G36)+(G36*G22/SUM(G22:G26))</f>
        <v>-73670.047933995724</v>
      </c>
      <c r="H29" s="114">
        <f t="shared" ref="H29:AB29" si="20">+(H22-H36)+(H36*H22/SUM(H22:H26))</f>
        <v>-60045.195744928365</v>
      </c>
      <c r="I29" s="114">
        <f t="shared" si="20"/>
        <v>-89194.201368274415</v>
      </c>
      <c r="J29" s="114">
        <f t="shared" si="20"/>
        <v>-104584.84754104615</v>
      </c>
      <c r="K29" s="111">
        <f t="shared" si="20"/>
        <v>-93731.738888901542</v>
      </c>
      <c r="L29" s="111">
        <f t="shared" ref="L29:M29" si="21">+(L22-L36)+(L36*L22/SUM(L22:L26))</f>
        <v>-90149.75359462465</v>
      </c>
      <c r="M29" s="111">
        <f t="shared" si="21"/>
        <v>-69772.812741129834</v>
      </c>
      <c r="N29" s="111">
        <f t="shared" ref="N29:Y29" si="22">+(N22-N36)+(N36*N22/SUM(N22:N26))</f>
        <v>-64751.357917615358</v>
      </c>
      <c r="O29" s="111">
        <f t="shared" si="22"/>
        <v>-90109.848680969895</v>
      </c>
      <c r="P29" s="111">
        <f t="shared" si="22"/>
        <v>-88986.646587049632</v>
      </c>
      <c r="Q29" s="111">
        <f t="shared" si="22"/>
        <v>5386.6745983000874</v>
      </c>
      <c r="R29" s="111">
        <f t="shared" si="22"/>
        <v>4730.0965203005653</v>
      </c>
      <c r="S29" s="111">
        <f t="shared" si="22"/>
        <v>2603.7607348561251</v>
      </c>
      <c r="T29" s="111">
        <f t="shared" si="22"/>
        <v>-977.22529702967677</v>
      </c>
      <c r="U29" s="111">
        <f t="shared" si="22"/>
        <v>3744.5872677769175</v>
      </c>
      <c r="V29" s="111">
        <f t="shared" si="22"/>
        <v>5670.5088857205801</v>
      </c>
      <c r="W29" s="111">
        <f t="shared" si="22"/>
        <v>6166.6388582507543</v>
      </c>
      <c r="X29" s="111">
        <f t="shared" si="22"/>
        <v>5476.539148139369</v>
      </c>
      <c r="Y29" s="111">
        <f t="shared" si="22"/>
        <v>3833.1117195101924</v>
      </c>
      <c r="Z29" s="110">
        <f>+(Z22-Z36)+(Z36*Z22/SUM(Z22:Z26))</f>
        <v>3789.5042991311216</v>
      </c>
      <c r="AA29" s="114">
        <f t="shared" si="20"/>
        <v>5569.7472369301449</v>
      </c>
      <c r="AB29" s="115">
        <f t="shared" si="20"/>
        <v>7327.7245023871301</v>
      </c>
    </row>
    <row r="30" spans="1:30" x14ac:dyDescent="0.25">
      <c r="A30" s="165" t="s">
        <v>4</v>
      </c>
      <c r="B30" s="110">
        <f>IFERROR(+B23+(B36*B23/SUM(B22:B26)),0)</f>
        <v>0</v>
      </c>
      <c r="C30" s="114">
        <f>IFERROR(+C23+(C36*C23/SUM(C22:C26)),0)</f>
        <v>0</v>
      </c>
      <c r="D30" s="114">
        <f t="shared" ref="D30:AB30" si="23">+D23+(D36*D23/SUM(D22:D26))</f>
        <v>-56.015102540186433</v>
      </c>
      <c r="E30" s="114">
        <f t="shared" si="23"/>
        <v>-585.69795676383399</v>
      </c>
      <c r="F30" s="114">
        <f t="shared" si="23"/>
        <v>-426.02812399413364</v>
      </c>
      <c r="G30" s="114">
        <f t="shared" si="23"/>
        <v>-423.6322758197565</v>
      </c>
      <c r="H30" s="114">
        <f t="shared" si="23"/>
        <v>-369.62737263070312</v>
      </c>
      <c r="I30" s="114">
        <f t="shared" si="23"/>
        <v>-498.01956651154421</v>
      </c>
      <c r="J30" s="114">
        <f t="shared" si="23"/>
        <v>-560.15719260217099</v>
      </c>
      <c r="K30" s="111">
        <f t="shared" si="23"/>
        <v>-517.04881825182383</v>
      </c>
      <c r="L30" s="111">
        <f t="shared" ref="L30:M30" si="24">+L23+(L36*L23/SUM(L22:L26))</f>
        <v>-504.93009008434319</v>
      </c>
      <c r="M30" s="111">
        <f t="shared" si="24"/>
        <v>-429.78429851813519</v>
      </c>
      <c r="N30" s="111">
        <f t="shared" ref="N30:Y30" si="25">+N23+(N36*N23/SUM(N22:N26))</f>
        <v>-374.21366036380476</v>
      </c>
      <c r="O30" s="111">
        <f t="shared" si="25"/>
        <v>-475.02061678548682</v>
      </c>
      <c r="P30" s="111">
        <f t="shared" si="25"/>
        <v>-509.29924212486304</v>
      </c>
      <c r="Q30" s="111">
        <f t="shared" si="25"/>
        <v>-487.98017268652359</v>
      </c>
      <c r="R30" s="111">
        <f t="shared" si="25"/>
        <v>-450.36210597111852</v>
      </c>
      <c r="S30" s="111">
        <f t="shared" si="25"/>
        <v>-316.91894761198449</v>
      </c>
      <c r="T30" s="111">
        <f t="shared" si="25"/>
        <v>172.6226485148473</v>
      </c>
      <c r="U30" s="111">
        <f t="shared" si="25"/>
        <v>-392.42997571739539</v>
      </c>
      <c r="V30" s="111">
        <f t="shared" si="25"/>
        <v>-478.00114580392136</v>
      </c>
      <c r="W30" s="111">
        <f t="shared" si="25"/>
        <v>-495.70403382162863</v>
      </c>
      <c r="X30" s="111">
        <f t="shared" si="25"/>
        <v>-470.54235641485792</v>
      </c>
      <c r="Y30" s="111">
        <f t="shared" si="25"/>
        <v>-402.70328434407895</v>
      </c>
      <c r="Z30" s="110">
        <f t="shared" si="23"/>
        <v>-423.82345800731264</v>
      </c>
      <c r="AA30" s="114">
        <f t="shared" si="23"/>
        <v>-516.14103525118708</v>
      </c>
      <c r="AB30" s="115">
        <f t="shared" si="23"/>
        <v>-627.70602675967132</v>
      </c>
    </row>
    <row r="31" spans="1:30" x14ac:dyDescent="0.25">
      <c r="A31" s="165" t="s">
        <v>5</v>
      </c>
      <c r="B31" s="110">
        <f t="shared" ref="B31:C33" si="26">IFERROR(+B24+(B37*B24/SUM(B23:B27)),0)</f>
        <v>0</v>
      </c>
      <c r="C31" s="114">
        <f t="shared" si="26"/>
        <v>0</v>
      </c>
      <c r="D31" s="114">
        <f t="shared" ref="D31:AB31" si="27">+D24+(D36*D24/SUM(D22:D26))</f>
        <v>-98.267209631623501</v>
      </c>
      <c r="E31" s="114">
        <f t="shared" si="27"/>
        <v>-1212.9408473459771</v>
      </c>
      <c r="F31" s="114">
        <f t="shared" si="27"/>
        <v>-1128.6387931030963</v>
      </c>
      <c r="G31" s="114">
        <f t="shared" si="27"/>
        <v>-1162.0746615790822</v>
      </c>
      <c r="H31" s="114">
        <f t="shared" si="27"/>
        <v>-1145.4112292440591</v>
      </c>
      <c r="I31" s="114">
        <f t="shared" si="27"/>
        <v>-1372.9416795696234</v>
      </c>
      <c r="J31" s="114">
        <f t="shared" si="27"/>
        <v>-1457.9710975619055</v>
      </c>
      <c r="K31" s="111">
        <f t="shared" si="27"/>
        <v>-1380.7111232872971</v>
      </c>
      <c r="L31" s="111">
        <f t="shared" ref="L31:M31" si="28">+L24+(L36*L24/SUM(L22:L26))</f>
        <v>-1404.8933203160466</v>
      </c>
      <c r="M31" s="111">
        <f t="shared" si="28"/>
        <v>-1272.5256291700475</v>
      </c>
      <c r="N31" s="111">
        <f t="shared" ref="N31:Y31" si="29">+N24+(N36*N24/SUM(N22:N26))</f>
        <v>-1124.8198368750604</v>
      </c>
      <c r="O31" s="111">
        <f t="shared" si="29"/>
        <v>-1221.8169962515492</v>
      </c>
      <c r="P31" s="111">
        <f t="shared" si="29"/>
        <v>-1244.323773920692</v>
      </c>
      <c r="Q31" s="111">
        <f t="shared" si="29"/>
        <v>-1147.7214889800846</v>
      </c>
      <c r="R31" s="111">
        <f t="shared" si="29"/>
        <v>-1074.1173655647983</v>
      </c>
      <c r="S31" s="111">
        <f t="shared" si="29"/>
        <v>-890.98877709878377</v>
      </c>
      <c r="T31" s="111">
        <f t="shared" si="29"/>
        <v>540.31948019800643</v>
      </c>
      <c r="U31" s="111">
        <f t="shared" si="29"/>
        <v>-1125.5105238293734</v>
      </c>
      <c r="V31" s="111">
        <f t="shared" si="29"/>
        <v>-1246.3285319697538</v>
      </c>
      <c r="W31" s="111">
        <f t="shared" si="29"/>
        <v>-1277.4566361482121</v>
      </c>
      <c r="X31" s="111">
        <f t="shared" si="29"/>
        <v>-1283.7575671282975</v>
      </c>
      <c r="Y31" s="111">
        <f t="shared" si="29"/>
        <v>-1149.1205105329002</v>
      </c>
      <c r="Z31" s="110">
        <f t="shared" si="27"/>
        <v>-1021.9388461996351</v>
      </c>
      <c r="AA31" s="114">
        <f t="shared" si="27"/>
        <v>-1134.2611481329145</v>
      </c>
      <c r="AB31" s="115">
        <f t="shared" si="27"/>
        <v>-1266.6152129507082</v>
      </c>
    </row>
    <row r="32" spans="1:30" x14ac:dyDescent="0.25">
      <c r="A32" s="165" t="s">
        <v>6</v>
      </c>
      <c r="B32" s="110">
        <f t="shared" si="26"/>
        <v>0</v>
      </c>
      <c r="C32" s="114">
        <f t="shared" si="26"/>
        <v>0</v>
      </c>
      <c r="D32" s="114">
        <f t="shared" ref="D32:AB32" si="30">+D25+(D36*D25/SUM(D22:D26))</f>
        <v>-56.477400497877113</v>
      </c>
      <c r="E32" s="114">
        <f t="shared" si="30"/>
        <v>-463.43907534899188</v>
      </c>
      <c r="F32" s="114">
        <f t="shared" si="30"/>
        <v>-466.98977670530689</v>
      </c>
      <c r="G32" s="114">
        <f t="shared" si="30"/>
        <v>-491.08741166334073</v>
      </c>
      <c r="H32" s="114">
        <f t="shared" si="30"/>
        <v>-560.61635651959568</v>
      </c>
      <c r="I32" s="114">
        <f t="shared" si="30"/>
        <v>-611.05239020419015</v>
      </c>
      <c r="J32" s="114">
        <f t="shared" si="30"/>
        <v>-632.770702485681</v>
      </c>
      <c r="K32" s="111">
        <f t="shared" si="30"/>
        <v>-622.30796585301403</v>
      </c>
      <c r="L32" s="111">
        <f t="shared" ref="L32:M32" si="31">+L25+(L36*L25/SUM(L22:L26))</f>
        <v>-605.82068946832567</v>
      </c>
      <c r="M32" s="111">
        <f t="shared" si="31"/>
        <v>-566.29476923829884</v>
      </c>
      <c r="N32" s="111">
        <f t="shared" ref="N32:Y32" si="32">+N25+(N36*N25/SUM(N22:N26))</f>
        <v>-523.503845362736</v>
      </c>
      <c r="O32" s="111">
        <f t="shared" si="32"/>
        <v>-561.90148922717049</v>
      </c>
      <c r="P32" s="111">
        <f t="shared" si="32"/>
        <v>-498.98081175825706</v>
      </c>
      <c r="Q32" s="111">
        <f t="shared" si="32"/>
        <v>-457.52052171736773</v>
      </c>
      <c r="R32" s="111">
        <f t="shared" si="32"/>
        <v>-437.15267703082964</v>
      </c>
      <c r="S32" s="111">
        <f t="shared" si="32"/>
        <v>-386.58099436369031</v>
      </c>
      <c r="T32" s="111">
        <f t="shared" si="32"/>
        <v>225.79111386138072</v>
      </c>
      <c r="U32" s="111">
        <f t="shared" si="32"/>
        <v>-491.19439316646475</v>
      </c>
      <c r="V32" s="111">
        <f t="shared" si="32"/>
        <v>-508.43183391304075</v>
      </c>
      <c r="W32" s="111">
        <f t="shared" si="32"/>
        <v>-534.46642503231351</v>
      </c>
      <c r="X32" s="111">
        <f t="shared" si="32"/>
        <v>-528.69066474790918</v>
      </c>
      <c r="Y32" s="111">
        <f t="shared" si="32"/>
        <v>-477.6346950071399</v>
      </c>
      <c r="Z32" s="110">
        <f t="shared" si="30"/>
        <v>-444.19361258468814</v>
      </c>
      <c r="AA32" s="114">
        <f t="shared" si="30"/>
        <v>-466.88739825066023</v>
      </c>
      <c r="AB32" s="115">
        <f t="shared" si="30"/>
        <v>-503.48960195513826</v>
      </c>
    </row>
    <row r="33" spans="1:30" x14ac:dyDescent="0.25">
      <c r="A33" s="165" t="s">
        <v>7</v>
      </c>
      <c r="B33" s="110">
        <f t="shared" si="26"/>
        <v>0</v>
      </c>
      <c r="C33" s="114">
        <f t="shared" si="26"/>
        <v>0</v>
      </c>
      <c r="D33" s="114">
        <f t="shared" ref="D33:AB33" si="33">+D26+(D36*D26/SUM(D22:D26))</f>
        <v>-10.661746649241126</v>
      </c>
      <c r="E33" s="114">
        <f t="shared" si="33"/>
        <v>-118.24771276417437</v>
      </c>
      <c r="F33" s="114">
        <f t="shared" si="33"/>
        <v>-137.55534807822147</v>
      </c>
      <c r="G33" s="114">
        <f t="shared" si="33"/>
        <v>-239.44771694209572</v>
      </c>
      <c r="H33" s="114">
        <f t="shared" si="33"/>
        <v>-272.12929667728645</v>
      </c>
      <c r="I33" s="114">
        <f t="shared" si="33"/>
        <v>-302.70499544025955</v>
      </c>
      <c r="J33" s="114">
        <f t="shared" si="33"/>
        <v>-273.63346630405636</v>
      </c>
      <c r="K33" s="111">
        <f t="shared" si="33"/>
        <v>-311.91320370631945</v>
      </c>
      <c r="L33" s="111">
        <f t="shared" ref="L33:M33" si="34">+L26+(L36*L26/SUM(L22:L26))</f>
        <v>-293.04230550663289</v>
      </c>
      <c r="M33" s="111">
        <f t="shared" si="34"/>
        <v>-288.39256194368545</v>
      </c>
      <c r="N33" s="111">
        <f t="shared" ref="N33:Y33" si="35">+N26+(N36*N26/SUM(N22:N26))</f>
        <v>-269.19473978302608</v>
      </c>
      <c r="O33" s="111">
        <f t="shared" si="35"/>
        <v>-261.6722167658819</v>
      </c>
      <c r="P33" s="111">
        <f t="shared" si="35"/>
        <v>-232.80958514654642</v>
      </c>
      <c r="Q33" s="111">
        <f t="shared" si="35"/>
        <v>-176.82241491611131</v>
      </c>
      <c r="R33" s="111">
        <f t="shared" si="35"/>
        <v>-181.34437173381983</v>
      </c>
      <c r="S33" s="111">
        <f t="shared" si="35"/>
        <v>-166.52201578166716</v>
      </c>
      <c r="T33" s="111">
        <f t="shared" si="35"/>
        <v>95.052054455443169</v>
      </c>
      <c r="U33" s="111">
        <f t="shared" si="35"/>
        <v>-224.08237506368397</v>
      </c>
      <c r="V33" s="111">
        <f t="shared" si="35"/>
        <v>-214.85737403386401</v>
      </c>
      <c r="W33" s="111">
        <f t="shared" si="35"/>
        <v>-238.25176324859976</v>
      </c>
      <c r="X33" s="111">
        <f t="shared" si="35"/>
        <v>-240.24855984830526</v>
      </c>
      <c r="Y33" s="111">
        <f t="shared" si="35"/>
        <v>-220.99322962607255</v>
      </c>
      <c r="Z33" s="110">
        <f t="shared" si="33"/>
        <v>-207.59949732850649</v>
      </c>
      <c r="AA33" s="114">
        <f t="shared" si="33"/>
        <v>-209.30600557514532</v>
      </c>
      <c r="AB33" s="115">
        <f t="shared" si="33"/>
        <v>-213.55699864872025</v>
      </c>
    </row>
    <row r="34" spans="1:30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98"/>
      <c r="AA34" s="99"/>
      <c r="AB34" s="102"/>
    </row>
    <row r="35" spans="1:30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8"/>
      <c r="AA35" s="99"/>
      <c r="AB35" s="102"/>
      <c r="AC35" s="194"/>
      <c r="AD35" s="49"/>
    </row>
    <row r="36" spans="1:30" x14ac:dyDescent="0.25">
      <c r="A36" s="49" t="str">
        <f>A22</f>
        <v>RES</v>
      </c>
      <c r="B36" s="94"/>
      <c r="C36" s="95"/>
      <c r="D36" s="95">
        <v>421.67887468030682</v>
      </c>
      <c r="E36" s="95">
        <v>3697.040378516625</v>
      </c>
      <c r="F36" s="95">
        <v>2981.2800000000007</v>
      </c>
      <c r="G36" s="95">
        <v>1990.8299999999995</v>
      </c>
      <c r="H36" s="95">
        <v>2001.8799999999997</v>
      </c>
      <c r="I36" s="95">
        <v>2499.3000000000002</v>
      </c>
      <c r="J36" s="95">
        <v>2918.8999999999996</v>
      </c>
      <c r="K36" s="104">
        <v>2572.46</v>
      </c>
      <c r="L36" s="104">
        <v>2448.5699999999988</v>
      </c>
      <c r="M36" s="104">
        <v>2138.75</v>
      </c>
      <c r="N36" s="104">
        <v>2407.1500000000005</v>
      </c>
      <c r="O36" s="104">
        <v>3497.4900000000002</v>
      </c>
      <c r="P36" s="104">
        <v>3426.53</v>
      </c>
      <c r="Q36" s="104">
        <v>-248.61</v>
      </c>
      <c r="R36" s="104">
        <v>-225.38</v>
      </c>
      <c r="S36" s="104">
        <v>-133.12</v>
      </c>
      <c r="T36" s="104">
        <v>-84.42</v>
      </c>
      <c r="U36" s="104">
        <v>-117.89000000000001</v>
      </c>
      <c r="V36" s="104">
        <v>-161.88</v>
      </c>
      <c r="W36" s="104">
        <v>-177.45</v>
      </c>
      <c r="X36" s="104">
        <v>-158.68</v>
      </c>
      <c r="Y36" s="104">
        <v>-122.53999999999998</v>
      </c>
      <c r="Z36" s="110">
        <f>-('PCR (M2)'!AV28*OAR!$AC$22*PPC!$B$14)</f>
        <v>-137.55863687687122</v>
      </c>
      <c r="AA36" s="114">
        <f>-('PCR (M2)'!AW28*OAR!$AC$22*PPC!$B$14)</f>
        <v>-197.9742426591107</v>
      </c>
      <c r="AB36" s="115">
        <f>-('PCR (M2)'!AX28*OAR!$AC$22*PPC!$B$14)</f>
        <v>-258.82144880458941</v>
      </c>
      <c r="AC36" s="207"/>
      <c r="AD36" s="49"/>
    </row>
    <row r="37" spans="1:30" x14ac:dyDescent="0.25">
      <c r="A37" s="49"/>
      <c r="B37" s="100"/>
      <c r="C37" s="108"/>
      <c r="D37" s="103" t="s">
        <v>68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7"/>
      <c r="AA37" s="108"/>
      <c r="AB37" s="102"/>
    </row>
    <row r="38" spans="1:30" ht="15.75" thickBot="1" x14ac:dyDescent="0.3">
      <c r="A38" s="49" t="s">
        <v>88</v>
      </c>
      <c r="B38" s="117">
        <v>-1142.98</v>
      </c>
      <c r="C38" s="118">
        <v>-1406.61</v>
      </c>
      <c r="D38" s="118">
        <v>-1346.15</v>
      </c>
      <c r="E38" s="118">
        <v>-1288.4100000000001</v>
      </c>
      <c r="F38" s="118">
        <v>-1315.95</v>
      </c>
      <c r="G38" s="118">
        <v>-1336.96</v>
      </c>
      <c r="H38" s="118">
        <v>-1160.06</v>
      </c>
      <c r="I38" s="118">
        <v>-1030.1500000000001</v>
      </c>
      <c r="J38" s="118">
        <v>-852.43</v>
      </c>
      <c r="K38" s="119">
        <v>-659.07</v>
      </c>
      <c r="L38" s="119">
        <v>-480.93</v>
      </c>
      <c r="M38" s="119">
        <v>-360.32</v>
      </c>
      <c r="N38" s="119">
        <v>-326.98</v>
      </c>
      <c r="O38" s="119">
        <v>-144.53</v>
      </c>
      <c r="P38" s="119">
        <v>67.83</v>
      </c>
      <c r="Q38" s="119">
        <v>59.92</v>
      </c>
      <c r="R38" s="119">
        <v>52.94</v>
      </c>
      <c r="S38" s="119">
        <v>48.8</v>
      </c>
      <c r="T38" s="119">
        <v>49.06</v>
      </c>
      <c r="U38" s="119">
        <v>45.33</v>
      </c>
      <c r="V38" s="119">
        <v>37.520000000000003</v>
      </c>
      <c r="W38" s="119">
        <v>26.97</v>
      </c>
      <c r="X38" s="119">
        <v>20.03</v>
      </c>
      <c r="Y38" s="119">
        <v>16.34</v>
      </c>
      <c r="Z38" s="231">
        <v>13.391395751403531</v>
      </c>
      <c r="AA38" s="232">
        <v>7.7018177904094935</v>
      </c>
      <c r="AB38" s="152">
        <v>-0.59299566982696839</v>
      </c>
      <c r="AC38" s="49"/>
    </row>
    <row r="39" spans="1:30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228"/>
      <c r="AA39" s="153"/>
      <c r="AB39" s="229"/>
    </row>
    <row r="40" spans="1:30" x14ac:dyDescent="0.25">
      <c r="A40" s="165" t="s">
        <v>69</v>
      </c>
      <c r="B40" s="100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8"/>
      <c r="AA40" s="99"/>
      <c r="AB40" s="102"/>
    </row>
    <row r="41" spans="1:30" x14ac:dyDescent="0.25">
      <c r="A41" s="165" t="s">
        <v>0</v>
      </c>
      <c r="B41" s="110">
        <f>B15-B29</f>
        <v>-921734.3709472178</v>
      </c>
      <c r="C41" s="114">
        <f>C15-C29</f>
        <v>0</v>
      </c>
      <c r="D41" s="114">
        <f t="shared" ref="B41:AB45" si="36">D15-D29</f>
        <v>11212.618540681071</v>
      </c>
      <c r="E41" s="114">
        <f t="shared" si="36"/>
        <v>94682.744407777034</v>
      </c>
      <c r="F41" s="114">
        <f t="shared" si="36"/>
        <v>76280.627958119221</v>
      </c>
      <c r="G41" s="114">
        <f t="shared" si="36"/>
        <v>73670.047933995724</v>
      </c>
      <c r="H41" s="114">
        <f t="shared" si="36"/>
        <v>60045.195744928365</v>
      </c>
      <c r="I41" s="114">
        <f t="shared" si="36"/>
        <v>89194.201368274415</v>
      </c>
      <c r="J41" s="114">
        <f t="shared" si="36"/>
        <v>104584.84754104615</v>
      </c>
      <c r="K41" s="111">
        <f t="shared" si="36"/>
        <v>93731.738888901542</v>
      </c>
      <c r="L41" s="111">
        <f t="shared" ref="L41:M41" si="37">L15-L29</f>
        <v>90149.75359462465</v>
      </c>
      <c r="M41" s="111">
        <f t="shared" si="37"/>
        <v>69772.812741129834</v>
      </c>
      <c r="N41" s="111">
        <f t="shared" ref="N41:Y41" si="38">N15-N29</f>
        <v>45797.988617721887</v>
      </c>
      <c r="O41" s="111">
        <f t="shared" si="38"/>
        <v>90109.848680969895</v>
      </c>
      <c r="P41" s="111">
        <f t="shared" si="38"/>
        <v>88986.646587049632</v>
      </c>
      <c r="Q41" s="111">
        <f t="shared" si="38"/>
        <v>-5386.6745983000874</v>
      </c>
      <c r="R41" s="111">
        <f t="shared" si="38"/>
        <v>-4730.0965203005653</v>
      </c>
      <c r="S41" s="111">
        <f t="shared" si="38"/>
        <v>-2603.7607348561251</v>
      </c>
      <c r="T41" s="111">
        <f t="shared" si="38"/>
        <v>977.22529702967677</v>
      </c>
      <c r="U41" s="111">
        <f t="shared" si="38"/>
        <v>-3744.5872677769175</v>
      </c>
      <c r="V41" s="111">
        <f t="shared" si="38"/>
        <v>-5670.5088857205801</v>
      </c>
      <c r="W41" s="111">
        <f t="shared" si="38"/>
        <v>-6166.6388582507543</v>
      </c>
      <c r="X41" s="111">
        <f t="shared" si="38"/>
        <v>-5476.539148139369</v>
      </c>
      <c r="Y41" s="111">
        <f t="shared" si="38"/>
        <v>-3833.1117195101924</v>
      </c>
      <c r="Z41" s="110">
        <f>Z15-Z29</f>
        <v>-3789.5042991311216</v>
      </c>
      <c r="AA41" s="114">
        <f t="shared" si="36"/>
        <v>-5569.7472369301449</v>
      </c>
      <c r="AB41" s="115">
        <f t="shared" si="36"/>
        <v>-7327.7245023871301</v>
      </c>
    </row>
    <row r="42" spans="1:30" x14ac:dyDescent="0.25">
      <c r="A42" s="165" t="s">
        <v>4</v>
      </c>
      <c r="B42" s="110">
        <f t="shared" si="36"/>
        <v>-5996.3551165116669</v>
      </c>
      <c r="C42" s="114">
        <f t="shared" si="36"/>
        <v>0</v>
      </c>
      <c r="D42" s="114">
        <f t="shared" si="36"/>
        <v>56.015102540186433</v>
      </c>
      <c r="E42" s="114">
        <f t="shared" si="36"/>
        <v>585.69795676383399</v>
      </c>
      <c r="F42" s="114">
        <f t="shared" si="36"/>
        <v>426.02812399413364</v>
      </c>
      <c r="G42" s="114">
        <f t="shared" si="36"/>
        <v>423.6322758197565</v>
      </c>
      <c r="H42" s="114">
        <f t="shared" si="36"/>
        <v>369.62737263070312</v>
      </c>
      <c r="I42" s="114">
        <f t="shared" si="36"/>
        <v>498.01956651154421</v>
      </c>
      <c r="J42" s="114">
        <f t="shared" si="36"/>
        <v>560.15719260217099</v>
      </c>
      <c r="K42" s="111">
        <f t="shared" si="36"/>
        <v>517.04881825182383</v>
      </c>
      <c r="L42" s="111">
        <f t="shared" ref="L42:M42" si="39">L16-L30</f>
        <v>504.93009008434319</v>
      </c>
      <c r="M42" s="111">
        <f t="shared" si="39"/>
        <v>429.78429851813519</v>
      </c>
      <c r="N42" s="111">
        <f t="shared" ref="N42:Y42" si="40">N16-N30</f>
        <v>-5211.8980845144652</v>
      </c>
      <c r="O42" s="111">
        <f t="shared" si="40"/>
        <v>475.02061678548682</v>
      </c>
      <c r="P42" s="111">
        <f t="shared" si="40"/>
        <v>509.29924212486304</v>
      </c>
      <c r="Q42" s="111">
        <f t="shared" si="40"/>
        <v>487.98017268652359</v>
      </c>
      <c r="R42" s="111">
        <f t="shared" si="40"/>
        <v>450.36210597111852</v>
      </c>
      <c r="S42" s="111">
        <f t="shared" si="40"/>
        <v>316.91894761198449</v>
      </c>
      <c r="T42" s="111">
        <f t="shared" si="40"/>
        <v>-172.6226485148473</v>
      </c>
      <c r="U42" s="111">
        <f t="shared" si="40"/>
        <v>392.42997571739539</v>
      </c>
      <c r="V42" s="111">
        <f t="shared" si="40"/>
        <v>478.00114580392136</v>
      </c>
      <c r="W42" s="111">
        <f t="shared" si="40"/>
        <v>495.70403382162863</v>
      </c>
      <c r="X42" s="111">
        <f t="shared" si="40"/>
        <v>470.54235641485792</v>
      </c>
      <c r="Y42" s="111">
        <f t="shared" si="40"/>
        <v>402.70328434407895</v>
      </c>
      <c r="Z42" s="110">
        <f t="shared" si="36"/>
        <v>423.82345800731264</v>
      </c>
      <c r="AA42" s="114">
        <f t="shared" si="36"/>
        <v>516.14103525118708</v>
      </c>
      <c r="AB42" s="115">
        <f t="shared" si="36"/>
        <v>627.70602675967132</v>
      </c>
    </row>
    <row r="43" spans="1:30" x14ac:dyDescent="0.25">
      <c r="A43" s="165" t="s">
        <v>5</v>
      </c>
      <c r="B43" s="110">
        <f t="shared" si="36"/>
        <v>-13905.086120111719</v>
      </c>
      <c r="C43" s="114">
        <f t="shared" si="36"/>
        <v>0</v>
      </c>
      <c r="D43" s="114">
        <f t="shared" si="36"/>
        <v>98.267209631623501</v>
      </c>
      <c r="E43" s="114">
        <f t="shared" si="36"/>
        <v>1212.9408473459771</v>
      </c>
      <c r="F43" s="114">
        <f t="shared" si="36"/>
        <v>1128.6387931030963</v>
      </c>
      <c r="G43" s="114">
        <f t="shared" si="36"/>
        <v>1162.0746615790822</v>
      </c>
      <c r="H43" s="114">
        <f t="shared" si="36"/>
        <v>1145.4112292440591</v>
      </c>
      <c r="I43" s="114">
        <f t="shared" si="36"/>
        <v>1372.9416795696234</v>
      </c>
      <c r="J43" s="114">
        <f t="shared" si="36"/>
        <v>1457.9710975619055</v>
      </c>
      <c r="K43" s="111">
        <f t="shared" si="36"/>
        <v>1380.7111232872971</v>
      </c>
      <c r="L43" s="111">
        <f t="shared" ref="L43:M43" si="41">L17-L31</f>
        <v>1404.8933203160466</v>
      </c>
      <c r="M43" s="111">
        <f t="shared" si="41"/>
        <v>1272.5256291700475</v>
      </c>
      <c r="N43" s="111">
        <f t="shared" ref="N43:Y43" si="42">N17-N31</f>
        <v>-11776.677558920008</v>
      </c>
      <c r="O43" s="111">
        <f t="shared" si="42"/>
        <v>1221.8169962515492</v>
      </c>
      <c r="P43" s="111">
        <f t="shared" si="42"/>
        <v>1244.323773920692</v>
      </c>
      <c r="Q43" s="111">
        <f t="shared" si="42"/>
        <v>1147.7214889800846</v>
      </c>
      <c r="R43" s="111">
        <f t="shared" si="42"/>
        <v>1074.1173655647983</v>
      </c>
      <c r="S43" s="111">
        <f t="shared" si="42"/>
        <v>890.98877709878377</v>
      </c>
      <c r="T43" s="111">
        <f t="shared" si="42"/>
        <v>-540.31948019800643</v>
      </c>
      <c r="U43" s="111">
        <f t="shared" si="42"/>
        <v>1125.5105238293734</v>
      </c>
      <c r="V43" s="111">
        <f t="shared" si="42"/>
        <v>1246.3285319697538</v>
      </c>
      <c r="W43" s="111">
        <f t="shared" si="42"/>
        <v>1277.4566361482121</v>
      </c>
      <c r="X43" s="111">
        <f t="shared" si="42"/>
        <v>1283.7575671282975</v>
      </c>
      <c r="Y43" s="111">
        <f t="shared" si="42"/>
        <v>1149.1205105329002</v>
      </c>
      <c r="Z43" s="110">
        <f t="shared" si="36"/>
        <v>1021.9388461996351</v>
      </c>
      <c r="AA43" s="114">
        <f t="shared" si="36"/>
        <v>1134.2611481329145</v>
      </c>
      <c r="AB43" s="115">
        <f t="shared" si="36"/>
        <v>1266.6152129507082</v>
      </c>
    </row>
    <row r="44" spans="1:30" x14ac:dyDescent="0.25">
      <c r="A44" s="165" t="s">
        <v>6</v>
      </c>
      <c r="B44" s="110">
        <f t="shared" si="36"/>
        <v>-6107.6805178623044</v>
      </c>
      <c r="C44" s="114">
        <f t="shared" si="36"/>
        <v>0</v>
      </c>
      <c r="D44" s="114">
        <f t="shared" si="36"/>
        <v>56.477400497877113</v>
      </c>
      <c r="E44" s="114">
        <f t="shared" si="36"/>
        <v>463.43907534899188</v>
      </c>
      <c r="F44" s="114">
        <f t="shared" si="36"/>
        <v>466.98977670530689</v>
      </c>
      <c r="G44" s="114">
        <f t="shared" si="36"/>
        <v>491.08741166334073</v>
      </c>
      <c r="H44" s="114">
        <f t="shared" si="36"/>
        <v>560.61635651959568</v>
      </c>
      <c r="I44" s="114">
        <f t="shared" si="36"/>
        <v>611.05239020419015</v>
      </c>
      <c r="J44" s="114">
        <f t="shared" si="36"/>
        <v>632.770702485681</v>
      </c>
      <c r="K44" s="111">
        <f t="shared" si="36"/>
        <v>622.30796585301403</v>
      </c>
      <c r="L44" s="111">
        <f t="shared" ref="L44:M44" si="43">L18-L32</f>
        <v>605.82068946832567</v>
      </c>
      <c r="M44" s="111">
        <f t="shared" si="43"/>
        <v>566.29476923829884</v>
      </c>
      <c r="N44" s="111">
        <f t="shared" ref="N44:Y44" si="44">N18-N32</f>
        <v>-5204.5333048257762</v>
      </c>
      <c r="O44" s="111">
        <f t="shared" si="44"/>
        <v>561.90148922717049</v>
      </c>
      <c r="P44" s="111">
        <f t="shared" si="44"/>
        <v>498.98081175825706</v>
      </c>
      <c r="Q44" s="111">
        <f t="shared" si="44"/>
        <v>457.52052171736773</v>
      </c>
      <c r="R44" s="111">
        <f t="shared" si="44"/>
        <v>437.15267703082964</v>
      </c>
      <c r="S44" s="111">
        <f t="shared" si="44"/>
        <v>386.58099436369031</v>
      </c>
      <c r="T44" s="111">
        <f t="shared" si="44"/>
        <v>-225.79111386138072</v>
      </c>
      <c r="U44" s="111">
        <f t="shared" si="44"/>
        <v>491.19439316646475</v>
      </c>
      <c r="V44" s="111">
        <f t="shared" si="44"/>
        <v>508.43183391304075</v>
      </c>
      <c r="W44" s="111">
        <f t="shared" si="44"/>
        <v>534.46642503231351</v>
      </c>
      <c r="X44" s="111">
        <f t="shared" si="44"/>
        <v>528.69066474790918</v>
      </c>
      <c r="Y44" s="111">
        <f t="shared" si="44"/>
        <v>477.6346950071399</v>
      </c>
      <c r="Z44" s="110">
        <f t="shared" si="36"/>
        <v>444.19361258468814</v>
      </c>
      <c r="AA44" s="114">
        <f t="shared" si="36"/>
        <v>466.88739825066023</v>
      </c>
      <c r="AB44" s="115">
        <f t="shared" si="36"/>
        <v>503.48960195513826</v>
      </c>
    </row>
    <row r="45" spans="1:30" x14ac:dyDescent="0.25">
      <c r="A45" s="165" t="s">
        <v>7</v>
      </c>
      <c r="B45" s="110">
        <f t="shared" si="36"/>
        <v>-2843.7872982965264</v>
      </c>
      <c r="C45" s="114">
        <f t="shared" si="36"/>
        <v>0</v>
      </c>
      <c r="D45" s="114">
        <f t="shared" si="36"/>
        <v>10.661746649241126</v>
      </c>
      <c r="E45" s="114">
        <f t="shared" si="36"/>
        <v>118.24771276417437</v>
      </c>
      <c r="F45" s="114">
        <f t="shared" si="36"/>
        <v>137.55534807822147</v>
      </c>
      <c r="G45" s="114">
        <f t="shared" si="36"/>
        <v>239.44771694209572</v>
      </c>
      <c r="H45" s="114">
        <f t="shared" si="36"/>
        <v>272.12929667728645</v>
      </c>
      <c r="I45" s="114">
        <f t="shared" si="36"/>
        <v>302.70499544025955</v>
      </c>
      <c r="J45" s="114">
        <f t="shared" si="36"/>
        <v>273.63346630405636</v>
      </c>
      <c r="K45" s="111">
        <f t="shared" si="36"/>
        <v>311.91320370631945</v>
      </c>
      <c r="L45" s="111">
        <f t="shared" ref="L45:M45" si="45">L19-L33</f>
        <v>293.04230550663289</v>
      </c>
      <c r="M45" s="111">
        <f t="shared" si="45"/>
        <v>288.39256194368545</v>
      </c>
      <c r="N45" s="111">
        <f t="shared" ref="N45:Y45" si="46">N19-N33</f>
        <v>-2561.7896694616511</v>
      </c>
      <c r="O45" s="111">
        <f t="shared" si="46"/>
        <v>261.6722167658819</v>
      </c>
      <c r="P45" s="111">
        <f t="shared" si="46"/>
        <v>232.80958514654642</v>
      </c>
      <c r="Q45" s="111">
        <f t="shared" si="46"/>
        <v>176.82241491611131</v>
      </c>
      <c r="R45" s="111">
        <f t="shared" si="46"/>
        <v>181.34437173381983</v>
      </c>
      <c r="S45" s="111">
        <f t="shared" si="46"/>
        <v>166.52201578166716</v>
      </c>
      <c r="T45" s="111">
        <f t="shared" si="46"/>
        <v>-95.052054455443169</v>
      </c>
      <c r="U45" s="111">
        <f t="shared" si="46"/>
        <v>224.08237506368397</v>
      </c>
      <c r="V45" s="111">
        <f t="shared" si="46"/>
        <v>214.85737403386401</v>
      </c>
      <c r="W45" s="111">
        <f t="shared" si="46"/>
        <v>238.25176324859976</v>
      </c>
      <c r="X45" s="111">
        <f t="shared" si="46"/>
        <v>240.24855984830526</v>
      </c>
      <c r="Y45" s="111">
        <f t="shared" si="46"/>
        <v>220.99322962607255</v>
      </c>
      <c r="Z45" s="110">
        <f t="shared" si="36"/>
        <v>207.59949732850649</v>
      </c>
      <c r="AA45" s="114">
        <f t="shared" si="36"/>
        <v>209.30600557514532</v>
      </c>
      <c r="AB45" s="115">
        <f t="shared" si="36"/>
        <v>213.55699864872025</v>
      </c>
    </row>
    <row r="46" spans="1:30" x14ac:dyDescent="0.25"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8"/>
      <c r="AA46" s="99"/>
      <c r="AB46" s="102"/>
    </row>
    <row r="47" spans="1:30" x14ac:dyDescent="0.25">
      <c r="A47" s="165" t="s">
        <v>70</v>
      </c>
      <c r="B47" s="100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8"/>
      <c r="AA47" s="99"/>
      <c r="AB47" s="102"/>
    </row>
    <row r="48" spans="1:30" x14ac:dyDescent="0.25">
      <c r="A48" s="165" t="s">
        <v>0</v>
      </c>
      <c r="B48" s="110">
        <f>B41</f>
        <v>-921734.3709472178</v>
      </c>
      <c r="C48" s="114">
        <f>B48+C41+B55</f>
        <v>-922842.6558288018</v>
      </c>
      <c r="D48" s="114">
        <f t="shared" ref="C48:K52" si="47">C48+D41+C55</f>
        <v>-912993.95336033846</v>
      </c>
      <c r="E48" s="114">
        <f t="shared" si="47"/>
        <v>-819616.32315729395</v>
      </c>
      <c r="F48" s="114">
        <f t="shared" si="47"/>
        <v>-744583.9476368808</v>
      </c>
      <c r="G48" s="114">
        <f t="shared" si="47"/>
        <v>-672188.34572031256</v>
      </c>
      <c r="H48" s="114">
        <f t="shared" si="47"/>
        <v>-613437.78248861374</v>
      </c>
      <c r="I48" s="114">
        <f t="shared" si="47"/>
        <v>-525367.60106112855</v>
      </c>
      <c r="J48" s="114">
        <f t="shared" si="47"/>
        <v>-421780.75976511784</v>
      </c>
      <c r="K48" s="111">
        <f>J48+K41+J55</f>
        <v>-328874.0131463139</v>
      </c>
      <c r="L48" s="111">
        <f t="shared" ref="L48:M52" si="48">K48+L41+K55</f>
        <v>-239361.57518366846</v>
      </c>
      <c r="M48" s="111">
        <f t="shared" si="48"/>
        <v>-170053.31578659106</v>
      </c>
      <c r="N48" s="111">
        <f t="shared" ref="N48:N52" si="49">M48+N41+M55</f>
        <v>-124603.56985962507</v>
      </c>
      <c r="O48" s="111">
        <f t="shared" ref="O48:O52" si="50">N48+O41+N55</f>
        <v>-34756.127574529659</v>
      </c>
      <c r="P48" s="111">
        <f t="shared" ref="P48:P52" si="51">O48+P41+O55</f>
        <v>54150.736929904873</v>
      </c>
      <c r="Q48" s="111">
        <f t="shared" ref="Q48:Q52" si="52">P48+Q41+P55</f>
        <v>48893.559080783169</v>
      </c>
      <c r="R48" s="111">
        <f t="shared" ref="R48:R52" si="53">Q48+R41+Q55</f>
        <v>44279.193248125121</v>
      </c>
      <c r="S48" s="111">
        <f t="shared" ref="S48:S52" si="54">R48+S41+R55</f>
        <v>41778.30101253985</v>
      </c>
      <c r="T48" s="111">
        <f t="shared" ref="T48:T52" si="55">S48+T41+S55</f>
        <v>42848.214046694411</v>
      </c>
      <c r="U48" s="111">
        <f t="shared" ref="U48:U52" si="56">T48+U41+T55</f>
        <v>39199.226893257721</v>
      </c>
      <c r="V48" s="111">
        <f t="shared" ref="V48:V52" si="57">U48+V41+U55</f>
        <v>33615.2848288897</v>
      </c>
      <c r="W48" s="111">
        <f t="shared" ref="W48:W52" si="58">V48+W41+V55</f>
        <v>27521.335354412826</v>
      </c>
      <c r="X48" s="111">
        <f t="shared" ref="X48:X52" si="59">W48+X41+W55</f>
        <v>22098.719446666742</v>
      </c>
      <c r="Y48" s="111">
        <f t="shared" ref="Y48:Y52" si="60">X48+Y41+X55</f>
        <v>18306.432717306328</v>
      </c>
      <c r="Z48" s="110">
        <f>Y48+Z41+Y55</f>
        <v>14549.177213114341</v>
      </c>
      <c r="AA48" s="114">
        <f t="shared" ref="AA48:AB52" si="61">Z48+AA41+Z55</f>
        <v>9005.0599522545908</v>
      </c>
      <c r="AB48" s="115">
        <f>AA48+AB41+AA55</f>
        <v>1693.198853529952</v>
      </c>
      <c r="AC48" s="48"/>
    </row>
    <row r="49" spans="1:29" x14ac:dyDescent="0.25">
      <c r="A49" s="165" t="s">
        <v>4</v>
      </c>
      <c r="B49" s="110">
        <f>B42</f>
        <v>-5996.3551165116669</v>
      </c>
      <c r="C49" s="114">
        <f t="shared" si="47"/>
        <v>-6003.5650784374757</v>
      </c>
      <c r="D49" s="114">
        <f t="shared" si="47"/>
        <v>-5956.4229499079365</v>
      </c>
      <c r="E49" s="114">
        <f t="shared" si="47"/>
        <v>-5379.2396302593952</v>
      </c>
      <c r="F49" s="114">
        <f t="shared" si="47"/>
        <v>-4961.4039358103573</v>
      </c>
      <c r="G49" s="114">
        <f t="shared" si="47"/>
        <v>-4546.2637064642186</v>
      </c>
      <c r="H49" s="114">
        <f t="shared" si="47"/>
        <v>-4185.3924225779538</v>
      </c>
      <c r="I49" s="114">
        <f t="shared" si="47"/>
        <v>-3695.0418726762446</v>
      </c>
      <c r="J49" s="114">
        <f t="shared" si="47"/>
        <v>-3141.9039078626733</v>
      </c>
      <c r="K49" s="111">
        <f t="shared" si="47"/>
        <v>-2631.0005724887778</v>
      </c>
      <c r="L49" s="111">
        <f t="shared" si="48"/>
        <v>-2131.1690238688443</v>
      </c>
      <c r="M49" s="111">
        <f t="shared" si="48"/>
        <v>-1705.5209017441823</v>
      </c>
      <c r="N49" s="111">
        <f t="shared" si="49"/>
        <v>-6920.9116272884121</v>
      </c>
      <c r="O49" s="111">
        <f t="shared" si="50"/>
        <v>-6460.4659659261806</v>
      </c>
      <c r="P49" s="111">
        <f t="shared" si="51"/>
        <v>-5965.9966103679471</v>
      </c>
      <c r="Q49" s="111">
        <f t="shared" si="52"/>
        <v>-5492.2835965504155</v>
      </c>
      <c r="R49" s="111">
        <f t="shared" si="53"/>
        <v>-5054.9216846602048</v>
      </c>
      <c r="S49" s="111">
        <f t="shared" si="54"/>
        <v>-4749.7462257951547</v>
      </c>
      <c r="T49" s="111">
        <f t="shared" si="55"/>
        <v>-4932.9064792129457</v>
      </c>
      <c r="U49" s="111">
        <f t="shared" si="56"/>
        <v>-4551.4824796822932</v>
      </c>
      <c r="V49" s="111">
        <f t="shared" si="57"/>
        <v>-4083.5327405497546</v>
      </c>
      <c r="W49" s="111">
        <f t="shared" si="58"/>
        <v>-3596.6589004939074</v>
      </c>
      <c r="X49" s="111">
        <f t="shared" si="59"/>
        <v>-3133.1635677792597</v>
      </c>
      <c r="Y49" s="111">
        <f t="shared" si="60"/>
        <v>-2736.2484637006</v>
      </c>
      <c r="Z49" s="110">
        <f t="shared" ref="Z49:Z52" si="62">Y49+Z42+Y56</f>
        <v>-2317.2452083494272</v>
      </c>
      <c r="AA49" s="114">
        <f t="shared" si="61"/>
        <v>-1805.1862554297206</v>
      </c>
      <c r="AB49" s="115">
        <f t="shared" si="61"/>
        <v>-1180.6602628294768</v>
      </c>
      <c r="AC49" s="48"/>
    </row>
    <row r="50" spans="1:29" x14ac:dyDescent="0.25">
      <c r="A50" s="165" t="s">
        <v>5</v>
      </c>
      <c r="B50" s="110">
        <f>B43</f>
        <v>-13905.086120111719</v>
      </c>
      <c r="C50" s="114">
        <f t="shared" si="47"/>
        <v>-13921.805467040494</v>
      </c>
      <c r="D50" s="114">
        <f t="shared" si="47"/>
        <v>-13844.114001400389</v>
      </c>
      <c r="E50" s="114">
        <f t="shared" si="47"/>
        <v>-12650.96315350475</v>
      </c>
      <c r="F50" s="114">
        <f t="shared" si="47"/>
        <v>-11541.591418840486</v>
      </c>
      <c r="G50" s="114">
        <f t="shared" si="47"/>
        <v>-10399.271595201706</v>
      </c>
      <c r="H50" s="114">
        <f t="shared" si="47"/>
        <v>-9273.8893283857669</v>
      </c>
      <c r="I50" s="114">
        <f t="shared" si="47"/>
        <v>-7917.9404667209837</v>
      </c>
      <c r="J50" s="114">
        <f t="shared" si="47"/>
        <v>-6475.0105593992939</v>
      </c>
      <c r="K50" s="111">
        <f t="shared" si="47"/>
        <v>-5106.964389495075</v>
      </c>
      <c r="L50" s="111">
        <f t="shared" si="48"/>
        <v>-3711.9677107721063</v>
      </c>
      <c r="M50" s="111">
        <f t="shared" si="48"/>
        <v>-2446.6462747217383</v>
      </c>
      <c r="N50" s="111">
        <f t="shared" si="49"/>
        <v>-14228.334183943331</v>
      </c>
      <c r="O50" s="111">
        <f t="shared" si="50"/>
        <v>-13036.481063499772</v>
      </c>
      <c r="P50" s="111">
        <f t="shared" si="51"/>
        <v>-11822.082303721925</v>
      </c>
      <c r="Q50" s="111">
        <f t="shared" si="52"/>
        <v>-10702.632290138989</v>
      </c>
      <c r="R50" s="111">
        <f t="shared" si="53"/>
        <v>-9653.8479749352064</v>
      </c>
      <c r="S50" s="111">
        <f t="shared" si="54"/>
        <v>-8785.286816329959</v>
      </c>
      <c r="T50" s="111">
        <f t="shared" si="55"/>
        <v>-9345.0969970893475</v>
      </c>
      <c r="U50" s="111">
        <f t="shared" si="56"/>
        <v>-8240.4366384609948</v>
      </c>
      <c r="V50" s="111">
        <f t="shared" si="57"/>
        <v>-7012.306128821916</v>
      </c>
      <c r="W50" s="111">
        <f t="shared" si="58"/>
        <v>-5750.012839167196</v>
      </c>
      <c r="X50" s="111">
        <f t="shared" si="59"/>
        <v>-4477.5214159449997</v>
      </c>
      <c r="Y50" s="111">
        <f t="shared" si="60"/>
        <v>-3336.672641163238</v>
      </c>
      <c r="Z50" s="110">
        <f t="shared" si="62"/>
        <v>-2320.6117108550025</v>
      </c>
      <c r="AA50" s="114">
        <f t="shared" si="61"/>
        <v>-1190.4385755180472</v>
      </c>
      <c r="AB50" s="115">
        <f t="shared" si="61"/>
        <v>74.079548933642641</v>
      </c>
      <c r="AC50" s="48"/>
    </row>
    <row r="51" spans="1:29" x14ac:dyDescent="0.25">
      <c r="A51" s="165" t="s">
        <v>6</v>
      </c>
      <c r="B51" s="110">
        <f>B44</f>
        <v>-6107.6805178623044</v>
      </c>
      <c r="C51" s="114">
        <f t="shared" si="47"/>
        <v>-6115.0243364209373</v>
      </c>
      <c r="D51" s="114">
        <f t="shared" si="47"/>
        <v>-6067.5846412369274</v>
      </c>
      <c r="E51" s="114">
        <f t="shared" si="47"/>
        <v>-5612.8191073440967</v>
      </c>
      <c r="F51" s="114">
        <f t="shared" si="47"/>
        <v>-5154.3774951094001</v>
      </c>
      <c r="G51" s="114">
        <f t="shared" si="47"/>
        <v>-4672.1124276448681</v>
      </c>
      <c r="H51" s="114">
        <f t="shared" si="47"/>
        <v>-4120.4945440872079</v>
      </c>
      <c r="I51" s="114">
        <f t="shared" si="47"/>
        <v>-3516.9922562172396</v>
      </c>
      <c r="J51" s="114">
        <f t="shared" si="47"/>
        <v>-2890.9025523853711</v>
      </c>
      <c r="K51" s="111">
        <f t="shared" si="47"/>
        <v>-2274.2491172431737</v>
      </c>
      <c r="L51" s="111">
        <f t="shared" si="48"/>
        <v>-1672.8356307020952</v>
      </c>
      <c r="M51" s="111">
        <f t="shared" si="48"/>
        <v>-1109.7875036439223</v>
      </c>
      <c r="N51" s="111">
        <f t="shared" si="49"/>
        <v>-6316.5934803352748</v>
      </c>
      <c r="O51" s="111">
        <f t="shared" si="50"/>
        <v>-5767.9942948161461</v>
      </c>
      <c r="P51" s="111">
        <f t="shared" si="51"/>
        <v>-5282.253813021739</v>
      </c>
      <c r="Q51" s="111">
        <f t="shared" si="52"/>
        <v>-4837.3653391010039</v>
      </c>
      <c r="R51" s="111">
        <f t="shared" si="53"/>
        <v>-4411.662669547587</v>
      </c>
      <c r="S51" s="111">
        <f t="shared" si="54"/>
        <v>-4035.3307579881507</v>
      </c>
      <c r="T51" s="111">
        <f t="shared" si="55"/>
        <v>-4270.0745019815249</v>
      </c>
      <c r="U51" s="111">
        <f t="shared" si="56"/>
        <v>-3788.4072179306436</v>
      </c>
      <c r="V51" s="111">
        <f t="shared" si="57"/>
        <v>-3288.3416299065425</v>
      </c>
      <c r="W51" s="111">
        <f t="shared" si="58"/>
        <v>-2760.9858846716074</v>
      </c>
      <c r="X51" s="111">
        <f t="shared" si="59"/>
        <v>-2237.7048885921827</v>
      </c>
      <c r="Y51" s="111">
        <f t="shared" si="60"/>
        <v>-1764.2041109486872</v>
      </c>
      <c r="Z51" s="110">
        <f t="shared" si="62"/>
        <v>-1323.1183379678873</v>
      </c>
      <c r="AA51" s="114">
        <f t="shared" si="61"/>
        <v>-858.56175821257466</v>
      </c>
      <c r="AB51" s="115">
        <f t="shared" si="61"/>
        <v>-356.58460723632123</v>
      </c>
      <c r="AC51" s="48"/>
    </row>
    <row r="52" spans="1:29" x14ac:dyDescent="0.25">
      <c r="A52" s="165" t="s">
        <v>7</v>
      </c>
      <c r="B52" s="110">
        <f>B45</f>
        <v>-2843.7872982965264</v>
      </c>
      <c r="C52" s="114">
        <f t="shared" si="47"/>
        <v>-2847.2066418389654</v>
      </c>
      <c r="D52" s="114">
        <f t="shared" si="47"/>
        <v>-2840.7529266187025</v>
      </c>
      <c r="E52" s="114">
        <f t="shared" si="47"/>
        <v>-2726.5660370210121</v>
      </c>
      <c r="F52" s="114">
        <f t="shared" si="47"/>
        <v>-2593.1631717644691</v>
      </c>
      <c r="G52" s="114">
        <f t="shared" si="47"/>
        <v>-2358.1539690923673</v>
      </c>
      <c r="H52" s="114">
        <f t="shared" si="47"/>
        <v>-2090.5664690990398</v>
      </c>
      <c r="I52" s="114">
        <f t="shared" si="47"/>
        <v>-1791.6920795749656</v>
      </c>
      <c r="J52" s="114">
        <f t="shared" si="47"/>
        <v>-1521.462172761416</v>
      </c>
      <c r="K52" s="111">
        <f t="shared" si="47"/>
        <v>-1212.5249097605786</v>
      </c>
      <c r="L52" s="111">
        <f t="shared" si="48"/>
        <v>-921.83232192169828</v>
      </c>
      <c r="M52" s="111">
        <f t="shared" si="48"/>
        <v>-635.22885368478569</v>
      </c>
      <c r="N52" s="111">
        <f t="shared" si="49"/>
        <v>-3198.3193728489532</v>
      </c>
      <c r="O52" s="111">
        <f t="shared" si="50"/>
        <v>-2943.3825927999351</v>
      </c>
      <c r="P52" s="111">
        <f t="shared" si="51"/>
        <v>-2717.3294908859657</v>
      </c>
      <c r="Q52" s="111">
        <f t="shared" si="52"/>
        <v>-2547.0053316809776</v>
      </c>
      <c r="R52" s="111">
        <f t="shared" si="53"/>
        <v>-2371.6897024647064</v>
      </c>
      <c r="S52" s="111">
        <f t="shared" si="54"/>
        <v>-2210.6775467896032</v>
      </c>
      <c r="T52" s="111">
        <f t="shared" si="55"/>
        <v>-2310.6341257077147</v>
      </c>
      <c r="U52" s="111">
        <f t="shared" si="56"/>
        <v>-2091.707085388563</v>
      </c>
      <c r="V52" s="111">
        <f t="shared" si="57"/>
        <v>-1881.4689971910186</v>
      </c>
      <c r="W52" s="111">
        <f t="shared" si="58"/>
        <v>-1647.2857052551456</v>
      </c>
      <c r="X52" s="111">
        <f t="shared" si="59"/>
        <v>-1410.2647134712895</v>
      </c>
      <c r="Y52" s="111">
        <f t="shared" si="60"/>
        <v>-1191.876795124678</v>
      </c>
      <c r="Z52" s="110">
        <f t="shared" si="62"/>
        <v>-986.3769198772311</v>
      </c>
      <c r="AA52" s="114">
        <f t="shared" si="61"/>
        <v>-778.80852574791072</v>
      </c>
      <c r="AB52" s="115">
        <f t="shared" si="61"/>
        <v>-566.62348398623328</v>
      </c>
      <c r="AC52" s="48"/>
    </row>
    <row r="53" spans="1:29" x14ac:dyDescent="0.25"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8"/>
      <c r="AA53" s="99"/>
      <c r="AB53" s="102"/>
    </row>
    <row r="54" spans="1:29" x14ac:dyDescent="0.25">
      <c r="A54" s="165" t="s">
        <v>65</v>
      </c>
      <c r="B54" s="123">
        <f>+'PCR (M2)'!X67</f>
        <v>1.2023907500000001E-3</v>
      </c>
      <c r="C54" s="124">
        <f>+'PCR (M2)'!Y67</f>
        <v>1.4779508333333333E-3</v>
      </c>
      <c r="D54" s="124">
        <f>+'PCR (M2)'!Z67</f>
        <v>1.4294883333333334E-3</v>
      </c>
      <c r="E54" s="124">
        <f>+'PCR (M2)'!AA67</f>
        <v>1.5229716666666667E-3</v>
      </c>
      <c r="F54" s="124">
        <f>+'PCR (M2)'!AB67</f>
        <v>1.7116216666666665E-3</v>
      </c>
      <c r="G54" s="124">
        <f>+'PCR (M2)'!AC67</f>
        <v>1.9259966666666664E-3</v>
      </c>
      <c r="H54" s="124">
        <f>+'PCR (M2)'!AD67</f>
        <v>1.8323291666666665E-3</v>
      </c>
      <c r="I54" s="124">
        <f>+'PCR (M2)'!AE67</f>
        <v>1.8996341666666667E-3</v>
      </c>
      <c r="J54" s="124">
        <f>+'PCR (M2)'!AF67</f>
        <v>1.9559741666666667E-3</v>
      </c>
      <c r="K54" s="186">
        <f>+'PCR (M2)'!AG67</f>
        <v>1.9378716666666664E-3</v>
      </c>
      <c r="L54" s="186">
        <f>+'PCR (M2)'!AH67</f>
        <v>1.9408016666666668E-3</v>
      </c>
      <c r="M54" s="186">
        <f>+'PCR (M2)'!AI67</f>
        <v>2.0478441666666666E-3</v>
      </c>
      <c r="N54" s="186">
        <f>+'PCR (M2)'!AJ67</f>
        <v>2.1059300000000002E-3</v>
      </c>
      <c r="O54" s="186">
        <f>+'PCR (M2)'!AK67</f>
        <v>2.2954824999999999E-3</v>
      </c>
      <c r="P54" s="186">
        <f>+'PCR (M2)'!AL67</f>
        <v>2.3914125E-3</v>
      </c>
      <c r="Q54" s="186">
        <f>+'PCR (M2)'!AM67</f>
        <v>2.3669924999999998E-3</v>
      </c>
      <c r="R54" s="186">
        <f>+'PCR (M2)'!AN67</f>
        <v>2.3231791666666669E-3</v>
      </c>
      <c r="S54" s="186">
        <f>+'PCR (M2)'!AO67</f>
        <v>2.2185616666666667E-3</v>
      </c>
      <c r="T54" s="186">
        <f>+'PCR (M2)'!AP67</f>
        <v>2.2311341666666666E-3</v>
      </c>
      <c r="U54" s="186">
        <f>+'PCR (M2)'!AQ67</f>
        <v>2.2083808333333331E-3</v>
      </c>
      <c r="V54" s="186">
        <f>+'PCR (M2)'!AR67</f>
        <v>2.1623908333333335E-3</v>
      </c>
      <c r="W54" s="186">
        <f>+'PCR (M2)'!AS67</f>
        <v>1.959325E-3</v>
      </c>
      <c r="X54" s="186">
        <f>+'PCR (M2)'!AT67</f>
        <v>1.8473916666666666E-3</v>
      </c>
      <c r="Y54" s="186">
        <f>+'PCR (M2)'!AU67</f>
        <v>1.7616100000000003E-3</v>
      </c>
      <c r="Z54" s="123">
        <f>+'PCR (M2)'!AV67</f>
        <v>1.7616100000000003E-3</v>
      </c>
      <c r="AA54" s="124">
        <f>+'PCR (M2)'!AW67</f>
        <v>1.7616100000000003E-3</v>
      </c>
      <c r="AB54" s="187">
        <f>+'PCR (M2)'!AX67</f>
        <v>1.7616100000000003E-3</v>
      </c>
    </row>
    <row r="55" spans="1:29" x14ac:dyDescent="0.25">
      <c r="A55" s="165" t="s">
        <v>0</v>
      </c>
      <c r="B55" s="110">
        <f t="shared" ref="B55:AB59" si="63">B48*B$54</f>
        <v>-1108.2848815840034</v>
      </c>
      <c r="C55" s="114">
        <f t="shared" si="63"/>
        <v>-1363.9160722177241</v>
      </c>
      <c r="D55" s="114">
        <f t="shared" si="63"/>
        <v>-1305.1142047324813</v>
      </c>
      <c r="E55" s="114">
        <f t="shared" si="63"/>
        <v>-1248.2524377060693</v>
      </c>
      <c r="F55" s="114">
        <f t="shared" si="63"/>
        <v>-1274.4460174274839</v>
      </c>
      <c r="G55" s="114">
        <f t="shared" si="63"/>
        <v>-1294.6325132295028</v>
      </c>
      <c r="H55" s="114">
        <f t="shared" si="63"/>
        <v>-1124.0199407892094</v>
      </c>
      <c r="I55" s="114">
        <f t="shared" si="63"/>
        <v>-998.00624503542269</v>
      </c>
      <c r="J55" s="114">
        <f t="shared" si="63"/>
        <v>-824.99227009760989</v>
      </c>
      <c r="K55" s="111">
        <f t="shared" si="63"/>
        <v>-637.31563197920252</v>
      </c>
      <c r="L55" s="111">
        <f t="shared" ref="L55:M55" si="64">L48*L$54</f>
        <v>-464.5533440524224</v>
      </c>
      <c r="M55" s="111">
        <f t="shared" si="64"/>
        <v>-348.24269075589507</v>
      </c>
      <c r="N55" s="111">
        <f t="shared" ref="N55:Y55" si="65">N48*N$54</f>
        <v>-262.40639587448027</v>
      </c>
      <c r="O55" s="111">
        <f t="shared" si="65"/>
        <v>-79.782082615100279</v>
      </c>
      <c r="P55" s="111">
        <f t="shared" si="65"/>
        <v>129.49674917838615</v>
      </c>
      <c r="Q55" s="111">
        <f t="shared" si="65"/>
        <v>115.73068764252065</v>
      </c>
      <c r="R55" s="111">
        <f t="shared" si="65"/>
        <v>102.86849927085161</v>
      </c>
      <c r="S55" s="111">
        <f t="shared" si="65"/>
        <v>92.687737124882105</v>
      </c>
      <c r="T55" s="111">
        <f t="shared" si="65"/>
        <v>95.600114340226497</v>
      </c>
      <c r="U55" s="111">
        <f t="shared" si="65"/>
        <v>86.566821352554882</v>
      </c>
      <c r="V55" s="111">
        <f t="shared" si="65"/>
        <v>72.689383773880166</v>
      </c>
      <c r="W55" s="111">
        <f t="shared" si="65"/>
        <v>53.923240393284914</v>
      </c>
      <c r="X55" s="111">
        <f t="shared" si="65"/>
        <v>40.824990149776752</v>
      </c>
      <c r="Y55" s="111">
        <f t="shared" si="65"/>
        <v>32.248794939134008</v>
      </c>
      <c r="Z55" s="110">
        <f>Z48*Z$54</f>
        <v>25.629976070394356</v>
      </c>
      <c r="AA55" s="114">
        <f t="shared" si="63"/>
        <v>15.863403662491212</v>
      </c>
      <c r="AB55" s="115">
        <f t="shared" si="63"/>
        <v>2.9827560323668991</v>
      </c>
    </row>
    <row r="56" spans="1:29" x14ac:dyDescent="0.25">
      <c r="A56" s="165" t="s">
        <v>4</v>
      </c>
      <c r="B56" s="110">
        <f t="shared" si="63"/>
        <v>-7.209961925808801</v>
      </c>
      <c r="C56" s="114">
        <f t="shared" si="63"/>
        <v>-8.8729740106475656</v>
      </c>
      <c r="D56" s="114">
        <f t="shared" si="63"/>
        <v>-8.514637115292313</v>
      </c>
      <c r="E56" s="114">
        <f t="shared" si="63"/>
        <v>-8.1924295450955356</v>
      </c>
      <c r="F56" s="114">
        <f t="shared" si="63"/>
        <v>-8.4920464736182826</v>
      </c>
      <c r="G56" s="114">
        <f t="shared" si="63"/>
        <v>-8.7560887444377293</v>
      </c>
      <c r="H56" s="114">
        <f t="shared" si="63"/>
        <v>-7.6690166098352428</v>
      </c>
      <c r="I56" s="114">
        <f t="shared" si="63"/>
        <v>-7.0192277885997774</v>
      </c>
      <c r="J56" s="114">
        <f t="shared" si="63"/>
        <v>-6.1454828779284361</v>
      </c>
      <c r="K56" s="111">
        <f t="shared" si="63"/>
        <v>-5.0985414644097817</v>
      </c>
      <c r="L56" s="111">
        <f t="shared" ref="L56:M56" si="66">L49*L$54</f>
        <v>-4.1361763934730265</v>
      </c>
      <c r="M56" s="111">
        <f t="shared" si="66"/>
        <v>-3.4926410297648967</v>
      </c>
      <c r="N56" s="111">
        <f t="shared" ref="N56:Y56" si="67">N49*N$54</f>
        <v>-14.574955423255487</v>
      </c>
      <c r="O56" s="111">
        <f t="shared" si="67"/>
        <v>-14.829886566629144</v>
      </c>
      <c r="P56" s="111">
        <f t="shared" si="67"/>
        <v>-14.267158868991539</v>
      </c>
      <c r="Q56" s="111">
        <f t="shared" si="67"/>
        <v>-13.000194080907859</v>
      </c>
      <c r="R56" s="111">
        <f t="shared" si="67"/>
        <v>-11.743488746934158</v>
      </c>
      <c r="S56" s="111">
        <f t="shared" si="67"/>
        <v>-10.537604902943809</v>
      </c>
      <c r="T56" s="111">
        <f t="shared" si="67"/>
        <v>-11.005976186743377</v>
      </c>
      <c r="U56" s="111">
        <f t="shared" si="67"/>
        <v>-10.051406671382848</v>
      </c>
      <c r="V56" s="111">
        <f t="shared" si="67"/>
        <v>-8.8301937657813347</v>
      </c>
      <c r="W56" s="111">
        <f t="shared" si="67"/>
        <v>-7.0470237002102252</v>
      </c>
      <c r="X56" s="111">
        <f t="shared" si="67"/>
        <v>-5.7881802654190064</v>
      </c>
      <c r="Y56" s="111">
        <f t="shared" si="67"/>
        <v>-4.8202026561396147</v>
      </c>
      <c r="Z56" s="110">
        <f t="shared" si="63"/>
        <v>-4.0820823314804349</v>
      </c>
      <c r="AA56" s="114">
        <f t="shared" si="63"/>
        <v>-3.1800341594275507</v>
      </c>
      <c r="AB56" s="115">
        <f t="shared" si="63"/>
        <v>-2.079862925603035</v>
      </c>
    </row>
    <row r="57" spans="1:29" x14ac:dyDescent="0.25">
      <c r="A57" s="165" t="s">
        <v>5</v>
      </c>
      <c r="B57" s="110">
        <f t="shared" si="63"/>
        <v>-16.719346928775721</v>
      </c>
      <c r="C57" s="114">
        <f t="shared" si="63"/>
        <v>-20.575743991517054</v>
      </c>
      <c r="D57" s="114">
        <f t="shared" si="63"/>
        <v>-19.789999450338506</v>
      </c>
      <c r="E57" s="114">
        <f t="shared" si="63"/>
        <v>-19.267058438831718</v>
      </c>
      <c r="F57" s="114">
        <f t="shared" si="63"/>
        <v>-19.754837940301449</v>
      </c>
      <c r="G57" s="114">
        <f t="shared" si="63"/>
        <v>-20.028962428119833</v>
      </c>
      <c r="H57" s="114">
        <f t="shared" si="63"/>
        <v>-16.992817904839985</v>
      </c>
      <c r="I57" s="114">
        <f t="shared" si="63"/>
        <v>-15.041190240215794</v>
      </c>
      <c r="J57" s="114">
        <f t="shared" si="63"/>
        <v>-12.664953383078901</v>
      </c>
      <c r="K57" s="111">
        <f t="shared" si="63"/>
        <v>-9.8966415930781348</v>
      </c>
      <c r="L57" s="111">
        <f t="shared" ref="L57:M57" si="68">L50*L$54</f>
        <v>-7.2041931196793554</v>
      </c>
      <c r="M57" s="111">
        <f t="shared" si="68"/>
        <v>-5.0103503015856425</v>
      </c>
      <c r="N57" s="111">
        <f t="shared" ref="N57:Y57" si="69">N50*N$54</f>
        <v>-29.96387580799178</v>
      </c>
      <c r="O57" s="111">
        <f t="shared" si="69"/>
        <v>-29.925014142845114</v>
      </c>
      <c r="P57" s="111">
        <f t="shared" si="69"/>
        <v>-28.271475397149409</v>
      </c>
      <c r="Q57" s="111">
        <f t="shared" si="69"/>
        <v>-25.333050361016806</v>
      </c>
      <c r="R57" s="111">
        <f t="shared" si="69"/>
        <v>-22.427618493536663</v>
      </c>
      <c r="S57" s="111">
        <f t="shared" si="69"/>
        <v>-19.49070056138169</v>
      </c>
      <c r="T57" s="111">
        <f t="shared" si="69"/>
        <v>-20.850165201020111</v>
      </c>
      <c r="U57" s="111">
        <f t="shared" si="69"/>
        <v>-18.198022330675023</v>
      </c>
      <c r="V57" s="111">
        <f t="shared" si="69"/>
        <v>-15.163346493491664</v>
      </c>
      <c r="W57" s="111">
        <f t="shared" si="69"/>
        <v>-11.266143906101266</v>
      </c>
      <c r="X57" s="111">
        <f t="shared" si="69"/>
        <v>-8.2717357511383263</v>
      </c>
      <c r="Y57" s="111">
        <f t="shared" si="69"/>
        <v>-5.8779158913995726</v>
      </c>
      <c r="Z57" s="110">
        <f t="shared" si="63"/>
        <v>-4.0880127959592816</v>
      </c>
      <c r="AA57" s="114">
        <f t="shared" si="63"/>
        <v>-2.0970884990183474</v>
      </c>
      <c r="AB57" s="115">
        <f t="shared" si="63"/>
        <v>0.13049927419699422</v>
      </c>
    </row>
    <row r="58" spans="1:29" x14ac:dyDescent="0.25">
      <c r="A58" s="165" t="s">
        <v>6</v>
      </c>
      <c r="B58" s="110">
        <f t="shared" si="63"/>
        <v>-7.3438185586328446</v>
      </c>
      <c r="C58" s="114">
        <f t="shared" si="63"/>
        <v>-9.0377053138669385</v>
      </c>
      <c r="D58" s="114">
        <f t="shared" si="63"/>
        <v>-8.6735414561607076</v>
      </c>
      <c r="E58" s="114">
        <f t="shared" si="63"/>
        <v>-8.5481644706103506</v>
      </c>
      <c r="F58" s="114">
        <f t="shared" si="63"/>
        <v>-8.8223441988083096</v>
      </c>
      <c r="G58" s="114">
        <f t="shared" si="63"/>
        <v>-8.9984729619359225</v>
      </c>
      <c r="H58" s="114">
        <f t="shared" si="63"/>
        <v>-7.5501023342218598</v>
      </c>
      <c r="I58" s="114">
        <f t="shared" si="63"/>
        <v>-6.680998653812356</v>
      </c>
      <c r="J58" s="114">
        <f t="shared" si="63"/>
        <v>-5.6545307108165161</v>
      </c>
      <c r="K58" s="111">
        <f t="shared" si="63"/>
        <v>-4.4072029272472237</v>
      </c>
      <c r="L58" s="111">
        <f t="shared" ref="L58:M58" si="70">L51*L$54</f>
        <v>-3.246642180126011</v>
      </c>
      <c r="M58" s="111">
        <f t="shared" si="70"/>
        <v>-2.2726718655767684</v>
      </c>
      <c r="N58" s="111">
        <f t="shared" ref="N58:Y58" si="71">N51*N$54</f>
        <v>-13.302303708042466</v>
      </c>
      <c r="O58" s="111">
        <f t="shared" si="71"/>
        <v>-13.240329963850304</v>
      </c>
      <c r="P58" s="111">
        <f t="shared" si="71"/>
        <v>-12.63204779663285</v>
      </c>
      <c r="Q58" s="111">
        <f t="shared" si="71"/>
        <v>-11.450007477412031</v>
      </c>
      <c r="R58" s="111">
        <f t="shared" si="71"/>
        <v>-10.249082804254007</v>
      </c>
      <c r="S58" s="111">
        <f t="shared" si="71"/>
        <v>-8.9526301319934554</v>
      </c>
      <c r="T58" s="111">
        <f t="shared" si="71"/>
        <v>-9.5271091155831318</v>
      </c>
      <c r="U58" s="111">
        <f t="shared" si="71"/>
        <v>-8.3662458889396891</v>
      </c>
      <c r="V58" s="111">
        <f t="shared" si="71"/>
        <v>-7.1106797973783005</v>
      </c>
      <c r="W58" s="111">
        <f t="shared" si="71"/>
        <v>-5.4096686684841977</v>
      </c>
      <c r="X58" s="111">
        <f t="shared" si="71"/>
        <v>-4.1339173636444597</v>
      </c>
      <c r="Y58" s="111">
        <f t="shared" si="71"/>
        <v>-3.1078396038883174</v>
      </c>
      <c r="Z58" s="110">
        <f t="shared" si="63"/>
        <v>-2.3308184953476103</v>
      </c>
      <c r="AA58" s="114">
        <f t="shared" si="63"/>
        <v>-1.5124509788848539</v>
      </c>
      <c r="AB58" s="115">
        <f t="shared" si="63"/>
        <v>-0.62816300995357599</v>
      </c>
    </row>
    <row r="59" spans="1:29" ht="15.75" thickBot="1" x14ac:dyDescent="0.3">
      <c r="A59" s="165" t="s">
        <v>7</v>
      </c>
      <c r="B59" s="110">
        <f t="shared" si="63"/>
        <v>-3.4193435424392344</v>
      </c>
      <c r="C59" s="114">
        <f t="shared" si="63"/>
        <v>-4.2080314289781002</v>
      </c>
      <c r="D59" s="114">
        <f t="shared" si="63"/>
        <v>-4.0608231664839582</v>
      </c>
      <c r="E59" s="114">
        <f t="shared" si="63"/>
        <v>-4.1524828216786194</v>
      </c>
      <c r="F59" s="114">
        <f t="shared" si="63"/>
        <v>-4.43851426999412</v>
      </c>
      <c r="G59" s="114">
        <f t="shared" si="63"/>
        <v>-4.541796683958669</v>
      </c>
      <c r="H59" s="114">
        <f t="shared" si="63"/>
        <v>-3.8306059161855188</v>
      </c>
      <c r="I59" s="114">
        <f t="shared" si="63"/>
        <v>-3.4035594905066571</v>
      </c>
      <c r="J59" s="114">
        <f t="shared" si="63"/>
        <v>-2.9759407054818667</v>
      </c>
      <c r="K59" s="111">
        <f t="shared" si="63"/>
        <v>-2.3497176677525817</v>
      </c>
      <c r="L59" s="111">
        <f t="shared" ref="L59:M59" si="72">L52*L$54</f>
        <v>-1.7890937067728354</v>
      </c>
      <c r="M59" s="111">
        <f t="shared" si="72"/>
        <v>-1.3008497025167418</v>
      </c>
      <c r="N59" s="111">
        <f t="shared" ref="N59:Y59" si="73">N52*N$54</f>
        <v>-6.7354367168637967</v>
      </c>
      <c r="O59" s="111">
        <f t="shared" si="73"/>
        <v>-6.7564832325768771</v>
      </c>
      <c r="P59" s="111">
        <f t="shared" si="73"/>
        <v>-6.4982557111233348</v>
      </c>
      <c r="Q59" s="111">
        <f t="shared" si="73"/>
        <v>-6.0287425175488858</v>
      </c>
      <c r="R59" s="111">
        <f t="shared" si="73"/>
        <v>-5.5098601065638722</v>
      </c>
      <c r="S59" s="111">
        <f t="shared" si="73"/>
        <v>-4.9045244626681201</v>
      </c>
      <c r="T59" s="111">
        <f t="shared" si="73"/>
        <v>-5.1553347445324436</v>
      </c>
      <c r="U59" s="111">
        <f t="shared" si="73"/>
        <v>-4.6192858363196319</v>
      </c>
      <c r="V59" s="111">
        <f t="shared" si="73"/>
        <v>-4.068471312726718</v>
      </c>
      <c r="W59" s="111">
        <f t="shared" si="73"/>
        <v>-3.2275680644490383</v>
      </c>
      <c r="X59" s="111">
        <f t="shared" si="73"/>
        <v>-2.6053112794609148</v>
      </c>
      <c r="Y59" s="111">
        <f t="shared" si="73"/>
        <v>-2.0996220810595845</v>
      </c>
      <c r="Z59" s="110">
        <f t="shared" si="63"/>
        <v>-1.7376114458249294</v>
      </c>
      <c r="AA59" s="114">
        <f t="shared" si="63"/>
        <v>-1.3719568870427772</v>
      </c>
      <c r="AB59" s="115">
        <f t="shared" si="63"/>
        <v>-0.99816959562498853</v>
      </c>
    </row>
    <row r="60" spans="1:29" ht="16.5" thickTop="1" thickBot="1" x14ac:dyDescent="0.3">
      <c r="A60" s="126" t="s">
        <v>71</v>
      </c>
      <c r="B60" s="130">
        <f>SUM(B55:B59)+SUM(B48:B52)-B63</f>
        <v>0</v>
      </c>
      <c r="C60" s="131">
        <f>SUM(C55:C59)+SUM(C48:C52)-C63</f>
        <v>0</v>
      </c>
      <c r="D60" s="131">
        <f>SUM(D55:D59)+SUM(D48:D52)-D63</f>
        <v>0</v>
      </c>
      <c r="E60" s="131">
        <f t="shared" ref="E60:AB60" si="74">SUM(E55:E59)+SUM(E48:E52)-E63</f>
        <v>0</v>
      </c>
      <c r="F60" s="131">
        <f t="shared" si="74"/>
        <v>0</v>
      </c>
      <c r="G60" s="131">
        <f t="shared" si="74"/>
        <v>0</v>
      </c>
      <c r="H60" s="131">
        <f t="shared" si="74"/>
        <v>0</v>
      </c>
      <c r="I60" s="131">
        <f t="shared" si="74"/>
        <v>0</v>
      </c>
      <c r="J60" s="131">
        <f t="shared" si="74"/>
        <v>0</v>
      </c>
      <c r="K60" s="154">
        <f t="shared" si="74"/>
        <v>0</v>
      </c>
      <c r="L60" s="154">
        <f t="shared" ref="L60:M60" si="75">SUM(L55:L59)+SUM(L48:L52)-L63</f>
        <v>0</v>
      </c>
      <c r="M60" s="154">
        <f t="shared" si="75"/>
        <v>0</v>
      </c>
      <c r="N60" s="154">
        <f t="shared" ref="N60:Y60" si="76">SUM(N55:N59)+SUM(N48:N52)-N63</f>
        <v>0</v>
      </c>
      <c r="O60" s="154">
        <f t="shared" si="76"/>
        <v>1.3096723705530167E-10</v>
      </c>
      <c r="P60" s="154">
        <f t="shared" si="76"/>
        <v>1.3096723705530167E-10</v>
      </c>
      <c r="Q60" s="154">
        <f t="shared" si="76"/>
        <v>1.3096723705530167E-10</v>
      </c>
      <c r="R60" s="154">
        <f t="shared" si="76"/>
        <v>1.2369127944111824E-10</v>
      </c>
      <c r="S60" s="154">
        <f t="shared" si="76"/>
        <v>1.2732925824820995E-10</v>
      </c>
      <c r="T60" s="154">
        <f t="shared" si="76"/>
        <v>1.3096723705530167E-10</v>
      </c>
      <c r="U60" s="154">
        <f t="shared" si="76"/>
        <v>1.2732925824820995E-10</v>
      </c>
      <c r="V60" s="154">
        <f t="shared" si="76"/>
        <v>1.3460521586239338E-10</v>
      </c>
      <c r="W60" s="154">
        <f t="shared" si="76"/>
        <v>1.3096723705530167E-10</v>
      </c>
      <c r="X60" s="154">
        <f t="shared" si="76"/>
        <v>1.3460521586239338E-10</v>
      </c>
      <c r="Y60" s="154">
        <f t="shared" si="76"/>
        <v>1.3460521586239338E-10</v>
      </c>
      <c r="Z60" s="130">
        <f>SUM(Z55:Z59)+SUM(Z48:Z52)-Z63</f>
        <v>1.3278622645884752E-10</v>
      </c>
      <c r="AA60" s="131">
        <f>SUM(AA55:AA59)+SUM(AA48:AA52)-AA63</f>
        <v>1.3460521586239338E-10</v>
      </c>
      <c r="AB60" s="132">
        <f t="shared" si="74"/>
        <v>1.3426415534922853E-10</v>
      </c>
    </row>
    <row r="61" spans="1:29" ht="16.5" thickTop="1" thickBot="1" x14ac:dyDescent="0.3">
      <c r="A61" s="126" t="s">
        <v>72</v>
      </c>
      <c r="B61" s="130">
        <f>SUM(B55:B59)-B38</f>
        <v>2.6474603400856722E-3</v>
      </c>
      <c r="C61" s="131">
        <f>SUM(C55:C59)-C38</f>
        <v>-5.26962734056724E-4</v>
      </c>
      <c r="D61" s="131">
        <f t="shared" ref="D61:J61" si="77">SUM(D55:D59)-D38</f>
        <v>-3.2059207567272097E-3</v>
      </c>
      <c r="E61" s="131">
        <f t="shared" si="77"/>
        <v>-2.5729822855282691E-3</v>
      </c>
      <c r="F61" s="131">
        <f t="shared" si="77"/>
        <v>-3.7603102059620142E-3</v>
      </c>
      <c r="G61" s="131">
        <f>SUM(G55:G59)-G38</f>
        <v>2.1659520450612035E-3</v>
      </c>
      <c r="H61" s="131">
        <f t="shared" si="77"/>
        <v>-2.4835542922119203E-3</v>
      </c>
      <c r="I61" s="131">
        <f t="shared" si="77"/>
        <v>-1.2212085571263742E-3</v>
      </c>
      <c r="J61" s="131">
        <f t="shared" si="77"/>
        <v>-3.1777749156844948E-3</v>
      </c>
      <c r="K61" s="154">
        <f>SUM(K55:K59)-K38</f>
        <v>2.264368309852216E-3</v>
      </c>
      <c r="L61" s="154">
        <f t="shared" ref="L61" si="78">SUM(L55:L59)-L38</f>
        <v>5.5054752635896875E-4</v>
      </c>
      <c r="M61" s="154">
        <f>SUM(M55:M59)-M38</f>
        <v>7.9634466084144151E-4</v>
      </c>
      <c r="N61" s="154">
        <f t="shared" ref="N61:Y61" si="79">SUM(N55:N59)-N38</f>
        <v>-2.967530633725346E-3</v>
      </c>
      <c r="O61" s="154">
        <f t="shared" si="79"/>
        <v>-3.7965210017034678E-3</v>
      </c>
      <c r="P61" s="154">
        <f t="shared" si="79"/>
        <v>-2.1885955109723909E-3</v>
      </c>
      <c r="Q61" s="154">
        <f t="shared" si="79"/>
        <v>-1.3067943649289759E-3</v>
      </c>
      <c r="R61" s="154">
        <f t="shared" si="79"/>
        <v>-1.550880437079627E-3</v>
      </c>
      <c r="S61" s="154">
        <f t="shared" si="79"/>
        <v>2.2770658950292955E-3</v>
      </c>
      <c r="T61" s="154">
        <f t="shared" si="79"/>
        <v>1.5290923474253759E-3</v>
      </c>
      <c r="U61" s="154">
        <f t="shared" si="79"/>
        <v>1.8606252376898169E-3</v>
      </c>
      <c r="V61" s="154">
        <f t="shared" si="79"/>
        <v>-3.3075954978514233E-3</v>
      </c>
      <c r="W61" s="154">
        <f t="shared" si="79"/>
        <v>2.8360540401841661E-3</v>
      </c>
      <c r="X61" s="154">
        <f t="shared" si="79"/>
        <v>-4.1545098859572249E-3</v>
      </c>
      <c r="Y61" s="154">
        <f t="shared" si="79"/>
        <v>3.2147066469185859E-3</v>
      </c>
      <c r="Z61" s="130">
        <f>SUM(Z55:Z59)-Z38</f>
        <v>5.5250378569127179E-5</v>
      </c>
      <c r="AA61" s="131">
        <f>SUM(AA55:AA59)-AA38</f>
        <v>5.534770818904633E-5</v>
      </c>
      <c r="AB61" s="132">
        <f>SUM(AB55:AB59)-AB38</f>
        <v>5.5445209262150463E-5</v>
      </c>
    </row>
    <row r="62" spans="1:29" ht="15.75" thickTop="1" x14ac:dyDescent="0.25">
      <c r="B62" s="100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8"/>
      <c r="AA62" s="99"/>
      <c r="AB62" s="102"/>
    </row>
    <row r="63" spans="1:29" x14ac:dyDescent="0.25">
      <c r="A63" s="165" t="s">
        <v>73</v>
      </c>
      <c r="B63" s="110">
        <f>(SUM(B15:B19)-SUM(B22:B26))+SUM(B55:B59)</f>
        <v>-951730.2573525398</v>
      </c>
      <c r="C63" s="114">
        <f>(SUM(C15:C19)-SUM(C22:C26))+SUM(C55:C59)+B63</f>
        <v>-953136.86787950259</v>
      </c>
      <c r="D63" s="114">
        <f t="shared" ref="D63:AA63" si="80">(SUM(D15:D19)-SUM(D22:D26))+SUM(D55:D59)+C63</f>
        <v>-943048.98108542338</v>
      </c>
      <c r="E63" s="114">
        <f t="shared" si="80"/>
        <v>-847274.32365840569</v>
      </c>
      <c r="F63" s="114">
        <f t="shared" si="80"/>
        <v>-770150.43741871591</v>
      </c>
      <c r="G63" s="114">
        <f t="shared" si="80"/>
        <v>-695501.10525276384</v>
      </c>
      <c r="H63" s="114">
        <f t="shared" si="80"/>
        <v>-634268.1877363181</v>
      </c>
      <c r="I63" s="114">
        <f t="shared" si="80"/>
        <v>-543319.41895752668</v>
      </c>
      <c r="J63" s="114">
        <f t="shared" si="80"/>
        <v>-436662.47213530162</v>
      </c>
      <c r="K63" s="111">
        <f t="shared" si="80"/>
        <v>-340757.81987093331</v>
      </c>
      <c r="L63" s="111">
        <f t="shared" ref="L63" si="81">(SUM(L15:L19)-SUM(L22:L26))+SUM(L55:L59)+K63</f>
        <v>-248280.3093203858</v>
      </c>
      <c r="M63" s="111">
        <f t="shared" ref="M63" si="82">(SUM(M15:M19)-SUM(M22:M26))+SUM(M55:M59)+L63</f>
        <v>-176310.81852404115</v>
      </c>
      <c r="N63" s="111">
        <f t="shared" ref="N63" si="83">(SUM(N15:N19)-SUM(N22:N26))+SUM(N55:N59)+M63</f>
        <v>-155594.7114915718</v>
      </c>
      <c r="O63" s="111">
        <f t="shared" ref="O63" si="84">(SUM(O15:O19)-SUM(O22:O26))+SUM(O55:O59)+N63</f>
        <v>-63108.985288092823</v>
      </c>
      <c r="P63" s="111">
        <f t="shared" ref="P63" si="85">(SUM(P15:P19)-SUM(P22:P26))+SUM(P55:P59)+O63</f>
        <v>28430.902523311655</v>
      </c>
      <c r="Q63" s="111">
        <f t="shared" ref="Q63" si="86">(SUM(Q15:Q19)-SUM(Q22:Q26))+SUM(Q55:Q59)+P63</f>
        <v>25374.191216517291</v>
      </c>
      <c r="R63" s="111">
        <f t="shared" ref="R63" si="87">(SUM(R15:R19)-SUM(R22:R26))+SUM(R55:R59)+Q63</f>
        <v>22840.009665636855</v>
      </c>
      <c r="S63" s="111">
        <f t="shared" ref="S63" si="88">(SUM(S15:S19)-SUM(S22:S26))+SUM(S55:S59)+R63</f>
        <v>22046.061942702749</v>
      </c>
      <c r="T63" s="111">
        <f t="shared" ref="T63" si="89">(SUM(T15:T19)-SUM(T22:T26))+SUM(T55:T59)+S63</f>
        <v>22038.563471795096</v>
      </c>
      <c r="U63" s="111">
        <f t="shared" ref="U63" si="90">(SUM(U15:U19)-SUM(U22:U26))+SUM(U55:U59)+T63</f>
        <v>20572.525332420333</v>
      </c>
      <c r="V63" s="111">
        <f t="shared" ref="V63" si="91">(SUM(V15:V19)-SUM(V22:V26))+SUM(V55:V59)+U63</f>
        <v>17387.152024824834</v>
      </c>
      <c r="W63" s="111">
        <f t="shared" ref="W63" si="92">(SUM(W15:W19)-SUM(W22:W26))+SUM(W55:W59)+V63</f>
        <v>13793.364860878875</v>
      </c>
      <c r="X63" s="111">
        <f t="shared" ref="X63" si="93">(SUM(X15:X19)-SUM(X22:X26))+SUM(X55:X59)+W63</f>
        <v>10860.09070636899</v>
      </c>
      <c r="Y63" s="111">
        <f t="shared" ref="Y63" si="94">(SUM(Y15:Y19)-SUM(Y22:Y26))+SUM(Y55:Y59)+X63</f>
        <v>9293.7739210756372</v>
      </c>
      <c r="Z63" s="110">
        <f>(SUM(Z15:Z19)-SUM(Z22:Z26))+SUM(Z55:Z59)+Y63</f>
        <v>7615.2164870664401</v>
      </c>
      <c r="AA63" s="114">
        <f t="shared" si="80"/>
        <v>4379.7667104843204</v>
      </c>
      <c r="AB63" s="115">
        <f>(SUM(AB15:AB19)-SUM(AB22:AB26))+SUM(AB55:AB59)+AA63</f>
        <v>-337.18289181318869</v>
      </c>
    </row>
    <row r="64" spans="1:29" x14ac:dyDescent="0.25">
      <c r="A64" s="165" t="s">
        <v>74</v>
      </c>
      <c r="B64" s="100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8"/>
      <c r="AA64" s="99"/>
      <c r="AB64" s="102"/>
    </row>
    <row r="65" spans="1:28" ht="15.75" thickBot="1" x14ac:dyDescent="0.3">
      <c r="A65" s="104">
        <v>0</v>
      </c>
      <c r="B65" s="149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3"/>
      <c r="AA65" s="134"/>
      <c r="AB65" s="135"/>
    </row>
    <row r="67" spans="1:28" x14ac:dyDescent="0.25"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</sheetData>
  <mergeCells count="1">
    <mergeCell ref="Z13:AB13"/>
  </mergeCells>
  <pageMargins left="0.7" right="0.7" top="0.75" bottom="0.75" header="0.3" footer="0.3"/>
  <pageSetup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Y36"/>
  <sheetViews>
    <sheetView workbookViewId="0">
      <selection activeCell="L21" sqref="L21:L24"/>
    </sheetView>
  </sheetViews>
  <sheetFormatPr defaultRowHeight="15" x14ac:dyDescent="0.25"/>
  <cols>
    <col min="1" max="2" width="9.140625" style="165"/>
    <col min="3" max="3" width="16.5703125" style="165" customWidth="1"/>
    <col min="4" max="5" width="15.5703125" style="165" customWidth="1"/>
    <col min="6" max="6" width="8.28515625" style="165" customWidth="1"/>
    <col min="7" max="7" width="17.140625" style="165" customWidth="1"/>
    <col min="8" max="8" width="13.7109375" style="165" bestFit="1" customWidth="1"/>
    <col min="9" max="9" width="5.7109375" style="165" customWidth="1"/>
    <col min="10" max="10" width="14.85546875" style="165" customWidth="1"/>
    <col min="11" max="11" width="17.5703125" style="165" customWidth="1"/>
    <col min="12" max="12" width="14.5703125" style="165" bestFit="1" customWidth="1"/>
    <col min="13" max="13" width="13.7109375" style="165" bestFit="1" customWidth="1"/>
    <col min="14" max="14" width="11" style="165" bestFit="1" customWidth="1"/>
    <col min="15" max="15" width="2.5703125" style="165" customWidth="1"/>
    <col min="16" max="16" width="11" style="165" bestFit="1" customWidth="1"/>
    <col min="17" max="17" width="10.28515625" style="165" bestFit="1" customWidth="1"/>
    <col min="18" max="18" width="10.28515625" style="165" customWidth="1"/>
    <col min="19" max="20" width="11" style="165" bestFit="1" customWidth="1"/>
    <col min="21" max="16384" width="9.140625" style="165"/>
  </cols>
  <sheetData>
    <row r="2" spans="2:25" ht="15.75" thickBot="1" x14ac:dyDescent="0.3">
      <c r="J2" s="352" t="s">
        <v>28</v>
      </c>
      <c r="K2" s="352"/>
      <c r="L2" s="352"/>
      <c r="M2" s="352"/>
      <c r="P2" s="352" t="s">
        <v>147</v>
      </c>
      <c r="Q2" s="352"/>
      <c r="R2" s="352"/>
      <c r="S2" s="352"/>
      <c r="T2" s="352"/>
    </row>
    <row r="3" spans="2:25" ht="27.75" thickBot="1" x14ac:dyDescent="0.3">
      <c r="B3" s="9" t="s">
        <v>11</v>
      </c>
      <c r="C3" s="160" t="s">
        <v>33</v>
      </c>
      <c r="D3" s="160" t="s">
        <v>34</v>
      </c>
      <c r="E3" s="160" t="s">
        <v>43</v>
      </c>
      <c r="F3" s="160" t="s">
        <v>35</v>
      </c>
      <c r="G3" s="160" t="s">
        <v>13</v>
      </c>
      <c r="H3" s="11" t="s">
        <v>14</v>
      </c>
      <c r="J3" s="163" t="s">
        <v>29</v>
      </c>
      <c r="K3" s="163" t="s">
        <v>44</v>
      </c>
      <c r="L3" s="163" t="s">
        <v>146</v>
      </c>
      <c r="M3" s="163" t="s">
        <v>145</v>
      </c>
      <c r="N3" s="163"/>
      <c r="P3" s="165" t="s">
        <v>33</v>
      </c>
      <c r="Q3" s="165" t="s">
        <v>34</v>
      </c>
      <c r="R3" s="165" t="s">
        <v>43</v>
      </c>
      <c r="S3" s="165" t="s">
        <v>35</v>
      </c>
      <c r="T3" s="165" t="s">
        <v>9</v>
      </c>
    </row>
    <row r="4" spans="2:25" ht="15.75" thickBot="1" x14ac:dyDescent="0.3">
      <c r="B4" s="12" t="s">
        <v>15</v>
      </c>
      <c r="C4" s="292">
        <f>C16+C26</f>
        <v>30973279.445643686</v>
      </c>
      <c r="D4" s="267">
        <f>D16+D26</f>
        <v>4819756.3059071563</v>
      </c>
      <c r="E4" s="267">
        <f>E16+E26</f>
        <v>0</v>
      </c>
      <c r="F4" s="267">
        <f>F16+F26</f>
        <v>0</v>
      </c>
      <c r="G4" s="62">
        <f>PPC!B15</f>
        <v>12382695133.799269</v>
      </c>
      <c r="H4" s="218">
        <f>SUM(C4:F4)/G4</f>
        <v>2.8905690857115359E-3</v>
      </c>
      <c r="J4" s="70">
        <f>C4/G4</f>
        <v>2.5013358651704478E-3</v>
      </c>
      <c r="K4" s="71">
        <f>(D4)/G4</f>
        <v>3.8923322054108865E-4</v>
      </c>
      <c r="L4" s="71">
        <f>(E4)/H4</f>
        <v>0</v>
      </c>
      <c r="M4" s="71">
        <f>(F4)/G4</f>
        <v>0</v>
      </c>
      <c r="N4" s="237">
        <f>SUM(J4:M4)-H4</f>
        <v>0</v>
      </c>
      <c r="P4" s="164">
        <f>ROUND(C4/G4,6)</f>
        <v>2.5010000000000002E-3</v>
      </c>
      <c r="Q4" s="164">
        <f>ROUND(D4/G4,6)</f>
        <v>3.8900000000000002E-4</v>
      </c>
      <c r="R4" s="164">
        <f>+ROUND(E4/G4,6)</f>
        <v>0</v>
      </c>
      <c r="S4" s="164">
        <f>ROUND(F4/G4,6)</f>
        <v>0</v>
      </c>
      <c r="T4" s="164">
        <f>SUM(P4:S4)</f>
        <v>2.8900000000000002E-3</v>
      </c>
      <c r="W4" s="64"/>
      <c r="Y4" s="65"/>
    </row>
    <row r="5" spans="2:25" ht="15.75" thickBot="1" x14ac:dyDescent="0.3">
      <c r="B5" s="12" t="s">
        <v>16</v>
      </c>
      <c r="C5" s="292">
        <f t="shared" ref="C5:D9" si="0">C17+C27</f>
        <v>7173011.703862492</v>
      </c>
      <c r="D5" s="267">
        <f>D17+D27</f>
        <v>899703.72882725764</v>
      </c>
      <c r="E5" s="267">
        <f t="shared" ref="E5:F8" si="1">E17+E27</f>
        <v>0</v>
      </c>
      <c r="F5" s="267">
        <f t="shared" si="1"/>
        <v>0</v>
      </c>
      <c r="G5" s="16">
        <f>PPC!B6</f>
        <v>3224121769.9824286</v>
      </c>
      <c r="H5" s="218">
        <f t="shared" ref="H5:H8" si="2">SUM(C5:F5)/G5</f>
        <v>2.5038494227635037E-3</v>
      </c>
      <c r="J5" s="70">
        <f t="shared" ref="J5:J8" si="3">C5/G5</f>
        <v>2.2247955305675646E-3</v>
      </c>
      <c r="K5" s="71">
        <f t="shared" ref="K5:L8" si="4">(D5)/G5</f>
        <v>2.7905389219593928E-4</v>
      </c>
      <c r="L5" s="71">
        <f t="shared" si="4"/>
        <v>0</v>
      </c>
      <c r="M5" s="71">
        <f t="shared" ref="M5:M8" si="5">(F5)/G5</f>
        <v>0</v>
      </c>
      <c r="N5" s="237">
        <f t="shared" ref="N5:N8" si="6">SUM(J5:M5)-H5</f>
        <v>0</v>
      </c>
      <c r="P5" s="164">
        <f>ROUND(C5/G5,6)</f>
        <v>2.225E-3</v>
      </c>
      <c r="Q5" s="164">
        <f>ROUND(D5/G5,6)</f>
        <v>2.7900000000000001E-4</v>
      </c>
      <c r="R5" s="164">
        <f t="shared" ref="R5:R8" si="7">+ROUND(E5/G5,6)</f>
        <v>0</v>
      </c>
      <c r="S5" s="164">
        <f>ROUND(F5/G5,6)</f>
        <v>0</v>
      </c>
      <c r="T5" s="164">
        <f t="shared" ref="T5:T8" si="8">SUM(P5:S5)</f>
        <v>2.5040000000000001E-3</v>
      </c>
      <c r="W5" s="64"/>
    </row>
    <row r="6" spans="2:25" ht="15.75" thickBot="1" x14ac:dyDescent="0.3">
      <c r="B6" s="12" t="s">
        <v>17</v>
      </c>
      <c r="C6" s="292">
        <f t="shared" si="0"/>
        <v>16292210.454976626</v>
      </c>
      <c r="D6" s="267">
        <f t="shared" si="0"/>
        <v>1325795.6430021783</v>
      </c>
      <c r="E6" s="267">
        <f t="shared" si="1"/>
        <v>0</v>
      </c>
      <c r="F6" s="267">
        <f t="shared" si="1"/>
        <v>0</v>
      </c>
      <c r="G6" s="16">
        <f>PPC!B7</f>
        <v>7320471775.8032055</v>
      </c>
      <c r="H6" s="218">
        <f t="shared" si="2"/>
        <v>2.4066763232682155E-3</v>
      </c>
      <c r="J6" s="70">
        <f t="shared" si="3"/>
        <v>2.2255683723593125E-3</v>
      </c>
      <c r="K6" s="71">
        <f t="shared" si="4"/>
        <v>1.811079509089032E-4</v>
      </c>
      <c r="L6" s="71">
        <f t="shared" si="4"/>
        <v>0</v>
      </c>
      <c r="M6" s="71">
        <f t="shared" si="5"/>
        <v>0</v>
      </c>
      <c r="N6" s="237">
        <f t="shared" si="6"/>
        <v>0</v>
      </c>
      <c r="P6" s="164">
        <f>ROUND(C6/G6,6)</f>
        <v>2.2260000000000001E-3</v>
      </c>
      <c r="Q6" s="164">
        <f>ROUND(D6/G6,6)</f>
        <v>1.8100000000000001E-4</v>
      </c>
      <c r="R6" s="164">
        <f t="shared" si="7"/>
        <v>0</v>
      </c>
      <c r="S6" s="164">
        <f>ROUND(F6/G6,6)</f>
        <v>0</v>
      </c>
      <c r="T6" s="164">
        <f t="shared" si="8"/>
        <v>2.4070000000000003E-3</v>
      </c>
    </row>
    <row r="7" spans="2:25" ht="15.75" thickBot="1" x14ac:dyDescent="0.3">
      <c r="B7" s="12" t="s">
        <v>18</v>
      </c>
      <c r="C7" s="292">
        <f t="shared" si="0"/>
        <v>7060528.2688734652</v>
      </c>
      <c r="D7" s="267">
        <f t="shared" si="0"/>
        <v>546352.56514272431</v>
      </c>
      <c r="E7" s="267">
        <f t="shared" si="1"/>
        <v>0</v>
      </c>
      <c r="F7" s="267">
        <f t="shared" si="1"/>
        <v>0</v>
      </c>
      <c r="G7" s="16">
        <f>PPC!B8</f>
        <v>3139203317.2336435</v>
      </c>
      <c r="H7" s="218">
        <f t="shared" si="2"/>
        <v>2.4231883268776592E-3</v>
      </c>
      <c r="J7" s="70">
        <f t="shared" si="3"/>
        <v>2.2491465366746002E-3</v>
      </c>
      <c r="K7" s="71">
        <f t="shared" si="4"/>
        <v>1.7404179020305888E-4</v>
      </c>
      <c r="L7" s="71">
        <f t="shared" si="4"/>
        <v>0</v>
      </c>
      <c r="M7" s="71">
        <f t="shared" si="5"/>
        <v>0</v>
      </c>
      <c r="N7" s="237">
        <f t="shared" si="6"/>
        <v>0</v>
      </c>
      <c r="P7" s="164">
        <f>ROUND(C7/G7,6)</f>
        <v>2.2490000000000001E-3</v>
      </c>
      <c r="Q7" s="164">
        <f>ROUND(D7/G7,6)</f>
        <v>1.74E-4</v>
      </c>
      <c r="R7" s="164">
        <f t="shared" si="7"/>
        <v>0</v>
      </c>
      <c r="S7" s="164">
        <f>ROUND(F7/G7,6)</f>
        <v>0</v>
      </c>
      <c r="T7" s="164">
        <f t="shared" si="8"/>
        <v>2.4230000000000002E-3</v>
      </c>
    </row>
    <row r="8" spans="2:25" ht="15.75" thickBot="1" x14ac:dyDescent="0.3">
      <c r="B8" s="12" t="s">
        <v>19</v>
      </c>
      <c r="C8" s="292">
        <f t="shared" si="0"/>
        <v>3256483.7393146707</v>
      </c>
      <c r="D8" s="267">
        <f t="shared" si="0"/>
        <v>333884.24280134076</v>
      </c>
      <c r="E8" s="267">
        <f t="shared" si="1"/>
        <v>0</v>
      </c>
      <c r="F8" s="267">
        <f t="shared" si="1"/>
        <v>0</v>
      </c>
      <c r="G8" s="16">
        <f>PPC!B9</f>
        <v>1407077853.181653</v>
      </c>
      <c r="H8" s="218">
        <f t="shared" si="2"/>
        <v>2.5516484208727695E-3</v>
      </c>
      <c r="J8" s="70">
        <f t="shared" si="3"/>
        <v>2.3143593170421822E-3</v>
      </c>
      <c r="K8" s="238">
        <f t="shared" si="4"/>
        <v>2.3728910383058704E-4</v>
      </c>
      <c r="L8" s="71">
        <f t="shared" si="4"/>
        <v>0</v>
      </c>
      <c r="M8" s="71">
        <f t="shared" si="5"/>
        <v>0</v>
      </c>
      <c r="N8" s="237">
        <f t="shared" si="6"/>
        <v>0</v>
      </c>
      <c r="P8" s="164">
        <f>ROUND(C8/G8,6)</f>
        <v>2.3140000000000001E-3</v>
      </c>
      <c r="Q8" s="164">
        <f>ROUND(D8/G8,6)</f>
        <v>2.3699999999999999E-4</v>
      </c>
      <c r="R8" s="164">
        <f t="shared" si="7"/>
        <v>0</v>
      </c>
      <c r="S8" s="164">
        <f>ROUND(F8/G8,6)</f>
        <v>0</v>
      </c>
      <c r="T8" s="164">
        <f t="shared" si="8"/>
        <v>2.5509999999999999E-3</v>
      </c>
    </row>
    <row r="9" spans="2:25" ht="15.75" thickBot="1" x14ac:dyDescent="0.3">
      <c r="B9" s="12" t="s">
        <v>20</v>
      </c>
      <c r="C9" s="13">
        <f t="shared" si="0"/>
        <v>0</v>
      </c>
      <c r="D9" s="166">
        <f t="shared" si="0"/>
        <v>0</v>
      </c>
      <c r="E9" s="161">
        <v>0</v>
      </c>
      <c r="F9" s="268">
        <v>0</v>
      </c>
      <c r="G9" s="16">
        <v>0</v>
      </c>
      <c r="H9" s="74">
        <v>0</v>
      </c>
    </row>
    <row r="10" spans="2:25" x14ac:dyDescent="0.25">
      <c r="F10" s="49"/>
      <c r="K10" s="225"/>
      <c r="L10" s="225"/>
    </row>
    <row r="11" spans="2:25" x14ac:dyDescent="0.25">
      <c r="F11" s="49"/>
    </row>
    <row r="12" spans="2:25" x14ac:dyDescent="0.25">
      <c r="F12" s="49"/>
    </row>
    <row r="13" spans="2:25" x14ac:dyDescent="0.25">
      <c r="F13" s="49"/>
    </row>
    <row r="14" spans="2:25" ht="15.75" thickBot="1" x14ac:dyDescent="0.3">
      <c r="F14" s="49"/>
    </row>
    <row r="15" spans="2:25" ht="27.75" thickBot="1" x14ac:dyDescent="0.3">
      <c r="B15" s="9" t="s">
        <v>11</v>
      </c>
      <c r="C15" s="160" t="s">
        <v>21</v>
      </c>
      <c r="D15" s="160" t="s">
        <v>22</v>
      </c>
      <c r="E15" s="160" t="s">
        <v>42</v>
      </c>
      <c r="F15" s="269" t="s">
        <v>143</v>
      </c>
      <c r="G15" s="160" t="s">
        <v>12</v>
      </c>
      <c r="J15" s="163" t="s">
        <v>101</v>
      </c>
    </row>
    <row r="16" spans="2:25" ht="15.75" thickBot="1" x14ac:dyDescent="0.3">
      <c r="B16" s="12" t="s">
        <v>15</v>
      </c>
      <c r="C16" s="268">
        <f>PPC!D5</f>
        <v>34453834.210631579</v>
      </c>
      <c r="D16" s="268">
        <f>PTD!C5</f>
        <v>6017985.4763414776</v>
      </c>
      <c r="E16" s="268">
        <v>0</v>
      </c>
      <c r="F16" s="268">
        <v>0</v>
      </c>
      <c r="G16" s="13">
        <f>SUM(C16:F16)</f>
        <v>40471819.686973058</v>
      </c>
      <c r="I16" s="168" t="s">
        <v>15</v>
      </c>
      <c r="J16" s="23">
        <f>SUM(C4:F4)</f>
        <v>35793035.751550838</v>
      </c>
      <c r="K16" s="23"/>
    </row>
    <row r="17" spans="2:16" ht="15.75" thickBot="1" x14ac:dyDescent="0.3">
      <c r="B17" s="12" t="s">
        <v>16</v>
      </c>
      <c r="C17" s="268">
        <f>PPC!D6</f>
        <v>7293023.303629946</v>
      </c>
      <c r="D17" s="268">
        <f>PTD!C6</f>
        <v>1116992.8956234725</v>
      </c>
      <c r="E17" s="268">
        <v>0</v>
      </c>
      <c r="F17" s="268">
        <v>0</v>
      </c>
      <c r="G17" s="13">
        <f t="shared" ref="G17:G21" si="9">SUM(C17:F17)</f>
        <v>8410016.1992534176</v>
      </c>
      <c r="I17" s="168" t="s">
        <v>16</v>
      </c>
      <c r="J17" s="23">
        <f t="shared" ref="J17:J21" si="10">SUM(C5:F5)</f>
        <v>8072715.4326897496</v>
      </c>
      <c r="K17" s="23"/>
    </row>
    <row r="18" spans="2:16" ht="15.75" thickBot="1" x14ac:dyDescent="0.3">
      <c r="B18" s="12" t="s">
        <v>17</v>
      </c>
      <c r="C18" s="268">
        <f>PPC!D7</f>
        <v>16559043.070755059</v>
      </c>
      <c r="D18" s="268">
        <f>PTD!C7</f>
        <v>1821999.9705891765</v>
      </c>
      <c r="E18" s="268">
        <v>0</v>
      </c>
      <c r="F18" s="268">
        <v>0</v>
      </c>
      <c r="G18" s="13">
        <f t="shared" si="9"/>
        <v>18381043.041344237</v>
      </c>
      <c r="I18" s="168" t="s">
        <v>17</v>
      </c>
      <c r="J18" s="23">
        <f t="shared" si="10"/>
        <v>17618006.097978804</v>
      </c>
      <c r="K18" s="23"/>
    </row>
    <row r="19" spans="2:16" ht="15.75" thickBot="1" x14ac:dyDescent="0.3">
      <c r="B19" s="12" t="s">
        <v>18</v>
      </c>
      <c r="C19" s="268">
        <f>PPC!D8</f>
        <v>7100936.186892895</v>
      </c>
      <c r="D19" s="268">
        <f>PTD!C8</f>
        <v>796336.49225546781</v>
      </c>
      <c r="E19" s="268">
        <v>0</v>
      </c>
      <c r="F19" s="268">
        <v>0</v>
      </c>
      <c r="G19" s="13">
        <f t="shared" si="9"/>
        <v>7897272.6791483629</v>
      </c>
      <c r="I19" s="168" t="s">
        <v>18</v>
      </c>
      <c r="J19" s="23">
        <f t="shared" si="10"/>
        <v>7606880.8340161899</v>
      </c>
      <c r="K19" s="23"/>
      <c r="P19" s="49"/>
    </row>
    <row r="20" spans="2:16" ht="15.75" thickBot="1" x14ac:dyDescent="0.3">
      <c r="B20" s="12" t="s">
        <v>19</v>
      </c>
      <c r="C20" s="268">
        <f>PPC!D9</f>
        <v>3182836.2280905158</v>
      </c>
      <c r="D20" s="268">
        <f>PTD!C9</f>
        <v>377301.79195936822</v>
      </c>
      <c r="E20" s="268">
        <v>0</v>
      </c>
      <c r="F20" s="268">
        <v>0</v>
      </c>
      <c r="G20" s="13">
        <f t="shared" si="9"/>
        <v>3560138.020049884</v>
      </c>
      <c r="I20" s="168" t="s">
        <v>19</v>
      </c>
      <c r="J20" s="23">
        <f t="shared" si="10"/>
        <v>3590367.9821160114</v>
      </c>
      <c r="K20" s="23"/>
    </row>
    <row r="21" spans="2:16" ht="15.75" thickBot="1" x14ac:dyDescent="0.3">
      <c r="B21" s="12" t="s">
        <v>20</v>
      </c>
      <c r="C21" s="17">
        <v>0</v>
      </c>
      <c r="D21" s="161">
        <v>0</v>
      </c>
      <c r="E21" s="161">
        <v>0</v>
      </c>
      <c r="F21" s="268">
        <v>0</v>
      </c>
      <c r="G21" s="13">
        <f t="shared" si="9"/>
        <v>0</v>
      </c>
      <c r="I21" s="168" t="s">
        <v>20</v>
      </c>
      <c r="J21" s="23">
        <f t="shared" si="10"/>
        <v>0</v>
      </c>
      <c r="K21" s="23"/>
      <c r="L21" s="165" t="s">
        <v>176</v>
      </c>
    </row>
    <row r="22" spans="2:16" x14ac:dyDescent="0.25">
      <c r="F22" s="49"/>
      <c r="I22" s="168" t="s">
        <v>9</v>
      </c>
      <c r="J22" s="193">
        <f>SUM(J16:J21)</f>
        <v>72681006.098351598</v>
      </c>
      <c r="K22" s="23">
        <v>61036445.753407426</v>
      </c>
      <c r="L22" s="23">
        <f>+J22-K22</f>
        <v>11644560.344944172</v>
      </c>
    </row>
    <row r="23" spans="2:16" x14ac:dyDescent="0.25">
      <c r="F23" s="49"/>
      <c r="J23" s="23"/>
      <c r="L23" s="304">
        <v>11600000</v>
      </c>
    </row>
    <row r="24" spans="2:16" ht="15.75" thickBot="1" x14ac:dyDescent="0.3">
      <c r="F24" s="49"/>
      <c r="L24" s="304">
        <f>+L23-L22</f>
        <v>-44560.344944171607</v>
      </c>
    </row>
    <row r="25" spans="2:16" ht="27.75" thickBot="1" x14ac:dyDescent="0.3">
      <c r="B25" s="9" t="s">
        <v>11</v>
      </c>
      <c r="C25" s="160" t="s">
        <v>23</v>
      </c>
      <c r="D25" s="160" t="s">
        <v>24</v>
      </c>
      <c r="E25" s="160" t="s">
        <v>41</v>
      </c>
      <c r="F25" s="269" t="s">
        <v>144</v>
      </c>
      <c r="G25" s="160" t="s">
        <v>32</v>
      </c>
      <c r="J25" s="66" t="s">
        <v>131</v>
      </c>
      <c r="K25" s="66" t="s">
        <v>132</v>
      </c>
      <c r="L25" s="66" t="s">
        <v>9</v>
      </c>
    </row>
    <row r="26" spans="2:16" ht="15.75" thickBot="1" x14ac:dyDescent="0.3">
      <c r="B26" s="12" t="s">
        <v>15</v>
      </c>
      <c r="C26" s="267">
        <f>'PCR (M3)'!G4</f>
        <v>-3480554.7649878953</v>
      </c>
      <c r="D26" s="267">
        <f>'TDR (M3)'!F4</f>
        <v>-1198229.1704343213</v>
      </c>
      <c r="E26" s="268">
        <v>0</v>
      </c>
      <c r="F26" s="268">
        <v>0</v>
      </c>
      <c r="G26" s="18">
        <f>SUM(C26:F26)</f>
        <v>-4678783.9354222165</v>
      </c>
      <c r="I26" s="168" t="s">
        <v>15</v>
      </c>
      <c r="J26" s="226">
        <f>+G26+'tariff tables (M2)'!G26</f>
        <v>-4030946.2632434908</v>
      </c>
      <c r="K26" s="23">
        <f>+G16+'tariff tables (M2)'!G16</f>
        <v>52897036.427283153</v>
      </c>
      <c r="L26" s="226">
        <f>+K26+J26</f>
        <v>48866090.164039664</v>
      </c>
    </row>
    <row r="27" spans="2:16" ht="15.75" thickBot="1" x14ac:dyDescent="0.3">
      <c r="B27" s="12" t="s">
        <v>16</v>
      </c>
      <c r="C27" s="267">
        <f>'PCR (M3)'!G5</f>
        <v>-120011.59976745416</v>
      </c>
      <c r="D27" s="267">
        <f>'TDR (M3)'!F5</f>
        <v>-217289.16679621491</v>
      </c>
      <c r="E27" s="268">
        <v>0</v>
      </c>
      <c r="F27" s="268">
        <v>0</v>
      </c>
      <c r="G27" s="18">
        <f t="shared" ref="G27:G31" si="11">SUM(C27:F27)</f>
        <v>-337300.76656366908</v>
      </c>
      <c r="I27" s="168" t="s">
        <v>16</v>
      </c>
      <c r="J27" s="226">
        <f>+G27+'tariff tables (M2)'!G27</f>
        <v>-796447.71971115214</v>
      </c>
      <c r="K27" s="23">
        <f>+G17+'tariff tables (M2)'!G17</f>
        <v>12861923.341658078</v>
      </c>
      <c r="L27" s="226">
        <f t="shared" ref="L27:L31" si="12">+K27+J27</f>
        <v>12065475.621946925</v>
      </c>
    </row>
    <row r="28" spans="2:16" ht="15.75" thickBot="1" x14ac:dyDescent="0.3">
      <c r="B28" s="12" t="s">
        <v>17</v>
      </c>
      <c r="C28" s="267">
        <f>'PCR (M3)'!G6</f>
        <v>-266832.61577843333</v>
      </c>
      <c r="D28" s="267">
        <f>'TDR (M3)'!F6</f>
        <v>-496204.32758699817</v>
      </c>
      <c r="E28" s="268">
        <v>0</v>
      </c>
      <c r="F28" s="268">
        <v>0</v>
      </c>
      <c r="G28" s="18">
        <f t="shared" si="11"/>
        <v>-763036.94336543151</v>
      </c>
      <c r="I28" s="168" t="s">
        <v>17</v>
      </c>
      <c r="J28" s="226">
        <f>+G28+'tariff tables (M2)'!G28</f>
        <v>-88532.583831397817</v>
      </c>
      <c r="K28" s="23">
        <f>+G18+'tariff tables (M2)'!G18</f>
        <v>28188053.934139673</v>
      </c>
      <c r="L28" s="226">
        <f t="shared" si="12"/>
        <v>28099521.350308277</v>
      </c>
    </row>
    <row r="29" spans="2:16" ht="15.75" thickBot="1" x14ac:dyDescent="0.3">
      <c r="B29" s="12" t="s">
        <v>18</v>
      </c>
      <c r="C29" s="267">
        <f>'PCR (M3)'!G7</f>
        <v>-40407.918019429955</v>
      </c>
      <c r="D29" s="267">
        <f>'TDR (M3)'!F7</f>
        <v>-249983.92711274346</v>
      </c>
      <c r="E29" s="268">
        <v>0</v>
      </c>
      <c r="F29" s="268">
        <v>0</v>
      </c>
      <c r="G29" s="18">
        <f t="shared" si="11"/>
        <v>-290391.84513217339</v>
      </c>
      <c r="I29" s="168" t="s">
        <v>18</v>
      </c>
      <c r="J29" s="226">
        <f>+G29+'tariff tables (M2)'!G29</f>
        <v>30347.095313870348</v>
      </c>
      <c r="K29" s="23">
        <f>+G19+'tariff tables (M2)'!G19</f>
        <v>11960434.266592953</v>
      </c>
      <c r="L29" s="226">
        <f t="shared" si="12"/>
        <v>11990781.361906823</v>
      </c>
    </row>
    <row r="30" spans="2:16" ht="15.75" thickBot="1" x14ac:dyDescent="0.3">
      <c r="B30" s="12" t="s">
        <v>19</v>
      </c>
      <c r="C30" s="267">
        <f>'PCR (M3)'!G8</f>
        <v>73647.51122415479</v>
      </c>
      <c r="D30" s="267">
        <f>'TDR (M3)'!F8</f>
        <v>-43417.549158027461</v>
      </c>
      <c r="E30" s="268">
        <v>0</v>
      </c>
      <c r="F30" s="268">
        <v>0</v>
      </c>
      <c r="G30" s="18">
        <f t="shared" si="11"/>
        <v>30229.962066127329</v>
      </c>
      <c r="I30" s="168" t="s">
        <v>19</v>
      </c>
      <c r="J30" s="226">
        <f>+G30+'tariff tables (M2)'!G30</f>
        <v>198846.89827349578</v>
      </c>
      <c r="K30" s="23">
        <f>+G20+'tariff tables (M2)'!G20</f>
        <v>5211392.2573975595</v>
      </c>
      <c r="L30" s="226">
        <f t="shared" si="12"/>
        <v>5410239.1556710554</v>
      </c>
    </row>
    <row r="31" spans="2:16" ht="15.75" thickBot="1" x14ac:dyDescent="0.3">
      <c r="B31" s="12" t="s">
        <v>20</v>
      </c>
      <c r="C31" s="166">
        <v>0</v>
      </c>
      <c r="D31" s="166">
        <v>0</v>
      </c>
      <c r="E31" s="161">
        <v>0</v>
      </c>
      <c r="F31" s="161">
        <v>0</v>
      </c>
      <c r="G31" s="18">
        <f t="shared" si="11"/>
        <v>0</v>
      </c>
      <c r="I31" s="168" t="s">
        <v>20</v>
      </c>
      <c r="J31" s="226">
        <f>+G31+'tariff tables (M2)'!G31</f>
        <v>0</v>
      </c>
      <c r="K31" s="23">
        <f>+G21+'tariff tables (M2)'!G21</f>
        <v>0</v>
      </c>
      <c r="L31" s="226">
        <f t="shared" si="12"/>
        <v>0</v>
      </c>
    </row>
    <row r="32" spans="2:16" x14ac:dyDescent="0.25">
      <c r="I32" s="168" t="s">
        <v>9</v>
      </c>
      <c r="J32" s="226">
        <f>SUM(J26:J31)</f>
        <v>-4686732.5731986742</v>
      </c>
      <c r="K32" s="226">
        <f>SUM(K26:K31)</f>
        <v>111118840.22707142</v>
      </c>
      <c r="L32" s="226">
        <f>SUM(L26:L31)</f>
        <v>106432107.65387276</v>
      </c>
    </row>
    <row r="33" spans="5:12" x14ac:dyDescent="0.25">
      <c r="K33" s="226"/>
      <c r="L33" s="226"/>
    </row>
    <row r="34" spans="5:12" x14ac:dyDescent="0.25">
      <c r="E34" s="302"/>
      <c r="F34" s="49"/>
      <c r="G34" s="305"/>
      <c r="H34" s="302"/>
      <c r="I34" s="305"/>
      <c r="J34" s="305"/>
      <c r="K34" s="305"/>
      <c r="L34" s="305"/>
    </row>
    <row r="35" spans="5:12" x14ac:dyDescent="0.25">
      <c r="E35" s="302"/>
      <c r="F35" s="302"/>
      <c r="G35" s="302"/>
      <c r="H35" s="302"/>
      <c r="I35" s="49"/>
      <c r="J35" s="49"/>
      <c r="K35" s="305"/>
      <c r="L35" s="305"/>
    </row>
    <row r="36" spans="5:12" x14ac:dyDescent="0.25">
      <c r="E36" s="302"/>
      <c r="F36" s="49"/>
      <c r="G36" s="302"/>
      <c r="H36" s="302"/>
      <c r="I36" s="49"/>
      <c r="J36" s="49"/>
      <c r="K36" s="49"/>
      <c r="L36" s="49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Y42"/>
  <sheetViews>
    <sheetView topLeftCell="D1" workbookViewId="0">
      <selection activeCell="R4" sqref="R4"/>
    </sheetView>
  </sheetViews>
  <sheetFormatPr defaultRowHeight="15" x14ac:dyDescent="0.25"/>
  <cols>
    <col min="3" max="3" width="16.5703125" customWidth="1"/>
    <col min="4" max="4" width="15.5703125" customWidth="1"/>
    <col min="5" max="5" width="16.140625" customWidth="1"/>
    <col min="6" max="6" width="17.28515625" bestFit="1" customWidth="1"/>
    <col min="7" max="7" width="17.140625" customWidth="1"/>
    <col min="8" max="8" width="13.7109375" bestFit="1" customWidth="1"/>
    <col min="9" max="9" width="5.7109375" customWidth="1"/>
    <col min="10" max="10" width="14.85546875" customWidth="1"/>
    <col min="11" max="11" width="17.5703125" customWidth="1"/>
    <col min="12" max="12" width="14.28515625" style="165" customWidth="1"/>
    <col min="13" max="13" width="13.7109375" bestFit="1" customWidth="1"/>
    <col min="14" max="14" width="11" bestFit="1" customWidth="1"/>
    <col min="15" max="15" width="2.5703125" customWidth="1"/>
    <col min="16" max="16" width="11" bestFit="1" customWidth="1"/>
    <col min="17" max="17" width="10.28515625" bestFit="1" customWidth="1"/>
    <col min="18" max="18" width="10.28515625" style="165" customWidth="1"/>
    <col min="19" max="19" width="11" bestFit="1" customWidth="1"/>
    <col min="20" max="20" width="10.28515625" bestFit="1" customWidth="1"/>
  </cols>
  <sheetData>
    <row r="2" spans="2:25" ht="15.75" thickBot="1" x14ac:dyDescent="0.3">
      <c r="J2" s="352" t="s">
        <v>28</v>
      </c>
      <c r="K2" s="352"/>
      <c r="L2" s="352"/>
      <c r="M2" s="352"/>
      <c r="P2" s="352" t="s">
        <v>147</v>
      </c>
      <c r="Q2" s="352"/>
      <c r="R2" s="352"/>
      <c r="S2" s="352"/>
      <c r="T2" s="352"/>
    </row>
    <row r="3" spans="2:25" ht="27.75" thickBot="1" x14ac:dyDescent="0.3">
      <c r="B3" s="9" t="s">
        <v>11</v>
      </c>
      <c r="C3" s="10" t="s">
        <v>33</v>
      </c>
      <c r="D3" s="10" t="s">
        <v>34</v>
      </c>
      <c r="E3" s="10" t="s">
        <v>43</v>
      </c>
      <c r="F3" s="10" t="s">
        <v>35</v>
      </c>
      <c r="G3" s="10" t="s">
        <v>13</v>
      </c>
      <c r="H3" s="11" t="s">
        <v>14</v>
      </c>
      <c r="J3" s="46" t="s">
        <v>29</v>
      </c>
      <c r="K3" s="46" t="s">
        <v>44</v>
      </c>
      <c r="L3" s="163" t="s">
        <v>146</v>
      </c>
      <c r="M3" s="163" t="s">
        <v>145</v>
      </c>
      <c r="N3" s="163"/>
      <c r="P3" t="s">
        <v>33</v>
      </c>
      <c r="Q3" t="s">
        <v>34</v>
      </c>
      <c r="R3" s="165" t="s">
        <v>43</v>
      </c>
      <c r="S3" t="s">
        <v>35</v>
      </c>
      <c r="T3" t="s">
        <v>9</v>
      </c>
    </row>
    <row r="4" spans="2:25" ht="15.75" thickBot="1" x14ac:dyDescent="0.3">
      <c r="B4" s="12" t="s">
        <v>15</v>
      </c>
      <c r="C4" s="13">
        <f>C16+C26</f>
        <v>1555149.9380832943</v>
      </c>
      <c r="D4" s="14">
        <f>D16+D26</f>
        <v>1333237.685278859</v>
      </c>
      <c r="E4" s="166">
        <f>E16+E26</f>
        <v>10182970.607517103</v>
      </c>
      <c r="F4" s="166">
        <f>F16+F26</f>
        <v>1696.181609562258</v>
      </c>
      <c r="G4" s="62">
        <f>PPC!B15</f>
        <v>12382695133.799269</v>
      </c>
      <c r="H4" s="218">
        <f>SUM(C4:F4)/G4</f>
        <v>1.0557519402060683E-3</v>
      </c>
      <c r="J4" s="70">
        <f>C4/G4</f>
        <v>1.2559058599758501E-4</v>
      </c>
      <c r="K4" s="71">
        <f>(D4)/G4</f>
        <v>1.076694266371552E-4</v>
      </c>
      <c r="L4" s="71">
        <f>(E4)/G4</f>
        <v>8.2235494756889452E-4</v>
      </c>
      <c r="M4" s="71">
        <f>(F4)/G4</f>
        <v>1.3698000243359252E-7</v>
      </c>
      <c r="N4" s="237">
        <f>SUM(J4:M4)-H4</f>
        <v>0</v>
      </c>
      <c r="P4" s="67">
        <f>ROUND(C4/G4,6)</f>
        <v>1.26E-4</v>
      </c>
      <c r="Q4" s="67">
        <f>ROUND(D4/G4,6)</f>
        <v>1.08E-4</v>
      </c>
      <c r="R4" s="164">
        <f>+ROUND(E4/G4,6)</f>
        <v>8.2200000000000003E-4</v>
      </c>
      <c r="S4" s="164">
        <f>ROUND(F4/G4,6)</f>
        <v>0</v>
      </c>
      <c r="T4" s="67">
        <f>SUM(P4:S4)</f>
        <v>1.0560000000000001E-3</v>
      </c>
      <c r="W4" s="64"/>
      <c r="Y4" s="65"/>
    </row>
    <row r="5" spans="2:25" ht="15.75" thickBot="1" x14ac:dyDescent="0.3">
      <c r="B5" s="12" t="s">
        <v>16</v>
      </c>
      <c r="C5" s="13">
        <f t="shared" ref="C5:D9" si="0">C17+C27</f>
        <v>362247.94101396058</v>
      </c>
      <c r="D5" s="14">
        <f>D17+D27</f>
        <v>1034550.0648829306</v>
      </c>
      <c r="E5" s="166">
        <f>E17+E27</f>
        <v>2597144.9234860409</v>
      </c>
      <c r="F5" s="166">
        <f t="shared" ref="F5:F8" si="1">F17+F27</f>
        <v>-1182.7401257550787</v>
      </c>
      <c r="G5" s="16">
        <f>PPC!B6</f>
        <v>3224121769.9824286</v>
      </c>
      <c r="H5" s="218">
        <f t="shared" ref="H5:H8" si="2">SUM(C5:F5)/G5</f>
        <v>1.2384024159481229E-3</v>
      </c>
      <c r="J5" s="70">
        <f t="shared" ref="J5:J8" si="3">C5/G5</f>
        <v>1.1235553954152756E-4</v>
      </c>
      <c r="K5" s="71">
        <f t="shared" ref="K5:K8" si="4">(D5)/G5</f>
        <v>3.2087809911986322E-4</v>
      </c>
      <c r="L5" s="71">
        <f t="shared" ref="L5:L8" si="5">(E5)/G5</f>
        <v>8.0553561830891873E-4</v>
      </c>
      <c r="M5" s="71">
        <f t="shared" ref="M5:M8" si="6">(F5)/G5</f>
        <v>-3.6684102218680303E-7</v>
      </c>
      <c r="N5" s="237">
        <f t="shared" ref="N5:N8" si="7">SUM(J5:M5)-H5</f>
        <v>0</v>
      </c>
      <c r="P5" s="164">
        <f>ROUND(C5/G5,6)</f>
        <v>1.12E-4</v>
      </c>
      <c r="Q5" s="164">
        <f>ROUND(D5/G5,6)</f>
        <v>3.21E-4</v>
      </c>
      <c r="R5" s="164">
        <f t="shared" ref="R5:R8" si="8">+ROUND(E5/G5,6)</f>
        <v>8.0599999999999997E-4</v>
      </c>
      <c r="S5" s="164">
        <f>ROUND(F5/G5,6)</f>
        <v>0</v>
      </c>
      <c r="T5" s="164">
        <f t="shared" ref="T5:T8" si="9">SUM(P5:S5)</f>
        <v>1.2390000000000001E-3</v>
      </c>
      <c r="V5" s="54"/>
      <c r="W5" s="64"/>
    </row>
    <row r="6" spans="2:25" ht="15.75" thickBot="1" x14ac:dyDescent="0.3">
      <c r="B6" s="12" t="s">
        <v>17</v>
      </c>
      <c r="C6" s="13">
        <f t="shared" si="0"/>
        <v>311849.494077496</v>
      </c>
      <c r="D6" s="14">
        <f t="shared" si="0"/>
        <v>4068808.9870626517</v>
      </c>
      <c r="E6" s="166">
        <f t="shared" ref="E6" si="10">E18+E28</f>
        <v>6100782.5611411156</v>
      </c>
      <c r="F6" s="166">
        <f t="shared" si="1"/>
        <v>74.210048207841908</v>
      </c>
      <c r="G6" s="16">
        <f>PPC!B7</f>
        <v>7320471775.8032055</v>
      </c>
      <c r="H6" s="218">
        <f t="shared" si="2"/>
        <v>1.4318087103313002E-3</v>
      </c>
      <c r="J6" s="70">
        <f t="shared" si="3"/>
        <v>4.2599644343725338E-5</v>
      </c>
      <c r="K6" s="71">
        <f t="shared" si="4"/>
        <v>5.5581240003021797E-4</v>
      </c>
      <c r="L6" s="71">
        <f t="shared" si="5"/>
        <v>8.3338652862598259E-4</v>
      </c>
      <c r="M6" s="71">
        <f t="shared" si="6"/>
        <v>1.0137331374342953E-8</v>
      </c>
      <c r="N6" s="237">
        <f t="shared" si="7"/>
        <v>0</v>
      </c>
      <c r="P6" s="164">
        <f>ROUND(C6/G6,6)</f>
        <v>4.3000000000000002E-5</v>
      </c>
      <c r="Q6" s="164">
        <f>ROUND(D6/G6,6)</f>
        <v>5.5599999999999996E-4</v>
      </c>
      <c r="R6" s="164">
        <f t="shared" si="8"/>
        <v>8.3299999999999997E-4</v>
      </c>
      <c r="S6" s="164">
        <f>ROUND(F6/G6,6)</f>
        <v>0</v>
      </c>
      <c r="T6" s="164">
        <f t="shared" si="9"/>
        <v>1.4319999999999999E-3</v>
      </c>
    </row>
    <row r="7" spans="2:25" ht="15.75" thickBot="1" x14ac:dyDescent="0.3">
      <c r="B7" s="12" t="s">
        <v>18</v>
      </c>
      <c r="C7" s="13">
        <f t="shared" si="0"/>
        <v>-19688.149375069974</v>
      </c>
      <c r="D7" s="14">
        <f t="shared" si="0"/>
        <v>1697408.1341235649</v>
      </c>
      <c r="E7" s="166">
        <f t="shared" ref="E7" si="11">E19+E29</f>
        <v>2706537.7559123863</v>
      </c>
      <c r="F7" s="166">
        <f t="shared" si="1"/>
        <v>-357.21277024627295</v>
      </c>
      <c r="G7" s="16">
        <f>PPC!B8</f>
        <v>3139203317.2336435</v>
      </c>
      <c r="H7" s="218">
        <f t="shared" si="2"/>
        <v>1.3965009860380294E-3</v>
      </c>
      <c r="J7" s="70">
        <f t="shared" si="3"/>
        <v>-6.2717025262383259E-6</v>
      </c>
      <c r="K7" s="71">
        <f t="shared" si="4"/>
        <v>5.4071302894116778E-4</v>
      </c>
      <c r="L7" s="71">
        <f t="shared" si="5"/>
        <v>8.6217345052293887E-4</v>
      </c>
      <c r="M7" s="71">
        <f t="shared" si="6"/>
        <v>-1.1379089983921753E-7</v>
      </c>
      <c r="N7" s="237">
        <f t="shared" si="7"/>
        <v>0</v>
      </c>
      <c r="P7" s="164">
        <f>ROUND(C7/G7,6)</f>
        <v>-6.0000000000000002E-6</v>
      </c>
      <c r="Q7" s="164">
        <f>ROUND(D7/G7,6)</f>
        <v>5.4100000000000003E-4</v>
      </c>
      <c r="R7" s="164">
        <f t="shared" si="8"/>
        <v>8.6200000000000003E-4</v>
      </c>
      <c r="S7" s="164">
        <f>ROUND(F7/G7,6)</f>
        <v>0</v>
      </c>
      <c r="T7" s="164">
        <f t="shared" si="9"/>
        <v>1.397E-3</v>
      </c>
    </row>
    <row r="8" spans="2:25" ht="15.75" thickBot="1" x14ac:dyDescent="0.3">
      <c r="B8" s="12" t="s">
        <v>19</v>
      </c>
      <c r="C8" s="13">
        <f t="shared" si="0"/>
        <v>-255788.54961244552</v>
      </c>
      <c r="D8" s="14">
        <f t="shared" si="0"/>
        <v>676337.65645859006</v>
      </c>
      <c r="E8" s="166">
        <f t="shared" ref="E8" si="12">E20+E30</f>
        <v>1399889.6883624811</v>
      </c>
      <c r="F8" s="166">
        <f t="shared" si="1"/>
        <v>-567.62165358185871</v>
      </c>
      <c r="G8" s="16">
        <f>PPC!B9</f>
        <v>1407077853.181653</v>
      </c>
      <c r="H8" s="218">
        <f t="shared" si="2"/>
        <v>1.2933692115471732E-3</v>
      </c>
      <c r="J8" s="70">
        <f t="shared" si="3"/>
        <v>-1.8178706248134186E-4</v>
      </c>
      <c r="K8" s="238">
        <f t="shared" si="4"/>
        <v>4.8066825508572285E-4</v>
      </c>
      <c r="L8" s="71">
        <f t="shared" si="5"/>
        <v>9.9489142352506064E-4</v>
      </c>
      <c r="M8" s="71">
        <f t="shared" si="6"/>
        <v>-4.0340458226839782E-7</v>
      </c>
      <c r="N8" s="237">
        <f t="shared" si="7"/>
        <v>0</v>
      </c>
      <c r="P8" s="164">
        <f>ROUND(C8/G8,6)</f>
        <v>-1.8200000000000001E-4</v>
      </c>
      <c r="Q8" s="164">
        <f>ROUND(D8/G8,6)</f>
        <v>4.8099999999999998E-4</v>
      </c>
      <c r="R8" s="164">
        <f t="shared" si="8"/>
        <v>9.9500000000000001E-4</v>
      </c>
      <c r="S8" s="164">
        <f>ROUND(F8/G8,6)</f>
        <v>0</v>
      </c>
      <c r="T8" s="164">
        <f t="shared" si="9"/>
        <v>1.294E-3</v>
      </c>
    </row>
    <row r="9" spans="2:25" ht="15.75" thickBot="1" x14ac:dyDescent="0.3">
      <c r="B9" s="12" t="s">
        <v>20</v>
      </c>
      <c r="C9" s="13">
        <f t="shared" si="0"/>
        <v>0</v>
      </c>
      <c r="D9" s="14">
        <f t="shared" si="0"/>
        <v>0</v>
      </c>
      <c r="E9" s="15">
        <v>0</v>
      </c>
      <c r="F9" s="15">
        <v>0</v>
      </c>
      <c r="G9" s="16">
        <v>0</v>
      </c>
      <c r="H9" s="53">
        <v>0</v>
      </c>
      <c r="M9" s="165"/>
    </row>
    <row r="10" spans="2:25" x14ac:dyDescent="0.25">
      <c r="K10" s="225"/>
      <c r="L10" s="225"/>
    </row>
    <row r="14" spans="2:25" ht="15.75" thickBot="1" x14ac:dyDescent="0.3">
      <c r="I14" s="49"/>
      <c r="J14" s="57"/>
      <c r="K14" s="49"/>
      <c r="L14" s="49"/>
      <c r="M14" s="49"/>
    </row>
    <row r="15" spans="2:25" ht="27.75" thickBot="1" x14ac:dyDescent="0.3">
      <c r="B15" s="9" t="s">
        <v>11</v>
      </c>
      <c r="C15" s="10" t="s">
        <v>21</v>
      </c>
      <c r="D15" s="10" t="s">
        <v>22</v>
      </c>
      <c r="E15" s="10" t="s">
        <v>42</v>
      </c>
      <c r="F15" s="160" t="s">
        <v>143</v>
      </c>
      <c r="G15" s="10" t="s">
        <v>12</v>
      </c>
      <c r="I15" s="49"/>
      <c r="J15" s="300"/>
      <c r="K15" s="300"/>
      <c r="L15" s="301"/>
      <c r="M15" s="49"/>
    </row>
    <row r="16" spans="2:25" ht="15.75" thickBot="1" x14ac:dyDescent="0.3">
      <c r="B16" s="12" t="s">
        <v>15</v>
      </c>
      <c r="C16" s="268">
        <f>PPC!C5</f>
        <v>0</v>
      </c>
      <c r="D16" s="268">
        <f>PTD!B5</f>
        <v>2280260.8046227256</v>
      </c>
      <c r="E16" s="268">
        <f>EO!C11</f>
        <v>10144955.935687367</v>
      </c>
      <c r="F16" s="268">
        <v>0</v>
      </c>
      <c r="G16" s="13">
        <f>SUM(C16:F16)</f>
        <v>12425216.740310092</v>
      </c>
      <c r="I16" s="168" t="s">
        <v>15</v>
      </c>
      <c r="J16" s="23">
        <f>SUM(C4:F4)</f>
        <v>13073054.412488818</v>
      </c>
      <c r="K16" s="302"/>
      <c r="L16" s="302"/>
      <c r="M16" s="49"/>
    </row>
    <row r="17" spans="2:13" ht="15.75" thickBot="1" x14ac:dyDescent="0.3">
      <c r="B17" s="12" t="s">
        <v>16</v>
      </c>
      <c r="C17" s="268">
        <f>PPC!C6</f>
        <v>190378.58957291339</v>
      </c>
      <c r="D17" s="268">
        <f>PTD!B6</f>
        <v>1674532.5324816029</v>
      </c>
      <c r="E17" s="268">
        <f>EO!C12</f>
        <v>2586996.0203501438</v>
      </c>
      <c r="F17" s="268">
        <v>0</v>
      </c>
      <c r="G17" s="13">
        <f t="shared" ref="G17:G21" si="13">SUM(C17:F17)</f>
        <v>4451907.1424046606</v>
      </c>
      <c r="I17" s="168" t="s">
        <v>16</v>
      </c>
      <c r="J17" s="23">
        <f t="shared" ref="J17:J21" si="14">SUM(C5:F5)</f>
        <v>3992760.1892571775</v>
      </c>
      <c r="K17" s="302"/>
      <c r="L17" s="302"/>
      <c r="M17" s="49"/>
    </row>
    <row r="18" spans="2:13" ht="15.75" thickBot="1" x14ac:dyDescent="0.3">
      <c r="B18" s="12" t="s">
        <v>17</v>
      </c>
      <c r="C18" s="268">
        <f>PPC!C7</f>
        <v>432260.6871307253</v>
      </c>
      <c r="D18" s="268">
        <f>PTD!B7</f>
        <v>3353196.7422620417</v>
      </c>
      <c r="E18" s="268">
        <f>EO!C13</f>
        <v>6021553.4634026699</v>
      </c>
      <c r="F18" s="268">
        <v>0</v>
      </c>
      <c r="G18" s="13">
        <f t="shared" si="13"/>
        <v>9807010.8927954361</v>
      </c>
      <c r="I18" s="168" t="s">
        <v>17</v>
      </c>
      <c r="J18" s="23">
        <f t="shared" si="14"/>
        <v>10481515.252329471</v>
      </c>
      <c r="K18" s="302"/>
      <c r="L18" s="302"/>
      <c r="M18" s="49"/>
    </row>
    <row r="19" spans="2:13" ht="15.75" thickBot="1" x14ac:dyDescent="0.3">
      <c r="B19" s="12" t="s">
        <v>18</v>
      </c>
      <c r="C19" s="268">
        <f>PPC!C8</f>
        <v>185364.30772613443</v>
      </c>
      <c r="D19" s="268">
        <f>PTD!B8</f>
        <v>1218754.3343546377</v>
      </c>
      <c r="E19" s="268">
        <f>EO!C14</f>
        <v>2659042.9453638191</v>
      </c>
      <c r="F19" s="268">
        <v>0</v>
      </c>
      <c r="G19" s="13">
        <f t="shared" si="13"/>
        <v>4063161.5874445913</v>
      </c>
      <c r="I19" s="168" t="s">
        <v>18</v>
      </c>
      <c r="J19" s="23">
        <f t="shared" si="14"/>
        <v>4383900.5278906357</v>
      </c>
      <c r="K19" s="302"/>
      <c r="L19" s="302"/>
      <c r="M19" s="49"/>
    </row>
    <row r="20" spans="2:13" ht="15.75" thickBot="1" x14ac:dyDescent="0.3">
      <c r="B20" s="12" t="s">
        <v>19</v>
      </c>
      <c r="C20" s="268">
        <f>PPC!C9</f>
        <v>83085.415570227036</v>
      </c>
      <c r="D20" s="268">
        <f>PTD!B9</f>
        <v>240974.86627899206</v>
      </c>
      <c r="E20" s="268">
        <f>EO!C15</f>
        <v>1327193.9554984563</v>
      </c>
      <c r="F20" s="268">
        <v>0</v>
      </c>
      <c r="G20" s="13">
        <f t="shared" si="13"/>
        <v>1651254.2373476755</v>
      </c>
      <c r="I20" s="168" t="s">
        <v>19</v>
      </c>
      <c r="J20" s="23">
        <f t="shared" si="14"/>
        <v>1819871.1735550435</v>
      </c>
      <c r="K20" s="302"/>
      <c r="L20" s="302"/>
      <c r="M20" s="49"/>
    </row>
    <row r="21" spans="2:13" ht="15.75" thickBot="1" x14ac:dyDescent="0.3">
      <c r="B21" s="12" t="s">
        <v>20</v>
      </c>
      <c r="C21" s="293">
        <v>0</v>
      </c>
      <c r="D21" s="268">
        <v>0</v>
      </c>
      <c r="E21" s="268">
        <v>0</v>
      </c>
      <c r="F21" s="268">
        <v>0</v>
      </c>
      <c r="G21" s="13">
        <f t="shared" si="13"/>
        <v>0</v>
      </c>
      <c r="I21" s="168" t="s">
        <v>20</v>
      </c>
      <c r="J21" s="23">
        <f t="shared" si="14"/>
        <v>0</v>
      </c>
      <c r="K21" s="302"/>
      <c r="L21" s="302" t="s">
        <v>177</v>
      </c>
      <c r="M21" s="49"/>
    </row>
    <row r="22" spans="2:13" x14ac:dyDescent="0.25">
      <c r="C22" s="49"/>
      <c r="D22" s="49"/>
      <c r="E22" s="49"/>
      <c r="F22" s="49"/>
      <c r="I22" s="168" t="s">
        <v>9</v>
      </c>
      <c r="J22" s="193">
        <f>SUM(J16:J21)</f>
        <v>33751101.555521153</v>
      </c>
      <c r="K22" s="303">
        <v>45767579.620014369</v>
      </c>
      <c r="L22" s="302">
        <f>+J22-K22</f>
        <v>-12016478.064493217</v>
      </c>
      <c r="M22" s="49"/>
    </row>
    <row r="23" spans="2:13" x14ac:dyDescent="0.25">
      <c r="C23" s="49"/>
      <c r="D23" s="49"/>
      <c r="E23" s="49"/>
      <c r="F23" s="49"/>
      <c r="K23" s="49"/>
      <c r="L23" s="304">
        <v>11600000</v>
      </c>
      <c r="M23" s="49"/>
    </row>
    <row r="24" spans="2:13" ht="15.75" thickBot="1" x14ac:dyDescent="0.3">
      <c r="C24" s="49"/>
      <c r="D24" s="49"/>
      <c r="E24" s="49"/>
      <c r="F24" s="49"/>
      <c r="I24" s="49"/>
      <c r="J24" s="303"/>
      <c r="K24" s="49"/>
      <c r="L24" s="304">
        <f>+L23+L22</f>
        <v>-416478.06449321657</v>
      </c>
      <c r="M24" s="49"/>
    </row>
    <row r="25" spans="2:13" ht="27.75" thickBot="1" x14ac:dyDescent="0.3">
      <c r="B25" s="9" t="s">
        <v>11</v>
      </c>
      <c r="C25" s="269" t="s">
        <v>23</v>
      </c>
      <c r="D25" s="269" t="s">
        <v>24</v>
      </c>
      <c r="E25" s="269" t="s">
        <v>41</v>
      </c>
      <c r="F25" s="269" t="s">
        <v>144</v>
      </c>
      <c r="G25" s="10" t="s">
        <v>32</v>
      </c>
      <c r="I25" s="49"/>
      <c r="J25" s="321"/>
      <c r="K25" s="300"/>
      <c r="L25" s="301"/>
      <c r="M25" s="49"/>
    </row>
    <row r="26" spans="2:13" ht="15.75" thickBot="1" x14ac:dyDescent="0.3">
      <c r="B26" s="12" t="s">
        <v>15</v>
      </c>
      <c r="C26" s="267">
        <f>'PCR (M2)'!H4</f>
        <v>1555149.9380832943</v>
      </c>
      <c r="D26" s="267">
        <f>'TDR (M2)'!G4</f>
        <v>-947023.11934386659</v>
      </c>
      <c r="E26" s="268">
        <f>+'EOR (M2)'!G4</f>
        <v>38014.671829735984</v>
      </c>
      <c r="F26" s="268">
        <f>+OAR!F4</f>
        <v>1696.181609562258</v>
      </c>
      <c r="G26" s="18">
        <f>SUM(C26:F26)</f>
        <v>647837.67217872594</v>
      </c>
      <c r="I26" s="59"/>
      <c r="J26" s="302"/>
      <c r="K26" s="302"/>
      <c r="L26" s="302"/>
      <c r="M26" s="49"/>
    </row>
    <row r="27" spans="2:13" ht="15.75" thickBot="1" x14ac:dyDescent="0.3">
      <c r="B27" s="12" t="s">
        <v>16</v>
      </c>
      <c r="C27" s="267">
        <f>'PCR (M2)'!H5</f>
        <v>171869.35144104718</v>
      </c>
      <c r="D27" s="267">
        <f>'TDR (M2)'!G5</f>
        <v>-639982.46759867226</v>
      </c>
      <c r="E27" s="268">
        <f>+'EOR (M2)'!G5</f>
        <v>10148.903135897093</v>
      </c>
      <c r="F27" s="268">
        <f>+OAR!F5</f>
        <v>-1182.7401257550787</v>
      </c>
      <c r="G27" s="18">
        <f t="shared" ref="G27:G31" si="15">SUM(C27:F27)</f>
        <v>-459146.95314748312</v>
      </c>
      <c r="I27" s="59"/>
      <c r="J27" s="302"/>
      <c r="K27" s="302"/>
      <c r="L27" s="302"/>
      <c r="M27" s="49"/>
    </row>
    <row r="28" spans="2:13" ht="15.75" thickBot="1" x14ac:dyDescent="0.3">
      <c r="B28" s="12" t="s">
        <v>17</v>
      </c>
      <c r="C28" s="267">
        <f>'PCR (M2)'!H6</f>
        <v>-120411.19305322932</v>
      </c>
      <c r="D28" s="267">
        <f>'TDR (M2)'!G6</f>
        <v>715612.24480060977</v>
      </c>
      <c r="E28" s="268">
        <f>+'EOR (M2)'!G6</f>
        <v>79229.097738445402</v>
      </c>
      <c r="F28" s="268">
        <f>+OAR!F6</f>
        <v>74.210048207841908</v>
      </c>
      <c r="G28" s="18">
        <f t="shared" si="15"/>
        <v>674504.35953403369</v>
      </c>
      <c r="I28" s="59"/>
      <c r="J28" s="302"/>
      <c r="K28" s="302"/>
      <c r="L28" s="302"/>
      <c r="M28" s="49"/>
    </row>
    <row r="29" spans="2:13" ht="15.75" thickBot="1" x14ac:dyDescent="0.3">
      <c r="B29" s="12" t="s">
        <v>18</v>
      </c>
      <c r="C29" s="267">
        <f>'PCR (M2)'!H7</f>
        <v>-205052.4571012044</v>
      </c>
      <c r="D29" s="267">
        <f>'TDR (M2)'!G7</f>
        <v>478653.79976892733</v>
      </c>
      <c r="E29" s="268">
        <f>+'EOR (M2)'!G7</f>
        <v>47494.810548567017</v>
      </c>
      <c r="F29" s="268">
        <f>+OAR!F7</f>
        <v>-357.21277024627295</v>
      </c>
      <c r="G29" s="18">
        <f t="shared" si="15"/>
        <v>320738.94044604374</v>
      </c>
      <c r="I29" s="59"/>
      <c r="J29" s="302"/>
      <c r="K29" s="302"/>
      <c r="L29" s="302"/>
      <c r="M29" s="49"/>
    </row>
    <row r="30" spans="2:13" ht="15.75" thickBot="1" x14ac:dyDescent="0.3">
      <c r="B30" s="12" t="s">
        <v>19</v>
      </c>
      <c r="C30" s="267">
        <f>'PCR (M2)'!H8</f>
        <v>-338873.96518267255</v>
      </c>
      <c r="D30" s="267">
        <f>'TDR (M2)'!G8</f>
        <v>435362.79017959803</v>
      </c>
      <c r="E30" s="268">
        <f>+'EOR (M2)'!G8</f>
        <v>72695.732864024816</v>
      </c>
      <c r="F30" s="268">
        <f>+OAR!F8</f>
        <v>-567.62165358185871</v>
      </c>
      <c r="G30" s="18">
        <f t="shared" si="15"/>
        <v>168616.93620736845</v>
      </c>
      <c r="I30" s="59"/>
      <c r="J30" s="302"/>
      <c r="K30" s="302"/>
      <c r="L30" s="302"/>
      <c r="M30" s="49"/>
    </row>
    <row r="31" spans="2:13" ht="15.75" thickBot="1" x14ac:dyDescent="0.3">
      <c r="B31" s="12" t="s">
        <v>20</v>
      </c>
      <c r="C31" s="14">
        <v>0</v>
      </c>
      <c r="D31" s="14">
        <v>0</v>
      </c>
      <c r="E31" s="15">
        <v>0</v>
      </c>
      <c r="F31" s="161">
        <v>0</v>
      </c>
      <c r="G31" s="18">
        <f t="shared" si="15"/>
        <v>0</v>
      </c>
      <c r="I31" s="59"/>
      <c r="J31" s="302"/>
      <c r="K31" s="302"/>
      <c r="L31" s="302"/>
      <c r="M31" s="49"/>
    </row>
    <row r="32" spans="2:13" x14ac:dyDescent="0.25">
      <c r="I32" s="59"/>
      <c r="J32" s="303"/>
      <c r="K32" s="303"/>
      <c r="L32" s="302"/>
      <c r="M32" s="49"/>
    </row>
    <row r="33" spans="6:13" x14ac:dyDescent="0.25">
      <c r="F33" s="226"/>
      <c r="G33" s="23"/>
      <c r="H33" s="226"/>
      <c r="I33" s="49"/>
      <c r="J33" s="304"/>
      <c r="K33" s="305"/>
      <c r="L33" s="305"/>
      <c r="M33" s="49"/>
    </row>
    <row r="34" spans="6:13" x14ac:dyDescent="0.25">
      <c r="F34" s="226"/>
      <c r="G34" s="23"/>
      <c r="H34" s="226"/>
      <c r="I34" s="49"/>
      <c r="J34" s="306"/>
      <c r="K34" s="305"/>
      <c r="L34" s="305"/>
      <c r="M34" s="49"/>
    </row>
    <row r="35" spans="6:13" x14ac:dyDescent="0.25">
      <c r="F35" s="226"/>
      <c r="G35" s="23"/>
      <c r="H35" s="226"/>
      <c r="I35" s="49"/>
      <c r="J35" s="163"/>
      <c r="K35" s="300"/>
      <c r="L35" s="305"/>
      <c r="M35" s="49"/>
    </row>
    <row r="36" spans="6:13" x14ac:dyDescent="0.25">
      <c r="F36" s="226"/>
      <c r="G36" s="23"/>
      <c r="H36" s="226"/>
      <c r="I36" s="59"/>
      <c r="J36" s="302"/>
      <c r="K36" s="302"/>
      <c r="L36" s="302"/>
      <c r="M36" s="49"/>
    </row>
    <row r="37" spans="6:13" x14ac:dyDescent="0.25">
      <c r="F37" s="226"/>
      <c r="G37" s="23"/>
      <c r="H37" s="226"/>
      <c r="I37" s="59"/>
      <c r="J37" s="302"/>
      <c r="K37" s="302"/>
      <c r="L37" s="302"/>
      <c r="M37" s="49"/>
    </row>
    <row r="38" spans="6:13" x14ac:dyDescent="0.25">
      <c r="F38" s="226"/>
      <c r="G38" s="23"/>
      <c r="H38" s="226"/>
      <c r="I38" s="59"/>
      <c r="J38" s="302"/>
      <c r="K38" s="302"/>
      <c r="L38" s="302"/>
      <c r="M38" s="49"/>
    </row>
    <row r="39" spans="6:13" x14ac:dyDescent="0.25">
      <c r="I39" s="59"/>
      <c r="J39" s="302"/>
      <c r="K39" s="302"/>
      <c r="L39" s="302"/>
      <c r="M39" s="49"/>
    </row>
    <row r="40" spans="6:13" x14ac:dyDescent="0.25">
      <c r="I40" s="59"/>
      <c r="J40" s="302"/>
      <c r="K40" s="302"/>
      <c r="L40" s="302"/>
      <c r="M40" s="49"/>
    </row>
    <row r="41" spans="6:13" x14ac:dyDescent="0.25">
      <c r="I41" s="59"/>
      <c r="J41" s="302"/>
      <c r="K41" s="302"/>
      <c r="L41" s="302"/>
      <c r="M41" s="49"/>
    </row>
    <row r="42" spans="6:13" x14ac:dyDescent="0.25">
      <c r="I42" s="59"/>
      <c r="J42" s="303"/>
      <c r="K42" s="303"/>
      <c r="L42" s="302"/>
      <c r="M42" s="49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C1:P31"/>
  <sheetViews>
    <sheetView tabSelected="1" zoomScaleNormal="100" workbookViewId="0">
      <selection activeCell="P29" sqref="P29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9" max="9" width="10.28515625" bestFit="1" customWidth="1"/>
    <col min="10" max="10" width="33.85546875" style="327" bestFit="1" customWidth="1"/>
    <col min="11" max="12" width="13.5703125" style="327" bestFit="1" customWidth="1"/>
    <col min="13" max="14" width="12.42578125" style="327" bestFit="1" customWidth="1"/>
    <col min="15" max="15" width="12" style="327" bestFit="1" customWidth="1"/>
    <col min="16" max="16" width="11" bestFit="1" customWidth="1"/>
  </cols>
  <sheetData>
    <row r="1" spans="3:16" x14ac:dyDescent="0.25">
      <c r="J1" s="337" t="s">
        <v>178</v>
      </c>
    </row>
    <row r="2" spans="3:16" ht="15.75" thickBot="1" x14ac:dyDescent="0.3">
      <c r="C2" s="79" t="s">
        <v>56</v>
      </c>
      <c r="J2" s="326" t="s">
        <v>56</v>
      </c>
    </row>
    <row r="3" spans="3:16" x14ac:dyDescent="0.25">
      <c r="C3" s="353" t="s">
        <v>11</v>
      </c>
      <c r="D3" s="76" t="s">
        <v>46</v>
      </c>
      <c r="E3" s="76" t="s">
        <v>48</v>
      </c>
      <c r="F3" s="76" t="s">
        <v>63</v>
      </c>
      <c r="G3" s="76" t="s">
        <v>49</v>
      </c>
      <c r="J3" s="356" t="s">
        <v>11</v>
      </c>
      <c r="K3" s="328" t="s">
        <v>46</v>
      </c>
      <c r="L3" s="328" t="s">
        <v>48</v>
      </c>
      <c r="M3" s="328" t="s">
        <v>63</v>
      </c>
      <c r="N3" s="328" t="s">
        <v>49</v>
      </c>
    </row>
    <row r="4" spans="3:16" ht="15.75" thickBot="1" x14ac:dyDescent="0.3">
      <c r="C4" s="354"/>
      <c r="D4" s="77" t="s">
        <v>47</v>
      </c>
      <c r="E4" s="77" t="s">
        <v>47</v>
      </c>
      <c r="F4" s="77" t="s">
        <v>47</v>
      </c>
      <c r="G4" s="77" t="s">
        <v>47</v>
      </c>
      <c r="J4" s="357"/>
      <c r="K4" s="329" t="s">
        <v>47</v>
      </c>
      <c r="L4" s="329" t="s">
        <v>47</v>
      </c>
      <c r="M4" s="329" t="s">
        <v>47</v>
      </c>
      <c r="N4" s="329" t="s">
        <v>47</v>
      </c>
    </row>
    <row r="5" spans="3:16" ht="15.75" thickBot="1" x14ac:dyDescent="0.3">
      <c r="C5" s="78" t="s">
        <v>50</v>
      </c>
      <c r="D5" s="156">
        <f>'tariff tables (M2)'!P4</f>
        <v>1.26E-4</v>
      </c>
      <c r="E5" s="156">
        <f>'tariff tables (M2)'!Q4</f>
        <v>1.08E-4</v>
      </c>
      <c r="F5" s="156">
        <f>'tariff tables (M2)'!R4</f>
        <v>8.2200000000000003E-4</v>
      </c>
      <c r="G5" s="80">
        <f>'tariff tables (M2)'!S4</f>
        <v>0</v>
      </c>
      <c r="H5" s="299">
        <f>SUM(D5:G5)</f>
        <v>1.0560000000000001E-3</v>
      </c>
      <c r="I5" s="164"/>
      <c r="J5" s="330" t="s">
        <v>50</v>
      </c>
      <c r="K5" s="331">
        <v>1.26E-4</v>
      </c>
      <c r="L5" s="331">
        <v>1.12E-4</v>
      </c>
      <c r="M5" s="331">
        <v>8.2899999999999998E-4</v>
      </c>
      <c r="N5" s="331">
        <v>0</v>
      </c>
      <c r="O5" s="332">
        <v>1.067E-3</v>
      </c>
      <c r="P5" s="164">
        <f>+H5-O5</f>
        <v>-1.0999999999999942E-5</v>
      </c>
    </row>
    <row r="6" spans="3:16" ht="15.75" thickBot="1" x14ac:dyDescent="0.3">
      <c r="C6" s="78" t="s">
        <v>51</v>
      </c>
      <c r="D6" s="156">
        <f>'tariff tables (M2)'!P5</f>
        <v>1.12E-4</v>
      </c>
      <c r="E6" s="156">
        <f>'tariff tables (M2)'!Q5</f>
        <v>3.21E-4</v>
      </c>
      <c r="F6" s="156">
        <f>'tariff tables (M2)'!R5</f>
        <v>8.0599999999999997E-4</v>
      </c>
      <c r="G6" s="80">
        <f>'tariff tables (M2)'!S5</f>
        <v>0</v>
      </c>
      <c r="H6" s="299">
        <f t="shared" ref="H6:H10" si="0">SUM(D6:G6)</f>
        <v>1.2390000000000001E-3</v>
      </c>
      <c r="I6" s="164"/>
      <c r="J6" s="330" t="s">
        <v>51</v>
      </c>
      <c r="K6" s="331">
        <v>1.12E-4</v>
      </c>
      <c r="L6" s="331">
        <v>3.77E-4</v>
      </c>
      <c r="M6" s="331">
        <v>8.12E-4</v>
      </c>
      <c r="N6" s="331">
        <v>0</v>
      </c>
      <c r="O6" s="332">
        <v>1.3010000000000001E-3</v>
      </c>
      <c r="P6" s="164">
        <f t="shared" ref="P6:P10" si="1">+H6-O6</f>
        <v>-6.1999999999999989E-5</v>
      </c>
    </row>
    <row r="7" spans="3:16" ht="15.75" thickBot="1" x14ac:dyDescent="0.3">
      <c r="C7" s="78" t="s">
        <v>52</v>
      </c>
      <c r="D7" s="156">
        <f>'tariff tables (M2)'!P6</f>
        <v>4.3000000000000002E-5</v>
      </c>
      <c r="E7" s="156">
        <f>'tariff tables (M2)'!Q6</f>
        <v>5.5599999999999996E-4</v>
      </c>
      <c r="F7" s="156">
        <f>'tariff tables (M2)'!R6</f>
        <v>8.3299999999999997E-4</v>
      </c>
      <c r="G7" s="80">
        <f>'tariff tables (M2)'!S6</f>
        <v>0</v>
      </c>
      <c r="H7" s="299">
        <f t="shared" si="0"/>
        <v>1.4319999999999999E-3</v>
      </c>
      <c r="I7" s="164"/>
      <c r="J7" s="330" t="s">
        <v>52</v>
      </c>
      <c r="K7" s="331">
        <v>4.3000000000000002E-5</v>
      </c>
      <c r="L7" s="331">
        <v>5.5199999999999997E-4</v>
      </c>
      <c r="M7" s="331">
        <v>8.4000000000000003E-4</v>
      </c>
      <c r="N7" s="331">
        <v>0</v>
      </c>
      <c r="O7" s="332">
        <v>1.4350000000000001E-3</v>
      </c>
      <c r="P7" s="164">
        <f t="shared" si="1"/>
        <v>-3.0000000000001813E-6</v>
      </c>
    </row>
    <row r="8" spans="3:16" ht="15.75" thickBot="1" x14ac:dyDescent="0.3">
      <c r="C8" s="78" t="s">
        <v>53</v>
      </c>
      <c r="D8" s="156">
        <f>'tariff tables (M2)'!P7</f>
        <v>-6.0000000000000002E-6</v>
      </c>
      <c r="E8" s="156">
        <f>'tariff tables (M2)'!Q7</f>
        <v>5.4100000000000003E-4</v>
      </c>
      <c r="F8" s="156">
        <f>'tariff tables (M2)'!R7</f>
        <v>8.6200000000000003E-4</v>
      </c>
      <c r="G8" s="80">
        <f>'tariff tables (M2)'!S7</f>
        <v>0</v>
      </c>
      <c r="H8" s="299">
        <f t="shared" si="0"/>
        <v>1.397E-3</v>
      </c>
      <c r="I8" s="164"/>
      <c r="J8" s="330" t="s">
        <v>53</v>
      </c>
      <c r="K8" s="331">
        <v>-6.0000000000000002E-6</v>
      </c>
      <c r="L8" s="331">
        <v>5.5800000000000001E-4</v>
      </c>
      <c r="M8" s="331">
        <v>8.6899999999999998E-4</v>
      </c>
      <c r="N8" s="331">
        <v>0</v>
      </c>
      <c r="O8" s="332">
        <v>1.421E-3</v>
      </c>
      <c r="P8" s="164">
        <f t="shared" si="1"/>
        <v>-2.3999999999999933E-5</v>
      </c>
    </row>
    <row r="9" spans="3:16" ht="15.75" thickBot="1" x14ac:dyDescent="0.3">
      <c r="C9" s="78" t="s">
        <v>54</v>
      </c>
      <c r="D9" s="156">
        <f>'tariff tables (M2)'!P8</f>
        <v>-1.8200000000000001E-4</v>
      </c>
      <c r="E9" s="156">
        <f>'tariff tables (M2)'!Q8</f>
        <v>4.8099999999999998E-4</v>
      </c>
      <c r="F9" s="156">
        <f>'tariff tables (M2)'!R8</f>
        <v>9.9500000000000001E-4</v>
      </c>
      <c r="G9" s="80">
        <f>'tariff tables (M2)'!S8</f>
        <v>0</v>
      </c>
      <c r="H9" s="299">
        <f t="shared" si="0"/>
        <v>1.294E-3</v>
      </c>
      <c r="I9" s="164"/>
      <c r="J9" s="330" t="s">
        <v>54</v>
      </c>
      <c r="K9" s="331">
        <v>-1.8200000000000001E-4</v>
      </c>
      <c r="L9" s="331">
        <v>4.86E-4</v>
      </c>
      <c r="M9" s="331">
        <v>1.003E-3</v>
      </c>
      <c r="N9" s="331">
        <v>0</v>
      </c>
      <c r="O9" s="332">
        <v>1.307E-3</v>
      </c>
      <c r="P9" s="164">
        <f t="shared" si="1"/>
        <v>-1.2999999999999991E-5</v>
      </c>
    </row>
    <row r="10" spans="3:16" ht="15.75" thickBot="1" x14ac:dyDescent="0.3">
      <c r="C10" s="78" t="s">
        <v>55</v>
      </c>
      <c r="D10" s="80">
        <v>0</v>
      </c>
      <c r="E10" s="80">
        <v>0</v>
      </c>
      <c r="F10" s="80">
        <v>0</v>
      </c>
      <c r="G10" s="80">
        <f>'tariff tables (M2)'!Q9</f>
        <v>0</v>
      </c>
      <c r="H10" s="299">
        <f t="shared" si="0"/>
        <v>0</v>
      </c>
      <c r="J10" s="330" t="s">
        <v>55</v>
      </c>
      <c r="K10" s="331">
        <v>0</v>
      </c>
      <c r="L10" s="331">
        <v>0</v>
      </c>
      <c r="M10" s="331">
        <v>0</v>
      </c>
      <c r="N10" s="331">
        <v>0</v>
      </c>
      <c r="O10" s="332">
        <v>0</v>
      </c>
      <c r="P10" s="164">
        <f t="shared" si="1"/>
        <v>0</v>
      </c>
    </row>
    <row r="11" spans="3:16" x14ac:dyDescent="0.25">
      <c r="D11" s="67"/>
      <c r="E11" s="67"/>
      <c r="F11" s="67"/>
      <c r="G11" s="67"/>
      <c r="H11" s="299"/>
      <c r="K11" s="332"/>
      <c r="L11" s="332"/>
      <c r="M11" s="332"/>
      <c r="N11" s="332"/>
      <c r="O11" s="332"/>
      <c r="P11" s="164"/>
    </row>
    <row r="12" spans="3:16" s="165" customFormat="1" ht="15.75" thickBot="1" x14ac:dyDescent="0.3">
      <c r="C12" s="79" t="s">
        <v>150</v>
      </c>
      <c r="H12" s="299"/>
      <c r="J12" s="326" t="s">
        <v>150</v>
      </c>
      <c r="K12" s="327"/>
      <c r="L12" s="327"/>
      <c r="M12" s="327"/>
      <c r="N12" s="327"/>
      <c r="O12" s="332"/>
      <c r="P12" s="164"/>
    </row>
    <row r="13" spans="3:16" s="165" customFormat="1" x14ac:dyDescent="0.25">
      <c r="C13" s="353" t="s">
        <v>11</v>
      </c>
      <c r="D13" s="76" t="s">
        <v>46</v>
      </c>
      <c r="E13" s="76" t="s">
        <v>48</v>
      </c>
      <c r="F13" s="76" t="s">
        <v>63</v>
      </c>
      <c r="G13" s="76" t="s">
        <v>49</v>
      </c>
      <c r="H13" s="299"/>
      <c r="J13" s="356" t="s">
        <v>11</v>
      </c>
      <c r="K13" s="328" t="s">
        <v>46</v>
      </c>
      <c r="L13" s="328" t="s">
        <v>48</v>
      </c>
      <c r="M13" s="328" t="s">
        <v>63</v>
      </c>
      <c r="N13" s="328" t="s">
        <v>49</v>
      </c>
      <c r="O13" s="332"/>
      <c r="P13" s="164"/>
    </row>
    <row r="14" spans="3:16" s="165" customFormat="1" ht="15.75" thickBot="1" x14ac:dyDescent="0.3">
      <c r="C14" s="354"/>
      <c r="D14" s="77" t="s">
        <v>47</v>
      </c>
      <c r="E14" s="77" t="s">
        <v>47</v>
      </c>
      <c r="F14" s="77" t="s">
        <v>47</v>
      </c>
      <c r="G14" s="77" t="s">
        <v>47</v>
      </c>
      <c r="H14" s="299"/>
      <c r="J14" s="357"/>
      <c r="K14" s="329" t="s">
        <v>47</v>
      </c>
      <c r="L14" s="329" t="s">
        <v>47</v>
      </c>
      <c r="M14" s="329" t="s">
        <v>47</v>
      </c>
      <c r="N14" s="329" t="s">
        <v>47</v>
      </c>
      <c r="O14" s="332"/>
      <c r="P14" s="164"/>
    </row>
    <row r="15" spans="3:16" s="165" customFormat="1" ht="15.75" thickBot="1" x14ac:dyDescent="0.3">
      <c r="C15" s="78" t="s">
        <v>50</v>
      </c>
      <c r="D15" s="80">
        <f>+'tariff tables (M3)'!P4</f>
        <v>2.5010000000000002E-3</v>
      </c>
      <c r="E15" s="80">
        <f>+'tariff tables (M3)'!Q4</f>
        <v>3.8900000000000002E-4</v>
      </c>
      <c r="F15" s="80">
        <f>+'tariff tables (M3)'!R4</f>
        <v>0</v>
      </c>
      <c r="G15" s="80">
        <f>+'tariff tables (M3)'!S4</f>
        <v>0</v>
      </c>
      <c r="H15" s="299">
        <f>SUM(D15:G15)</f>
        <v>2.8900000000000002E-3</v>
      </c>
      <c r="J15" s="330" t="s">
        <v>50</v>
      </c>
      <c r="K15" s="331">
        <v>2.5010000000000002E-3</v>
      </c>
      <c r="L15" s="331">
        <v>3.8900000000000002E-4</v>
      </c>
      <c r="M15" s="331">
        <v>0</v>
      </c>
      <c r="N15" s="331">
        <v>0</v>
      </c>
      <c r="O15" s="332">
        <v>2.8900000000000002E-3</v>
      </c>
      <c r="P15" s="164">
        <f>+H15-O15</f>
        <v>0</v>
      </c>
    </row>
    <row r="16" spans="3:16" s="165" customFormat="1" ht="15.75" thickBot="1" x14ac:dyDescent="0.3">
      <c r="C16" s="78" t="s">
        <v>51</v>
      </c>
      <c r="D16" s="80">
        <f>+'tariff tables (M3)'!P5</f>
        <v>2.225E-3</v>
      </c>
      <c r="E16" s="80">
        <f>+'tariff tables (M3)'!Q5</f>
        <v>2.7900000000000001E-4</v>
      </c>
      <c r="F16" s="80">
        <f>+'tariff tables (M3)'!R5</f>
        <v>0</v>
      </c>
      <c r="G16" s="80">
        <f>+'tariff tables (M3)'!S5</f>
        <v>0</v>
      </c>
      <c r="H16" s="299">
        <f t="shared" ref="H16:H20" si="2">SUM(D16:G16)</f>
        <v>2.5040000000000001E-3</v>
      </c>
      <c r="J16" s="330" t="s">
        <v>51</v>
      </c>
      <c r="K16" s="331">
        <v>2.225E-3</v>
      </c>
      <c r="L16" s="331">
        <v>2.7900000000000001E-4</v>
      </c>
      <c r="M16" s="331">
        <v>0</v>
      </c>
      <c r="N16" s="331">
        <v>0</v>
      </c>
      <c r="O16" s="332">
        <v>2.5040000000000001E-3</v>
      </c>
      <c r="P16" s="164">
        <f t="shared" ref="P16:P20" si="3">+H16-O16</f>
        <v>0</v>
      </c>
    </row>
    <row r="17" spans="3:16" s="165" customFormat="1" ht="15.75" thickBot="1" x14ac:dyDescent="0.3">
      <c r="C17" s="78" t="s">
        <v>52</v>
      </c>
      <c r="D17" s="80">
        <f>+'tariff tables (M3)'!P6</f>
        <v>2.2260000000000001E-3</v>
      </c>
      <c r="E17" s="80">
        <f>+'tariff tables (M3)'!Q6</f>
        <v>1.8100000000000001E-4</v>
      </c>
      <c r="F17" s="80">
        <f>+'tariff tables (M3)'!R6</f>
        <v>0</v>
      </c>
      <c r="G17" s="80">
        <f>+'tariff tables (M3)'!S6</f>
        <v>0</v>
      </c>
      <c r="H17" s="299">
        <f t="shared" si="2"/>
        <v>2.4070000000000003E-3</v>
      </c>
      <c r="J17" s="330" t="s">
        <v>52</v>
      </c>
      <c r="K17" s="331">
        <v>2.2260000000000001E-3</v>
      </c>
      <c r="L17" s="331">
        <v>1.8100000000000001E-4</v>
      </c>
      <c r="M17" s="331">
        <v>0</v>
      </c>
      <c r="N17" s="331">
        <v>0</v>
      </c>
      <c r="O17" s="332">
        <v>2.4070000000000003E-3</v>
      </c>
      <c r="P17" s="164">
        <f t="shared" si="3"/>
        <v>0</v>
      </c>
    </row>
    <row r="18" spans="3:16" s="165" customFormat="1" ht="15.75" thickBot="1" x14ac:dyDescent="0.3">
      <c r="C18" s="78" t="s">
        <v>53</v>
      </c>
      <c r="D18" s="80">
        <f>+'tariff tables (M3)'!P7</f>
        <v>2.2490000000000001E-3</v>
      </c>
      <c r="E18" s="80">
        <f>+'tariff tables (M3)'!Q7</f>
        <v>1.74E-4</v>
      </c>
      <c r="F18" s="80">
        <f>+'tariff tables (M3)'!R7</f>
        <v>0</v>
      </c>
      <c r="G18" s="80">
        <f>+'tariff tables (M3)'!S7</f>
        <v>0</v>
      </c>
      <c r="H18" s="299">
        <f t="shared" si="2"/>
        <v>2.4230000000000002E-3</v>
      </c>
      <c r="J18" s="330" t="s">
        <v>53</v>
      </c>
      <c r="K18" s="331">
        <v>2.2490000000000001E-3</v>
      </c>
      <c r="L18" s="331">
        <v>1.74E-4</v>
      </c>
      <c r="M18" s="331">
        <v>0</v>
      </c>
      <c r="N18" s="331">
        <v>0</v>
      </c>
      <c r="O18" s="332">
        <v>2.4230000000000002E-3</v>
      </c>
      <c r="P18" s="164">
        <f t="shared" si="3"/>
        <v>0</v>
      </c>
    </row>
    <row r="19" spans="3:16" s="165" customFormat="1" ht="15.75" thickBot="1" x14ac:dyDescent="0.3">
      <c r="C19" s="78" t="s">
        <v>54</v>
      </c>
      <c r="D19" s="80">
        <f>+'tariff tables (M3)'!P8</f>
        <v>2.3140000000000001E-3</v>
      </c>
      <c r="E19" s="80">
        <f>+'tariff tables (M3)'!Q8</f>
        <v>2.3699999999999999E-4</v>
      </c>
      <c r="F19" s="80">
        <f>+'tariff tables (M3)'!R8</f>
        <v>0</v>
      </c>
      <c r="G19" s="80">
        <f>+'tariff tables (M3)'!S8</f>
        <v>0</v>
      </c>
      <c r="H19" s="299">
        <f t="shared" si="2"/>
        <v>2.5509999999999999E-3</v>
      </c>
      <c r="J19" s="330" t="s">
        <v>54</v>
      </c>
      <c r="K19" s="331">
        <v>2.3140000000000001E-3</v>
      </c>
      <c r="L19" s="331">
        <v>2.3699999999999999E-4</v>
      </c>
      <c r="M19" s="331">
        <v>0</v>
      </c>
      <c r="N19" s="331">
        <v>0</v>
      </c>
      <c r="O19" s="332">
        <v>2.5509999999999999E-3</v>
      </c>
      <c r="P19" s="164">
        <f t="shared" si="3"/>
        <v>0</v>
      </c>
    </row>
    <row r="20" spans="3:16" s="165" customFormat="1" ht="15.75" thickBot="1" x14ac:dyDescent="0.3">
      <c r="C20" s="78" t="s">
        <v>55</v>
      </c>
      <c r="D20" s="80">
        <v>0</v>
      </c>
      <c r="E20" s="80">
        <v>0</v>
      </c>
      <c r="F20" s="80">
        <v>0</v>
      </c>
      <c r="G20" s="80">
        <f>'tariff tables (M2)'!Q19</f>
        <v>0</v>
      </c>
      <c r="H20" s="299">
        <f t="shared" si="2"/>
        <v>0</v>
      </c>
      <c r="J20" s="330" t="s">
        <v>55</v>
      </c>
      <c r="K20" s="331">
        <v>0</v>
      </c>
      <c r="L20" s="331">
        <v>0</v>
      </c>
      <c r="M20" s="331">
        <v>0</v>
      </c>
      <c r="N20" s="331">
        <v>0</v>
      </c>
      <c r="O20" s="332">
        <v>0</v>
      </c>
      <c r="P20" s="164">
        <f t="shared" si="3"/>
        <v>0</v>
      </c>
    </row>
    <row r="21" spans="3:16" s="165" customFormat="1" x14ac:dyDescent="0.25">
      <c r="D21" s="164"/>
      <c r="E21" s="164"/>
      <c r="F21" s="164"/>
      <c r="G21" s="164"/>
      <c r="H21" s="164"/>
      <c r="J21" s="327"/>
      <c r="K21" s="332"/>
      <c r="L21" s="332"/>
      <c r="M21" s="332"/>
      <c r="N21" s="332"/>
      <c r="O21" s="332"/>
      <c r="P21" s="164"/>
    </row>
    <row r="22" spans="3:16" ht="15.75" thickBot="1" x14ac:dyDescent="0.3">
      <c r="C22" s="79" t="s">
        <v>59</v>
      </c>
      <c r="D22" s="67"/>
      <c r="E22" s="67"/>
      <c r="F22" s="67"/>
      <c r="G22" s="67"/>
      <c r="H22" s="67"/>
      <c r="J22" s="326" t="s">
        <v>59</v>
      </c>
      <c r="K22" s="332"/>
      <c r="L22" s="332"/>
      <c r="M22" s="332"/>
      <c r="N22" s="332"/>
      <c r="O22" s="332"/>
      <c r="P22" s="164"/>
    </row>
    <row r="23" spans="3:16" x14ac:dyDescent="0.25">
      <c r="C23" s="353" t="s">
        <v>11</v>
      </c>
      <c r="D23" s="81" t="s">
        <v>33</v>
      </c>
      <c r="E23" s="81" t="s">
        <v>34</v>
      </c>
      <c r="F23" s="81" t="s">
        <v>57</v>
      </c>
      <c r="G23" s="81" t="s">
        <v>35</v>
      </c>
      <c r="H23" s="81" t="s">
        <v>9</v>
      </c>
      <c r="J23" s="356" t="s">
        <v>11</v>
      </c>
      <c r="K23" s="333" t="s">
        <v>33</v>
      </c>
      <c r="L23" s="333" t="s">
        <v>34</v>
      </c>
      <c r="M23" s="333" t="s">
        <v>57</v>
      </c>
      <c r="N23" s="333" t="s">
        <v>35</v>
      </c>
      <c r="O23" s="333" t="s">
        <v>9</v>
      </c>
      <c r="P23" s="164"/>
    </row>
    <row r="24" spans="3:16" x14ac:dyDescent="0.25">
      <c r="C24" s="355"/>
      <c r="D24" s="82" t="s">
        <v>47</v>
      </c>
      <c r="E24" s="82" t="s">
        <v>47</v>
      </c>
      <c r="F24" s="82" t="s">
        <v>47</v>
      </c>
      <c r="G24" s="82" t="s">
        <v>47</v>
      </c>
      <c r="H24" s="82" t="s">
        <v>58</v>
      </c>
      <c r="J24" s="358"/>
      <c r="K24" s="334" t="s">
        <v>47</v>
      </c>
      <c r="L24" s="334" t="s">
        <v>47</v>
      </c>
      <c r="M24" s="334" t="s">
        <v>47</v>
      </c>
      <c r="N24" s="334" t="s">
        <v>47</v>
      </c>
      <c r="O24" s="334" t="s">
        <v>58</v>
      </c>
      <c r="P24" s="164"/>
    </row>
    <row r="25" spans="3:16" ht="15.75" thickBot="1" x14ac:dyDescent="0.3">
      <c r="C25" s="354"/>
      <c r="D25" s="83"/>
      <c r="E25" s="83"/>
      <c r="F25" s="83"/>
      <c r="G25" s="83"/>
      <c r="H25" s="84" t="s">
        <v>47</v>
      </c>
      <c r="I25" s="49"/>
      <c r="J25" s="357"/>
      <c r="K25" s="335"/>
      <c r="L25" s="335"/>
      <c r="M25" s="335"/>
      <c r="N25" s="335"/>
      <c r="O25" s="336" t="s">
        <v>47</v>
      </c>
      <c r="P25" s="164"/>
    </row>
    <row r="26" spans="3:16" ht="15.75" thickBot="1" x14ac:dyDescent="0.3">
      <c r="C26" s="78" t="s">
        <v>50</v>
      </c>
      <c r="D26" s="156">
        <f>D5+D15</f>
        <v>2.627E-3</v>
      </c>
      <c r="E26" s="156">
        <f t="shared" ref="E26:G26" si="4">E5+E15</f>
        <v>4.9700000000000005E-4</v>
      </c>
      <c r="F26" s="156">
        <f t="shared" si="4"/>
        <v>8.2200000000000003E-4</v>
      </c>
      <c r="G26" s="156">
        <f t="shared" si="4"/>
        <v>0</v>
      </c>
      <c r="H26" s="84">
        <f t="shared" ref="H26:H31" si="5">SUM(D26:G26)</f>
        <v>3.9459999999999999E-3</v>
      </c>
      <c r="I26" s="49"/>
      <c r="J26" s="330" t="s">
        <v>50</v>
      </c>
      <c r="K26" s="331">
        <f>K5+K15</f>
        <v>2.627E-3</v>
      </c>
      <c r="L26" s="331">
        <f t="shared" ref="L26:N26" si="6">L5+L15</f>
        <v>5.0100000000000003E-4</v>
      </c>
      <c r="M26" s="331">
        <f t="shared" si="6"/>
        <v>8.2899999999999998E-4</v>
      </c>
      <c r="N26" s="331">
        <f t="shared" si="6"/>
        <v>0</v>
      </c>
      <c r="O26" s="336">
        <f t="shared" ref="O26:O31" si="7">SUM(K26:N26)</f>
        <v>3.9570000000000004E-3</v>
      </c>
      <c r="P26" s="164">
        <f>+H26-O26</f>
        <v>-1.1000000000000593E-5</v>
      </c>
    </row>
    <row r="27" spans="3:16" ht="15.75" thickBot="1" x14ac:dyDescent="0.3">
      <c r="C27" s="78" t="s">
        <v>51</v>
      </c>
      <c r="D27" s="156">
        <f t="shared" ref="D27:G31" si="8">D6+D16</f>
        <v>2.3370000000000001E-3</v>
      </c>
      <c r="E27" s="156">
        <f t="shared" si="8"/>
        <v>6.0000000000000006E-4</v>
      </c>
      <c r="F27" s="156">
        <f t="shared" si="8"/>
        <v>8.0599999999999997E-4</v>
      </c>
      <c r="G27" s="156">
        <f t="shared" si="8"/>
        <v>0</v>
      </c>
      <c r="H27" s="84">
        <f t="shared" si="5"/>
        <v>3.7430000000000002E-3</v>
      </c>
      <c r="I27" s="49"/>
      <c r="J27" s="330" t="s">
        <v>51</v>
      </c>
      <c r="K27" s="331">
        <f t="shared" ref="K27:N31" si="9">K6+K16</f>
        <v>2.3370000000000001E-3</v>
      </c>
      <c r="L27" s="331">
        <f t="shared" si="9"/>
        <v>6.5600000000000001E-4</v>
      </c>
      <c r="M27" s="331">
        <f t="shared" si="9"/>
        <v>8.12E-4</v>
      </c>
      <c r="N27" s="331">
        <f t="shared" si="9"/>
        <v>0</v>
      </c>
      <c r="O27" s="336">
        <f t="shared" si="7"/>
        <v>3.8050000000000002E-3</v>
      </c>
      <c r="P27" s="164">
        <f t="shared" ref="P27:P31" si="10">+H27-O27</f>
        <v>-6.1999999999999989E-5</v>
      </c>
    </row>
    <row r="28" spans="3:16" ht="15.75" thickBot="1" x14ac:dyDescent="0.3">
      <c r="C28" s="78" t="s">
        <v>52</v>
      </c>
      <c r="D28" s="156">
        <f t="shared" si="8"/>
        <v>2.2690000000000002E-3</v>
      </c>
      <c r="E28" s="156">
        <f t="shared" si="8"/>
        <v>7.3700000000000002E-4</v>
      </c>
      <c r="F28" s="156">
        <f t="shared" si="8"/>
        <v>8.3299999999999997E-4</v>
      </c>
      <c r="G28" s="156">
        <f t="shared" si="8"/>
        <v>0</v>
      </c>
      <c r="H28" s="84">
        <f t="shared" si="5"/>
        <v>3.839E-3</v>
      </c>
      <c r="I28" s="49"/>
      <c r="J28" s="330" t="s">
        <v>52</v>
      </c>
      <c r="K28" s="331">
        <f t="shared" si="9"/>
        <v>2.2690000000000002E-3</v>
      </c>
      <c r="L28" s="331">
        <f t="shared" si="9"/>
        <v>7.3299999999999993E-4</v>
      </c>
      <c r="M28" s="331">
        <f t="shared" si="9"/>
        <v>8.4000000000000003E-4</v>
      </c>
      <c r="N28" s="331">
        <f t="shared" si="9"/>
        <v>0</v>
      </c>
      <c r="O28" s="336">
        <f t="shared" si="7"/>
        <v>3.8420000000000004E-3</v>
      </c>
      <c r="P28" s="164">
        <f t="shared" si="10"/>
        <v>-3.0000000000003982E-6</v>
      </c>
    </row>
    <row r="29" spans="3:16" ht="15.75" thickBot="1" x14ac:dyDescent="0.3">
      <c r="C29" s="78" t="s">
        <v>53</v>
      </c>
      <c r="D29" s="156">
        <f t="shared" si="8"/>
        <v>2.2430000000000002E-3</v>
      </c>
      <c r="E29" s="156">
        <f t="shared" si="8"/>
        <v>7.1500000000000003E-4</v>
      </c>
      <c r="F29" s="156">
        <f t="shared" si="8"/>
        <v>8.6200000000000003E-4</v>
      </c>
      <c r="G29" s="156">
        <f t="shared" si="8"/>
        <v>0</v>
      </c>
      <c r="H29" s="84">
        <f t="shared" si="5"/>
        <v>3.82E-3</v>
      </c>
      <c r="I29" s="49"/>
      <c r="J29" s="330" t="s">
        <v>53</v>
      </c>
      <c r="K29" s="331">
        <f t="shared" si="9"/>
        <v>2.2430000000000002E-3</v>
      </c>
      <c r="L29" s="331">
        <f t="shared" si="9"/>
        <v>7.3200000000000001E-4</v>
      </c>
      <c r="M29" s="331">
        <f t="shared" si="9"/>
        <v>8.6899999999999998E-4</v>
      </c>
      <c r="N29" s="331">
        <f t="shared" si="9"/>
        <v>0</v>
      </c>
      <c r="O29" s="336">
        <f t="shared" si="7"/>
        <v>3.8440000000000002E-3</v>
      </c>
      <c r="P29" s="164">
        <f t="shared" si="10"/>
        <v>-2.400000000000015E-5</v>
      </c>
    </row>
    <row r="30" spans="3:16" ht="15.75" thickBot="1" x14ac:dyDescent="0.3">
      <c r="C30" s="78" t="s">
        <v>54</v>
      </c>
      <c r="D30" s="156">
        <f t="shared" si="8"/>
        <v>2.1320000000000002E-3</v>
      </c>
      <c r="E30" s="156">
        <f t="shared" si="8"/>
        <v>7.18E-4</v>
      </c>
      <c r="F30" s="156">
        <f t="shared" si="8"/>
        <v>9.9500000000000001E-4</v>
      </c>
      <c r="G30" s="156">
        <f t="shared" si="8"/>
        <v>0</v>
      </c>
      <c r="H30" s="84">
        <f t="shared" si="5"/>
        <v>3.8450000000000003E-3</v>
      </c>
      <c r="I30" s="49"/>
      <c r="J30" s="330" t="s">
        <v>54</v>
      </c>
      <c r="K30" s="331">
        <f t="shared" si="9"/>
        <v>2.1320000000000002E-3</v>
      </c>
      <c r="L30" s="331">
        <f t="shared" si="9"/>
        <v>7.2300000000000001E-4</v>
      </c>
      <c r="M30" s="331">
        <f t="shared" si="9"/>
        <v>1.003E-3</v>
      </c>
      <c r="N30" s="331">
        <f t="shared" si="9"/>
        <v>0</v>
      </c>
      <c r="O30" s="336">
        <f t="shared" si="7"/>
        <v>3.8580000000000003E-3</v>
      </c>
      <c r="P30" s="164">
        <f t="shared" si="10"/>
        <v>-1.2999999999999991E-5</v>
      </c>
    </row>
    <row r="31" spans="3:16" ht="15.75" thickBot="1" x14ac:dyDescent="0.3">
      <c r="C31" s="78" t="s">
        <v>55</v>
      </c>
      <c r="D31" s="156">
        <f t="shared" si="8"/>
        <v>0</v>
      </c>
      <c r="E31" s="156">
        <f t="shared" si="8"/>
        <v>0</v>
      </c>
      <c r="F31" s="156">
        <f t="shared" si="8"/>
        <v>0</v>
      </c>
      <c r="G31" s="156">
        <f t="shared" si="8"/>
        <v>0</v>
      </c>
      <c r="H31" s="84">
        <f t="shared" si="5"/>
        <v>0</v>
      </c>
      <c r="I31" s="49"/>
      <c r="J31" s="330" t="s">
        <v>55</v>
      </c>
      <c r="K31" s="331">
        <f t="shared" si="9"/>
        <v>0</v>
      </c>
      <c r="L31" s="331">
        <f t="shared" si="9"/>
        <v>0</v>
      </c>
      <c r="M31" s="331">
        <f t="shared" si="9"/>
        <v>0</v>
      </c>
      <c r="N31" s="331">
        <f t="shared" si="9"/>
        <v>0</v>
      </c>
      <c r="O31" s="336">
        <f t="shared" si="7"/>
        <v>0</v>
      </c>
      <c r="P31" s="164">
        <f t="shared" si="10"/>
        <v>0</v>
      </c>
    </row>
  </sheetData>
  <mergeCells count="6">
    <mergeCell ref="C3:C4"/>
    <mergeCell ref="C23:C25"/>
    <mergeCell ref="C13:C14"/>
    <mergeCell ref="J3:J4"/>
    <mergeCell ref="J13:J14"/>
    <mergeCell ref="J23:J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V89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M38" sqref="M38"/>
    </sheetView>
  </sheetViews>
  <sheetFormatPr defaultColWidth="9.140625" defaultRowHeight="15" x14ac:dyDescent="0.25"/>
  <cols>
    <col min="1" max="1" width="21.5703125" style="165" customWidth="1"/>
    <col min="2" max="2" width="15.28515625" style="165" customWidth="1"/>
    <col min="3" max="3" width="15.8554687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0" width="16" style="165" bestFit="1" customWidth="1"/>
    <col min="11" max="11" width="16" style="165" customWidth="1"/>
    <col min="12" max="12" width="16" style="165" bestFit="1" customWidth="1"/>
    <col min="13" max="13" width="16.42578125" style="165" customWidth="1"/>
    <col min="14" max="14" width="17.28515625" style="165" customWidth="1"/>
    <col min="15" max="15" width="16.85546875" style="165" customWidth="1"/>
    <col min="16" max="16" width="13.85546875" style="165" bestFit="1" customWidth="1"/>
    <col min="17" max="17" width="10.85546875" style="165" bestFit="1" customWidth="1"/>
    <col min="18" max="18" width="9.140625" style="165"/>
    <col min="19" max="19" width="12.7109375" style="165" bestFit="1" customWidth="1"/>
    <col min="20" max="16384" width="9.140625" style="165"/>
  </cols>
  <sheetData>
    <row r="2" spans="1:22" x14ac:dyDescent="0.25">
      <c r="B2" s="184" t="s">
        <v>77</v>
      </c>
      <c r="J2" s="3" t="s">
        <v>26</v>
      </c>
      <c r="K2" s="3"/>
    </row>
    <row r="3" spans="1:22" x14ac:dyDescent="0.25">
      <c r="B3" s="227" t="s">
        <v>64</v>
      </c>
      <c r="C3" s="227" t="s">
        <v>78</v>
      </c>
      <c r="D3" s="227" t="s">
        <v>97</v>
      </c>
      <c r="E3" s="227" t="s">
        <v>91</v>
      </c>
      <c r="F3" s="227" t="s">
        <v>65</v>
      </c>
      <c r="G3" s="227" t="s">
        <v>79</v>
      </c>
      <c r="I3" s="57" t="s">
        <v>80</v>
      </c>
      <c r="J3" s="57"/>
      <c r="K3" s="49"/>
      <c r="L3" s="49"/>
    </row>
    <row r="4" spans="1:22" x14ac:dyDescent="0.25">
      <c r="A4" s="165" t="s">
        <v>0</v>
      </c>
      <c r="B4" s="24">
        <f>SUM(B42:O42)</f>
        <v>33844785.057575203</v>
      </c>
      <c r="C4" s="86">
        <f>SUM(B28:O28)</f>
        <v>16234689128.657543</v>
      </c>
      <c r="D4" s="24">
        <f>SUM(B21:O21)</f>
        <v>30336255.435719784</v>
      </c>
      <c r="E4" s="24">
        <f>-B4+D4</f>
        <v>-3508529.6218554191</v>
      </c>
      <c r="F4" s="113">
        <f>SUM(B68:O68)</f>
        <v>27974.85686752366</v>
      </c>
      <c r="G4" s="42">
        <f>E4+F4</f>
        <v>-3480554.7649878953</v>
      </c>
      <c r="I4" s="57" t="s">
        <v>94</v>
      </c>
      <c r="J4" s="57"/>
      <c r="K4" s="49"/>
      <c r="L4" s="49"/>
    </row>
    <row r="5" spans="1:22" x14ac:dyDescent="0.25">
      <c r="A5" s="165" t="s">
        <v>4</v>
      </c>
      <c r="B5" s="24">
        <f>SUM(B43:O43)</f>
        <v>5012538.6649525519</v>
      </c>
      <c r="C5" s="86">
        <f>SUM(B29:O29)</f>
        <v>3909499649.2626028</v>
      </c>
      <c r="D5" s="24">
        <f>SUM(B22:O22)</f>
        <v>4894216.0307486467</v>
      </c>
      <c r="E5" s="24">
        <f t="shared" ref="E5:E8" si="0">-B5+D5</f>
        <v>-118322.63420390524</v>
      </c>
      <c r="F5" s="113">
        <f>SUM(B69:O69)</f>
        <v>-1688.9655635489139</v>
      </c>
      <c r="G5" s="42">
        <f>E5+F5</f>
        <v>-120011.59976745416</v>
      </c>
      <c r="I5" s="57" t="s">
        <v>93</v>
      </c>
      <c r="J5" s="57"/>
      <c r="K5" s="49"/>
      <c r="L5" s="49"/>
    </row>
    <row r="6" spans="1:22" x14ac:dyDescent="0.25">
      <c r="A6" s="165" t="s">
        <v>5</v>
      </c>
      <c r="B6" s="24">
        <f>SUM(B44:O44)</f>
        <v>11263595.985384665</v>
      </c>
      <c r="C6" s="86">
        <f>SUM(B30:O30)</f>
        <v>8669235912.8359261</v>
      </c>
      <c r="D6" s="24">
        <f>SUM(B23:O23)</f>
        <v>11001210.603049913</v>
      </c>
      <c r="E6" s="24">
        <f t="shared" si="0"/>
        <v>-262385.38233475201</v>
      </c>
      <c r="F6" s="113">
        <f>SUM(B70:O70)</f>
        <v>-4447.2334436813389</v>
      </c>
      <c r="G6" s="42">
        <f>E6+F6</f>
        <v>-266832.61577843333</v>
      </c>
      <c r="I6" s="57" t="s">
        <v>95</v>
      </c>
      <c r="J6" s="57"/>
      <c r="K6" s="49"/>
      <c r="L6" s="49"/>
    </row>
    <row r="7" spans="1:22" x14ac:dyDescent="0.25">
      <c r="A7" s="165" t="s">
        <v>6</v>
      </c>
      <c r="B7" s="24">
        <f>SUM(B45:O45)</f>
        <v>4618391.8814959237</v>
      </c>
      <c r="C7" s="86">
        <f>SUM(B31:O31)</f>
        <v>3607760435.6605477</v>
      </c>
      <c r="D7" s="24">
        <f>SUM(B24:O24)</f>
        <v>4578912.1166761108</v>
      </c>
      <c r="E7" s="24">
        <f t="shared" si="0"/>
        <v>-39479.764819812961</v>
      </c>
      <c r="F7" s="113">
        <f>SUM(B71:O71)</f>
        <v>-928.15319961699083</v>
      </c>
      <c r="G7" s="42">
        <f>E7+F7</f>
        <v>-40407.918019429955</v>
      </c>
      <c r="I7" s="57" t="s">
        <v>81</v>
      </c>
      <c r="J7" s="57"/>
      <c r="K7" s="49"/>
      <c r="L7" s="49"/>
    </row>
    <row r="8" spans="1:22" ht="15.75" thickBot="1" x14ac:dyDescent="0.3">
      <c r="A8" s="165" t="s">
        <v>7</v>
      </c>
      <c r="B8" s="24">
        <f>SUM(B46:O46)</f>
        <v>1973059.7315954603</v>
      </c>
      <c r="C8" s="86">
        <f>SUM(B32:O32)</f>
        <v>1572706155.3124399</v>
      </c>
      <c r="D8" s="24">
        <f>SUM(B25:O25)</f>
        <v>2045884.3224398564</v>
      </c>
      <c r="E8" s="24">
        <f t="shared" si="0"/>
        <v>72824.590844396036</v>
      </c>
      <c r="F8" s="113">
        <f>SUM(B72:O72)</f>
        <v>822.92037975875962</v>
      </c>
      <c r="G8" s="42">
        <f>E8+F8</f>
        <v>73647.51122415479</v>
      </c>
      <c r="I8" s="57" t="s">
        <v>120</v>
      </c>
      <c r="J8" s="57"/>
      <c r="L8" s="49"/>
    </row>
    <row r="9" spans="1:22" ht="16.5" thickTop="1" thickBot="1" x14ac:dyDescent="0.3">
      <c r="B9" s="87">
        <f t="shared" ref="B9:G9" si="1">SUM(B4:B8)</f>
        <v>56712371.32100381</v>
      </c>
      <c r="C9" s="180">
        <f>SUM(C4:C8)</f>
        <v>33993891281.729061</v>
      </c>
      <c r="D9" s="87">
        <f t="shared" si="1"/>
        <v>52856478.508634306</v>
      </c>
      <c r="E9" s="87">
        <f>SUM(E4:E8)</f>
        <v>-3855892.8123694933</v>
      </c>
      <c r="F9" s="294">
        <f>SUM(F4:F8)</f>
        <v>21733.425040435173</v>
      </c>
      <c r="G9" s="87">
        <f t="shared" si="1"/>
        <v>-3834159.3873290573</v>
      </c>
      <c r="I9" s="57" t="s">
        <v>121</v>
      </c>
      <c r="J9" s="57"/>
      <c r="K9" s="49"/>
      <c r="L9" s="49"/>
    </row>
    <row r="10" spans="1:22" ht="16.5" thickTop="1" thickBot="1" x14ac:dyDescent="0.3">
      <c r="E10" s="39" t="s">
        <v>25</v>
      </c>
      <c r="F10" s="288">
        <f>F9-SUM(B51:O51)</f>
        <v>-1.4959564829041483E-2</v>
      </c>
      <c r="I10" s="57" t="s">
        <v>122</v>
      </c>
      <c r="J10" s="57"/>
      <c r="K10" s="49"/>
      <c r="L10" s="49"/>
    </row>
    <row r="11" spans="1:22" ht="15.75" thickTop="1" x14ac:dyDescent="0.25">
      <c r="D11" s="4"/>
      <c r="F11" s="3"/>
      <c r="I11" s="57" t="s">
        <v>123</v>
      </c>
      <c r="J11" s="57"/>
      <c r="K11" s="49"/>
    </row>
    <row r="12" spans="1:22" ht="15.75" thickBot="1" x14ac:dyDescent="0.3">
      <c r="B12" s="52"/>
      <c r="C12" s="52"/>
      <c r="D12" s="52"/>
      <c r="E12" s="52"/>
      <c r="F12" s="52"/>
      <c r="G12" s="52"/>
      <c r="H12" s="52"/>
      <c r="I12" s="52"/>
      <c r="L12" s="52"/>
      <c r="M12" s="48"/>
      <c r="N12" s="48"/>
    </row>
    <row r="13" spans="1:22" ht="15.75" thickBot="1" x14ac:dyDescent="0.3">
      <c r="B13" s="167"/>
      <c r="C13" s="120"/>
      <c r="D13" s="138" t="s">
        <v>68</v>
      </c>
      <c r="E13" s="120"/>
      <c r="F13" s="120"/>
      <c r="G13" s="120"/>
      <c r="H13" s="120"/>
      <c r="I13" s="120"/>
      <c r="J13" s="120"/>
      <c r="K13" s="120"/>
      <c r="L13" s="120"/>
      <c r="M13" s="342" t="s">
        <v>67</v>
      </c>
      <c r="N13" s="343"/>
      <c r="O13" s="344"/>
    </row>
    <row r="14" spans="1:22" x14ac:dyDescent="0.25">
      <c r="A14" s="165" t="s">
        <v>83</v>
      </c>
      <c r="B14" s="91">
        <v>43435</v>
      </c>
      <c r="C14" s="92">
        <f t="shared" ref="C14:J14" si="2">EDATE(B14,1)</f>
        <v>43466</v>
      </c>
      <c r="D14" s="92">
        <f t="shared" si="2"/>
        <v>43497</v>
      </c>
      <c r="E14" s="92">
        <f t="shared" si="2"/>
        <v>43525</v>
      </c>
      <c r="F14" s="92">
        <f t="shared" si="2"/>
        <v>43556</v>
      </c>
      <c r="G14" s="92">
        <f t="shared" si="2"/>
        <v>43586</v>
      </c>
      <c r="H14" s="92">
        <f t="shared" si="2"/>
        <v>43617</v>
      </c>
      <c r="I14" s="92">
        <f t="shared" si="2"/>
        <v>43647</v>
      </c>
      <c r="J14" s="92">
        <f t="shared" si="2"/>
        <v>43678</v>
      </c>
      <c r="K14" s="92">
        <f t="shared" ref="K14" si="3">EDATE(J14,1)</f>
        <v>43709</v>
      </c>
      <c r="L14" s="92">
        <f t="shared" ref="L14" si="4">EDATE(K14,1)</f>
        <v>43739</v>
      </c>
      <c r="M14" s="91">
        <f>EDATE(L14,1)</f>
        <v>43770</v>
      </c>
      <c r="N14" s="92">
        <f>EDATE(M14,1)</f>
        <v>43800</v>
      </c>
      <c r="O14" s="93">
        <f>EDATE(N14,1)</f>
        <v>43831</v>
      </c>
      <c r="P14" s="1"/>
      <c r="Q14" s="1"/>
      <c r="R14" s="1"/>
      <c r="S14" s="1"/>
      <c r="T14" s="1"/>
      <c r="U14" s="1"/>
      <c r="V14" s="1"/>
    </row>
    <row r="15" spans="1:22" x14ac:dyDescent="0.25">
      <c r="A15" s="49" t="s">
        <v>0</v>
      </c>
      <c r="B15" s="94">
        <v>0</v>
      </c>
      <c r="C15" s="95">
        <v>0</v>
      </c>
      <c r="D15" s="95">
        <v>120000</v>
      </c>
      <c r="E15" s="95">
        <v>1520278.94</v>
      </c>
      <c r="F15" s="95">
        <v>1023327.6300000001</v>
      </c>
      <c r="G15" s="95">
        <v>1629924.95</v>
      </c>
      <c r="H15" s="95">
        <v>1900575.1799999997</v>
      </c>
      <c r="I15" s="95">
        <v>2464565.27</v>
      </c>
      <c r="J15" s="45">
        <v>3631388.86</v>
      </c>
      <c r="K15" s="45">
        <v>1201792.49</v>
      </c>
      <c r="L15" s="45">
        <v>2595927.1999999993</v>
      </c>
      <c r="M15" s="139">
        <v>2765208.6834403835</v>
      </c>
      <c r="N15" s="140">
        <v>4496338.6061113141</v>
      </c>
      <c r="O15" s="141">
        <v>1463780.3333333335</v>
      </c>
      <c r="P15" s="49"/>
    </row>
    <row r="16" spans="1:22" x14ac:dyDescent="0.25">
      <c r="A16" s="49" t="s">
        <v>1</v>
      </c>
      <c r="B16" s="94">
        <v>0</v>
      </c>
      <c r="C16" s="95">
        <v>0</v>
      </c>
      <c r="D16" s="95">
        <v>118003.54</v>
      </c>
      <c r="E16" s="95">
        <v>325654.18</v>
      </c>
      <c r="F16" s="95">
        <v>324793.89999999997</v>
      </c>
      <c r="G16" s="95">
        <v>435080.67</v>
      </c>
      <c r="H16" s="95">
        <v>864617.95000000007</v>
      </c>
      <c r="I16" s="95">
        <v>823563.38</v>
      </c>
      <c r="J16" s="45">
        <v>1198141.9500000002</v>
      </c>
      <c r="K16" s="45">
        <v>2168634.0599999996</v>
      </c>
      <c r="L16" s="45">
        <v>1457645.93</v>
      </c>
      <c r="M16" s="139">
        <v>2763289.3836056353</v>
      </c>
      <c r="N16" s="140">
        <v>4246890.2106549311</v>
      </c>
      <c r="O16" s="141">
        <v>1678727</v>
      </c>
      <c r="P16" s="49"/>
    </row>
    <row r="17" spans="1:19" x14ac:dyDescent="0.25">
      <c r="A17" s="49" t="s">
        <v>2</v>
      </c>
      <c r="B17" s="94">
        <v>0</v>
      </c>
      <c r="C17" s="95">
        <v>0</v>
      </c>
      <c r="D17" s="95">
        <v>12500</v>
      </c>
      <c r="E17" s="95">
        <v>407849.73</v>
      </c>
      <c r="F17" s="95">
        <v>169743.63</v>
      </c>
      <c r="G17" s="95">
        <v>145713.57999999999</v>
      </c>
      <c r="H17" s="95">
        <v>136424.74</v>
      </c>
      <c r="I17" s="95">
        <v>113487.89</v>
      </c>
      <c r="J17" s="45">
        <v>261842.41999999998</v>
      </c>
      <c r="K17" s="45">
        <v>602635.35000000021</v>
      </c>
      <c r="L17" s="45">
        <v>314522.87</v>
      </c>
      <c r="M17" s="139">
        <v>708994.6701273151</v>
      </c>
      <c r="N17" s="140">
        <v>691104.71136140078</v>
      </c>
      <c r="O17" s="141">
        <v>655877</v>
      </c>
      <c r="P17" s="49"/>
    </row>
    <row r="18" spans="1:19" x14ac:dyDescent="0.25">
      <c r="A18" s="49" t="s">
        <v>3</v>
      </c>
      <c r="B18" s="94">
        <v>472906.7</v>
      </c>
      <c r="C18" s="95">
        <v>121950.46</v>
      </c>
      <c r="D18" s="95">
        <v>55553.56</v>
      </c>
      <c r="E18" s="95">
        <v>1000732.9</v>
      </c>
      <c r="F18" s="95">
        <v>-76178.289999999935</v>
      </c>
      <c r="G18" s="95">
        <v>436091.20000000007</v>
      </c>
      <c r="H18" s="95">
        <v>188394.45</v>
      </c>
      <c r="I18" s="95">
        <v>405065.85</v>
      </c>
      <c r="J18" s="45">
        <v>576070.78</v>
      </c>
      <c r="K18" s="45">
        <v>691978.86</v>
      </c>
      <c r="L18" s="45">
        <v>325670.15000000002</v>
      </c>
      <c r="M18" s="139">
        <v>692330</v>
      </c>
      <c r="N18" s="140">
        <v>2172400</v>
      </c>
      <c r="O18" s="141">
        <v>354665</v>
      </c>
      <c r="P18" s="49"/>
    </row>
    <row r="19" spans="1:19" x14ac:dyDescent="0.25">
      <c r="B19" s="10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286"/>
      <c r="N19" s="233"/>
      <c r="O19" s="287"/>
    </row>
    <row r="20" spans="1:19" x14ac:dyDescent="0.25">
      <c r="A20" s="165" t="s">
        <v>84</v>
      </c>
      <c r="B20" s="100"/>
      <c r="C20" s="99"/>
      <c r="D20" s="103"/>
      <c r="E20" s="99"/>
      <c r="F20" s="99"/>
      <c r="G20" s="99"/>
      <c r="H20" s="99"/>
      <c r="I20" s="99"/>
      <c r="J20" s="99"/>
      <c r="K20" s="99"/>
      <c r="L20" s="99"/>
      <c r="M20" s="98"/>
      <c r="N20" s="99"/>
      <c r="O20" s="102"/>
    </row>
    <row r="21" spans="1:19" x14ac:dyDescent="0.25">
      <c r="A21" s="165" t="s">
        <v>0</v>
      </c>
      <c r="B21" s="110">
        <f t="shared" ref="B21:C21" si="5">B15+((B28/SUM(B$28:B$32))*B$17)+((B28/SUM(B$28:B$32))*B$18)</f>
        <v>228254.44393193189</v>
      </c>
      <c r="C21" s="114">
        <f t="shared" si="5"/>
        <v>62937.088413765421</v>
      </c>
      <c r="D21" s="114">
        <f>D15+((D28/SUM(D$28:D$32))*D$17)+((D28/SUM(D$28:D$32))*D$18)</f>
        <v>155679.80049587399</v>
      </c>
      <c r="E21" s="114">
        <f t="shared" ref="E21:J21" si="6">E15+((E28/SUM(E$28:E$32))*E$17)+((E28/SUM(E$28:E$32))*E$18)</f>
        <v>2234853.5039376202</v>
      </c>
      <c r="F21" s="114">
        <f t="shared" si="6"/>
        <v>1064455.8198546122</v>
      </c>
      <c r="G21" s="114">
        <f t="shared" si="6"/>
        <v>1864047.6849235331</v>
      </c>
      <c r="H21" s="114">
        <f t="shared" si="6"/>
        <v>2042840.114706273</v>
      </c>
      <c r="I21" s="114">
        <f t="shared" si="6"/>
        <v>2714821.2173969531</v>
      </c>
      <c r="J21" s="114">
        <f t="shared" si="6"/>
        <v>4039092.7222022014</v>
      </c>
      <c r="K21" s="114">
        <f t="shared" ref="K21:L21" si="7">K15+((K28/SUM(K$28:K$32))*K$17)+((K28/SUM(K$28:K$32))*K$18)</f>
        <v>1806551.5451974105</v>
      </c>
      <c r="L21" s="114">
        <f t="shared" si="7"/>
        <v>2877445.8529133089</v>
      </c>
      <c r="M21" s="239">
        <f>M15+((M28/SUM(M$28:M$32))*M$17)+((M28/SUM(M$28:M$32))*M$18)</f>
        <v>3352055.3997846683</v>
      </c>
      <c r="N21" s="111">
        <f>N15+((N28/SUM(N$28:N$32))*N$17)+((N28/SUM(N$28:N$32))*N$18)</f>
        <v>5895510.4275054503</v>
      </c>
      <c r="O21" s="115">
        <f>O15+((O28/SUM(O$28:O$32))*O$17)+((O28/SUM(O$28:O$32))*O$18)</f>
        <v>1997709.8144561818</v>
      </c>
    </row>
    <row r="22" spans="1:19" x14ac:dyDescent="0.25">
      <c r="A22" s="165" t="s">
        <v>4</v>
      </c>
      <c r="B22" s="110">
        <f t="shared" ref="B22:C22" si="8">((B29/SUM(B$29:B$32))*B$16)+((B29/SUM(B$28:B$32))*B$17)+((B29/SUM(B$28:B$32))*B$18)</f>
        <v>52676.094366837482</v>
      </c>
      <c r="C22" s="114">
        <f t="shared" si="8"/>
        <v>13887.647890998298</v>
      </c>
      <c r="D22" s="114">
        <f t="shared" ref="D22:J25" si="9">((D29/SUM(D$29:D$32))*D$16)+((D29/SUM(D$28:D$32))*D$17)+((D29/SUM(D$28:D$32))*D$18)</f>
        <v>36274.43793325447</v>
      </c>
      <c r="E22" s="114">
        <f t="shared" si="9"/>
        <v>240238.18887586851</v>
      </c>
      <c r="F22" s="114">
        <f t="shared" si="9"/>
        <v>79684.162194669494</v>
      </c>
      <c r="G22" s="114">
        <f t="shared" si="9"/>
        <v>158353.30447757232</v>
      </c>
      <c r="H22" s="114">
        <f t="shared" si="9"/>
        <v>215679.50532862317</v>
      </c>
      <c r="I22" s="114">
        <f t="shared" si="9"/>
        <v>242326.89008855022</v>
      </c>
      <c r="J22" s="114">
        <f t="shared" si="9"/>
        <v>358312.11605608498</v>
      </c>
      <c r="K22" s="114">
        <f t="shared" ref="K22:L22" si="10">((K29/SUM(K$29:K$32))*K$16)+((K29/SUM(K$28:K$32))*K$17)+((K29/SUM(K$28:K$32))*K$18)</f>
        <v>608924.7038953919</v>
      </c>
      <c r="L22" s="114">
        <f t="shared" si="10"/>
        <v>379861.47973200271</v>
      </c>
      <c r="M22" s="110">
        <f t="shared" ref="M22:O25" si="11">((M29/SUM(M$29:M$32))*M$16)+((M29/SUM(M$28:M$32))*M$17)+((M29/SUM(M$28:M$32))*M$18)</f>
        <v>722909.01812181051</v>
      </c>
      <c r="N22" s="111">
        <f t="shared" si="11"/>
        <v>1266999.9977265848</v>
      </c>
      <c r="O22" s="115">
        <f t="shared" si="11"/>
        <v>518088.48406039778</v>
      </c>
    </row>
    <row r="23" spans="1:19" x14ac:dyDescent="0.25">
      <c r="A23" s="165" t="s">
        <v>5</v>
      </c>
      <c r="B23" s="110">
        <f t="shared" ref="B23:C23" si="12">((B30/SUM(B$29:B$32))*B$16)+((B30/SUM(B$28:B$32))*B$17)+((B30/SUM(B$28:B$32))*B$18)</f>
        <v>114690.94230751944</v>
      </c>
      <c r="C23" s="114">
        <f t="shared" si="12"/>
        <v>29119.872157604295</v>
      </c>
      <c r="D23" s="114">
        <f t="shared" si="9"/>
        <v>73504.970610067088</v>
      </c>
      <c r="E23" s="114">
        <f t="shared" si="9"/>
        <v>496440.99287668185</v>
      </c>
      <c r="F23" s="114">
        <f t="shared" si="9"/>
        <v>185215.58471401481</v>
      </c>
      <c r="G23" s="114">
        <f t="shared" si="9"/>
        <v>391844.85008840408</v>
      </c>
      <c r="H23" s="114">
        <f t="shared" si="9"/>
        <v>508163.83091552847</v>
      </c>
      <c r="I23" s="114">
        <f t="shared" si="9"/>
        <v>537759.40524426044</v>
      </c>
      <c r="J23" s="114">
        <f t="shared" si="9"/>
        <v>791466.60735335096</v>
      </c>
      <c r="K23" s="114">
        <f t="shared" ref="K23:L23" si="13">((K30/SUM(K$29:K$32))*K$16)+((K30/SUM(K$28:K$32))*K$17)+((K30/SUM(K$28:K$32))*K$18)</f>
        <v>1406865.2280202208</v>
      </c>
      <c r="L23" s="114">
        <f t="shared" si="13"/>
        <v>893275.88815381622</v>
      </c>
      <c r="M23" s="110">
        <f t="shared" si="11"/>
        <v>1743105.0451057563</v>
      </c>
      <c r="N23" s="111">
        <f t="shared" si="11"/>
        <v>2784333.687799823</v>
      </c>
      <c r="O23" s="115">
        <f t="shared" si="11"/>
        <v>1045423.6977028669</v>
      </c>
    </row>
    <row r="24" spans="1:19" x14ac:dyDescent="0.25">
      <c r="A24" s="165" t="s">
        <v>6</v>
      </c>
      <c r="B24" s="110">
        <f t="shared" ref="B24:C24" si="14">((B31/SUM(B$29:B$32))*B$16)+((B31/SUM(B$28:B$32))*B$17)+((B31/SUM(B$28:B$32))*B$18)</f>
        <v>52726.889679325177</v>
      </c>
      <c r="C24" s="114">
        <f t="shared" si="14"/>
        <v>11408.01611653602</v>
      </c>
      <c r="D24" s="114">
        <f t="shared" si="9"/>
        <v>29285.213310280094</v>
      </c>
      <c r="E24" s="114">
        <f t="shared" si="9"/>
        <v>200764.71146598319</v>
      </c>
      <c r="F24" s="114">
        <f t="shared" si="9"/>
        <v>78817.714216164459</v>
      </c>
      <c r="G24" s="114">
        <f t="shared" si="9"/>
        <v>163674.14904249142</v>
      </c>
      <c r="H24" s="114">
        <f t="shared" si="9"/>
        <v>222025.93542562542</v>
      </c>
      <c r="I24" s="114">
        <f t="shared" si="9"/>
        <v>219155.88598604189</v>
      </c>
      <c r="J24" s="114">
        <f t="shared" si="9"/>
        <v>331015.81007318315</v>
      </c>
      <c r="K24" s="114">
        <f t="shared" ref="K24:L24" si="15">((K31/SUM(K$29:K$32))*K$16)+((K31/SUM(K$28:K$32))*K$17)+((K31/SUM(K$28:K$32))*K$18)</f>
        <v>579370.77463424217</v>
      </c>
      <c r="L24" s="114">
        <f t="shared" si="15"/>
        <v>371354.36108698376</v>
      </c>
      <c r="M24" s="110">
        <f t="shared" si="11"/>
        <v>757654.07096469961</v>
      </c>
      <c r="N24" s="111">
        <f t="shared" si="11"/>
        <v>1146094.365921271</v>
      </c>
      <c r="O24" s="115">
        <f t="shared" si="11"/>
        <v>415564.21875328373</v>
      </c>
    </row>
    <row r="25" spans="1:19" x14ac:dyDescent="0.25">
      <c r="A25" s="165" t="s">
        <v>7</v>
      </c>
      <c r="B25" s="110">
        <f t="shared" ref="B25:C25" si="16">((B32/SUM(B$29:B$32))*B$16)+((B32/SUM(B$28:B$32))*B$17)+((B32/SUM(B$28:B$32))*B$18)</f>
        <v>24558.329714386022</v>
      </c>
      <c r="C25" s="114">
        <f t="shared" si="16"/>
        <v>4597.8354210959724</v>
      </c>
      <c r="D25" s="114">
        <f t="shared" si="9"/>
        <v>11312.677650524363</v>
      </c>
      <c r="E25" s="114">
        <f t="shared" si="9"/>
        <v>82218.352843846136</v>
      </c>
      <c r="F25" s="114">
        <f t="shared" si="9"/>
        <v>33513.58902053925</v>
      </c>
      <c r="G25" s="114">
        <f t="shared" si="9"/>
        <v>68890.411467999074</v>
      </c>
      <c r="H25" s="114">
        <f t="shared" si="9"/>
        <v>101302.93362394979</v>
      </c>
      <c r="I25" s="114">
        <f t="shared" si="9"/>
        <v>92618.991284194373</v>
      </c>
      <c r="J25" s="114">
        <f t="shared" si="9"/>
        <v>147556.75431517945</v>
      </c>
      <c r="K25" s="114">
        <f t="shared" ref="K25:L25" si="17">((K32/SUM(K$29:K$32))*K$16)+((K32/SUM(K$28:K$32))*K$17)+((K32/SUM(K$28:K$32))*K$18)</f>
        <v>263328.50825273455</v>
      </c>
      <c r="L25" s="114">
        <f t="shared" si="17"/>
        <v>171828.568113888</v>
      </c>
      <c r="M25" s="110">
        <f t="shared" si="11"/>
        <v>354099.20319639944</v>
      </c>
      <c r="N25" s="111">
        <f t="shared" si="11"/>
        <v>513795.04917451681</v>
      </c>
      <c r="O25" s="115">
        <f t="shared" si="11"/>
        <v>176263.11836060317</v>
      </c>
    </row>
    <row r="26" spans="1:19" x14ac:dyDescent="0.25">
      <c r="B26" s="100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8"/>
      <c r="N26" s="99"/>
      <c r="O26" s="102"/>
    </row>
    <row r="27" spans="1:19" x14ac:dyDescent="0.25">
      <c r="A27" s="165" t="s">
        <v>85</v>
      </c>
      <c r="B27" s="100"/>
      <c r="C27" s="99"/>
      <c r="D27" s="103" t="s">
        <v>86</v>
      </c>
      <c r="E27" s="99"/>
      <c r="F27" s="99"/>
      <c r="G27" s="99"/>
      <c r="H27" s="99"/>
      <c r="I27" s="99"/>
      <c r="J27" s="99"/>
      <c r="K27" s="99"/>
      <c r="L27" s="99"/>
      <c r="M27" s="98"/>
      <c r="N27" s="99"/>
      <c r="O27" s="102"/>
    </row>
    <row r="28" spans="1:19" x14ac:dyDescent="0.25">
      <c r="A28" s="49" t="s">
        <v>0</v>
      </c>
      <c r="B28" s="142">
        <v>1263779046</v>
      </c>
      <c r="C28" s="241">
        <v>1395672993</v>
      </c>
      <c r="D28" s="109">
        <v>1407530571</v>
      </c>
      <c r="E28" s="109">
        <v>1268128455</v>
      </c>
      <c r="F28" s="109">
        <v>872933544</v>
      </c>
      <c r="G28" s="109">
        <v>738196558</v>
      </c>
      <c r="H28" s="109">
        <v>978975302</v>
      </c>
      <c r="I28" s="109">
        <v>1243909773</v>
      </c>
      <c r="J28" s="109">
        <v>1310015315</v>
      </c>
      <c r="K28" s="109">
        <v>1208033233</v>
      </c>
      <c r="L28" s="179">
        <v>993546162</v>
      </c>
      <c r="M28" s="221">
        <v>822537995.55853176</v>
      </c>
      <c r="N28" s="222">
        <v>1183795801.0212228</v>
      </c>
      <c r="O28" s="223">
        <v>1547634380.0777879</v>
      </c>
      <c r="P28" s="143"/>
      <c r="Q28" s="52"/>
      <c r="S28" s="52"/>
    </row>
    <row r="29" spans="1:19" x14ac:dyDescent="0.25">
      <c r="A29" s="49" t="s">
        <v>4</v>
      </c>
      <c r="B29" s="142">
        <v>291652347</v>
      </c>
      <c r="C29" s="241">
        <v>307968093</v>
      </c>
      <c r="D29" s="109">
        <v>308068267</v>
      </c>
      <c r="E29" s="109">
        <v>290178959</v>
      </c>
      <c r="F29" s="109">
        <v>235096003</v>
      </c>
      <c r="G29" s="109">
        <v>221772499</v>
      </c>
      <c r="H29" s="109">
        <v>258735845</v>
      </c>
      <c r="I29" s="109">
        <v>295975497</v>
      </c>
      <c r="J29" s="109">
        <v>304175879</v>
      </c>
      <c r="K29" s="109">
        <v>293549572</v>
      </c>
      <c r="L29" s="179">
        <v>264736629</v>
      </c>
      <c r="M29" s="221">
        <v>230665248.98678535</v>
      </c>
      <c r="N29" s="222">
        <v>274848297.19308329</v>
      </c>
      <c r="O29" s="223">
        <v>332076513.08273435</v>
      </c>
      <c r="P29" s="143"/>
      <c r="Q29" s="52"/>
      <c r="S29" s="52"/>
    </row>
    <row r="30" spans="1:19" x14ac:dyDescent="0.25">
      <c r="A30" s="49" t="s">
        <v>5</v>
      </c>
      <c r="B30" s="142">
        <v>635010680</v>
      </c>
      <c r="C30" s="241">
        <v>645753087</v>
      </c>
      <c r="D30" s="109">
        <v>624256369</v>
      </c>
      <c r="E30" s="109">
        <v>599641261</v>
      </c>
      <c r="F30" s="109">
        <v>546450417</v>
      </c>
      <c r="G30" s="109">
        <v>548775486</v>
      </c>
      <c r="H30" s="109">
        <v>609609142</v>
      </c>
      <c r="I30" s="109">
        <v>656813642</v>
      </c>
      <c r="J30" s="109">
        <v>671886437</v>
      </c>
      <c r="K30" s="109">
        <v>678219627</v>
      </c>
      <c r="L30" s="179">
        <v>622550219</v>
      </c>
      <c r="M30" s="221">
        <v>556188606.25652254</v>
      </c>
      <c r="N30" s="222">
        <v>604001084.67424202</v>
      </c>
      <c r="O30" s="223">
        <v>670079854.90516186</v>
      </c>
      <c r="P30" s="143"/>
      <c r="Q30" s="52"/>
      <c r="S30" s="52"/>
    </row>
    <row r="31" spans="1:19" x14ac:dyDescent="0.25">
      <c r="A31" s="49" t="s">
        <v>6</v>
      </c>
      <c r="B31" s="142">
        <v>291933586</v>
      </c>
      <c r="C31" s="241">
        <v>252980562</v>
      </c>
      <c r="D31" s="109">
        <v>248710812</v>
      </c>
      <c r="E31" s="109">
        <v>242499726</v>
      </c>
      <c r="F31" s="109">
        <v>232539680</v>
      </c>
      <c r="G31" s="109">
        <v>229224298</v>
      </c>
      <c r="H31" s="109">
        <v>266349220</v>
      </c>
      <c r="I31" s="109">
        <v>267674678</v>
      </c>
      <c r="J31" s="109">
        <v>281003685</v>
      </c>
      <c r="K31" s="109">
        <v>279302255</v>
      </c>
      <c r="L31" s="179">
        <v>258807768</v>
      </c>
      <c r="M31" s="221">
        <v>241751673.50793245</v>
      </c>
      <c r="N31" s="222">
        <v>248620430.51402155</v>
      </c>
      <c r="O31" s="223">
        <v>266362061.63859347</v>
      </c>
      <c r="P31" s="143"/>
      <c r="Q31" s="52"/>
      <c r="S31" s="52"/>
    </row>
    <row r="32" spans="1:19" x14ac:dyDescent="0.25">
      <c r="A32" s="49" t="s">
        <v>7</v>
      </c>
      <c r="B32" s="142">
        <v>135972391</v>
      </c>
      <c r="C32" s="241">
        <v>101960146</v>
      </c>
      <c r="D32" s="109">
        <v>96075286</v>
      </c>
      <c r="E32" s="109">
        <v>99309923</v>
      </c>
      <c r="F32" s="109">
        <v>98876748</v>
      </c>
      <c r="G32" s="109">
        <v>96480454</v>
      </c>
      <c r="H32" s="109">
        <v>121526151</v>
      </c>
      <c r="I32" s="109">
        <v>113123855</v>
      </c>
      <c r="J32" s="109">
        <v>125262874</v>
      </c>
      <c r="K32" s="109">
        <v>126945040</v>
      </c>
      <c r="L32" s="179">
        <v>119752379</v>
      </c>
      <c r="M32" s="221">
        <v>112985699.2011641</v>
      </c>
      <c r="N32" s="222">
        <v>111456743.98203622</v>
      </c>
      <c r="O32" s="223">
        <v>112978465.12923987</v>
      </c>
      <c r="P32" s="143"/>
      <c r="Q32" s="52"/>
      <c r="S32" s="52"/>
    </row>
    <row r="33" spans="1:17" x14ac:dyDescent="0.25">
      <c r="B33" s="100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8"/>
      <c r="N33" s="99"/>
      <c r="O33" s="102"/>
    </row>
    <row r="34" spans="1:17" x14ac:dyDescent="0.25">
      <c r="A34" s="165" t="s">
        <v>87</v>
      </c>
      <c r="B34" s="100"/>
      <c r="C34" s="99"/>
      <c r="D34" s="103" t="s">
        <v>68</v>
      </c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102"/>
      <c r="P34" s="116" t="s">
        <v>104</v>
      </c>
      <c r="Q34" s="49"/>
    </row>
    <row r="35" spans="1:17" x14ac:dyDescent="0.25">
      <c r="A35" s="49" t="str">
        <f>A28</f>
        <v>RES</v>
      </c>
      <c r="B35" s="94">
        <v>0</v>
      </c>
      <c r="C35" s="95">
        <v>0</v>
      </c>
      <c r="D35" s="95">
        <v>0</v>
      </c>
      <c r="E35" s="95">
        <v>0</v>
      </c>
      <c r="F35" s="95">
        <v>0</v>
      </c>
      <c r="G35" s="95">
        <v>289499.78000000003</v>
      </c>
      <c r="H35" s="95">
        <v>3493862.36</v>
      </c>
      <c r="I35" s="95">
        <v>4445139.01</v>
      </c>
      <c r="J35" s="95">
        <v>4681976.07</v>
      </c>
      <c r="K35" s="95">
        <v>4319414.5</v>
      </c>
      <c r="L35" s="95">
        <v>3549657.98</v>
      </c>
      <c r="M35" s="110">
        <f>M28*$P35+M49</f>
        <v>2924901.6406458365</v>
      </c>
      <c r="N35" s="111">
        <f t="shared" ref="N35:O35" si="18">N28*$P35+N49</f>
        <v>4209515.304208505</v>
      </c>
      <c r="O35" s="115">
        <f t="shared" si="18"/>
        <v>5503306.0622757645</v>
      </c>
      <c r="P35" s="105">
        <v>3.679E-3</v>
      </c>
      <c r="Q35" s="49"/>
    </row>
    <row r="36" spans="1:17" x14ac:dyDescent="0.25">
      <c r="A36" s="49" t="str">
        <f>A29</f>
        <v>SGS</v>
      </c>
      <c r="B36" s="94">
        <v>0</v>
      </c>
      <c r="C36" s="95">
        <v>0</v>
      </c>
      <c r="D36" s="95">
        <v>0</v>
      </c>
      <c r="E36" s="95">
        <v>0</v>
      </c>
      <c r="F36" s="95">
        <v>0</v>
      </c>
      <c r="G36" s="95">
        <v>44896.13</v>
      </c>
      <c r="H36" s="95">
        <v>580328.65</v>
      </c>
      <c r="I36" s="95">
        <v>664135.86</v>
      </c>
      <c r="J36" s="95">
        <v>682667.24</v>
      </c>
      <c r="K36" s="95">
        <v>659188.43000000005</v>
      </c>
      <c r="L36" s="95">
        <v>593334.67000000004</v>
      </c>
      <c r="M36" s="110">
        <f>M29*$P36</f>
        <v>518304.81447330664</v>
      </c>
      <c r="N36" s="111">
        <f t="shared" ref="M36:O39" si="19">N29*$P36</f>
        <v>617584.1237928581</v>
      </c>
      <c r="O36" s="115">
        <f t="shared" si="19"/>
        <v>746175.92489690403</v>
      </c>
      <c r="P36" s="105">
        <v>2.2469999999999999E-3</v>
      </c>
      <c r="Q36" s="49"/>
    </row>
    <row r="37" spans="1:17" x14ac:dyDescent="0.25">
      <c r="A37" s="49" t="str">
        <f>A30</f>
        <v>LGS</v>
      </c>
      <c r="B37" s="94">
        <v>0</v>
      </c>
      <c r="C37" s="95">
        <v>0</v>
      </c>
      <c r="D37" s="95">
        <v>0</v>
      </c>
      <c r="E37" s="95">
        <v>0</v>
      </c>
      <c r="F37" s="95">
        <v>0</v>
      </c>
      <c r="G37" s="95">
        <v>87272.5</v>
      </c>
      <c r="H37" s="95">
        <v>1364606.7</v>
      </c>
      <c r="I37" s="95">
        <v>1475091.82</v>
      </c>
      <c r="J37" s="95">
        <v>1510112.96</v>
      </c>
      <c r="K37" s="95">
        <v>1524107.45</v>
      </c>
      <c r="L37" s="95">
        <v>1400188.8</v>
      </c>
      <c r="M37" s="110">
        <f>M30*$P37</f>
        <v>1249755.7982584061</v>
      </c>
      <c r="N37" s="111">
        <f t="shared" si="19"/>
        <v>1357190.4372630217</v>
      </c>
      <c r="O37" s="115">
        <f t="shared" si="19"/>
        <v>1505669.4339718986</v>
      </c>
      <c r="P37" s="105">
        <v>2.2469999999999999E-3</v>
      </c>
      <c r="Q37" s="49"/>
    </row>
    <row r="38" spans="1:17" x14ac:dyDescent="0.25">
      <c r="A38" s="49" t="str">
        <f>A31</f>
        <v>SPS</v>
      </c>
      <c r="B38" s="94">
        <v>0</v>
      </c>
      <c r="C38" s="95">
        <v>0</v>
      </c>
      <c r="D38" s="95">
        <v>0</v>
      </c>
      <c r="E38" s="95">
        <v>0</v>
      </c>
      <c r="F38" s="95">
        <v>0</v>
      </c>
      <c r="G38" s="95">
        <v>31340.22</v>
      </c>
      <c r="H38" s="95">
        <v>530881.18000000005</v>
      </c>
      <c r="I38" s="95">
        <v>601464.24</v>
      </c>
      <c r="J38" s="95">
        <v>631415.18999999994</v>
      </c>
      <c r="K38" s="95">
        <v>627574.68000000005</v>
      </c>
      <c r="L38" s="95">
        <v>581541.01</v>
      </c>
      <c r="M38" s="110">
        <f t="shared" si="19"/>
        <v>543216.01037232415</v>
      </c>
      <c r="N38" s="111">
        <f t="shared" si="19"/>
        <v>558650.10736500635</v>
      </c>
      <c r="O38" s="115">
        <f t="shared" si="19"/>
        <v>598515.55250191945</v>
      </c>
      <c r="P38" s="105">
        <v>2.2469999999999999E-3</v>
      </c>
      <c r="Q38" s="49"/>
    </row>
    <row r="39" spans="1:17" x14ac:dyDescent="0.25">
      <c r="A39" s="49" t="str">
        <f>A32</f>
        <v>LPS</v>
      </c>
      <c r="B39" s="94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161719.88</v>
      </c>
      <c r="I39" s="95">
        <v>254189.3</v>
      </c>
      <c r="J39" s="95">
        <v>281465.65999999997</v>
      </c>
      <c r="K39" s="95">
        <v>285245.49</v>
      </c>
      <c r="L39" s="95">
        <v>269083.57</v>
      </c>
      <c r="M39" s="110">
        <f t="shared" si="19"/>
        <v>253878.86610501571</v>
      </c>
      <c r="N39" s="111">
        <f t="shared" si="19"/>
        <v>250443.30372763536</v>
      </c>
      <c r="O39" s="115">
        <f t="shared" si="19"/>
        <v>253862.61114540198</v>
      </c>
      <c r="P39" s="105">
        <v>2.2469999999999999E-3</v>
      </c>
      <c r="Q39" s="49"/>
    </row>
    <row r="40" spans="1:17" x14ac:dyDescent="0.25">
      <c r="A40" s="49"/>
      <c r="B40" s="100"/>
      <c r="C40" s="108"/>
      <c r="D40" s="99"/>
      <c r="E40" s="108"/>
      <c r="F40" s="108"/>
      <c r="G40" s="108"/>
      <c r="H40" s="108"/>
      <c r="I40" s="108"/>
      <c r="J40" s="108"/>
      <c r="K40" s="108"/>
      <c r="L40" s="108"/>
      <c r="M40" s="98"/>
      <c r="N40" s="99"/>
      <c r="O40" s="102"/>
    </row>
    <row r="41" spans="1:17" x14ac:dyDescent="0.25">
      <c r="A41" s="49" t="s">
        <v>102</v>
      </c>
      <c r="B41" s="211"/>
      <c r="C41" s="205"/>
      <c r="D41" s="103"/>
      <c r="E41" s="99"/>
      <c r="F41" s="99"/>
      <c r="G41" s="99"/>
      <c r="H41" s="99"/>
      <c r="I41" s="99"/>
      <c r="J41" s="99"/>
      <c r="K41" s="99"/>
      <c r="L41" s="99"/>
      <c r="M41" s="98"/>
      <c r="N41" s="99"/>
      <c r="O41" s="102"/>
    </row>
    <row r="42" spans="1:17" x14ac:dyDescent="0.25">
      <c r="A42" s="165" t="s">
        <v>0</v>
      </c>
      <c r="B42" s="110">
        <v>0</v>
      </c>
      <c r="C42" s="114">
        <v>0</v>
      </c>
      <c r="D42" s="114">
        <v>0</v>
      </c>
      <c r="E42" s="114">
        <v>0</v>
      </c>
      <c r="F42" s="114">
        <v>0</v>
      </c>
      <c r="G42" s="137">
        <f>+(G35-G49)+(G49*G35/SUM(G35:G39))</f>
        <v>292936.79327111586</v>
      </c>
      <c r="H42" s="114">
        <f t="shared" ref="H42:O42" si="20">+(H35-H49)+(H49*H35/SUM(H35:H39))</f>
        <v>3538896.3481180966</v>
      </c>
      <c r="I42" s="114">
        <f t="shared" si="20"/>
        <v>4496813.2826818805</v>
      </c>
      <c r="J42" s="114">
        <f t="shared" ref="J42:L42" si="21">+(J35-J49)+(J49*J35/SUM(J35:J39))</f>
        <v>4736497.0106670661</v>
      </c>
      <c r="K42" s="114">
        <f t="shared" si="21"/>
        <v>4371395.2080604704</v>
      </c>
      <c r="L42" s="114">
        <f t="shared" si="21"/>
        <v>3596564.2038589981</v>
      </c>
      <c r="M42" s="110">
        <f>+(M35-M49)+(M49*M35/SUM(M35:M39))</f>
        <v>2972193.2919457136</v>
      </c>
      <c r="N42" s="114">
        <f t="shared" si="20"/>
        <v>4267502.1889655292</v>
      </c>
      <c r="O42" s="115">
        <f t="shared" si="20"/>
        <v>5571986.7300063325</v>
      </c>
    </row>
    <row r="43" spans="1:17" x14ac:dyDescent="0.25">
      <c r="A43" s="165" t="s">
        <v>4</v>
      </c>
      <c r="B43" s="110">
        <v>0</v>
      </c>
      <c r="C43" s="114">
        <v>0</v>
      </c>
      <c r="D43" s="114">
        <v>0</v>
      </c>
      <c r="E43" s="114">
        <v>0</v>
      </c>
      <c r="F43" s="114">
        <v>0</v>
      </c>
      <c r="G43" s="114">
        <f t="shared" ref="G43:O43" si="22">+G36+(G49*G36/SUM(G35:G39))</f>
        <v>43952.397629356201</v>
      </c>
      <c r="H43" s="114">
        <f t="shared" si="22"/>
        <v>570419.96649155463</v>
      </c>
      <c r="I43" s="114">
        <f t="shared" si="22"/>
        <v>652676.72856658197</v>
      </c>
      <c r="J43" s="114">
        <f t="shared" ref="J43:L43" si="23">+J36+(J49*J36/SUM(J35:J39))</f>
        <v>670682.78339376801</v>
      </c>
      <c r="K43" s="114">
        <f t="shared" si="23"/>
        <v>648121.31210670609</v>
      </c>
      <c r="L43" s="114">
        <f t="shared" si="23"/>
        <v>583549.28317587718</v>
      </c>
      <c r="M43" s="110">
        <f t="shared" si="22"/>
        <v>508749.2570592502</v>
      </c>
      <c r="N43" s="114">
        <f t="shared" si="22"/>
        <v>604720.08721769473</v>
      </c>
      <c r="O43" s="115">
        <f t="shared" si="22"/>
        <v>729666.84931176226</v>
      </c>
    </row>
    <row r="44" spans="1:17" x14ac:dyDescent="0.25">
      <c r="A44" s="165" t="s">
        <v>5</v>
      </c>
      <c r="B44" s="110">
        <v>0</v>
      </c>
      <c r="C44" s="114">
        <v>0</v>
      </c>
      <c r="D44" s="114">
        <v>0</v>
      </c>
      <c r="E44" s="114">
        <v>0</v>
      </c>
      <c r="F44" s="114">
        <v>0</v>
      </c>
      <c r="G44" s="114">
        <f t="shared" ref="G44:O44" si="24">+G37+(G49*G37/SUM(G35:G39))</f>
        <v>85438.001496075245</v>
      </c>
      <c r="H44" s="114">
        <f t="shared" si="24"/>
        <v>1341307.04746035</v>
      </c>
      <c r="I44" s="114">
        <f t="shared" si="24"/>
        <v>1449640.2941002545</v>
      </c>
      <c r="J44" s="114">
        <f t="shared" ref="J44:L44" si="25">+J37+(J49*J37/SUM(J35:J39))</f>
        <v>1483602.4111129192</v>
      </c>
      <c r="K44" s="114">
        <f t="shared" si="25"/>
        <v>1498519.202294867</v>
      </c>
      <c r="L44" s="114">
        <f t="shared" si="25"/>
        <v>1377096.6233119187</v>
      </c>
      <c r="M44" s="110">
        <f t="shared" si="24"/>
        <v>1226715.083701387</v>
      </c>
      <c r="N44" s="114">
        <f t="shared" si="24"/>
        <v>1328920.6894638226</v>
      </c>
      <c r="O44" s="115">
        <f t="shared" si="24"/>
        <v>1472356.6324430713</v>
      </c>
    </row>
    <row r="45" spans="1:17" x14ac:dyDescent="0.25">
      <c r="A45" s="165" t="s">
        <v>6</v>
      </c>
      <c r="B45" s="110">
        <v>0</v>
      </c>
      <c r="C45" s="114">
        <v>0</v>
      </c>
      <c r="D45" s="114">
        <v>0</v>
      </c>
      <c r="E45" s="114">
        <v>0</v>
      </c>
      <c r="F45" s="114">
        <v>0</v>
      </c>
      <c r="G45" s="114">
        <f t="shared" ref="G45:O45" si="26">+G38+(G49*G38/SUM(G35:G39))</f>
        <v>30681.437603452723</v>
      </c>
      <c r="H45" s="114">
        <f t="shared" si="26"/>
        <v>521816.7755574311</v>
      </c>
      <c r="I45" s="114">
        <f t="shared" si="26"/>
        <v>591086.4570887431</v>
      </c>
      <c r="J45" s="114">
        <f t="shared" ref="J45:L45" si="27">+J38+(J49*J38/SUM(J35:J39))</f>
        <v>620330.48063988669</v>
      </c>
      <c r="K45" s="114">
        <f t="shared" si="27"/>
        <v>617038.32551573485</v>
      </c>
      <c r="L45" s="114">
        <f t="shared" si="27"/>
        <v>571950.12643180881</v>
      </c>
      <c r="M45" s="110">
        <f t="shared" si="26"/>
        <v>533201.18583201547</v>
      </c>
      <c r="N45" s="114">
        <f t="shared" si="26"/>
        <v>547013.64338059095</v>
      </c>
      <c r="O45" s="115">
        <f t="shared" si="26"/>
        <v>585273.44944625965</v>
      </c>
    </row>
    <row r="46" spans="1:17" x14ac:dyDescent="0.25">
      <c r="A46" s="165" t="s">
        <v>7</v>
      </c>
      <c r="B46" s="110">
        <v>0</v>
      </c>
      <c r="C46" s="114">
        <v>0</v>
      </c>
      <c r="D46" s="114">
        <v>0</v>
      </c>
      <c r="E46" s="114">
        <v>0</v>
      </c>
      <c r="F46" s="114">
        <v>0</v>
      </c>
      <c r="G46" s="114">
        <f t="shared" ref="G46:O46" si="28">+G39+(G49*G39/SUM(G35:G39))</f>
        <v>0</v>
      </c>
      <c r="H46" s="114">
        <f t="shared" si="28"/>
        <v>158958.63237256723</v>
      </c>
      <c r="I46" s="114">
        <f t="shared" si="28"/>
        <v>249803.46756253979</v>
      </c>
      <c r="J46" s="114">
        <f t="shared" ref="J46:L46" si="29">+J39+(J49*J39/SUM(J35:J39))</f>
        <v>276524.43418635987</v>
      </c>
      <c r="K46" s="114">
        <f t="shared" si="29"/>
        <v>280456.50202222192</v>
      </c>
      <c r="L46" s="114">
        <f t="shared" si="29"/>
        <v>264645.79322139721</v>
      </c>
      <c r="M46" s="110">
        <f t="shared" si="28"/>
        <v>249198.31131652268</v>
      </c>
      <c r="N46" s="114">
        <f t="shared" si="28"/>
        <v>245226.66732938879</v>
      </c>
      <c r="O46" s="115">
        <f t="shared" si="28"/>
        <v>248245.92358446258</v>
      </c>
    </row>
    <row r="47" spans="1:17" s="49" customFormat="1" x14ac:dyDescent="0.25">
      <c r="B47" s="212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00"/>
      <c r="N47" s="99"/>
      <c r="O47" s="102"/>
    </row>
    <row r="48" spans="1:17" x14ac:dyDescent="0.25">
      <c r="A48" s="49" t="s">
        <v>103</v>
      </c>
      <c r="B48" s="211"/>
      <c r="C48" s="205"/>
      <c r="D48" s="103" t="s">
        <v>86</v>
      </c>
      <c r="E48" s="99"/>
      <c r="F48" s="99"/>
      <c r="G48" s="99"/>
      <c r="H48" s="99"/>
      <c r="I48" s="99"/>
      <c r="J48" s="99"/>
      <c r="K48" s="99"/>
      <c r="L48" s="99"/>
      <c r="M48" s="98"/>
      <c r="N48" s="99"/>
      <c r="O48" s="102"/>
      <c r="P48" s="194"/>
      <c r="Q48" s="49"/>
    </row>
    <row r="49" spans="1:17" x14ac:dyDescent="0.25">
      <c r="A49" s="49" t="str">
        <f>A35</f>
        <v>RES</v>
      </c>
      <c r="B49" s="94">
        <v>0</v>
      </c>
      <c r="C49" s="95">
        <v>0</v>
      </c>
      <c r="D49" s="95">
        <v>0</v>
      </c>
      <c r="E49" s="95">
        <v>0</v>
      </c>
      <c r="F49" s="95">
        <v>0</v>
      </c>
      <c r="G49" s="95">
        <v>-9522.4</v>
      </c>
      <c r="H49" s="95">
        <v>-104689.11000000002</v>
      </c>
      <c r="I49" s="95">
        <v>-128371.58</v>
      </c>
      <c r="J49" s="95">
        <v>-136714.63</v>
      </c>
      <c r="K49" s="95">
        <v>-124499.38</v>
      </c>
      <c r="L49" s="95">
        <v>-105447.85</v>
      </c>
      <c r="M49" s="110">
        <f>-(M28*$P$35*PPC!$B$14)</f>
        <v>-101215.64501400183</v>
      </c>
      <c r="N49" s="114">
        <f>-(N28*$P$35*PPC!$B$14)</f>
        <v>-145669.44774857361</v>
      </c>
      <c r="O49" s="115">
        <f>-(O28*$P$35*PPC!$B$14)</f>
        <v>-190440.82203041686</v>
      </c>
      <c r="P49" s="207"/>
      <c r="Q49" s="49"/>
    </row>
    <row r="50" spans="1:17" x14ac:dyDescent="0.25">
      <c r="A50" s="49"/>
      <c r="B50" s="100"/>
      <c r="C50" s="108"/>
      <c r="D50" s="103" t="s">
        <v>68</v>
      </c>
      <c r="E50" s="108"/>
      <c r="F50" s="108"/>
      <c r="G50" s="108"/>
      <c r="H50" s="108"/>
      <c r="I50" s="108"/>
      <c r="J50" s="108"/>
      <c r="K50" s="108"/>
      <c r="L50" s="108"/>
      <c r="M50" s="107"/>
      <c r="N50" s="108"/>
      <c r="O50" s="102"/>
    </row>
    <row r="51" spans="1:17" ht="15.75" thickBot="1" x14ac:dyDescent="0.3">
      <c r="A51" s="49" t="s">
        <v>92</v>
      </c>
      <c r="B51" s="295">
        <v>0</v>
      </c>
      <c r="C51" s="296">
        <v>0</v>
      </c>
      <c r="D51" s="296">
        <v>0</v>
      </c>
      <c r="E51" s="118">
        <v>9653.81</v>
      </c>
      <c r="F51" s="118">
        <v>12438.97</v>
      </c>
      <c r="G51" s="118">
        <v>17431.88</v>
      </c>
      <c r="H51" s="118">
        <v>10576.06</v>
      </c>
      <c r="I51" s="118">
        <v>2521.9899999999998</v>
      </c>
      <c r="J51" s="118">
        <v>-1864.05</v>
      </c>
      <c r="K51" s="118">
        <v>-6842.24</v>
      </c>
      <c r="L51" s="118">
        <v>-9531.39</v>
      </c>
      <c r="M51" s="96">
        <v>-7011.87</v>
      </c>
      <c r="N51" s="97">
        <v>1102.7</v>
      </c>
      <c r="O51" s="152">
        <v>-6742.42</v>
      </c>
      <c r="P51" s="49"/>
    </row>
    <row r="52" spans="1:17" x14ac:dyDescent="0.25"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6"/>
      <c r="N52" s="147"/>
      <c r="O52" s="148"/>
    </row>
    <row r="53" spans="1:17" x14ac:dyDescent="0.25">
      <c r="A53" s="165" t="s">
        <v>69</v>
      </c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8"/>
      <c r="N53" s="99"/>
      <c r="O53" s="102"/>
    </row>
    <row r="54" spans="1:17" x14ac:dyDescent="0.25">
      <c r="A54" s="165" t="s">
        <v>0</v>
      </c>
      <c r="B54" s="110">
        <f>B21-B42</f>
        <v>228254.44393193189</v>
      </c>
      <c r="C54" s="114">
        <f t="shared" ref="B54:O58" si="30">C21-C42</f>
        <v>62937.088413765421</v>
      </c>
      <c r="D54" s="114">
        <f>D21-D42</f>
        <v>155679.80049587399</v>
      </c>
      <c r="E54" s="114">
        <f>E21-E42</f>
        <v>2234853.5039376202</v>
      </c>
      <c r="F54" s="114">
        <f t="shared" si="30"/>
        <v>1064455.8198546122</v>
      </c>
      <c r="G54" s="114">
        <f t="shared" si="30"/>
        <v>1571110.8916524174</v>
      </c>
      <c r="H54" s="114">
        <f t="shared" si="30"/>
        <v>-1496056.2334118236</v>
      </c>
      <c r="I54" s="114">
        <f t="shared" si="30"/>
        <v>-1781992.0652849274</v>
      </c>
      <c r="J54" s="114">
        <f t="shared" si="30"/>
        <v>-697404.28846486472</v>
      </c>
      <c r="K54" s="114">
        <f t="shared" ref="K54:L54" si="31">K21-K42</f>
        <v>-2564843.6628630599</v>
      </c>
      <c r="L54" s="114">
        <f t="shared" si="31"/>
        <v>-719118.35094568925</v>
      </c>
      <c r="M54" s="110">
        <f>M21-M42</f>
        <v>379862.10783895478</v>
      </c>
      <c r="N54" s="114">
        <f t="shared" si="30"/>
        <v>1628008.2385399211</v>
      </c>
      <c r="O54" s="115">
        <f t="shared" si="30"/>
        <v>-3574276.9155501509</v>
      </c>
    </row>
    <row r="55" spans="1:17" x14ac:dyDescent="0.25">
      <c r="A55" s="165" t="s">
        <v>4</v>
      </c>
      <c r="B55" s="110">
        <f t="shared" si="30"/>
        <v>52676.094366837482</v>
      </c>
      <c r="C55" s="114">
        <f t="shared" si="30"/>
        <v>13887.647890998298</v>
      </c>
      <c r="D55" s="114">
        <f t="shared" si="30"/>
        <v>36274.43793325447</v>
      </c>
      <c r="E55" s="114">
        <f t="shared" si="30"/>
        <v>240238.18887586851</v>
      </c>
      <c r="F55" s="114">
        <f t="shared" si="30"/>
        <v>79684.162194669494</v>
      </c>
      <c r="G55" s="114">
        <f t="shared" si="30"/>
        <v>114400.90684821612</v>
      </c>
      <c r="H55" s="114">
        <f t="shared" si="30"/>
        <v>-354740.46116293146</v>
      </c>
      <c r="I55" s="114">
        <f t="shared" si="30"/>
        <v>-410349.83847803174</v>
      </c>
      <c r="J55" s="114">
        <f t="shared" si="30"/>
        <v>-312370.66733768303</v>
      </c>
      <c r="K55" s="114">
        <f t="shared" ref="K55:L55" si="32">K22-K43</f>
        <v>-39196.608211314189</v>
      </c>
      <c r="L55" s="114">
        <f t="shared" si="32"/>
        <v>-203687.80344387447</v>
      </c>
      <c r="M55" s="110">
        <f t="shared" si="30"/>
        <v>214159.76106256031</v>
      </c>
      <c r="N55" s="114">
        <f t="shared" si="30"/>
        <v>662279.91050889005</v>
      </c>
      <c r="O55" s="115">
        <f t="shared" si="30"/>
        <v>-211578.36525136448</v>
      </c>
    </row>
    <row r="56" spans="1:17" x14ac:dyDescent="0.25">
      <c r="A56" s="165" t="s">
        <v>5</v>
      </c>
      <c r="B56" s="110">
        <f t="shared" si="30"/>
        <v>114690.94230751944</v>
      </c>
      <c r="C56" s="114">
        <f t="shared" si="30"/>
        <v>29119.872157604295</v>
      </c>
      <c r="D56" s="114">
        <f t="shared" si="30"/>
        <v>73504.970610067088</v>
      </c>
      <c r="E56" s="114">
        <f t="shared" si="30"/>
        <v>496440.99287668185</v>
      </c>
      <c r="F56" s="114">
        <f t="shared" si="30"/>
        <v>185215.58471401481</v>
      </c>
      <c r="G56" s="114">
        <f t="shared" si="30"/>
        <v>306406.84859232884</v>
      </c>
      <c r="H56" s="114">
        <f t="shared" si="30"/>
        <v>-833143.21654482151</v>
      </c>
      <c r="I56" s="114">
        <f t="shared" si="30"/>
        <v>-911880.8888559941</v>
      </c>
      <c r="J56" s="114">
        <f t="shared" si="30"/>
        <v>-692135.80375956825</v>
      </c>
      <c r="K56" s="114">
        <f t="shared" ref="K56:L56" si="33">K23-K44</f>
        <v>-91653.974274646258</v>
      </c>
      <c r="L56" s="114">
        <f t="shared" si="33"/>
        <v>-483820.73515810247</v>
      </c>
      <c r="M56" s="110">
        <f t="shared" si="30"/>
        <v>516389.96140436921</v>
      </c>
      <c r="N56" s="114">
        <f t="shared" si="30"/>
        <v>1455412.9983360004</v>
      </c>
      <c r="O56" s="115">
        <f t="shared" si="30"/>
        <v>-426932.93474020448</v>
      </c>
    </row>
    <row r="57" spans="1:17" x14ac:dyDescent="0.25">
      <c r="A57" s="165" t="s">
        <v>6</v>
      </c>
      <c r="B57" s="110">
        <f t="shared" si="30"/>
        <v>52726.889679325177</v>
      </c>
      <c r="C57" s="114">
        <f t="shared" si="30"/>
        <v>11408.01611653602</v>
      </c>
      <c r="D57" s="114">
        <f t="shared" si="30"/>
        <v>29285.213310280094</v>
      </c>
      <c r="E57" s="114">
        <f t="shared" si="30"/>
        <v>200764.71146598319</v>
      </c>
      <c r="F57" s="114">
        <f t="shared" si="30"/>
        <v>78817.714216164459</v>
      </c>
      <c r="G57" s="114">
        <f t="shared" si="30"/>
        <v>132992.71143903869</v>
      </c>
      <c r="H57" s="114">
        <f t="shared" si="30"/>
        <v>-299790.84013180569</v>
      </c>
      <c r="I57" s="114">
        <f t="shared" si="30"/>
        <v>-371930.57110270124</v>
      </c>
      <c r="J57" s="114">
        <f t="shared" si="30"/>
        <v>-289314.67056670354</v>
      </c>
      <c r="K57" s="114">
        <f t="shared" ref="K57:L57" si="34">K24-K45</f>
        <v>-37667.550881492672</v>
      </c>
      <c r="L57" s="114">
        <f t="shared" si="34"/>
        <v>-200595.76534482505</v>
      </c>
      <c r="M57" s="110">
        <f t="shared" si="30"/>
        <v>224452.88513268414</v>
      </c>
      <c r="N57" s="114">
        <f t="shared" si="30"/>
        <v>599080.72254068009</v>
      </c>
      <c r="O57" s="115">
        <f t="shared" si="30"/>
        <v>-169709.23069297592</v>
      </c>
    </row>
    <row r="58" spans="1:17" x14ac:dyDescent="0.25">
      <c r="A58" s="165" t="s">
        <v>7</v>
      </c>
      <c r="B58" s="110">
        <f t="shared" si="30"/>
        <v>24558.329714386022</v>
      </c>
      <c r="C58" s="114">
        <f t="shared" si="30"/>
        <v>4597.8354210959724</v>
      </c>
      <c r="D58" s="114">
        <f t="shared" si="30"/>
        <v>11312.677650524363</v>
      </c>
      <c r="E58" s="114">
        <f t="shared" si="30"/>
        <v>82218.352843846136</v>
      </c>
      <c r="F58" s="114">
        <f t="shared" si="30"/>
        <v>33513.58902053925</v>
      </c>
      <c r="G58" s="114">
        <f t="shared" si="30"/>
        <v>68890.411467999074</v>
      </c>
      <c r="H58" s="114">
        <f t="shared" si="30"/>
        <v>-57655.698748617433</v>
      </c>
      <c r="I58" s="114">
        <f t="shared" si="30"/>
        <v>-157184.47627834542</v>
      </c>
      <c r="J58" s="114">
        <f t="shared" si="30"/>
        <v>-128967.67987118041</v>
      </c>
      <c r="K58" s="114">
        <f t="shared" ref="K58:L58" si="35">K25-K46</f>
        <v>-17127.993769487366</v>
      </c>
      <c r="L58" s="114">
        <f t="shared" si="35"/>
        <v>-92817.225107509206</v>
      </c>
      <c r="M58" s="110">
        <f t="shared" si="30"/>
        <v>104900.89187987676</v>
      </c>
      <c r="N58" s="114">
        <f t="shared" si="30"/>
        <v>268568.38184512802</v>
      </c>
      <c r="O58" s="115">
        <f t="shared" si="30"/>
        <v>-71982.80522385941</v>
      </c>
    </row>
    <row r="59" spans="1:17" x14ac:dyDescent="0.25">
      <c r="B59" s="100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8"/>
      <c r="N59" s="99"/>
      <c r="O59" s="102"/>
    </row>
    <row r="60" spans="1:17" x14ac:dyDescent="0.25">
      <c r="A60" s="165" t="s">
        <v>70</v>
      </c>
      <c r="B60" s="100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8"/>
      <c r="N60" s="99"/>
      <c r="O60" s="102"/>
    </row>
    <row r="61" spans="1:17" x14ac:dyDescent="0.25">
      <c r="A61" s="165" t="s">
        <v>0</v>
      </c>
      <c r="B61" s="110">
        <f>B54</f>
        <v>228254.44393193189</v>
      </c>
      <c r="C61" s="114">
        <f t="shared" ref="C61:J65" si="36">B61+C54+B68</f>
        <v>291191.53234569728</v>
      </c>
      <c r="D61" s="114">
        <f t="shared" si="36"/>
        <v>446871.3328415713</v>
      </c>
      <c r="E61" s="114">
        <f t="shared" si="36"/>
        <v>2681724.8367791916</v>
      </c>
      <c r="F61" s="114">
        <f t="shared" si="36"/>
        <v>3752410.7839053418</v>
      </c>
      <c r="G61" s="114">
        <f t="shared" si="36"/>
        <v>5331846.630280518</v>
      </c>
      <c r="H61" s="114">
        <f t="shared" si="36"/>
        <v>3847686.46205694</v>
      </c>
      <c r="I61" s="114">
        <f t="shared" si="36"/>
        <v>2074191.5538074952</v>
      </c>
      <c r="J61" s="114">
        <f t="shared" si="36"/>
        <v>1381272.4781451612</v>
      </c>
      <c r="K61" s="114">
        <f t="shared" ref="K61:K65" si="37">J61+K54+J68</f>
        <v>-1180864.8230196571</v>
      </c>
      <c r="L61" s="114">
        <f t="shared" ref="L61:L65" si="38">K61+L54+K68</f>
        <v>-1902164.6937988526</v>
      </c>
      <c r="M61" s="110">
        <f t="shared" ref="M61:M65" si="39">L61+M54+L68</f>
        <v>-1525653.4583061407</v>
      </c>
      <c r="N61" s="114">
        <f>M61+N54+M68</f>
        <v>99667.173845093712</v>
      </c>
      <c r="O61" s="115">
        <f t="shared" ref="O61:O65" si="40">N61+O54+N68</f>
        <v>-3474434.1670149402</v>
      </c>
    </row>
    <row r="62" spans="1:17" x14ac:dyDescent="0.25">
      <c r="A62" s="165" t="s">
        <v>4</v>
      </c>
      <c r="B62" s="110">
        <f>B55</f>
        <v>52676.094366837482</v>
      </c>
      <c r="C62" s="114">
        <f t="shared" si="36"/>
        <v>66563.74225783578</v>
      </c>
      <c r="D62" s="114">
        <f t="shared" si="36"/>
        <v>102838.18019109024</v>
      </c>
      <c r="E62" s="114">
        <f t="shared" si="36"/>
        <v>343076.36906695878</v>
      </c>
      <c r="F62" s="114">
        <f t="shared" si="36"/>
        <v>423557.55913482024</v>
      </c>
      <c r="G62" s="114">
        <f t="shared" si="36"/>
        <v>538898.15454735968</v>
      </c>
      <c r="H62" s="114">
        <f t="shared" si="36"/>
        <v>185360.04746939245</v>
      </c>
      <c r="I62" s="114">
        <f t="shared" si="36"/>
        <v>-224580.44543254212</v>
      </c>
      <c r="J62" s="114">
        <f t="shared" si="36"/>
        <v>-537436.74346677435</v>
      </c>
      <c r="K62" s="114">
        <f t="shared" si="37"/>
        <v>-577686.36492548161</v>
      </c>
      <c r="L62" s="114">
        <f t="shared" si="38"/>
        <v>-782441.38134586636</v>
      </c>
      <c r="M62" s="110">
        <f t="shared" si="39"/>
        <v>-569659.97684509878</v>
      </c>
      <c r="N62" s="114">
        <f t="shared" ref="N62:N65" si="41">M62+N55+M69</f>
        <v>91616.414951981191</v>
      </c>
      <c r="O62" s="115">
        <f t="shared" si="40"/>
        <v>-119800.55790663973</v>
      </c>
    </row>
    <row r="63" spans="1:17" x14ac:dyDescent="0.25">
      <c r="A63" s="165" t="s">
        <v>5</v>
      </c>
      <c r="B63" s="110">
        <f>B56</f>
        <v>114690.94230751944</v>
      </c>
      <c r="C63" s="114">
        <f t="shared" si="36"/>
        <v>143810.81446512372</v>
      </c>
      <c r="D63" s="114">
        <f t="shared" si="36"/>
        <v>217315.78507519083</v>
      </c>
      <c r="E63" s="114">
        <f t="shared" si="36"/>
        <v>713756.77795187267</v>
      </c>
      <c r="F63" s="114">
        <f t="shared" si="36"/>
        <v>900630.54754249239</v>
      </c>
      <c r="G63" s="114">
        <f t="shared" si="36"/>
        <v>1209035.5005434281</v>
      </c>
      <c r="H63" s="114">
        <f t="shared" si="36"/>
        <v>378589.80441258202</v>
      </c>
      <c r="I63" s="114">
        <f t="shared" si="36"/>
        <v>-532455.01397565182</v>
      </c>
      <c r="J63" s="114">
        <f t="shared" si="36"/>
        <v>-1225742.1935766034</v>
      </c>
      <c r="K63" s="114">
        <f t="shared" si="37"/>
        <v>-1319797.7951746793</v>
      </c>
      <c r="L63" s="114">
        <f t="shared" si="38"/>
        <v>-1806056.7137812725</v>
      </c>
      <c r="M63" s="110">
        <f t="shared" si="39"/>
        <v>-1292848.3199444676</v>
      </c>
      <c r="N63" s="114">
        <f t="shared" si="41"/>
        <v>160287.18386263537</v>
      </c>
      <c r="O63" s="115">
        <f t="shared" si="40"/>
        <v>-266363.3873716048</v>
      </c>
    </row>
    <row r="64" spans="1:17" x14ac:dyDescent="0.25">
      <c r="A64" s="165" t="s">
        <v>6</v>
      </c>
      <c r="B64" s="110">
        <f>B57</f>
        <v>52726.889679325177</v>
      </c>
      <c r="C64" s="114">
        <f t="shared" si="36"/>
        <v>64134.905795861196</v>
      </c>
      <c r="D64" s="114">
        <f t="shared" si="36"/>
        <v>93420.119106141297</v>
      </c>
      <c r="E64" s="114">
        <f t="shared" si="36"/>
        <v>294184.83057212445</v>
      </c>
      <c r="F64" s="114">
        <f t="shared" si="36"/>
        <v>373685.98885782342</v>
      </c>
      <c r="G64" s="114">
        <f t="shared" si="36"/>
        <v>507507.74570711248</v>
      </c>
      <c r="H64" s="114">
        <f t="shared" si="36"/>
        <v>208849.22344660191</v>
      </c>
      <c r="I64" s="114">
        <f t="shared" si="36"/>
        <v>-162620.12903398331</v>
      </c>
      <c r="J64" s="114">
        <f t="shared" si="36"/>
        <v>-452286.44787702546</v>
      </c>
      <c r="K64" s="114">
        <f t="shared" si="37"/>
        <v>-490840.17490300478</v>
      </c>
      <c r="L64" s="114">
        <f t="shared" si="38"/>
        <v>-692342.71429661079</v>
      </c>
      <c r="M64" s="110">
        <f t="shared" si="39"/>
        <v>-469109.46701285872</v>
      </c>
      <c r="N64" s="114">
        <f t="shared" si="41"/>
        <v>129144.86759963684</v>
      </c>
      <c r="O64" s="115">
        <f t="shared" si="40"/>
        <v>-40336.860203126882</v>
      </c>
    </row>
    <row r="65" spans="1:15" x14ac:dyDescent="0.25">
      <c r="A65" s="165" t="s">
        <v>7</v>
      </c>
      <c r="B65" s="110">
        <f>B58</f>
        <v>24558.329714386022</v>
      </c>
      <c r="C65" s="114">
        <f t="shared" si="36"/>
        <v>29156.165135481995</v>
      </c>
      <c r="D65" s="114">
        <f t="shared" si="36"/>
        <v>40468.84278600636</v>
      </c>
      <c r="E65" s="114">
        <f t="shared" si="36"/>
        <v>122687.1956298525</v>
      </c>
      <c r="F65" s="114">
        <f t="shared" si="36"/>
        <v>156485.80898729578</v>
      </c>
      <c r="G65" s="114">
        <f t="shared" si="36"/>
        <v>225723.3938724914</v>
      </c>
      <c r="H65" s="114">
        <f t="shared" si="36"/>
        <v>168571.31430015885</v>
      </c>
      <c r="I65" s="114">
        <f t="shared" si="36"/>
        <v>11759.107681363706</v>
      </c>
      <c r="J65" s="114">
        <f t="shared" si="36"/>
        <v>-117183.14440315835</v>
      </c>
      <c r="K65" s="114">
        <f t="shared" si="37"/>
        <v>-134540.73803705341</v>
      </c>
      <c r="L65" s="114">
        <f t="shared" si="38"/>
        <v>-227606.51258283944</v>
      </c>
      <c r="M65" s="110">
        <f t="shared" si="39"/>
        <v>-123106.57461159374</v>
      </c>
      <c r="N65" s="114">
        <f t="shared" si="41"/>
        <v>145244.94146063275</v>
      </c>
      <c r="O65" s="115">
        <f t="shared" si="40"/>
        <v>73518.001178099803</v>
      </c>
    </row>
    <row r="66" spans="1:15" x14ac:dyDescent="0.25">
      <c r="B66" s="100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8"/>
      <c r="N66" s="99"/>
      <c r="O66" s="102"/>
    </row>
    <row r="67" spans="1:15" x14ac:dyDescent="0.25">
      <c r="A67" s="165" t="s">
        <v>65</v>
      </c>
      <c r="B67" s="123">
        <v>0</v>
      </c>
      <c r="C67" s="124">
        <v>0</v>
      </c>
      <c r="D67" s="124">
        <v>0</v>
      </c>
      <c r="E67" s="124">
        <f>+'PCR (M2)'!AN67</f>
        <v>2.3231791666666669E-3</v>
      </c>
      <c r="F67" s="124">
        <f>+'PCR (M2)'!AO67</f>
        <v>2.2185616666666667E-3</v>
      </c>
      <c r="G67" s="124">
        <f>+'PCR (M2)'!AP67</f>
        <v>2.2311341666666666E-3</v>
      </c>
      <c r="H67" s="124">
        <f>+'PCR (M2)'!AQ67</f>
        <v>2.2083808333333331E-3</v>
      </c>
      <c r="I67" s="124">
        <f>+'PCR (M2)'!AR67</f>
        <v>2.1623908333333335E-3</v>
      </c>
      <c r="J67" s="124">
        <f>+'PCR (M2)'!AS67</f>
        <v>1.959325E-3</v>
      </c>
      <c r="K67" s="124">
        <f>+'PCR (M2)'!AT67</f>
        <v>1.8473916666666666E-3</v>
      </c>
      <c r="L67" s="124">
        <f>+'PCR (M2)'!AU67</f>
        <v>1.7616100000000003E-3</v>
      </c>
      <c r="M67" s="123">
        <f>+L67</f>
        <v>1.7616100000000003E-3</v>
      </c>
      <c r="N67" s="124">
        <f>+M67</f>
        <v>1.7616100000000003E-3</v>
      </c>
      <c r="O67" s="187">
        <f>+N67</f>
        <v>1.7616100000000003E-3</v>
      </c>
    </row>
    <row r="68" spans="1:15" x14ac:dyDescent="0.25">
      <c r="A68" s="165" t="s">
        <v>0</v>
      </c>
      <c r="B68" s="110">
        <f t="shared" ref="B68:J72" si="42">B61*B$67</f>
        <v>0</v>
      </c>
      <c r="C68" s="114">
        <f t="shared" si="42"/>
        <v>0</v>
      </c>
      <c r="D68" s="114">
        <f t="shared" si="42"/>
        <v>0</v>
      </c>
      <c r="E68" s="114">
        <f>E61*E$67</f>
        <v>6230.1272715379855</v>
      </c>
      <c r="F68" s="114">
        <f t="shared" si="42"/>
        <v>8324.9547227590083</v>
      </c>
      <c r="G68" s="114">
        <f t="shared" si="42"/>
        <v>11896.065188245399</v>
      </c>
      <c r="H68" s="114">
        <f t="shared" si="42"/>
        <v>8497.157035482689</v>
      </c>
      <c r="I68" s="114">
        <f t="shared" si="42"/>
        <v>4485.2128025307511</v>
      </c>
      <c r="J68" s="114">
        <f t="shared" si="42"/>
        <v>2706.361698241768</v>
      </c>
      <c r="K68" s="114">
        <f t="shared" ref="K68" si="43">K61*K$67</f>
        <v>-2181.5198335063224</v>
      </c>
      <c r="L68" s="114">
        <f>L61*L$67</f>
        <v>-3350.8723462429971</v>
      </c>
      <c r="M68" s="110">
        <f>M61*M$67</f>
        <v>-2687.6063886866809</v>
      </c>
      <c r="N68" s="114">
        <f t="shared" ref="N68:O68" si="44">N61*N$67</f>
        <v>175.57469011725556</v>
      </c>
      <c r="O68" s="115">
        <f t="shared" si="44"/>
        <v>-6120.59797295519</v>
      </c>
    </row>
    <row r="69" spans="1:15" x14ac:dyDescent="0.25">
      <c r="A69" s="165" t="s">
        <v>4</v>
      </c>
      <c r="B69" s="110">
        <f t="shared" si="42"/>
        <v>0</v>
      </c>
      <c r="C69" s="114">
        <f t="shared" si="42"/>
        <v>0</v>
      </c>
      <c r="D69" s="114">
        <f t="shared" si="42"/>
        <v>0</v>
      </c>
      <c r="E69" s="114">
        <f t="shared" si="42"/>
        <v>797.0278731920032</v>
      </c>
      <c r="F69" s="114">
        <f t="shared" si="42"/>
        <v>939.68856432341204</v>
      </c>
      <c r="G69" s="114">
        <f t="shared" si="42"/>
        <v>1202.3540849642279</v>
      </c>
      <c r="H69" s="114">
        <f t="shared" si="42"/>
        <v>409.34557609716308</v>
      </c>
      <c r="I69" s="114">
        <f t="shared" si="42"/>
        <v>-485.63069654924601</v>
      </c>
      <c r="J69" s="114">
        <f t="shared" si="42"/>
        <v>-1053.0132473930378</v>
      </c>
      <c r="K69" s="114">
        <f t="shared" ref="K69:L69" si="45">K62*K$67</f>
        <v>-1067.2129765102936</v>
      </c>
      <c r="L69" s="114">
        <f t="shared" si="45"/>
        <v>-1378.3565617926918</v>
      </c>
      <c r="M69" s="110">
        <f t="shared" ref="M69:O69" si="46">M62*M$67</f>
        <v>-1003.5187118100946</v>
      </c>
      <c r="N69" s="114">
        <f t="shared" si="46"/>
        <v>161.39239274355961</v>
      </c>
      <c r="O69" s="115">
        <f t="shared" si="46"/>
        <v>-211.04186081391566</v>
      </c>
    </row>
    <row r="70" spans="1:15" x14ac:dyDescent="0.25">
      <c r="A70" s="165" t="s">
        <v>5</v>
      </c>
      <c r="B70" s="110">
        <f t="shared" si="42"/>
        <v>0</v>
      </c>
      <c r="C70" s="114">
        <f t="shared" si="42"/>
        <v>0</v>
      </c>
      <c r="D70" s="114">
        <f t="shared" si="42"/>
        <v>0</v>
      </c>
      <c r="E70" s="114">
        <f t="shared" si="42"/>
        <v>1658.1848766049168</v>
      </c>
      <c r="F70" s="114">
        <f t="shared" si="42"/>
        <v>1998.1044086067845</v>
      </c>
      <c r="G70" s="114">
        <f t="shared" si="42"/>
        <v>2697.5204139753778</v>
      </c>
      <c r="H70" s="114">
        <f t="shared" si="42"/>
        <v>836.07046776016148</v>
      </c>
      <c r="I70" s="114">
        <f t="shared" si="42"/>
        <v>-1151.3758413833214</v>
      </c>
      <c r="J70" s="114">
        <f t="shared" si="42"/>
        <v>-2401.6273234294786</v>
      </c>
      <c r="K70" s="114">
        <f t="shared" ref="K70:L70" si="47">K63*K$67</f>
        <v>-2438.1834484907426</v>
      </c>
      <c r="L70" s="114">
        <f t="shared" si="47"/>
        <v>-3181.5675675642278</v>
      </c>
      <c r="M70" s="110">
        <f t="shared" ref="M70:O70" si="48">M63*M$67</f>
        <v>-2277.494528897374</v>
      </c>
      <c r="N70" s="114">
        <f t="shared" si="48"/>
        <v>282.36350596425712</v>
      </c>
      <c r="O70" s="115">
        <f t="shared" si="48"/>
        <v>-469.22840682769282</v>
      </c>
    </row>
    <row r="71" spans="1:15" x14ac:dyDescent="0.25">
      <c r="A71" s="165" t="s">
        <v>6</v>
      </c>
      <c r="B71" s="110">
        <f t="shared" si="42"/>
        <v>0</v>
      </c>
      <c r="C71" s="114">
        <f t="shared" si="42"/>
        <v>0</v>
      </c>
      <c r="D71" s="114">
        <f t="shared" si="42"/>
        <v>0</v>
      </c>
      <c r="E71" s="114">
        <f t="shared" si="42"/>
        <v>683.44406953452267</v>
      </c>
      <c r="F71" s="114">
        <f t="shared" si="42"/>
        <v>829.04541025039418</v>
      </c>
      <c r="G71" s="114">
        <f t="shared" si="42"/>
        <v>1132.3178712951169</v>
      </c>
      <c r="H71" s="114">
        <f t="shared" si="42"/>
        <v>461.21862211602621</v>
      </c>
      <c r="I71" s="114">
        <f t="shared" si="42"/>
        <v>-351.64827633856936</v>
      </c>
      <c r="J71" s="114">
        <f t="shared" si="42"/>
        <v>-886.1761444866529</v>
      </c>
      <c r="K71" s="114">
        <f t="shared" ref="K71:L71" si="49">K64*K$67</f>
        <v>-906.77404878102016</v>
      </c>
      <c r="L71" s="114">
        <f t="shared" si="49"/>
        <v>-1219.6378489320527</v>
      </c>
      <c r="M71" s="110">
        <f t="shared" ref="M71:O71" si="50">M64*M$67</f>
        <v>-826.38792818452214</v>
      </c>
      <c r="N71" s="114">
        <f t="shared" si="50"/>
        <v>227.50289021219629</v>
      </c>
      <c r="O71" s="115">
        <f t="shared" si="50"/>
        <v>-71.057816302430354</v>
      </c>
    </row>
    <row r="72" spans="1:15" ht="15.75" thickBot="1" x14ac:dyDescent="0.3">
      <c r="A72" s="165" t="s">
        <v>7</v>
      </c>
      <c r="B72" s="110">
        <f t="shared" si="42"/>
        <v>0</v>
      </c>
      <c r="C72" s="114">
        <f t="shared" si="42"/>
        <v>0</v>
      </c>
      <c r="D72" s="114">
        <f t="shared" si="42"/>
        <v>0</v>
      </c>
      <c r="E72" s="114">
        <f t="shared" si="42"/>
        <v>285.02433690403109</v>
      </c>
      <c r="F72" s="114">
        <f t="shared" si="42"/>
        <v>347.1734171965366</v>
      </c>
      <c r="G72" s="114">
        <f t="shared" si="42"/>
        <v>503.61917628487288</v>
      </c>
      <c r="H72" s="114">
        <f t="shared" si="42"/>
        <v>372.26965955027998</v>
      </c>
      <c r="I72" s="114">
        <f t="shared" si="42"/>
        <v>25.427786658360468</v>
      </c>
      <c r="J72" s="114">
        <f t="shared" si="42"/>
        <v>-229.59986440771826</v>
      </c>
      <c r="K72" s="114">
        <f t="shared" ref="K72:L72" si="51">K65*K$67</f>
        <v>-248.54943827683547</v>
      </c>
      <c r="L72" s="114">
        <f t="shared" si="51"/>
        <v>-400.95390863105587</v>
      </c>
      <c r="M72" s="110">
        <f t="shared" ref="M72:O72" si="52">M65*M$67</f>
        <v>-216.86577290152968</v>
      </c>
      <c r="N72" s="114">
        <f t="shared" si="52"/>
        <v>255.8649413264653</v>
      </c>
      <c r="O72" s="115">
        <f t="shared" si="52"/>
        <v>129.5100460553524</v>
      </c>
    </row>
    <row r="73" spans="1:15" ht="16.5" thickTop="1" thickBot="1" x14ac:dyDescent="0.3">
      <c r="A73" s="126" t="s">
        <v>71</v>
      </c>
      <c r="B73" s="130">
        <f>SUM(B68:B72)+SUM(B61:B65)-B76</f>
        <v>0</v>
      </c>
      <c r="C73" s="131">
        <f t="shared" ref="C73:J73" si="53">SUM(C68:C72)+SUM(C61:C65)-C76</f>
        <v>0</v>
      </c>
      <c r="D73" s="131">
        <f t="shared" si="53"/>
        <v>0</v>
      </c>
      <c r="E73" s="131">
        <f t="shared" si="53"/>
        <v>0</v>
      </c>
      <c r="F73" s="131">
        <f t="shared" si="53"/>
        <v>0</v>
      </c>
      <c r="G73" s="131">
        <f t="shared" si="53"/>
        <v>0</v>
      </c>
      <c r="H73" s="131">
        <f t="shared" si="53"/>
        <v>0</v>
      </c>
      <c r="I73" s="131">
        <f t="shared" si="53"/>
        <v>0</v>
      </c>
      <c r="J73" s="131">
        <f t="shared" si="53"/>
        <v>0</v>
      </c>
      <c r="K73" s="131">
        <f t="shared" ref="K73:L73" si="54">SUM(K68:K72)+SUM(K61:K65)-K76</f>
        <v>0</v>
      </c>
      <c r="L73" s="131">
        <f t="shared" si="54"/>
        <v>0</v>
      </c>
      <c r="M73" s="130">
        <f>SUM(M68:M72)+SUM(M61:M65)-M76</f>
        <v>0</v>
      </c>
      <c r="N73" s="131">
        <f>SUM(N68:N72)+SUM(N61:N65)-N76</f>
        <v>0</v>
      </c>
      <c r="O73" s="132">
        <f>SUM(O68:O72)+SUM(O61:O65)-O76</f>
        <v>0</v>
      </c>
    </row>
    <row r="74" spans="1:15" ht="16.5" thickTop="1" thickBot="1" x14ac:dyDescent="0.3">
      <c r="A74" s="126" t="s">
        <v>72</v>
      </c>
      <c r="B74" s="130">
        <f t="shared" ref="B74:J74" si="55">SUM(B68:B72)-B51</f>
        <v>0</v>
      </c>
      <c r="C74" s="131">
        <f t="shared" si="55"/>
        <v>0</v>
      </c>
      <c r="D74" s="128">
        <f>SUM(D68:D72)-D51</f>
        <v>0</v>
      </c>
      <c r="E74" s="131">
        <f>SUM(E68:E72)-E51</f>
        <v>-1.5722265416115988E-3</v>
      </c>
      <c r="F74" s="131">
        <f t="shared" si="55"/>
        <v>-3.4768638633977389E-3</v>
      </c>
      <c r="G74" s="131">
        <f t="shared" si="55"/>
        <v>-3.2652350091666449E-3</v>
      </c>
      <c r="H74" s="131">
        <f t="shared" si="55"/>
        <v>1.3610063197120326E-3</v>
      </c>
      <c r="I74" s="131">
        <f t="shared" si="55"/>
        <v>-4.2250820242770715E-3</v>
      </c>
      <c r="J74" s="131">
        <f t="shared" si="55"/>
        <v>-4.8814751196459838E-3</v>
      </c>
      <c r="K74" s="131">
        <f t="shared" ref="K74" si="56">SUM(K68:K72)-K51</f>
        <v>2.5443478443776257E-4</v>
      </c>
      <c r="L74" s="131">
        <f>SUM(L68:L72)-L51</f>
        <v>1.7668369746388635E-3</v>
      </c>
      <c r="M74" s="130">
        <f>SUM(M68:M72)-M51</f>
        <v>-3.3304802009297418E-3</v>
      </c>
      <c r="N74" s="131">
        <f>SUM(N68:N72)-N51</f>
        <v>-1.5796362663422769E-3</v>
      </c>
      <c r="O74" s="132">
        <f>SUM(O68:O72)-O51</f>
        <v>3.9891561236800044E-3</v>
      </c>
    </row>
    <row r="75" spans="1:15" ht="15.75" thickTop="1" x14ac:dyDescent="0.25">
      <c r="B75" s="100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8"/>
      <c r="N75" s="99"/>
      <c r="O75" s="102"/>
    </row>
    <row r="76" spans="1:15" x14ac:dyDescent="0.25">
      <c r="A76" s="165" t="s">
        <v>73</v>
      </c>
      <c r="B76" s="110">
        <f>(SUM(B15:B18)-SUM(B35:B39))+SUM(B68:B72)</f>
        <v>472906.7</v>
      </c>
      <c r="C76" s="114">
        <f t="shared" ref="C76:J76" si="57">(SUM(C15:C18)-SUM(C35:C39))+SUM(C68:C72)+B76</f>
        <v>594857.16</v>
      </c>
      <c r="D76" s="114">
        <f t="shared" si="57"/>
        <v>900914.26</v>
      </c>
      <c r="E76" s="114">
        <f t="shared" si="57"/>
        <v>4165083.8184277732</v>
      </c>
      <c r="F76" s="114">
        <f t="shared" si="57"/>
        <v>5619209.6549509093</v>
      </c>
      <c r="G76" s="114">
        <f t="shared" si="57"/>
        <v>7830443.3016856741</v>
      </c>
      <c r="H76" s="114">
        <f t="shared" si="57"/>
        <v>4799632.9130466813</v>
      </c>
      <c r="I76" s="114">
        <f t="shared" si="57"/>
        <v>1168817.058821599</v>
      </c>
      <c r="J76" s="114">
        <f t="shared" si="57"/>
        <v>-953240.10605987627</v>
      </c>
      <c r="K76" s="114">
        <f t="shared" ref="K76" si="58">(SUM(K15:K18)-SUM(K35:K39))+SUM(K68:K72)+J76</f>
        <v>-3710572.1358054415</v>
      </c>
      <c r="L76" s="114">
        <f t="shared" ref="L76" si="59">(SUM(L15:L18)-SUM(L35:L39))+SUM(L68:L72)+K76</f>
        <v>-5420143.4040386053</v>
      </c>
      <c r="M76" s="110">
        <f>(SUM(M15:M18)-SUM(M35:M39))+SUM(M68:M72)+L76</f>
        <v>-3987389.6700506406</v>
      </c>
      <c r="N76" s="114">
        <f t="shared" ref="N76" si="60">(SUM(N15:N18)-SUM(N35:N39))+SUM(N68:N72)+M76</f>
        <v>627063.28014034312</v>
      </c>
      <c r="O76" s="115">
        <f t="shared" ref="O76" si="61">(SUM(O15:O18)-SUM(O35:O39))+SUM(O68:O72)+N76</f>
        <v>-3834159.3873290559</v>
      </c>
    </row>
    <row r="77" spans="1:15" x14ac:dyDescent="0.25"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230"/>
      <c r="N77" s="200"/>
      <c r="O77" s="201"/>
    </row>
    <row r="78" spans="1:15" x14ac:dyDescent="0.25">
      <c r="A78" s="202" t="s">
        <v>0</v>
      </c>
      <c r="B78" s="10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51"/>
      <c r="N78" s="101"/>
      <c r="O78" s="102"/>
    </row>
    <row r="79" spans="1:15" x14ac:dyDescent="0.25">
      <c r="A79" s="202" t="s">
        <v>4</v>
      </c>
      <c r="B79" s="100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00"/>
      <c r="N79" s="101"/>
      <c r="O79" s="102"/>
    </row>
    <row r="80" spans="1:15" x14ac:dyDescent="0.25">
      <c r="A80" s="202" t="s">
        <v>5</v>
      </c>
      <c r="B80" s="100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00"/>
      <c r="N80" s="101"/>
      <c r="O80" s="102"/>
    </row>
    <row r="81" spans="1:15" x14ac:dyDescent="0.25">
      <c r="A81" s="202" t="s">
        <v>6</v>
      </c>
      <c r="B81" s="100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  <c r="N81" s="101"/>
      <c r="O81" s="102"/>
    </row>
    <row r="82" spans="1:15" ht="15.75" thickBot="1" x14ac:dyDescent="0.3">
      <c r="A82" s="202" t="s">
        <v>7</v>
      </c>
      <c r="B82" s="14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49"/>
      <c r="N82" s="150"/>
      <c r="O82" s="135"/>
    </row>
    <row r="83" spans="1:15" x14ac:dyDescent="0.25">
      <c r="D83" s="56"/>
      <c r="E83" s="52"/>
      <c r="F83" s="52"/>
      <c r="G83" s="56"/>
      <c r="H83" s="56"/>
      <c r="I83" s="56"/>
      <c r="J83" s="56"/>
      <c r="K83" s="56"/>
      <c r="L83" s="56"/>
    </row>
    <row r="85" spans="1:15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</row>
    <row r="86" spans="1:15" x14ac:dyDescent="0.25"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4"/>
    </row>
    <row r="87" spans="1:1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9" spans="1:15" x14ac:dyDescent="0.25"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4"/>
    </row>
  </sheetData>
  <mergeCells count="1">
    <mergeCell ref="M13:O13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BE89"/>
  <sheetViews>
    <sheetView zoomScaleNormal="100" workbookViewId="0">
      <pane xSplit="1" ySplit="14" topLeftCell="AH15" activePane="bottomRight" state="frozen"/>
      <selection activeCell="AC68" sqref="AC68"/>
      <selection pane="topRight" activeCell="AC68" sqref="AC68"/>
      <selection pane="bottomLeft" activeCell="AC68" sqref="AC68"/>
      <selection pane="bottomRight" activeCell="AP28" sqref="AP28:AP32"/>
    </sheetView>
  </sheetViews>
  <sheetFormatPr defaultColWidth="9.140625" defaultRowHeight="15" x14ac:dyDescent="0.25"/>
  <cols>
    <col min="1" max="1" width="21.5703125" style="72" customWidth="1"/>
    <col min="2" max="2" width="15.28515625" style="72" customWidth="1"/>
    <col min="3" max="3" width="15.85546875" style="72" customWidth="1"/>
    <col min="4" max="4" width="17.85546875" style="72" customWidth="1"/>
    <col min="5" max="5" width="16.140625" style="72" customWidth="1"/>
    <col min="6" max="6" width="15" style="72" bestFit="1" customWidth="1"/>
    <col min="7" max="7" width="16" style="72" customWidth="1"/>
    <col min="8" max="8" width="15" style="72" bestFit="1" customWidth="1"/>
    <col min="9" max="11" width="16" style="72" bestFit="1" customWidth="1"/>
    <col min="12" max="47" width="16" style="165" customWidth="1"/>
    <col min="48" max="48" width="16.42578125" style="72" customWidth="1"/>
    <col min="49" max="49" width="17.28515625" style="72" customWidth="1"/>
    <col min="50" max="50" width="16.85546875" style="72" customWidth="1"/>
    <col min="51" max="51" width="13.85546875" style="72" bestFit="1" customWidth="1"/>
    <col min="52" max="52" width="10.85546875" style="72" bestFit="1" customWidth="1"/>
    <col min="53" max="53" width="9.140625" style="72"/>
    <col min="54" max="54" width="12.7109375" style="72" bestFit="1" customWidth="1"/>
    <col min="55" max="16384" width="9.140625" style="72"/>
  </cols>
  <sheetData>
    <row r="2" spans="1:57" x14ac:dyDescent="0.25">
      <c r="B2" s="184" t="s">
        <v>77</v>
      </c>
      <c r="J2" s="3" t="s">
        <v>26</v>
      </c>
    </row>
    <row r="3" spans="1:57" x14ac:dyDescent="0.25">
      <c r="B3" s="204" t="s">
        <v>124</v>
      </c>
      <c r="C3" s="85" t="s">
        <v>64</v>
      </c>
      <c r="D3" s="85" t="s">
        <v>78</v>
      </c>
      <c r="E3" s="183" t="s">
        <v>97</v>
      </c>
      <c r="F3" s="183" t="s">
        <v>91</v>
      </c>
      <c r="G3" s="85" t="s">
        <v>65</v>
      </c>
      <c r="H3" s="85" t="s">
        <v>79</v>
      </c>
      <c r="J3" s="57" t="s">
        <v>80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57" x14ac:dyDescent="0.25">
      <c r="A4" s="72" t="s">
        <v>0</v>
      </c>
      <c r="B4" s="24">
        <f>+N78</f>
        <v>2260140</v>
      </c>
      <c r="C4" s="24">
        <f>SUM(B42:AX42)</f>
        <v>60798073.29546354</v>
      </c>
      <c r="D4" s="86">
        <f>SUM(B28:AX28)</f>
        <v>52218467377.657547</v>
      </c>
      <c r="E4" s="24">
        <f>SUM(B21:AX21)</f>
        <v>60334215.673455246</v>
      </c>
      <c r="F4" s="24">
        <f>+B4-C4+E4</f>
        <v>1796282.3779917061</v>
      </c>
      <c r="G4" s="24">
        <f>SUM(B68:AX68)</f>
        <v>-241132.43990841179</v>
      </c>
      <c r="H4" s="42">
        <f>F4+G4</f>
        <v>1555149.9380832943</v>
      </c>
      <c r="J4" s="57" t="s">
        <v>94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</row>
    <row r="5" spans="1:57" x14ac:dyDescent="0.25">
      <c r="A5" s="72" t="s">
        <v>4</v>
      </c>
      <c r="B5" s="24">
        <f t="shared" ref="B5:B8" si="0">+N79</f>
        <v>98743</v>
      </c>
      <c r="C5" s="24">
        <f t="shared" ref="C5:C8" si="1">SUM(B43:AX43)</f>
        <v>19988650.245724753</v>
      </c>
      <c r="D5" s="86">
        <f>SUM(B29:AX29)</f>
        <v>13116092844.262604</v>
      </c>
      <c r="E5" s="24">
        <f>SUM(B22:AX22)</f>
        <v>20062588.858885471</v>
      </c>
      <c r="F5" s="24">
        <f t="shared" ref="F5:F7" si="2">+B5-C5+E5</f>
        <v>172681.61316071823</v>
      </c>
      <c r="G5" s="24">
        <f>SUM(B69:AX69)</f>
        <v>-812.2617196710371</v>
      </c>
      <c r="H5" s="42">
        <f>F5+G5</f>
        <v>171869.35144104718</v>
      </c>
      <c r="J5" s="57" t="s">
        <v>93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pans="1:57" x14ac:dyDescent="0.25">
      <c r="A6" s="72" t="s">
        <v>5</v>
      </c>
      <c r="B6" s="24">
        <f t="shared" si="0"/>
        <v>354201</v>
      </c>
      <c r="C6" s="24">
        <f t="shared" si="1"/>
        <v>46144901.110755332</v>
      </c>
      <c r="D6" s="86">
        <f>SUM(B30:AX30)</f>
        <v>30142567452.835926</v>
      </c>
      <c r="E6" s="24">
        <f>SUM(B23:AX23)</f>
        <v>45679780.938731298</v>
      </c>
      <c r="F6" s="24">
        <f t="shared" si="2"/>
        <v>-110919.17202403396</v>
      </c>
      <c r="G6" s="24">
        <f>SUM(B70:AX70)</f>
        <v>-9492.0210291953517</v>
      </c>
      <c r="H6" s="42">
        <f>F6+G6</f>
        <v>-120411.19305322932</v>
      </c>
      <c r="J6" s="57" t="s">
        <v>95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57" x14ac:dyDescent="0.25">
      <c r="A7" s="72" t="s">
        <v>6</v>
      </c>
      <c r="B7" s="24">
        <f t="shared" si="0"/>
        <v>106604</v>
      </c>
      <c r="C7" s="24">
        <f t="shared" si="1"/>
        <v>20364122.064541917</v>
      </c>
      <c r="D7" s="86">
        <f>SUM(B31:AX31)</f>
        <v>13078595173.660547</v>
      </c>
      <c r="E7" s="24">
        <f>SUM(B24:AX24)</f>
        <v>20056824.917841561</v>
      </c>
      <c r="F7" s="24">
        <f t="shared" si="2"/>
        <v>-200693.14670035616</v>
      </c>
      <c r="G7" s="24">
        <f>SUM(B71:AX71)</f>
        <v>-4359.3104008482569</v>
      </c>
      <c r="H7" s="42">
        <f>F7+G7</f>
        <v>-205052.4571012044</v>
      </c>
      <c r="J7" s="57" t="s">
        <v>81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57" ht="15.75" thickBot="1" x14ac:dyDescent="0.3">
      <c r="A8" s="72" t="s">
        <v>7</v>
      </c>
      <c r="B8" s="24">
        <f t="shared" si="0"/>
        <v>-122962</v>
      </c>
      <c r="C8" s="24">
        <f t="shared" si="1"/>
        <v>9833253.9387830626</v>
      </c>
      <c r="D8" s="86">
        <f>SUM(B32:AX32)</f>
        <v>6309572366.3124409</v>
      </c>
      <c r="E8" s="24">
        <f>SUM(B25:AX25)</f>
        <v>9622648.6710864399</v>
      </c>
      <c r="F8" s="24">
        <f>+B8-C8+E8</f>
        <v>-333567.26769662276</v>
      </c>
      <c r="G8" s="24">
        <f>SUM(B72:AX72)</f>
        <v>-5306.6974860497594</v>
      </c>
      <c r="H8" s="42">
        <f>F8+G8</f>
        <v>-338873.96518267255</v>
      </c>
      <c r="J8" s="57" t="s">
        <v>120</v>
      </c>
      <c r="L8" s="72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57" ht="16.5" thickTop="1" thickBot="1" x14ac:dyDescent="0.3">
      <c r="B9" s="87">
        <f>SUM(B4:B8)</f>
        <v>2696726</v>
      </c>
      <c r="C9" s="87">
        <f t="shared" ref="C9:H9" si="3">SUM(C4:C8)</f>
        <v>157129000.65526858</v>
      </c>
      <c r="D9" s="180">
        <f>SUM(D4:D8)</f>
        <v>114865295214.72906</v>
      </c>
      <c r="E9" s="87">
        <f t="shared" si="3"/>
        <v>155756059.06</v>
      </c>
      <c r="F9" s="87">
        <f>SUM(F4:F8)</f>
        <v>1323784.4047314115</v>
      </c>
      <c r="G9" s="87">
        <f>SUM(G4:G8)</f>
        <v>-261102.73054417619</v>
      </c>
      <c r="H9" s="87">
        <f t="shared" si="3"/>
        <v>1062681.6741872353</v>
      </c>
      <c r="J9" s="57" t="s">
        <v>121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57" ht="16.5" thickTop="1" thickBot="1" x14ac:dyDescent="0.3">
      <c r="B10" s="165"/>
      <c r="F10" s="39" t="s">
        <v>25</v>
      </c>
      <c r="G10" s="21">
        <f>G9-SUM(B51:AX51)</f>
        <v>16.508611072378699</v>
      </c>
      <c r="J10" s="57" t="s">
        <v>122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</row>
    <row r="11" spans="1:57" ht="15.75" thickTop="1" x14ac:dyDescent="0.25">
      <c r="E11" s="4"/>
      <c r="G11" s="3"/>
      <c r="J11" s="57" t="s">
        <v>123</v>
      </c>
      <c r="K11" s="49"/>
      <c r="L11" s="49"/>
      <c r="M11" s="49"/>
      <c r="N11" s="49"/>
    </row>
    <row r="12" spans="1:57" ht="15.75" thickBot="1" x14ac:dyDescent="0.3">
      <c r="B12" s="52"/>
      <c r="C12" s="52"/>
      <c r="D12" s="52"/>
      <c r="E12" s="52"/>
      <c r="F12" s="52"/>
      <c r="G12" s="52"/>
      <c r="H12" s="52"/>
      <c r="I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48"/>
      <c r="AW12" s="48"/>
    </row>
    <row r="13" spans="1:57" ht="15.75" thickBot="1" x14ac:dyDescent="0.3">
      <c r="B13" s="167"/>
      <c r="C13" s="120"/>
      <c r="D13" s="138" t="s">
        <v>68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342" t="s">
        <v>67</v>
      </c>
      <c r="AW13" s="343"/>
      <c r="AX13" s="344"/>
    </row>
    <row r="14" spans="1:57" x14ac:dyDescent="0.25">
      <c r="A14" s="72" t="s">
        <v>83</v>
      </c>
      <c r="B14" s="91">
        <v>42370</v>
      </c>
      <c r="C14" s="92">
        <f t="shared" ref="C14:K14" si="4">EDATE(B14,1)</f>
        <v>42401</v>
      </c>
      <c r="D14" s="92">
        <f t="shared" si="4"/>
        <v>42430</v>
      </c>
      <c r="E14" s="92">
        <f t="shared" si="4"/>
        <v>42461</v>
      </c>
      <c r="F14" s="92">
        <f t="shared" si="4"/>
        <v>42491</v>
      </c>
      <c r="G14" s="92">
        <f t="shared" si="4"/>
        <v>42522</v>
      </c>
      <c r="H14" s="92">
        <f t="shared" si="4"/>
        <v>42552</v>
      </c>
      <c r="I14" s="92">
        <f t="shared" si="4"/>
        <v>42583</v>
      </c>
      <c r="J14" s="92">
        <f t="shared" si="4"/>
        <v>42614</v>
      </c>
      <c r="K14" s="92">
        <f t="shared" si="4"/>
        <v>42644</v>
      </c>
      <c r="L14" s="92">
        <f t="shared" ref="L14:W14" si="5">EDATE(K14,1)</f>
        <v>42675</v>
      </c>
      <c r="M14" s="92">
        <f t="shared" si="5"/>
        <v>42705</v>
      </c>
      <c r="N14" s="92">
        <f t="shared" si="5"/>
        <v>42736</v>
      </c>
      <c r="O14" s="92">
        <f t="shared" si="5"/>
        <v>42767</v>
      </c>
      <c r="P14" s="92">
        <f t="shared" si="5"/>
        <v>42795</v>
      </c>
      <c r="Q14" s="92">
        <f t="shared" si="5"/>
        <v>42826</v>
      </c>
      <c r="R14" s="92">
        <f t="shared" si="5"/>
        <v>42856</v>
      </c>
      <c r="S14" s="92">
        <f t="shared" si="5"/>
        <v>42887</v>
      </c>
      <c r="T14" s="92">
        <f t="shared" si="5"/>
        <v>42917</v>
      </c>
      <c r="U14" s="92">
        <f t="shared" si="5"/>
        <v>42948</v>
      </c>
      <c r="V14" s="92">
        <f t="shared" si="5"/>
        <v>42979</v>
      </c>
      <c r="W14" s="92">
        <f t="shared" si="5"/>
        <v>43009</v>
      </c>
      <c r="X14" s="92">
        <f t="shared" ref="X14" si="6">EDATE(W14,1)</f>
        <v>43040</v>
      </c>
      <c r="Y14" s="92">
        <f t="shared" ref="Y14" si="7">EDATE(X14,1)</f>
        <v>43070</v>
      </c>
      <c r="Z14" s="92">
        <f t="shared" ref="Z14" si="8">EDATE(Y14,1)</f>
        <v>43101</v>
      </c>
      <c r="AA14" s="92">
        <f t="shared" ref="AA14" si="9">EDATE(Z14,1)</f>
        <v>43132</v>
      </c>
      <c r="AB14" s="92">
        <f t="shared" ref="AB14" si="10">EDATE(AA14,1)</f>
        <v>43160</v>
      </c>
      <c r="AC14" s="92">
        <f t="shared" ref="AC14" si="11">EDATE(AB14,1)</f>
        <v>43191</v>
      </c>
      <c r="AD14" s="92">
        <f t="shared" ref="AD14" si="12">EDATE(AC14,1)</f>
        <v>43221</v>
      </c>
      <c r="AE14" s="92">
        <f t="shared" ref="AE14" si="13">EDATE(AD14,1)</f>
        <v>43252</v>
      </c>
      <c r="AF14" s="92">
        <f t="shared" ref="AF14" si="14">EDATE(AE14,1)</f>
        <v>43282</v>
      </c>
      <c r="AG14" s="92">
        <f t="shared" ref="AG14" si="15">EDATE(AF14,1)</f>
        <v>43313</v>
      </c>
      <c r="AH14" s="92">
        <f t="shared" ref="AH14" si="16">EDATE(AG14,1)</f>
        <v>43344</v>
      </c>
      <c r="AI14" s="92">
        <f t="shared" ref="AI14" si="17">EDATE(AH14,1)</f>
        <v>43374</v>
      </c>
      <c r="AJ14" s="92">
        <f t="shared" ref="AJ14" si="18">EDATE(AI14,1)</f>
        <v>43405</v>
      </c>
      <c r="AK14" s="92">
        <f t="shared" ref="AK14" si="19">EDATE(AJ14,1)</f>
        <v>43435</v>
      </c>
      <c r="AL14" s="92">
        <f t="shared" ref="AL14" si="20">EDATE(AK14,1)</f>
        <v>43466</v>
      </c>
      <c r="AM14" s="92">
        <f t="shared" ref="AM14" si="21">EDATE(AL14,1)</f>
        <v>43497</v>
      </c>
      <c r="AN14" s="92">
        <f t="shared" ref="AN14" si="22">EDATE(AM14,1)</f>
        <v>43525</v>
      </c>
      <c r="AO14" s="92">
        <f t="shared" ref="AO14" si="23">EDATE(AN14,1)</f>
        <v>43556</v>
      </c>
      <c r="AP14" s="92">
        <f t="shared" ref="AP14" si="24">EDATE(AO14,1)</f>
        <v>43586</v>
      </c>
      <c r="AQ14" s="92">
        <f t="shared" ref="AQ14" si="25">EDATE(AP14,1)</f>
        <v>43617</v>
      </c>
      <c r="AR14" s="92">
        <f t="shared" ref="AR14" si="26">EDATE(AQ14,1)</f>
        <v>43647</v>
      </c>
      <c r="AS14" s="92">
        <f t="shared" ref="AS14" si="27">EDATE(AR14,1)</f>
        <v>43678</v>
      </c>
      <c r="AT14" s="92">
        <f t="shared" ref="AT14" si="28">EDATE(AS14,1)</f>
        <v>43709</v>
      </c>
      <c r="AU14" s="92">
        <f t="shared" ref="AU14" si="29">EDATE(AT14,1)</f>
        <v>43739</v>
      </c>
      <c r="AV14" s="91">
        <f>EDATE(AU14,1)</f>
        <v>43770</v>
      </c>
      <c r="AW14" s="92">
        <f>EDATE(AV14,1)</f>
        <v>43800</v>
      </c>
      <c r="AX14" s="93">
        <f>EDATE(AW14,1)</f>
        <v>43831</v>
      </c>
      <c r="AY14" s="1"/>
      <c r="AZ14" s="1"/>
      <c r="BA14" s="1"/>
      <c r="BB14" s="1"/>
      <c r="BC14" s="1"/>
      <c r="BD14" s="1"/>
      <c r="BE14" s="1"/>
    </row>
    <row r="15" spans="1:57" x14ac:dyDescent="0.25">
      <c r="A15" s="49" t="s">
        <v>0</v>
      </c>
      <c r="B15" s="94">
        <v>0</v>
      </c>
      <c r="C15" s="95">
        <v>0</v>
      </c>
      <c r="D15" s="95">
        <v>92701.6</v>
      </c>
      <c r="E15" s="95">
        <v>470887.92</v>
      </c>
      <c r="F15" s="95">
        <v>1113267.27</v>
      </c>
      <c r="G15" s="95">
        <v>1040037.3</v>
      </c>
      <c r="H15" s="95">
        <v>1509771.61</v>
      </c>
      <c r="I15" s="95">
        <v>2518235.16</v>
      </c>
      <c r="J15" s="45">
        <v>1528668.86</v>
      </c>
      <c r="K15" s="45">
        <v>1905356.75</v>
      </c>
      <c r="L15" s="45">
        <v>2048839.7199999997</v>
      </c>
      <c r="M15" s="45">
        <v>1913931.6199999999</v>
      </c>
      <c r="N15" s="45">
        <v>1690080.7899999998</v>
      </c>
      <c r="O15" s="45">
        <v>1877206.5299999996</v>
      </c>
      <c r="P15" s="45">
        <v>1484918.02</v>
      </c>
      <c r="Q15" s="45">
        <v>630134.03999999992</v>
      </c>
      <c r="R15" s="45">
        <v>2225868.1400000006</v>
      </c>
      <c r="S15" s="45">
        <v>2452376.73</v>
      </c>
      <c r="T15" s="45">
        <v>1476113.1700000002</v>
      </c>
      <c r="U15" s="45">
        <v>2335443.9099999992</v>
      </c>
      <c r="V15" s="45">
        <v>1946348.1600000001</v>
      </c>
      <c r="W15" s="235">
        <v>1758048.53</v>
      </c>
      <c r="X15" s="235">
        <v>1416376.8500000003</v>
      </c>
      <c r="Y15" s="235">
        <v>1873803.07</v>
      </c>
      <c r="Z15" s="235">
        <v>1221681.9000000001</v>
      </c>
      <c r="AA15" s="235">
        <v>926005.15000000014</v>
      </c>
      <c r="AB15" s="235">
        <v>823725.77999999991</v>
      </c>
      <c r="AC15" s="235">
        <v>1315275.5600000003</v>
      </c>
      <c r="AD15" s="235">
        <v>1141924.23</v>
      </c>
      <c r="AE15" s="235">
        <v>1767113.3499999999</v>
      </c>
      <c r="AF15" s="235">
        <v>1901977.86</v>
      </c>
      <c r="AG15" s="235">
        <v>1657059.6099999999</v>
      </c>
      <c r="AH15" s="235">
        <v>1351059.9899999998</v>
      </c>
      <c r="AI15" s="235">
        <v>1233979.6000000001</v>
      </c>
      <c r="AJ15" s="235">
        <v>1667555.6700000002</v>
      </c>
      <c r="AK15" s="235">
        <v>1766965.4600000002</v>
      </c>
      <c r="AL15" s="235">
        <v>-77450.659999999989</v>
      </c>
      <c r="AM15" s="235">
        <v>1967957.46</v>
      </c>
      <c r="AN15" s="235">
        <v>1764533.03</v>
      </c>
      <c r="AO15" s="235">
        <v>-67760.229999999952</v>
      </c>
      <c r="AP15" s="235">
        <v>41885.949999999924</v>
      </c>
      <c r="AQ15" s="235">
        <v>67376.939999999959</v>
      </c>
      <c r="AR15" s="235">
        <v>1263726.94</v>
      </c>
      <c r="AS15" s="235">
        <v>-1284367.2999999998</v>
      </c>
      <c r="AT15" s="235">
        <v>8491.1800000000039</v>
      </c>
      <c r="AU15" s="235">
        <v>14637.199999999997</v>
      </c>
      <c r="AV15" s="139">
        <v>0</v>
      </c>
      <c r="AW15" s="140">
        <v>0</v>
      </c>
      <c r="AX15" s="141">
        <v>0</v>
      </c>
      <c r="AY15" s="49"/>
    </row>
    <row r="16" spans="1:57" x14ac:dyDescent="0.25">
      <c r="A16" s="49" t="s">
        <v>1</v>
      </c>
      <c r="B16" s="94">
        <v>0</v>
      </c>
      <c r="C16" s="95">
        <v>0</v>
      </c>
      <c r="D16" s="95">
        <v>360011.71</v>
      </c>
      <c r="E16" s="95">
        <v>100283.17</v>
      </c>
      <c r="F16" s="95">
        <v>276551.98</v>
      </c>
      <c r="G16" s="95">
        <v>605722.87</v>
      </c>
      <c r="H16" s="95">
        <v>470055.31</v>
      </c>
      <c r="I16" s="95">
        <v>1007513.72</v>
      </c>
      <c r="J16" s="45">
        <v>231513.24</v>
      </c>
      <c r="K16" s="45">
        <v>1466502.53</v>
      </c>
      <c r="L16" s="45">
        <v>1729424.32</v>
      </c>
      <c r="M16" s="45">
        <v>1390087.1</v>
      </c>
      <c r="N16" s="45">
        <v>1606995.78</v>
      </c>
      <c r="O16" s="45">
        <v>2206926.4300000002</v>
      </c>
      <c r="P16" s="45">
        <v>1309598.0999999996</v>
      </c>
      <c r="Q16" s="45">
        <v>1857370.0300000005</v>
      </c>
      <c r="R16" s="45">
        <v>2223361.83</v>
      </c>
      <c r="S16" s="45">
        <v>2459399.94</v>
      </c>
      <c r="T16" s="45">
        <v>1721311.83</v>
      </c>
      <c r="U16" s="45">
        <v>2712665.18</v>
      </c>
      <c r="V16" s="45">
        <v>2376750.8800000004</v>
      </c>
      <c r="W16" s="235">
        <v>2789157.6200000006</v>
      </c>
      <c r="X16" s="235">
        <v>2040899.3699999999</v>
      </c>
      <c r="Y16" s="235">
        <v>3328148.16</v>
      </c>
      <c r="Z16" s="235">
        <v>1987894.0699999998</v>
      </c>
      <c r="AA16" s="235">
        <v>2078701.0700000003</v>
      </c>
      <c r="AB16" s="235">
        <v>2874985.1599999997</v>
      </c>
      <c r="AC16" s="235">
        <v>2698819.3800000004</v>
      </c>
      <c r="AD16" s="235">
        <v>3447134.8899999997</v>
      </c>
      <c r="AE16" s="235">
        <v>3016507.9500000007</v>
      </c>
      <c r="AF16" s="235">
        <v>3772457.8599999989</v>
      </c>
      <c r="AG16" s="235">
        <v>4259389.82</v>
      </c>
      <c r="AH16" s="235">
        <v>3623834.3400000003</v>
      </c>
      <c r="AI16" s="235">
        <v>3048734.03</v>
      </c>
      <c r="AJ16" s="235">
        <v>4491895.6600000011</v>
      </c>
      <c r="AK16" s="235">
        <v>5126185.09</v>
      </c>
      <c r="AL16" s="235">
        <v>2075568.73</v>
      </c>
      <c r="AM16" s="235">
        <v>6137174.9799999995</v>
      </c>
      <c r="AN16" s="235">
        <v>5187148.8900000006</v>
      </c>
      <c r="AO16" s="235">
        <v>100360.07999999997</v>
      </c>
      <c r="AP16" s="235">
        <v>258685.70000000013</v>
      </c>
      <c r="AQ16" s="235">
        <v>153747.82000000007</v>
      </c>
      <c r="AR16" s="235">
        <v>333621.8</v>
      </c>
      <c r="AS16" s="235">
        <v>121918.41999999995</v>
      </c>
      <c r="AT16" s="235">
        <v>45149.189999999988</v>
      </c>
      <c r="AU16" s="235">
        <v>443746.64999999997</v>
      </c>
      <c r="AV16" s="139">
        <v>384968</v>
      </c>
      <c r="AW16" s="140">
        <v>155703</v>
      </c>
      <c r="AX16" s="141">
        <v>36661</v>
      </c>
      <c r="AY16" s="49"/>
    </row>
    <row r="17" spans="1:54" x14ac:dyDescent="0.25">
      <c r="A17" s="49" t="s">
        <v>2</v>
      </c>
      <c r="B17" s="94">
        <v>0</v>
      </c>
      <c r="C17" s="95">
        <v>0</v>
      </c>
      <c r="D17" s="95">
        <v>23175.4</v>
      </c>
      <c r="E17" s="95">
        <v>20000</v>
      </c>
      <c r="F17" s="95">
        <v>110941.65</v>
      </c>
      <c r="G17" s="95">
        <v>105942.24</v>
      </c>
      <c r="H17" s="95">
        <v>77203.42</v>
      </c>
      <c r="I17" s="95">
        <v>288148.55</v>
      </c>
      <c r="J17" s="45">
        <v>98245.3</v>
      </c>
      <c r="K17" s="45">
        <v>-20629.98</v>
      </c>
      <c r="L17" s="45">
        <v>171715.17000000004</v>
      </c>
      <c r="M17" s="45">
        <v>163978.35999999999</v>
      </c>
      <c r="N17" s="45">
        <v>143965.96999999997</v>
      </c>
      <c r="O17" s="45">
        <v>286356.54000000004</v>
      </c>
      <c r="P17" s="45">
        <v>138885.66</v>
      </c>
      <c r="Q17" s="45">
        <v>90873.95</v>
      </c>
      <c r="R17" s="45">
        <v>191206.37</v>
      </c>
      <c r="S17" s="45">
        <v>41515.079999999987</v>
      </c>
      <c r="T17" s="45">
        <v>48458.150000000031</v>
      </c>
      <c r="U17" s="45">
        <v>479199.20000000007</v>
      </c>
      <c r="V17" s="45">
        <v>6987.9799999999959</v>
      </c>
      <c r="W17" s="235">
        <v>103923.13</v>
      </c>
      <c r="X17" s="235">
        <v>269601.89999999997</v>
      </c>
      <c r="Y17" s="235">
        <v>210081.5</v>
      </c>
      <c r="Z17" s="235">
        <v>313977.91999999993</v>
      </c>
      <c r="AA17" s="235">
        <v>298781.8600000001</v>
      </c>
      <c r="AB17" s="235">
        <v>550355.34000000008</v>
      </c>
      <c r="AC17" s="235">
        <v>72977.829999999973</v>
      </c>
      <c r="AD17" s="235">
        <v>125071.93</v>
      </c>
      <c r="AE17" s="235">
        <v>325353.08999999997</v>
      </c>
      <c r="AF17" s="235">
        <v>396987.47</v>
      </c>
      <c r="AG17" s="235">
        <v>592843.30999999994</v>
      </c>
      <c r="AH17" s="235">
        <v>87444.36</v>
      </c>
      <c r="AI17" s="235">
        <v>499086.59000000008</v>
      </c>
      <c r="AJ17" s="235">
        <v>314115.16000000003</v>
      </c>
      <c r="AK17" s="235">
        <v>1125001.46</v>
      </c>
      <c r="AL17" s="235">
        <v>-438961.34</v>
      </c>
      <c r="AM17" s="235">
        <v>1459300.46</v>
      </c>
      <c r="AN17" s="235">
        <v>49141.380000000121</v>
      </c>
      <c r="AO17" s="235">
        <v>156024.18999999994</v>
      </c>
      <c r="AP17" s="235">
        <v>-38111.010000000009</v>
      </c>
      <c r="AQ17" s="235">
        <v>-0.91000000003259629</v>
      </c>
      <c r="AR17" s="235">
        <v>-416530.07000000007</v>
      </c>
      <c r="AS17" s="235">
        <v>-195801.87</v>
      </c>
      <c r="AT17" s="235">
        <v>0</v>
      </c>
      <c r="AU17" s="235">
        <v>0</v>
      </c>
      <c r="AV17" s="139">
        <v>0</v>
      </c>
      <c r="AW17" s="140">
        <v>0</v>
      </c>
      <c r="AX17" s="141">
        <v>0</v>
      </c>
      <c r="AY17" s="49"/>
    </row>
    <row r="18" spans="1:54" x14ac:dyDescent="0.25">
      <c r="A18" s="49" t="s">
        <v>3</v>
      </c>
      <c r="B18" s="94">
        <v>0</v>
      </c>
      <c r="C18" s="95">
        <v>0</v>
      </c>
      <c r="D18" s="95">
        <v>13689</v>
      </c>
      <c r="E18" s="95">
        <v>4868.25</v>
      </c>
      <c r="F18" s="95">
        <v>16491.560000000001</v>
      </c>
      <c r="G18" s="95">
        <v>61798.91</v>
      </c>
      <c r="H18" s="95">
        <v>129893.74</v>
      </c>
      <c r="I18" s="95">
        <v>87893.42</v>
      </c>
      <c r="J18" s="45">
        <v>242878.07999999999</v>
      </c>
      <c r="K18" s="45">
        <v>122671.65</v>
      </c>
      <c r="L18" s="45">
        <v>21593.440000000006</v>
      </c>
      <c r="M18" s="45">
        <v>16432.740000000002</v>
      </c>
      <c r="N18" s="45">
        <v>233596.28</v>
      </c>
      <c r="O18" s="45">
        <v>43536.29</v>
      </c>
      <c r="P18" s="45">
        <v>58192.76</v>
      </c>
      <c r="Q18" s="45">
        <v>11926.3</v>
      </c>
      <c r="R18" s="45">
        <v>17374.550000000003</v>
      </c>
      <c r="S18" s="45">
        <v>23819.039999999997</v>
      </c>
      <c r="T18" s="45">
        <v>103044.69</v>
      </c>
      <c r="U18" s="45">
        <v>18933.559999999998</v>
      </c>
      <c r="V18" s="45">
        <v>13266.67</v>
      </c>
      <c r="W18" s="235">
        <v>12319.51</v>
      </c>
      <c r="X18" s="235">
        <v>-147070.75</v>
      </c>
      <c r="Y18" s="235">
        <v>8537.0999999999985</v>
      </c>
      <c r="Z18" s="235">
        <v>51198.69</v>
      </c>
      <c r="AA18" s="235">
        <v>28001.49</v>
      </c>
      <c r="AB18" s="235">
        <v>14183.650000000001</v>
      </c>
      <c r="AC18" s="235">
        <v>28101.760000000002</v>
      </c>
      <c r="AD18" s="235">
        <v>26867.64</v>
      </c>
      <c r="AE18" s="235">
        <v>36830.36</v>
      </c>
      <c r="AF18" s="235">
        <v>36391.519999999997</v>
      </c>
      <c r="AG18" s="235">
        <v>43938.8</v>
      </c>
      <c r="AH18" s="235">
        <v>52396.26</v>
      </c>
      <c r="AI18" s="235">
        <v>19258.870000000003</v>
      </c>
      <c r="AJ18" s="235">
        <v>1807.48</v>
      </c>
      <c r="AK18" s="235">
        <v>11208.28</v>
      </c>
      <c r="AL18" s="235">
        <v>12274.5</v>
      </c>
      <c r="AM18" s="235">
        <v>468</v>
      </c>
      <c r="AN18" s="235">
        <v>3600</v>
      </c>
      <c r="AO18" s="235">
        <v>8752.25</v>
      </c>
      <c r="AP18" s="235">
        <v>-5449.5</v>
      </c>
      <c r="AQ18" s="235">
        <v>-9692</v>
      </c>
      <c r="AR18" s="235">
        <v>-10</v>
      </c>
      <c r="AS18" s="235">
        <v>7726.93</v>
      </c>
      <c r="AT18" s="235">
        <v>31989</v>
      </c>
      <c r="AU18" s="235">
        <v>680.5</v>
      </c>
      <c r="AV18" s="139">
        <v>0</v>
      </c>
      <c r="AW18" s="140">
        <v>0</v>
      </c>
      <c r="AX18" s="141">
        <v>0</v>
      </c>
      <c r="AY18" s="49"/>
    </row>
    <row r="19" spans="1:54" x14ac:dyDescent="0.25">
      <c r="B19" s="10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8"/>
      <c r="AW19" s="99"/>
      <c r="AX19" s="102"/>
    </row>
    <row r="20" spans="1:54" x14ac:dyDescent="0.25">
      <c r="A20" s="72" t="s">
        <v>84</v>
      </c>
      <c r="B20" s="100"/>
      <c r="C20" s="99"/>
      <c r="D20" s="10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8"/>
      <c r="AW20" s="99"/>
      <c r="AX20" s="102"/>
    </row>
    <row r="21" spans="1:54" x14ac:dyDescent="0.25">
      <c r="A21" s="72" t="s">
        <v>0</v>
      </c>
      <c r="B21" s="110">
        <v>0</v>
      </c>
      <c r="C21" s="114">
        <v>0</v>
      </c>
      <c r="D21" s="114">
        <f>D15+((D28/SUM(D$28:D$32))*D$17)+((D28/SUM(D$28:D$32))*D$18)</f>
        <v>109165.05951390543</v>
      </c>
      <c r="E21" s="114">
        <f t="shared" ref="E21:J21" si="30">E15+((E28/SUM(E$28:E$32))*E$17)+((E28/SUM(E$28:E$32))*E$18)</f>
        <v>480741.41032421798</v>
      </c>
      <c r="F21" s="114">
        <f t="shared" si="30"/>
        <v>1159520.6775673528</v>
      </c>
      <c r="G21" s="114">
        <f t="shared" si="30"/>
        <v>1112154.6232287937</v>
      </c>
      <c r="H21" s="114">
        <f t="shared" si="30"/>
        <v>1607871.1840183262</v>
      </c>
      <c r="I21" s="114">
        <f t="shared" si="30"/>
        <v>2696956.6273276648</v>
      </c>
      <c r="J21" s="114">
        <f t="shared" si="30"/>
        <v>1680521.3719706708</v>
      </c>
      <c r="K21" s="114">
        <f>K15+((K28/SUM(K$28:K$32))*K$17)+((K28/SUM(K$28:K$32))*K$18)</f>
        <v>1945919.517875429</v>
      </c>
      <c r="L21" s="114">
        <f t="shared" ref="L21:U21" si="31">L15+((L28/SUM(L$28:L$32))*L$17)+((L28/SUM(L$28:L$32))*L$18)</f>
        <v>2120554.6975831105</v>
      </c>
      <c r="M21" s="114">
        <f t="shared" si="31"/>
        <v>1998032.1834068832</v>
      </c>
      <c r="N21" s="114">
        <f t="shared" si="31"/>
        <v>1881554.1394569001</v>
      </c>
      <c r="O21" s="114">
        <f t="shared" si="31"/>
        <v>2029628.75873946</v>
      </c>
      <c r="P21" s="114">
        <f t="shared" si="31"/>
        <v>1570290.0599660215</v>
      </c>
      <c r="Q21" s="114">
        <f t="shared" si="31"/>
        <v>671069.67591155518</v>
      </c>
      <c r="R21" s="114">
        <f t="shared" si="31"/>
        <v>2305581.1949410611</v>
      </c>
      <c r="S21" s="114">
        <f t="shared" si="31"/>
        <v>2479685.3929436286</v>
      </c>
      <c r="T21" s="114">
        <f t="shared" si="31"/>
        <v>1547830.6825912232</v>
      </c>
      <c r="U21" s="114">
        <f t="shared" si="31"/>
        <v>2568760.2312064166</v>
      </c>
      <c r="V21" s="114">
        <f>V15+((V28/SUM(V$28:V$32))*V$17)+((V28/SUM(V$28:V$32))*V$18)</f>
        <v>1954986.9702397876</v>
      </c>
      <c r="W21" s="111">
        <f>W15+((W28/SUM(W$28:W$32))*W$17)+((W28/SUM(W$28:W$32))*W$18)</f>
        <v>1805103.413504442</v>
      </c>
      <c r="X21" s="111">
        <f t="shared" ref="X21:AG21" si="32">X15+((X28/SUM(X$28:X$32))*X$17)+((X28/SUM(X$28:X$32))*X$18)</f>
        <v>1465028.1291243047</v>
      </c>
      <c r="Y21" s="111">
        <f t="shared" si="32"/>
        <v>1972246.5535187661</v>
      </c>
      <c r="Z21" s="111">
        <f t="shared" si="32"/>
        <v>1412765.3847262708</v>
      </c>
      <c r="AA21" s="111">
        <f t="shared" si="32"/>
        <v>1088589.6910137057</v>
      </c>
      <c r="AB21" s="111">
        <f t="shared" si="32"/>
        <v>1083493.4278145486</v>
      </c>
      <c r="AC21" s="111">
        <f t="shared" si="32"/>
        <v>1361445.8524978238</v>
      </c>
      <c r="AD21" s="111">
        <f t="shared" si="32"/>
        <v>1202720.3566389179</v>
      </c>
      <c r="AE21" s="111">
        <f t="shared" si="32"/>
        <v>1932637.1486539582</v>
      </c>
      <c r="AF21" s="111">
        <f t="shared" si="32"/>
        <v>2110758.5023123892</v>
      </c>
      <c r="AG21" s="111">
        <f t="shared" si="32"/>
        <v>1952963.7236525486</v>
      </c>
      <c r="AH21" s="111">
        <f>AH15+((AH28/SUM(AH$28:AH$32))*AH$17)+((AH28/SUM(AH$28:AH$32))*AH$18)</f>
        <v>1414942.4273249079</v>
      </c>
      <c r="AI21" s="111">
        <f>AI15+((AI28/SUM(AI$28:AI$32))*AI$17)+((AI28/SUM(AI$28:AI$32))*AI$18)</f>
        <v>1449776.2538906534</v>
      </c>
      <c r="AJ21" s="111">
        <f t="shared" ref="AJ21:AT21" si="33">AJ15+((AJ28/SUM(AJ$28:AJ$32))*AJ$17)+((AJ28/SUM(AJ$28:AJ$32))*AJ$18)</f>
        <v>1801265.5135733255</v>
      </c>
      <c r="AK21" s="111">
        <f t="shared" si="33"/>
        <v>2315371.5671533667</v>
      </c>
      <c r="AL21" s="111">
        <f t="shared" si="33"/>
        <v>-297658.33592078113</v>
      </c>
      <c r="AM21" s="111">
        <f t="shared" si="33"/>
        <v>2733299.4556717798</v>
      </c>
      <c r="AN21" s="111">
        <f t="shared" si="33"/>
        <v>1791288.7543801654</v>
      </c>
      <c r="AO21" s="111">
        <f t="shared" si="33"/>
        <v>4669.9744740828646</v>
      </c>
      <c r="AP21" s="111">
        <f t="shared" si="33"/>
        <v>24356.864494954887</v>
      </c>
      <c r="AQ21" s="111">
        <f t="shared" si="33"/>
        <v>63131.620601648567</v>
      </c>
      <c r="AR21" s="111">
        <f t="shared" si="33"/>
        <v>1062703.1659806606</v>
      </c>
      <c r="AS21" s="111">
        <f t="shared" si="33"/>
        <v>-1375879.0215261045</v>
      </c>
      <c r="AT21" s="111">
        <f t="shared" si="33"/>
        <v>23434.347831218198</v>
      </c>
      <c r="AU21" s="111">
        <f>AU15+((AU28/SUM(AU$28:AU$32))*AU$17)+((AU28/SUM(AU$28:AU$32))*AU$18)</f>
        <v>14936.443255272457</v>
      </c>
      <c r="AV21" s="110">
        <f>AV15+((AV28/SUM(AV$28:AV$32))*AV$17)+((AV28/SUM(AV$28:AV$32))*AV$18)</f>
        <v>0</v>
      </c>
      <c r="AW21" s="111">
        <f>AW15+((AW28/SUM(AW$28:AW$32))*AW$17)+((AW28/SUM(AW$28:AW$32))*AW$18)</f>
        <v>0</v>
      </c>
      <c r="AX21" s="115">
        <f>AX15+((AX28/SUM(AX$28:AX$32))*AX$17)+((AX28/SUM(AX$28:AX$32))*AX$18)</f>
        <v>0</v>
      </c>
    </row>
    <row r="22" spans="1:54" x14ac:dyDescent="0.25">
      <c r="A22" s="72" t="s">
        <v>4</v>
      </c>
      <c r="B22" s="110">
        <v>0</v>
      </c>
      <c r="C22" s="114">
        <v>0</v>
      </c>
      <c r="D22" s="114">
        <f t="shared" ref="D22:J25" si="34">((D29/SUM(D$29:D$32))*D$16)+((D29/SUM(D$28:D$32))*D$17)+((D29/SUM(D$28:D$32))*D$18)</f>
        <v>80396.905524086716</v>
      </c>
      <c r="E22" s="114">
        <f t="shared" si="34"/>
        <v>22367.506099326867</v>
      </c>
      <c r="F22" s="114">
        <f t="shared" si="34"/>
        <v>66516.61829322367</v>
      </c>
      <c r="G22" s="114">
        <f t="shared" si="34"/>
        <v>141612.99114022916</v>
      </c>
      <c r="H22" s="114">
        <f t="shared" si="34"/>
        <v>123183.06799324245</v>
      </c>
      <c r="I22" s="114">
        <f t="shared" si="34"/>
        <v>256818.75360544008</v>
      </c>
      <c r="J22" s="114">
        <f t="shared" si="34"/>
        <v>84485.044258937647</v>
      </c>
      <c r="K22" s="114">
        <f>((K29/SUM(K$29:K$32))*K$16)+((K29/SUM(K$28:K$32))*K$17)+((K29/SUM(K$28:K$32))*K$18)</f>
        <v>300926.18467047397</v>
      </c>
      <c r="L22" s="114">
        <f t="shared" ref="L22:U22" si="35">((L29/SUM(L$29:L$32))*L$16)+((L29/SUM(L$28:L$32))*L$17)+((L29/SUM(L$28:L$32))*L$18)</f>
        <v>353019.58774262288</v>
      </c>
      <c r="M22" s="114">
        <f t="shared" si="35"/>
        <v>315056.14478681865</v>
      </c>
      <c r="N22" s="114">
        <f t="shared" si="35"/>
        <v>411570.06873041322</v>
      </c>
      <c r="O22" s="114">
        <f t="shared" si="35"/>
        <v>502793.63688851451</v>
      </c>
      <c r="P22" s="114">
        <f t="shared" si="35"/>
        <v>294404.38001965731</v>
      </c>
      <c r="Q22" s="114">
        <f t="shared" si="35"/>
        <v>373499.38771814341</v>
      </c>
      <c r="R22" s="114">
        <f t="shared" si="35"/>
        <v>445905.33572743292</v>
      </c>
      <c r="S22" s="114">
        <f t="shared" si="35"/>
        <v>487405.22998657834</v>
      </c>
      <c r="T22" s="114">
        <f t="shared" si="35"/>
        <v>383536.44183370651</v>
      </c>
      <c r="U22" s="114">
        <f t="shared" si="35"/>
        <v>619568.08369206416</v>
      </c>
      <c r="V22" s="114">
        <f>((V29/SUM(V$29:V$32))*V$16)+((V29/SUM(V$28:V$32))*V$17)+((V29/SUM(V$28:V$32))*V$18)</f>
        <v>474036.28843908414</v>
      </c>
      <c r="W22" s="111">
        <f t="shared" ref="W22:AX25" si="36">((W29/SUM(W$29:W$32))*W$16)+((W29/SUM(W$28:W$32))*W$17)+((W29/SUM(W$28:W$32))*W$18)</f>
        <v>559059.78075431671</v>
      </c>
      <c r="X22" s="111">
        <f t="shared" ref="X22:AH22" si="37">((X29/SUM(X$29:X$32))*X$16)+((X29/SUM(X$28:X$32))*X$17)+((X29/SUM(X$28:X$32))*X$18)</f>
        <v>407907.81989739614</v>
      </c>
      <c r="Y22" s="111">
        <f t="shared" si="37"/>
        <v>707322.78080095793</v>
      </c>
      <c r="Z22" s="111">
        <f t="shared" si="37"/>
        <v>503052.8577392486</v>
      </c>
      <c r="AA22" s="111">
        <f t="shared" si="37"/>
        <v>509561.88435877959</v>
      </c>
      <c r="AB22" s="111">
        <f t="shared" si="37"/>
        <v>675624.74536446249</v>
      </c>
      <c r="AC22" s="111">
        <f t="shared" si="37"/>
        <v>589115.72273305943</v>
      </c>
      <c r="AD22" s="111">
        <f t="shared" si="37"/>
        <v>671173.91467850714</v>
      </c>
      <c r="AE22" s="111">
        <f t="shared" si="37"/>
        <v>655109.56934959674</v>
      </c>
      <c r="AF22" s="111">
        <f t="shared" si="37"/>
        <v>846540.1502605034</v>
      </c>
      <c r="AG22" s="111">
        <f t="shared" si="37"/>
        <v>949613.40748911363</v>
      </c>
      <c r="AH22" s="111">
        <f t="shared" si="37"/>
        <v>756167.99237199605</v>
      </c>
      <c r="AI22" s="111">
        <f t="shared" ref="AI22:AU22" si="38">((AI29/SUM(AI$29:AI$32))*AI$16)+((AI29/SUM(AI$28:AI$32))*AI$17)+((AI29/SUM(AI$28:AI$32))*AI$18)</f>
        <v>658782.97344566078</v>
      </c>
      <c r="AJ22" s="111">
        <f t="shared" si="38"/>
        <v>912757.77386116644</v>
      </c>
      <c r="AK22" s="111">
        <f t="shared" si="38"/>
        <v>1230279.3115955228</v>
      </c>
      <c r="AL22" s="111">
        <f t="shared" si="38"/>
        <v>439853.83431814337</v>
      </c>
      <c r="AM22" s="111">
        <f t="shared" si="38"/>
        <v>1647938.2419699337</v>
      </c>
      <c r="AN22" s="111">
        <f t="shared" si="38"/>
        <v>1228243.9665117457</v>
      </c>
      <c r="AO22" s="111">
        <f t="shared" si="38"/>
        <v>40706.196630383798</v>
      </c>
      <c r="AP22" s="111">
        <f t="shared" si="38"/>
        <v>47066.080968688475</v>
      </c>
      <c r="AQ22" s="111">
        <f t="shared" si="38"/>
        <v>30544.470102494786</v>
      </c>
      <c r="AR22" s="111">
        <f t="shared" si="38"/>
        <v>26212.251346126272</v>
      </c>
      <c r="AS22" s="111">
        <f t="shared" si="38"/>
        <v>5579.3095629468362</v>
      </c>
      <c r="AT22" s="111">
        <f t="shared" si="38"/>
        <v>13248.98665412956</v>
      </c>
      <c r="AU22" s="111">
        <f t="shared" si="38"/>
        <v>92883.994148459882</v>
      </c>
      <c r="AV22" s="110">
        <f t="shared" si="36"/>
        <v>77785.057731406312</v>
      </c>
      <c r="AW22" s="111">
        <f t="shared" si="36"/>
        <v>34541.760524909398</v>
      </c>
      <c r="AX22" s="115">
        <f t="shared" si="36"/>
        <v>8812.3665658175269</v>
      </c>
    </row>
    <row r="23" spans="1:54" x14ac:dyDescent="0.25">
      <c r="A23" s="72" t="s">
        <v>5</v>
      </c>
      <c r="B23" s="110">
        <v>0</v>
      </c>
      <c r="C23" s="114">
        <v>0</v>
      </c>
      <c r="D23" s="114">
        <f t="shared" si="34"/>
        <v>184247.82933918544</v>
      </c>
      <c r="E23" s="114">
        <f t="shared" si="34"/>
        <v>55385.846863700259</v>
      </c>
      <c r="F23" s="114">
        <f t="shared" si="34"/>
        <v>171531.62773943189</v>
      </c>
      <c r="G23" s="114">
        <f t="shared" si="34"/>
        <v>338504.71718132001</v>
      </c>
      <c r="H23" s="114">
        <f t="shared" si="34"/>
        <v>279215.68078933004</v>
      </c>
      <c r="I23" s="114">
        <f t="shared" si="34"/>
        <v>584292.23288406734</v>
      </c>
      <c r="J23" s="114">
        <f t="shared" si="34"/>
        <v>200672.65960033773</v>
      </c>
      <c r="K23" s="114">
        <f>((K30/SUM(K$29:K$32))*K$16)+((K30/SUM(K$28:K$32))*K$17)+((K30/SUM(K$28:K$32))*K$18)</f>
        <v>739452.89185881964</v>
      </c>
      <c r="L23" s="114">
        <f t="shared" ref="L23:U23" si="39">((L30/SUM(L$29:L$32))*L$16)+((L30/SUM(L$28:L$32))*L$17)+((L30/SUM(L$28:L$32))*L$18)</f>
        <v>888814.69108194357</v>
      </c>
      <c r="M23" s="114">
        <f t="shared" si="39"/>
        <v>711740.86681302055</v>
      </c>
      <c r="N23" s="114">
        <f t="shared" si="39"/>
        <v>860102.8293358126</v>
      </c>
      <c r="O23" s="114">
        <f t="shared" si="39"/>
        <v>1111966.4679228009</v>
      </c>
      <c r="P23" s="114">
        <f t="shared" si="39"/>
        <v>690470.57929419319</v>
      </c>
      <c r="Q23" s="114">
        <f t="shared" si="39"/>
        <v>910120.41798563395</v>
      </c>
      <c r="R23" s="114">
        <f t="shared" si="39"/>
        <v>1128159.4145622177</v>
      </c>
      <c r="S23" s="114">
        <f t="shared" si="39"/>
        <v>1176823.5237113321</v>
      </c>
      <c r="T23" s="114">
        <f t="shared" si="39"/>
        <v>870044.8240527754</v>
      </c>
      <c r="U23" s="114">
        <f t="shared" si="39"/>
        <v>1418094.0621458886</v>
      </c>
      <c r="V23" s="114">
        <f>((V30/SUM(V$29:V$32))*V$16)+((V30/SUM(V$28:V$32))*V$17)+((V30/SUM(V$28:V$32))*V$18)</f>
        <v>1143451.0603072618</v>
      </c>
      <c r="W23" s="111">
        <f t="shared" si="36"/>
        <v>1367717.5298977192</v>
      </c>
      <c r="X23" s="111">
        <f t="shared" ref="X23:AH23" si="40">((X30/SUM(X$29:X$32))*X$16)+((X30/SUM(X$28:X$32))*X$17)+((X30/SUM(X$28:X$32))*X$18)</f>
        <v>1002327.1221908606</v>
      </c>
      <c r="Y23" s="111">
        <f t="shared" si="40"/>
        <v>1642715.0009584567</v>
      </c>
      <c r="Z23" s="111">
        <f t="shared" si="40"/>
        <v>1022632.8189452654</v>
      </c>
      <c r="AA23" s="111">
        <f t="shared" si="40"/>
        <v>1065522.3790675804</v>
      </c>
      <c r="AB23" s="111">
        <f t="shared" si="40"/>
        <v>1497067.7698519761</v>
      </c>
      <c r="AC23" s="111">
        <f t="shared" si="40"/>
        <v>1335821.4495324197</v>
      </c>
      <c r="AD23" s="111">
        <f t="shared" si="40"/>
        <v>1666504.1755704384</v>
      </c>
      <c r="AE23" s="111">
        <f t="shared" si="40"/>
        <v>1541976.1105171165</v>
      </c>
      <c r="AF23" s="111">
        <f t="shared" si="40"/>
        <v>1919269.9339676993</v>
      </c>
      <c r="AG23" s="111">
        <f t="shared" si="40"/>
        <v>2177300.5733180689</v>
      </c>
      <c r="AH23" s="111">
        <f t="shared" si="40"/>
        <v>1795213.2978989647</v>
      </c>
      <c r="AI23" s="111">
        <f t="shared" ref="AI23:AU23" si="41">((AI30/SUM(AI$29:AI$32))*AI$16)+((AI30/SUM(AI$28:AI$32))*AI$17)+((AI30/SUM(AI$28:AI$32))*AI$18)</f>
        <v>1614065.3314857311</v>
      </c>
      <c r="AJ23" s="111">
        <f t="shared" si="41"/>
        <v>2206347.3072531712</v>
      </c>
      <c r="AK23" s="111">
        <f t="shared" si="41"/>
        <v>2678670.3768449528</v>
      </c>
      <c r="AL23" s="111">
        <f t="shared" si="41"/>
        <v>922293.50311211497</v>
      </c>
      <c r="AM23" s="111">
        <f t="shared" si="41"/>
        <v>3339311.6184484991</v>
      </c>
      <c r="AN23" s="111">
        <f t="shared" si="41"/>
        <v>2538108.7706457209</v>
      </c>
      <c r="AO23" s="111">
        <f t="shared" si="41"/>
        <v>94616.317756611214</v>
      </c>
      <c r="AP23" s="111">
        <f t="shared" si="41"/>
        <v>116464.89792094272</v>
      </c>
      <c r="AQ23" s="111">
        <f t="shared" si="41"/>
        <v>71966.016970035605</v>
      </c>
      <c r="AR23" s="111">
        <f t="shared" si="41"/>
        <v>58168.883729143956</v>
      </c>
      <c r="AS23" s="111">
        <f t="shared" si="41"/>
        <v>12323.996352019682</v>
      </c>
      <c r="AT23" s="111">
        <f t="shared" si="41"/>
        <v>30610.580439516794</v>
      </c>
      <c r="AU23" s="111">
        <f t="shared" si="41"/>
        <v>218424.44363344379</v>
      </c>
      <c r="AV23" s="110">
        <f t="shared" si="36"/>
        <v>187558.21710140884</v>
      </c>
      <c r="AW23" s="111">
        <f t="shared" si="36"/>
        <v>75908.27753590401</v>
      </c>
      <c r="AX23" s="115">
        <f t="shared" si="36"/>
        <v>17782.01431645039</v>
      </c>
    </row>
    <row r="24" spans="1:54" x14ac:dyDescent="0.25">
      <c r="A24" s="72" t="s">
        <v>6</v>
      </c>
      <c r="B24" s="110">
        <v>0</v>
      </c>
      <c r="C24" s="114">
        <v>0</v>
      </c>
      <c r="D24" s="114">
        <f t="shared" si="34"/>
        <v>76446.845496259717</v>
      </c>
      <c r="E24" s="114">
        <f t="shared" si="34"/>
        <v>24925.441552928634</v>
      </c>
      <c r="F24" s="114">
        <f t="shared" si="34"/>
        <v>80373.1566544823</v>
      </c>
      <c r="G24" s="114">
        <f t="shared" si="34"/>
        <v>143812.49422455556</v>
      </c>
      <c r="H24" s="114">
        <f t="shared" si="34"/>
        <v>117089.55808990503</v>
      </c>
      <c r="I24" s="114">
        <f t="shared" si="34"/>
        <v>238156.59167654801</v>
      </c>
      <c r="J24" s="114">
        <f t="shared" si="34"/>
        <v>88431.392361907871</v>
      </c>
      <c r="K24" s="114">
        <f>((K31/SUM(K$29:K$32))*K$16)+((K31/SUM(K$28:K$32))*K$17)+((K31/SUM(K$28:K$32))*K$18)</f>
        <v>314181.39281031361</v>
      </c>
      <c r="L24" s="114">
        <f t="shared" ref="L24:U24" si="42">((L31/SUM(L$29:L$32))*L$16)+((L31/SUM(L$28:L$32))*L$17)+((L31/SUM(L$28:L$32))*L$18)</f>
        <v>398118.03346698196</v>
      </c>
      <c r="M24" s="114">
        <f t="shared" si="42"/>
        <v>306986.68836154032</v>
      </c>
      <c r="N24" s="114">
        <f t="shared" si="42"/>
        <v>356788.04041822487</v>
      </c>
      <c r="O24" s="114">
        <f t="shared" si="42"/>
        <v>520044.08722166944</v>
      </c>
      <c r="P24" s="114">
        <f t="shared" si="42"/>
        <v>294078.51311682223</v>
      </c>
      <c r="Q24" s="114">
        <f t="shared" si="42"/>
        <v>424160.63775331364</v>
      </c>
      <c r="R24" s="114">
        <f t="shared" si="42"/>
        <v>518592.16985403083</v>
      </c>
      <c r="S24" s="114">
        <f t="shared" si="42"/>
        <v>548139.25087458664</v>
      </c>
      <c r="T24" s="114">
        <f t="shared" si="42"/>
        <v>364489.81913091976</v>
      </c>
      <c r="U24" s="114">
        <f t="shared" si="42"/>
        <v>615254.63877527637</v>
      </c>
      <c r="V24" s="114">
        <f>((V31/SUM(V$29:V$32))*V$16)+((V31/SUM(V$28:V$32))*V$17)+((V31/SUM(V$28:V$32))*V$18)</f>
        <v>506347.93409592676</v>
      </c>
      <c r="W24" s="111">
        <f t="shared" si="36"/>
        <v>617383.68475802662</v>
      </c>
      <c r="X24" s="111">
        <f t="shared" ref="X24:AH24" si="43">((X31/SUM(X$29:X$32))*X$16)+((X31/SUM(X$28:X$32))*X$17)+((X31/SUM(X$28:X$32))*X$18)</f>
        <v>453935.31211217341</v>
      </c>
      <c r="Y24" s="111">
        <f t="shared" si="43"/>
        <v>746498.85887898982</v>
      </c>
      <c r="Z24" s="111">
        <f t="shared" si="43"/>
        <v>443041.04712886061</v>
      </c>
      <c r="AA24" s="111">
        <f t="shared" si="43"/>
        <v>457962.34751248476</v>
      </c>
      <c r="AB24" s="111">
        <f t="shared" si="43"/>
        <v>688788.48789126845</v>
      </c>
      <c r="AC24" s="111">
        <f t="shared" si="43"/>
        <v>562269.83771640889</v>
      </c>
      <c r="AD24" s="111">
        <f t="shared" si="43"/>
        <v>815458.75403203291</v>
      </c>
      <c r="AE24" s="111">
        <f t="shared" si="43"/>
        <v>685770.92353864305</v>
      </c>
      <c r="AF24" s="111">
        <f t="shared" si="43"/>
        <v>832181.15415458393</v>
      </c>
      <c r="AG24" s="111">
        <f t="shared" si="43"/>
        <v>981428.327742461</v>
      </c>
      <c r="AH24" s="111">
        <f t="shared" si="43"/>
        <v>774012.03018908331</v>
      </c>
      <c r="AI24" s="111">
        <f t="shared" ref="AI24:AU24" si="44">((AI31/SUM(AI$29:AI$32))*AI$16)+((AI31/SUM(AI$28:AI$32))*AI$17)+((AI31/SUM(AI$28:AI$32))*AI$18)</f>
        <v>712700.49977852497</v>
      </c>
      <c r="AJ24" s="111">
        <f t="shared" si="44"/>
        <v>1026880.0510310169</v>
      </c>
      <c r="AK24" s="111">
        <f t="shared" si="44"/>
        <v>1231465.6642063381</v>
      </c>
      <c r="AL24" s="111">
        <f t="shared" si="44"/>
        <v>361318.17786610383</v>
      </c>
      <c r="AM24" s="111">
        <f t="shared" si="44"/>
        <v>1330419.5926359231</v>
      </c>
      <c r="AN24" s="111">
        <f t="shared" si="44"/>
        <v>1026431.5040852134</v>
      </c>
      <c r="AO24" s="111">
        <f t="shared" si="44"/>
        <v>40263.576656581979</v>
      </c>
      <c r="AP24" s="111">
        <f t="shared" si="44"/>
        <v>48647.552867494065</v>
      </c>
      <c r="AQ24" s="111">
        <f t="shared" si="44"/>
        <v>31443.249724879857</v>
      </c>
      <c r="AR24" s="111">
        <f t="shared" si="44"/>
        <v>23705.86757973893</v>
      </c>
      <c r="AS24" s="111">
        <f t="shared" si="44"/>
        <v>5154.2763748988837</v>
      </c>
      <c r="AT24" s="111">
        <f t="shared" si="44"/>
        <v>12605.952118244924</v>
      </c>
      <c r="AU24" s="111">
        <f t="shared" si="44"/>
        <v>90803.827559834812</v>
      </c>
      <c r="AV24" s="110">
        <f t="shared" si="36"/>
        <v>81523.627694590105</v>
      </c>
      <c r="AW24" s="111">
        <f t="shared" si="36"/>
        <v>31245.554220706035</v>
      </c>
      <c r="AX24" s="115">
        <f t="shared" si="36"/>
        <v>7068.4918502542851</v>
      </c>
    </row>
    <row r="25" spans="1:54" x14ac:dyDescent="0.25">
      <c r="A25" s="72" t="s">
        <v>7</v>
      </c>
      <c r="B25" s="110">
        <v>0</v>
      </c>
      <c r="C25" s="114">
        <v>0</v>
      </c>
      <c r="D25" s="114">
        <f t="shared" si="34"/>
        <v>39321.070126562699</v>
      </c>
      <c r="E25" s="114">
        <f t="shared" si="34"/>
        <v>12619.135159826228</v>
      </c>
      <c r="F25" s="114">
        <f t="shared" si="34"/>
        <v>39310.379745509235</v>
      </c>
      <c r="G25" s="114">
        <f t="shared" si="34"/>
        <v>77416.494225101458</v>
      </c>
      <c r="H25" s="114">
        <f t="shared" si="34"/>
        <v>59564.589109196262</v>
      </c>
      <c r="I25" s="114">
        <f t="shared" si="34"/>
        <v>125566.64450627941</v>
      </c>
      <c r="J25" s="114">
        <f t="shared" si="34"/>
        <v>47195.011808146039</v>
      </c>
      <c r="K25" s="114">
        <f>((K32/SUM(K$29:K$32))*K$16)+((K32/SUM(K$28:K$32))*K$17)+((K32/SUM(K$28:K$32))*K$18)</f>
        <v>173420.96278496395</v>
      </c>
      <c r="L25" s="114">
        <f t="shared" ref="L25:U25" si="45">((L32/SUM(L$29:L$32))*L$16)+((L32/SUM(L$28:L$32))*L$17)+((L32/SUM(L$28:L$32))*L$18)</f>
        <v>211065.64012534122</v>
      </c>
      <c r="M25" s="114">
        <f t="shared" si="45"/>
        <v>152613.93663173731</v>
      </c>
      <c r="N25" s="114">
        <f t="shared" si="45"/>
        <v>164623.74205864902</v>
      </c>
      <c r="O25" s="114">
        <f t="shared" si="45"/>
        <v>249592.83922755485</v>
      </c>
      <c r="P25" s="114">
        <f t="shared" si="45"/>
        <v>142351.0076033056</v>
      </c>
      <c r="Q25" s="114">
        <f t="shared" si="45"/>
        <v>211454.20063135427</v>
      </c>
      <c r="R25" s="114">
        <f t="shared" si="45"/>
        <v>259572.77491525796</v>
      </c>
      <c r="S25" s="114">
        <f t="shared" si="45"/>
        <v>285057.39248387417</v>
      </c>
      <c r="T25" s="114">
        <f t="shared" si="45"/>
        <v>183026.0723913754</v>
      </c>
      <c r="U25" s="114">
        <f t="shared" si="45"/>
        <v>324564.83418035397</v>
      </c>
      <c r="V25" s="114">
        <f>((V32/SUM(V$29:V$32))*V$16)+((V32/SUM(V$28:V$32))*V$17)+((V32/SUM(V$28:V$32))*V$18)</f>
        <v>264531.43691794015</v>
      </c>
      <c r="W25" s="111">
        <f t="shared" si="36"/>
        <v>314184.3810854961</v>
      </c>
      <c r="X25" s="111">
        <f t="shared" ref="X25:AH25" si="46">((X32/SUM(X$29:X$32))*X$16)+((X32/SUM(X$28:X$32))*X$17)+((X32/SUM(X$28:X$32))*X$18)</f>
        <v>250608.98667526536</v>
      </c>
      <c r="Y25" s="111">
        <f t="shared" si="46"/>
        <v>351786.63584282924</v>
      </c>
      <c r="Z25" s="111">
        <f t="shared" si="46"/>
        <v>193260.47146035449</v>
      </c>
      <c r="AA25" s="111">
        <f t="shared" si="46"/>
        <v>209853.26804744999</v>
      </c>
      <c r="AB25" s="111">
        <f t="shared" si="46"/>
        <v>318275.49907774379</v>
      </c>
      <c r="AC25" s="111">
        <f t="shared" si="46"/>
        <v>266521.66752028867</v>
      </c>
      <c r="AD25" s="111">
        <f t="shared" si="46"/>
        <v>385141.48908010346</v>
      </c>
      <c r="AE25" s="111">
        <f t="shared" si="46"/>
        <v>330310.99794068577</v>
      </c>
      <c r="AF25" s="111">
        <f t="shared" si="46"/>
        <v>399064.96930482326</v>
      </c>
      <c r="AG25" s="111">
        <f t="shared" si="46"/>
        <v>491925.50779780763</v>
      </c>
      <c r="AH25" s="111">
        <f t="shared" si="46"/>
        <v>374399.20221504843</v>
      </c>
      <c r="AI25" s="111">
        <f t="shared" ref="AI25:AU25" si="47">((AI32/SUM(AI$29:AI$32))*AI$16)+((AI32/SUM(AI$28:AI$32))*AI$17)+((AI32/SUM(AI$28:AI$32))*AI$18)</f>
        <v>365734.03139942978</v>
      </c>
      <c r="AJ25" s="111">
        <f t="shared" si="47"/>
        <v>528123.32428132067</v>
      </c>
      <c r="AK25" s="111">
        <f t="shared" si="47"/>
        <v>573573.37019981968</v>
      </c>
      <c r="AL25" s="111">
        <f t="shared" si="47"/>
        <v>145624.0506244188</v>
      </c>
      <c r="AM25" s="111">
        <f t="shared" si="47"/>
        <v>513931.99127386464</v>
      </c>
      <c r="AN25" s="111">
        <f t="shared" si="47"/>
        <v>420350.30437715532</v>
      </c>
      <c r="AO25" s="111">
        <f t="shared" si="47"/>
        <v>17120.224482340127</v>
      </c>
      <c r="AP25" s="111">
        <f t="shared" si="47"/>
        <v>20475.743747919907</v>
      </c>
      <c r="AQ25" s="111">
        <f t="shared" si="47"/>
        <v>14346.492600941192</v>
      </c>
      <c r="AR25" s="111">
        <f t="shared" si="47"/>
        <v>10018.501364329977</v>
      </c>
      <c r="AS25" s="111">
        <f t="shared" si="47"/>
        <v>2297.6192362393253</v>
      </c>
      <c r="AT25" s="111">
        <f t="shared" si="47"/>
        <v>5729.5029568905084</v>
      </c>
      <c r="AU25" s="111">
        <f t="shared" si="47"/>
        <v>42015.641402989051</v>
      </c>
      <c r="AV25" s="110">
        <f t="shared" si="36"/>
        <v>38101.097472594796</v>
      </c>
      <c r="AW25" s="111">
        <f t="shared" si="36"/>
        <v>14007.407718480554</v>
      </c>
      <c r="AX25" s="115">
        <f t="shared" si="36"/>
        <v>2998.1272674778015</v>
      </c>
    </row>
    <row r="26" spans="1:54" x14ac:dyDescent="0.25">
      <c r="B26" s="100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8"/>
      <c r="AW26" s="99"/>
      <c r="AX26" s="102"/>
    </row>
    <row r="27" spans="1:54" x14ac:dyDescent="0.25">
      <c r="A27" s="72" t="s">
        <v>85</v>
      </c>
      <c r="B27" s="100"/>
      <c r="C27" s="99"/>
      <c r="D27" s="103" t="s">
        <v>86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8"/>
      <c r="AW27" s="99"/>
      <c r="AX27" s="102"/>
    </row>
    <row r="28" spans="1:54" x14ac:dyDescent="0.25">
      <c r="A28" s="49" t="s">
        <v>0</v>
      </c>
      <c r="B28" s="142">
        <v>0</v>
      </c>
      <c r="C28" s="136">
        <v>0</v>
      </c>
      <c r="D28" s="109">
        <v>993663505</v>
      </c>
      <c r="E28" s="109">
        <v>799965556</v>
      </c>
      <c r="F28" s="109">
        <v>694371338</v>
      </c>
      <c r="G28" s="109">
        <v>1033880199</v>
      </c>
      <c r="H28" s="109">
        <v>1389519683</v>
      </c>
      <c r="I28" s="109">
        <v>1393717014</v>
      </c>
      <c r="J28" s="109">
        <v>1260356462</v>
      </c>
      <c r="K28" s="109">
        <v>898752689</v>
      </c>
      <c r="L28" s="109">
        <v>737254549</v>
      </c>
      <c r="M28" s="109">
        <v>1139687162</v>
      </c>
      <c r="N28" s="109">
        <v>1486587515</v>
      </c>
      <c r="O28" s="109">
        <v>1118519560</v>
      </c>
      <c r="P28" s="109">
        <v>900425374</v>
      </c>
      <c r="Q28" s="109">
        <v>785388980</v>
      </c>
      <c r="R28" s="109">
        <v>745552820</v>
      </c>
      <c r="S28" s="109">
        <v>999249366</v>
      </c>
      <c r="T28" s="109">
        <v>1328710328</v>
      </c>
      <c r="U28" s="109">
        <v>1345571317</v>
      </c>
      <c r="V28" s="109">
        <v>1065182267</v>
      </c>
      <c r="W28" s="179">
        <v>935823271</v>
      </c>
      <c r="X28" s="179">
        <v>821487370</v>
      </c>
      <c r="Y28" s="179">
        <v>1061048123</v>
      </c>
      <c r="Z28" s="179">
        <v>1655009463</v>
      </c>
      <c r="AA28" s="179">
        <v>1329247401</v>
      </c>
      <c r="AB28" s="179">
        <v>1071720684</v>
      </c>
      <c r="AC28" s="179">
        <v>1035354332</v>
      </c>
      <c r="AD28" s="179">
        <v>838111932</v>
      </c>
      <c r="AE28" s="179">
        <v>1238437606</v>
      </c>
      <c r="AF28" s="179">
        <v>1451979984</v>
      </c>
      <c r="AG28" s="179">
        <v>1300666274</v>
      </c>
      <c r="AH28" s="179">
        <v>1250635703</v>
      </c>
      <c r="AI28" s="179">
        <v>971081766</v>
      </c>
      <c r="AJ28" s="179">
        <v>906818656</v>
      </c>
      <c r="AK28" s="179">
        <v>1263779046</v>
      </c>
      <c r="AL28" s="179">
        <v>1395672993</v>
      </c>
      <c r="AM28" s="179">
        <v>1407530571</v>
      </c>
      <c r="AN28" s="179">
        <v>1268128455</v>
      </c>
      <c r="AO28" s="179">
        <v>872933544</v>
      </c>
      <c r="AP28" s="179">
        <v>738196558</v>
      </c>
      <c r="AQ28" s="179">
        <v>978975302</v>
      </c>
      <c r="AR28" s="179">
        <v>1243909773</v>
      </c>
      <c r="AS28" s="179">
        <v>1310015315</v>
      </c>
      <c r="AT28" s="179">
        <v>1208033233</v>
      </c>
      <c r="AU28" s="179">
        <v>993546162</v>
      </c>
      <c r="AV28" s="221">
        <v>822537995.55853176</v>
      </c>
      <c r="AW28" s="222">
        <v>1183795801.0212228</v>
      </c>
      <c r="AX28" s="223">
        <v>1547634380.0777879</v>
      </c>
      <c r="AY28" s="143"/>
      <c r="AZ28" s="52"/>
      <c r="BB28" s="52"/>
    </row>
    <row r="29" spans="1:54" x14ac:dyDescent="0.25">
      <c r="A29" s="49" t="s">
        <v>4</v>
      </c>
      <c r="B29" s="142">
        <v>0</v>
      </c>
      <c r="C29" s="136">
        <v>0</v>
      </c>
      <c r="D29" s="109">
        <v>260227273</v>
      </c>
      <c r="E29" s="109">
        <v>236480663</v>
      </c>
      <c r="F29" s="109">
        <v>226604577</v>
      </c>
      <c r="G29" s="109">
        <v>276800633</v>
      </c>
      <c r="H29" s="109">
        <v>328433342</v>
      </c>
      <c r="I29" s="109">
        <v>327996744</v>
      </c>
      <c r="J29" s="109">
        <v>315410170</v>
      </c>
      <c r="K29" s="109">
        <v>268275261</v>
      </c>
      <c r="L29" s="109">
        <v>238400191</v>
      </c>
      <c r="M29" s="109">
        <v>276639061</v>
      </c>
      <c r="N29" s="109">
        <v>331623730</v>
      </c>
      <c r="O29" s="109">
        <v>274620464</v>
      </c>
      <c r="P29" s="109">
        <v>244043467</v>
      </c>
      <c r="Q29" s="109">
        <v>230986921</v>
      </c>
      <c r="R29" s="109">
        <v>228484392</v>
      </c>
      <c r="S29" s="109">
        <v>271547337</v>
      </c>
      <c r="T29" s="109">
        <v>314773105</v>
      </c>
      <c r="U29" s="109">
        <v>317794583</v>
      </c>
      <c r="V29" s="109">
        <v>284270101</v>
      </c>
      <c r="W29" s="179">
        <v>269129889</v>
      </c>
      <c r="X29" s="179">
        <v>240618906</v>
      </c>
      <c r="Y29" s="179">
        <v>265688240</v>
      </c>
      <c r="Z29" s="179">
        <v>350848362</v>
      </c>
      <c r="AA29" s="179">
        <v>304988610</v>
      </c>
      <c r="AB29" s="179">
        <v>267166722</v>
      </c>
      <c r="AC29" s="179">
        <v>263421812</v>
      </c>
      <c r="AD29" s="179">
        <v>238338730</v>
      </c>
      <c r="AE29" s="179">
        <v>299991891</v>
      </c>
      <c r="AF29" s="179">
        <v>330814291</v>
      </c>
      <c r="AG29" s="179">
        <v>309298324</v>
      </c>
      <c r="AH29" s="179">
        <v>303923884</v>
      </c>
      <c r="AI29" s="179">
        <v>267631865</v>
      </c>
      <c r="AJ29" s="179">
        <v>241319654</v>
      </c>
      <c r="AK29" s="179">
        <v>291652347</v>
      </c>
      <c r="AL29" s="179">
        <v>307968093</v>
      </c>
      <c r="AM29" s="179">
        <v>308068267</v>
      </c>
      <c r="AN29" s="179">
        <v>290178959</v>
      </c>
      <c r="AO29" s="179">
        <v>235096003</v>
      </c>
      <c r="AP29" s="179">
        <v>221772499</v>
      </c>
      <c r="AQ29" s="179">
        <v>258735845</v>
      </c>
      <c r="AR29" s="179">
        <v>295975497</v>
      </c>
      <c r="AS29" s="179">
        <v>304175879</v>
      </c>
      <c r="AT29" s="179">
        <v>293549572</v>
      </c>
      <c r="AU29" s="179">
        <v>264736629</v>
      </c>
      <c r="AV29" s="221">
        <v>230665248.98678535</v>
      </c>
      <c r="AW29" s="222">
        <v>274848297.19308329</v>
      </c>
      <c r="AX29" s="223">
        <v>332076513.08273435</v>
      </c>
      <c r="AY29" s="143"/>
      <c r="AZ29" s="52"/>
      <c r="BB29" s="52"/>
    </row>
    <row r="30" spans="1:54" x14ac:dyDescent="0.25">
      <c r="A30" s="49" t="s">
        <v>5</v>
      </c>
      <c r="B30" s="142">
        <v>0</v>
      </c>
      <c r="C30" s="136">
        <v>0</v>
      </c>
      <c r="D30" s="109">
        <v>596370095</v>
      </c>
      <c r="E30" s="109">
        <v>585567373</v>
      </c>
      <c r="F30" s="109">
        <v>584363020</v>
      </c>
      <c r="G30" s="109">
        <v>661650596</v>
      </c>
      <c r="H30" s="109">
        <v>744450846</v>
      </c>
      <c r="I30" s="109">
        <v>746230356</v>
      </c>
      <c r="J30" s="109">
        <v>749176357</v>
      </c>
      <c r="K30" s="109">
        <v>659221190</v>
      </c>
      <c r="L30" s="109">
        <v>600231827</v>
      </c>
      <c r="M30" s="109">
        <v>624953134</v>
      </c>
      <c r="N30" s="109">
        <v>693030252</v>
      </c>
      <c r="O30" s="109">
        <v>607344097</v>
      </c>
      <c r="P30" s="109">
        <v>572358448</v>
      </c>
      <c r="Q30" s="109">
        <v>562854773</v>
      </c>
      <c r="R30" s="109">
        <v>578075204</v>
      </c>
      <c r="S30" s="109">
        <v>655641906</v>
      </c>
      <c r="T30" s="109">
        <v>714056556</v>
      </c>
      <c r="U30" s="109">
        <v>727381902</v>
      </c>
      <c r="V30" s="109">
        <v>685704779</v>
      </c>
      <c r="W30" s="179">
        <v>658415575</v>
      </c>
      <c r="X30" s="179">
        <v>591258230</v>
      </c>
      <c r="Y30" s="179">
        <v>617045102</v>
      </c>
      <c r="Z30" s="179">
        <v>713223360</v>
      </c>
      <c r="AA30" s="179">
        <v>637748229</v>
      </c>
      <c r="AB30" s="179">
        <v>591995322</v>
      </c>
      <c r="AC30" s="179">
        <v>597309651</v>
      </c>
      <c r="AD30" s="179">
        <v>591787732</v>
      </c>
      <c r="AE30" s="179">
        <v>706111391</v>
      </c>
      <c r="AF30" s="179">
        <v>750019857</v>
      </c>
      <c r="AG30" s="179">
        <v>709167976</v>
      </c>
      <c r="AH30" s="179">
        <v>721543630</v>
      </c>
      <c r="AI30" s="179">
        <v>655717182</v>
      </c>
      <c r="AJ30" s="179">
        <v>583325592</v>
      </c>
      <c r="AK30" s="179">
        <v>635010680</v>
      </c>
      <c r="AL30" s="179">
        <v>645753087</v>
      </c>
      <c r="AM30" s="179">
        <v>624256369</v>
      </c>
      <c r="AN30" s="179">
        <v>599641261</v>
      </c>
      <c r="AO30" s="179">
        <v>546450417</v>
      </c>
      <c r="AP30" s="179">
        <v>548775486</v>
      </c>
      <c r="AQ30" s="179">
        <v>609609142</v>
      </c>
      <c r="AR30" s="179">
        <v>656813642</v>
      </c>
      <c r="AS30" s="179">
        <v>671886437</v>
      </c>
      <c r="AT30" s="179">
        <v>678219627</v>
      </c>
      <c r="AU30" s="179">
        <v>622550219</v>
      </c>
      <c r="AV30" s="221">
        <v>556188606.25652254</v>
      </c>
      <c r="AW30" s="222">
        <v>604001084.67424202</v>
      </c>
      <c r="AX30" s="223">
        <v>670079854.90516186</v>
      </c>
      <c r="AY30" s="143"/>
      <c r="AZ30" s="52"/>
      <c r="BB30" s="52"/>
    </row>
    <row r="31" spans="1:54" x14ac:dyDescent="0.25">
      <c r="A31" s="49" t="s">
        <v>6</v>
      </c>
      <c r="B31" s="142">
        <v>0</v>
      </c>
      <c r="C31" s="136">
        <v>0</v>
      </c>
      <c r="D31" s="109">
        <v>247441789</v>
      </c>
      <c r="E31" s="109">
        <v>263524459</v>
      </c>
      <c r="F31" s="109">
        <v>273810149</v>
      </c>
      <c r="G31" s="109">
        <v>281099842</v>
      </c>
      <c r="H31" s="109">
        <v>312186695</v>
      </c>
      <c r="I31" s="109">
        <v>304162315</v>
      </c>
      <c r="J31" s="109">
        <v>330143172</v>
      </c>
      <c r="K31" s="109">
        <v>280092260</v>
      </c>
      <c r="L31" s="109">
        <v>268855946</v>
      </c>
      <c r="M31" s="109">
        <v>269553572</v>
      </c>
      <c r="N31" s="109">
        <v>287482958</v>
      </c>
      <c r="O31" s="109">
        <v>284042474</v>
      </c>
      <c r="P31" s="109">
        <v>243773343</v>
      </c>
      <c r="Q31" s="109">
        <v>262317859</v>
      </c>
      <c r="R31" s="109">
        <v>265729533</v>
      </c>
      <c r="S31" s="109">
        <v>305383990</v>
      </c>
      <c r="T31" s="109">
        <v>299141306</v>
      </c>
      <c r="U31" s="109">
        <v>315582091</v>
      </c>
      <c r="V31" s="109">
        <v>303646750</v>
      </c>
      <c r="W31" s="179">
        <v>297206861</v>
      </c>
      <c r="X31" s="179">
        <v>267769856</v>
      </c>
      <c r="Y31" s="179">
        <v>280403761</v>
      </c>
      <c r="Z31" s="179">
        <v>308993823</v>
      </c>
      <c r="AA31" s="179">
        <v>274104685</v>
      </c>
      <c r="AB31" s="179">
        <v>272372147</v>
      </c>
      <c r="AC31" s="179">
        <v>251417733</v>
      </c>
      <c r="AD31" s="179">
        <v>289575324</v>
      </c>
      <c r="AE31" s="179">
        <v>314032531</v>
      </c>
      <c r="AF31" s="179">
        <v>325203026</v>
      </c>
      <c r="AG31" s="179">
        <v>319660753</v>
      </c>
      <c r="AH31" s="179">
        <v>311095874</v>
      </c>
      <c r="AI31" s="179">
        <v>289535965</v>
      </c>
      <c r="AJ31" s="179">
        <v>271491896</v>
      </c>
      <c r="AK31" s="179">
        <v>291933586</v>
      </c>
      <c r="AL31" s="179">
        <v>252980562</v>
      </c>
      <c r="AM31" s="179">
        <v>248710812</v>
      </c>
      <c r="AN31" s="179">
        <v>242499726</v>
      </c>
      <c r="AO31" s="179">
        <v>232539680</v>
      </c>
      <c r="AP31" s="179">
        <v>229224298</v>
      </c>
      <c r="AQ31" s="179">
        <v>266349220</v>
      </c>
      <c r="AR31" s="179">
        <v>267674678</v>
      </c>
      <c r="AS31" s="179">
        <v>281003685</v>
      </c>
      <c r="AT31" s="179">
        <v>279302255</v>
      </c>
      <c r="AU31" s="179">
        <v>258807768</v>
      </c>
      <c r="AV31" s="221">
        <v>241751673.50793245</v>
      </c>
      <c r="AW31" s="222">
        <v>248620430.51402155</v>
      </c>
      <c r="AX31" s="223">
        <v>266362061.63859347</v>
      </c>
      <c r="AY31" s="143"/>
      <c r="AZ31" s="52"/>
      <c r="BB31" s="52"/>
    </row>
    <row r="32" spans="1:54" x14ac:dyDescent="0.25">
      <c r="A32" s="49" t="s">
        <v>7</v>
      </c>
      <c r="B32" s="142">
        <v>0</v>
      </c>
      <c r="C32" s="136">
        <v>0</v>
      </c>
      <c r="D32" s="109">
        <v>127273740</v>
      </c>
      <c r="E32" s="109">
        <v>133415922</v>
      </c>
      <c r="F32" s="109">
        <v>133920097</v>
      </c>
      <c r="G32" s="109">
        <v>151320401</v>
      </c>
      <c r="H32" s="109">
        <v>158812387</v>
      </c>
      <c r="I32" s="109">
        <v>160367769</v>
      </c>
      <c r="J32" s="109">
        <v>176194341</v>
      </c>
      <c r="K32" s="109">
        <v>154604539</v>
      </c>
      <c r="L32" s="109">
        <v>142536252</v>
      </c>
      <c r="M32" s="109">
        <v>134004611</v>
      </c>
      <c r="N32" s="109">
        <v>132646039</v>
      </c>
      <c r="O32" s="109">
        <v>136324918</v>
      </c>
      <c r="P32" s="109">
        <v>118000396</v>
      </c>
      <c r="Q32" s="109">
        <v>130771713</v>
      </c>
      <c r="R32" s="109">
        <v>133006544</v>
      </c>
      <c r="S32" s="109">
        <v>158813593</v>
      </c>
      <c r="T32" s="109">
        <v>150211763</v>
      </c>
      <c r="U32" s="109">
        <v>166478792</v>
      </c>
      <c r="V32" s="109">
        <v>158634223</v>
      </c>
      <c r="W32" s="179">
        <v>151247524</v>
      </c>
      <c r="X32" s="179">
        <v>147830606</v>
      </c>
      <c r="Y32" s="179">
        <v>132139915</v>
      </c>
      <c r="Z32" s="179">
        <v>134787267</v>
      </c>
      <c r="AA32" s="179">
        <v>125603697</v>
      </c>
      <c r="AB32" s="179">
        <v>125857767</v>
      </c>
      <c r="AC32" s="179">
        <v>119174583</v>
      </c>
      <c r="AD32" s="179">
        <v>136766539</v>
      </c>
      <c r="AE32" s="179">
        <v>151258088</v>
      </c>
      <c r="AF32" s="179">
        <v>155948179</v>
      </c>
      <c r="AG32" s="179">
        <v>160224923</v>
      </c>
      <c r="AH32" s="179">
        <v>150480926</v>
      </c>
      <c r="AI32" s="179">
        <v>148580162</v>
      </c>
      <c r="AJ32" s="179">
        <v>139627995</v>
      </c>
      <c r="AK32" s="179">
        <v>135972391</v>
      </c>
      <c r="AL32" s="179">
        <v>101960146</v>
      </c>
      <c r="AM32" s="179">
        <v>96075286</v>
      </c>
      <c r="AN32" s="179">
        <v>99309923</v>
      </c>
      <c r="AO32" s="179">
        <v>98876748</v>
      </c>
      <c r="AP32" s="179">
        <v>96480454</v>
      </c>
      <c r="AQ32" s="179">
        <v>121526151</v>
      </c>
      <c r="AR32" s="179">
        <v>113123855</v>
      </c>
      <c r="AS32" s="179">
        <v>125262874</v>
      </c>
      <c r="AT32" s="179">
        <v>126945040</v>
      </c>
      <c r="AU32" s="179">
        <v>119752379</v>
      </c>
      <c r="AV32" s="221">
        <v>112985699.2011641</v>
      </c>
      <c r="AW32" s="222">
        <v>111456743.98203622</v>
      </c>
      <c r="AX32" s="223">
        <v>112978465.12923987</v>
      </c>
      <c r="AY32" s="143"/>
      <c r="AZ32" s="52"/>
      <c r="BB32" s="52"/>
    </row>
    <row r="33" spans="1:52" x14ac:dyDescent="0.25">
      <c r="B33" s="100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8"/>
      <c r="AW33" s="99"/>
      <c r="AX33" s="102"/>
    </row>
    <row r="34" spans="1:52" x14ac:dyDescent="0.25">
      <c r="A34" s="72" t="s">
        <v>87</v>
      </c>
      <c r="B34" s="100"/>
      <c r="C34" s="99"/>
      <c r="D34" s="103" t="s">
        <v>68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101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8"/>
      <c r="AW34" s="99"/>
      <c r="AX34" s="102"/>
      <c r="AY34" s="116" t="s">
        <v>104</v>
      </c>
      <c r="AZ34" s="49"/>
    </row>
    <row r="35" spans="1:52" x14ac:dyDescent="0.25">
      <c r="A35" s="49" t="str">
        <f>A28</f>
        <v>RES</v>
      </c>
      <c r="B35" s="94">
        <v>0</v>
      </c>
      <c r="C35" s="95">
        <v>0</v>
      </c>
      <c r="D35" s="95">
        <v>0</v>
      </c>
      <c r="E35" s="95">
        <v>0</v>
      </c>
      <c r="F35" s="95">
        <v>123961.69</v>
      </c>
      <c r="G35" s="95">
        <v>1908168.92</v>
      </c>
      <c r="H35" s="95">
        <v>2568297.87</v>
      </c>
      <c r="I35" s="95">
        <v>2577448.31</v>
      </c>
      <c r="J35" s="95">
        <v>2331302.52</v>
      </c>
      <c r="K35" s="95">
        <v>1662285.76</v>
      </c>
      <c r="L35" s="95">
        <v>1362163.19</v>
      </c>
      <c r="M35" s="95">
        <v>2095736.41</v>
      </c>
      <c r="N35" s="95">
        <v>2744219.77</v>
      </c>
      <c r="O35" s="95">
        <v>2148829.36</v>
      </c>
      <c r="P35" s="95">
        <v>1729823.68</v>
      </c>
      <c r="Q35" s="95">
        <v>1512003.54</v>
      </c>
      <c r="R35" s="95">
        <v>1440840.56</v>
      </c>
      <c r="S35" s="95">
        <v>1936757.77</v>
      </c>
      <c r="T35" s="95">
        <v>2576912.5699999998</v>
      </c>
      <c r="U35" s="95">
        <v>2608657.2400000002</v>
      </c>
      <c r="V35" s="95">
        <v>2062676.64</v>
      </c>
      <c r="W35" s="104">
        <v>1810953.83</v>
      </c>
      <c r="X35" s="104">
        <v>1581314.86</v>
      </c>
      <c r="Y35" s="104">
        <v>2039173.2</v>
      </c>
      <c r="Z35" s="104">
        <v>3182458.2</v>
      </c>
      <c r="AA35" s="104">
        <v>2595923.37</v>
      </c>
      <c r="AB35" s="104">
        <v>2092553.72</v>
      </c>
      <c r="AC35" s="104">
        <v>2020382.01</v>
      </c>
      <c r="AD35" s="104">
        <v>1645582.52</v>
      </c>
      <c r="AE35" s="104">
        <v>2444250.39</v>
      </c>
      <c r="AF35" s="104">
        <v>2866018.01</v>
      </c>
      <c r="AG35" s="104">
        <v>2568472.33</v>
      </c>
      <c r="AH35" s="104">
        <v>2470378.25</v>
      </c>
      <c r="AI35" s="104">
        <v>1911666.16</v>
      </c>
      <c r="AJ35" s="104">
        <v>1773897.44</v>
      </c>
      <c r="AK35" s="104">
        <v>2468312.4700000002</v>
      </c>
      <c r="AL35" s="104">
        <v>2371912.9899999998</v>
      </c>
      <c r="AM35" s="104">
        <v>-824507.18999999971</v>
      </c>
      <c r="AN35" s="104">
        <v>-745444.90999999992</v>
      </c>
      <c r="AO35" s="104">
        <v>-514077.78</v>
      </c>
      <c r="AP35" s="104">
        <v>-436461.67999999993</v>
      </c>
      <c r="AQ35" s="104">
        <v>-582419.76000000013</v>
      </c>
      <c r="AR35" s="104">
        <v>-740942.31</v>
      </c>
      <c r="AS35" s="104">
        <v>-781133.54</v>
      </c>
      <c r="AT35" s="104">
        <v>-720539.33000000007</v>
      </c>
      <c r="AU35" s="104">
        <v>-591555.64</v>
      </c>
      <c r="AV35" s="110">
        <f>AV28*$AY35+AV49</f>
        <v>-488146.12866445869</v>
      </c>
      <c r="AW35" s="111">
        <f>AW28*$AY35+AW49</f>
        <v>-702539.38482849195</v>
      </c>
      <c r="AX35" s="115">
        <f t="shared" ref="AX35" si="48">AX28*$AY35+AX49</f>
        <v>-918464.23545455805</v>
      </c>
      <c r="AY35" s="105">
        <v>-6.1399999999999996E-4</v>
      </c>
      <c r="AZ35" s="49"/>
    </row>
    <row r="36" spans="1:52" x14ac:dyDescent="0.25">
      <c r="A36" s="49" t="str">
        <f>A29</f>
        <v>SGS</v>
      </c>
      <c r="B36" s="94">
        <v>0</v>
      </c>
      <c r="C36" s="95">
        <v>0</v>
      </c>
      <c r="D36" s="95">
        <v>0</v>
      </c>
      <c r="E36" s="95">
        <v>0</v>
      </c>
      <c r="F36" s="95">
        <v>30867.47</v>
      </c>
      <c r="G36" s="95">
        <v>447208.24</v>
      </c>
      <c r="H36" s="95">
        <v>531350.03</v>
      </c>
      <c r="I36" s="95">
        <v>530492.54</v>
      </c>
      <c r="J36" s="95">
        <v>510350.03</v>
      </c>
      <c r="K36" s="95">
        <v>434079.23</v>
      </c>
      <c r="L36" s="95">
        <v>385472.34</v>
      </c>
      <c r="M36" s="95">
        <v>447361.18</v>
      </c>
      <c r="N36" s="95">
        <v>521889.23</v>
      </c>
      <c r="O36" s="95">
        <v>291041.78999999998</v>
      </c>
      <c r="P36" s="95">
        <v>258475.06</v>
      </c>
      <c r="Q36" s="95">
        <v>244605.15</v>
      </c>
      <c r="R36" s="95">
        <v>242003.19</v>
      </c>
      <c r="S36" s="95">
        <v>287667.83</v>
      </c>
      <c r="T36" s="95">
        <v>333489.84999999998</v>
      </c>
      <c r="U36" s="95">
        <v>336690.37</v>
      </c>
      <c r="V36" s="95">
        <v>301150.11</v>
      </c>
      <c r="W36" s="104">
        <v>285102.90999999997</v>
      </c>
      <c r="X36" s="104">
        <v>254850.05</v>
      </c>
      <c r="Y36" s="104">
        <v>281447.78999999998</v>
      </c>
      <c r="Z36" s="104">
        <v>431665.87</v>
      </c>
      <c r="AA36" s="104">
        <v>950845.36</v>
      </c>
      <c r="AB36" s="104">
        <v>833398.31</v>
      </c>
      <c r="AC36" s="104">
        <v>821359.53</v>
      </c>
      <c r="AD36" s="104">
        <v>743516.11</v>
      </c>
      <c r="AE36" s="104">
        <v>936050.92</v>
      </c>
      <c r="AF36" s="104">
        <v>1032769.67</v>
      </c>
      <c r="AG36" s="104">
        <v>965010.54</v>
      </c>
      <c r="AH36" s="104">
        <v>948232.91</v>
      </c>
      <c r="AI36" s="104">
        <v>835687.41</v>
      </c>
      <c r="AJ36" s="104">
        <v>752706.92999999993</v>
      </c>
      <c r="AK36" s="104">
        <v>909713.58000000007</v>
      </c>
      <c r="AL36" s="104">
        <v>893379.14</v>
      </c>
      <c r="AM36" s="104">
        <v>178827.99000000002</v>
      </c>
      <c r="AN36" s="104">
        <v>168311.71999999997</v>
      </c>
      <c r="AO36" s="104">
        <v>135747.34</v>
      </c>
      <c r="AP36" s="104">
        <v>128723.33</v>
      </c>
      <c r="AQ36" s="104">
        <v>149951.91999999998</v>
      </c>
      <c r="AR36" s="104">
        <v>171754.22999999995</v>
      </c>
      <c r="AS36" s="104">
        <v>176182.37</v>
      </c>
      <c r="AT36" s="104">
        <v>170004.76000000004</v>
      </c>
      <c r="AU36" s="104">
        <v>153935.74</v>
      </c>
      <c r="AV36" s="110">
        <f>AV29*$AY36</f>
        <v>133785.84441233551</v>
      </c>
      <c r="AW36" s="111">
        <f>AW29*$AY36</f>
        <v>159412.0123719883</v>
      </c>
      <c r="AX36" s="115">
        <f t="shared" ref="AX36" si="49">AX29*$AY36</f>
        <v>192604.37758798592</v>
      </c>
      <c r="AY36" s="105">
        <v>5.8E-4</v>
      </c>
      <c r="AZ36" s="49"/>
    </row>
    <row r="37" spans="1:52" x14ac:dyDescent="0.25">
      <c r="A37" s="49" t="str">
        <f>A30</f>
        <v>LGS</v>
      </c>
      <c r="B37" s="94">
        <v>0</v>
      </c>
      <c r="C37" s="95">
        <v>0</v>
      </c>
      <c r="D37" s="95">
        <v>0</v>
      </c>
      <c r="E37" s="95">
        <v>0</v>
      </c>
      <c r="F37" s="95">
        <v>64202.879999999997</v>
      </c>
      <c r="G37" s="95">
        <v>1059813.77</v>
      </c>
      <c r="H37" s="95">
        <v>1203922.71</v>
      </c>
      <c r="I37" s="95">
        <v>1206399.46</v>
      </c>
      <c r="J37" s="95">
        <v>1211503.1299999999</v>
      </c>
      <c r="K37" s="95">
        <v>1066102.3899999999</v>
      </c>
      <c r="L37" s="95">
        <v>972108.05</v>
      </c>
      <c r="M37" s="95">
        <v>1010681.81</v>
      </c>
      <c r="N37" s="95">
        <v>1097512.96</v>
      </c>
      <c r="O37" s="95">
        <v>657802.05000000005</v>
      </c>
      <c r="P37" s="95">
        <v>617850.03</v>
      </c>
      <c r="Q37" s="95">
        <v>607462.05000000005</v>
      </c>
      <c r="R37" s="95">
        <v>624105.06000000006</v>
      </c>
      <c r="S37" s="95">
        <v>707741.76</v>
      </c>
      <c r="T37" s="95">
        <v>770766.14</v>
      </c>
      <c r="U37" s="95">
        <v>785160.49</v>
      </c>
      <c r="V37" s="95">
        <v>740167.74</v>
      </c>
      <c r="W37" s="104">
        <v>710721.13</v>
      </c>
      <c r="X37" s="104">
        <v>637956.66</v>
      </c>
      <c r="Y37" s="104">
        <v>666084.51999999897</v>
      </c>
      <c r="Z37" s="104">
        <v>874576.72</v>
      </c>
      <c r="AA37" s="104">
        <v>1984582.28</v>
      </c>
      <c r="AB37" s="104">
        <v>1854983.03</v>
      </c>
      <c r="AC37" s="104">
        <v>1871643.42</v>
      </c>
      <c r="AD37" s="104">
        <v>1855875.99</v>
      </c>
      <c r="AE37" s="104">
        <v>2212948.1</v>
      </c>
      <c r="AF37" s="104">
        <v>2349965.67</v>
      </c>
      <c r="AG37" s="104">
        <v>2223994.13</v>
      </c>
      <c r="AH37" s="104">
        <v>2262829.1800000002</v>
      </c>
      <c r="AI37" s="104">
        <v>2056074.25</v>
      </c>
      <c r="AJ37" s="104">
        <v>1828691.7000000002</v>
      </c>
      <c r="AK37" s="104">
        <v>1991673.2999999998</v>
      </c>
      <c r="AL37" s="104">
        <v>1906612.5699999994</v>
      </c>
      <c r="AM37" s="104">
        <v>371834.34999999992</v>
      </c>
      <c r="AN37" s="104">
        <v>332284.45000000007</v>
      </c>
      <c r="AO37" s="104">
        <v>300022.79000000004</v>
      </c>
      <c r="AP37" s="104">
        <v>320522.93</v>
      </c>
      <c r="AQ37" s="104">
        <v>354235.73000000004</v>
      </c>
      <c r="AR37" s="104">
        <v>383817.32</v>
      </c>
      <c r="AS37" s="104">
        <v>391987.35999999993</v>
      </c>
      <c r="AT37" s="104">
        <v>396090.88</v>
      </c>
      <c r="AU37" s="104">
        <v>362624.28</v>
      </c>
      <c r="AV37" s="110">
        <f t="shared" ref="AV37:AV39" si="50">AV30*$AY37</f>
        <v>324814.14605380915</v>
      </c>
      <c r="AW37" s="111">
        <f>AW30*$AY37</f>
        <v>352736.63344975736</v>
      </c>
      <c r="AX37" s="115">
        <f t="shared" ref="AX37" si="51">AX30*$AY37</f>
        <v>391326.63526461454</v>
      </c>
      <c r="AY37" s="105">
        <v>5.8399999999999999E-4</v>
      </c>
      <c r="AZ37" s="49"/>
    </row>
    <row r="38" spans="1:52" x14ac:dyDescent="0.25">
      <c r="A38" s="49" t="str">
        <f>A31</f>
        <v>SPS</v>
      </c>
      <c r="B38" s="94">
        <v>0</v>
      </c>
      <c r="C38" s="95">
        <v>0</v>
      </c>
      <c r="D38" s="95">
        <v>0</v>
      </c>
      <c r="E38" s="95">
        <v>0</v>
      </c>
      <c r="F38" s="95">
        <v>42324.55</v>
      </c>
      <c r="G38" s="95">
        <v>402228.87</v>
      </c>
      <c r="H38" s="95">
        <v>504543.46</v>
      </c>
      <c r="I38" s="95">
        <v>492134.64</v>
      </c>
      <c r="J38" s="95">
        <v>534160.06000000006</v>
      </c>
      <c r="K38" s="95">
        <v>453189.31</v>
      </c>
      <c r="L38" s="95">
        <v>435008.89</v>
      </c>
      <c r="M38" s="95">
        <v>436137.77</v>
      </c>
      <c r="N38" s="95">
        <v>457765.57</v>
      </c>
      <c r="O38" s="95">
        <v>318136.18</v>
      </c>
      <c r="P38" s="95">
        <v>262787.62</v>
      </c>
      <c r="Q38" s="95">
        <v>282778.65000000002</v>
      </c>
      <c r="R38" s="95">
        <v>286456.53999999998</v>
      </c>
      <c r="S38" s="95">
        <v>329203.88</v>
      </c>
      <c r="T38" s="95">
        <v>322474.40000000002</v>
      </c>
      <c r="U38" s="95">
        <v>340197.43</v>
      </c>
      <c r="V38" s="95">
        <v>327331.33</v>
      </c>
      <c r="W38" s="104">
        <v>320388.98</v>
      </c>
      <c r="X38" s="104">
        <v>288445.09999999998</v>
      </c>
      <c r="Y38" s="104">
        <v>302275.21999999997</v>
      </c>
      <c r="Z38" s="104">
        <v>394301.64</v>
      </c>
      <c r="AA38" s="104">
        <v>798472.04</v>
      </c>
      <c r="AB38" s="104">
        <v>862270.76</v>
      </c>
      <c r="AC38" s="104">
        <v>797497.14</v>
      </c>
      <c r="AD38" s="104">
        <v>916795.59</v>
      </c>
      <c r="AE38" s="104">
        <v>994226.8</v>
      </c>
      <c r="AF38" s="104">
        <v>1029592.88</v>
      </c>
      <c r="AG38" s="104">
        <v>1012045.8</v>
      </c>
      <c r="AH38" s="104">
        <v>984929.5</v>
      </c>
      <c r="AI38" s="104">
        <v>923599.95</v>
      </c>
      <c r="AJ38" s="104">
        <v>859543.4</v>
      </c>
      <c r="AK38" s="104">
        <v>924261.55999999994</v>
      </c>
      <c r="AL38" s="104">
        <v>751320.97</v>
      </c>
      <c r="AM38" s="104">
        <v>216698.99000000005</v>
      </c>
      <c r="AN38" s="104">
        <v>140260.87</v>
      </c>
      <c r="AO38" s="104">
        <v>135341.45999999996</v>
      </c>
      <c r="AP38" s="104">
        <v>137076.04999999999</v>
      </c>
      <c r="AQ38" s="104">
        <v>159276.74</v>
      </c>
      <c r="AR38" s="104">
        <v>160069.38000000003</v>
      </c>
      <c r="AS38" s="104">
        <v>168040.34999999998</v>
      </c>
      <c r="AT38" s="104">
        <v>167022.80999999997</v>
      </c>
      <c r="AU38" s="104">
        <v>154767.25999999998</v>
      </c>
      <c r="AV38" s="110">
        <f t="shared" si="50"/>
        <v>144567.5007577436</v>
      </c>
      <c r="AW38" s="111">
        <f t="shared" ref="AW38:AX38" si="52">AW31*$AY38</f>
        <v>148675.01744738489</v>
      </c>
      <c r="AX38" s="115">
        <f t="shared" si="52"/>
        <v>159284.51285987889</v>
      </c>
      <c r="AY38" s="105">
        <v>5.9800000000000001E-4</v>
      </c>
      <c r="AZ38" s="49"/>
    </row>
    <row r="39" spans="1:52" x14ac:dyDescent="0.25">
      <c r="A39" s="49" t="str">
        <f>A32</f>
        <v>LPS</v>
      </c>
      <c r="B39" s="94">
        <v>0</v>
      </c>
      <c r="C39" s="95">
        <v>0</v>
      </c>
      <c r="D39" s="95">
        <v>0</v>
      </c>
      <c r="E39" s="95">
        <v>0</v>
      </c>
      <c r="F39" s="95">
        <v>0</v>
      </c>
      <c r="G39" s="95">
        <v>131268.19</v>
      </c>
      <c r="H39" s="95">
        <v>256958.42</v>
      </c>
      <c r="I39" s="95">
        <v>259475.03</v>
      </c>
      <c r="J39" s="95">
        <v>285082.46999999997</v>
      </c>
      <c r="K39" s="95">
        <v>250150.11</v>
      </c>
      <c r="L39" s="95">
        <v>230623.71</v>
      </c>
      <c r="M39" s="95">
        <v>216819.48</v>
      </c>
      <c r="N39" s="95">
        <v>214621.26</v>
      </c>
      <c r="O39" s="95">
        <v>172271.18</v>
      </c>
      <c r="P39" s="95">
        <v>122366.39999999999</v>
      </c>
      <c r="Q39" s="95">
        <v>135610.26999999999</v>
      </c>
      <c r="R39" s="95">
        <v>137927.78</v>
      </c>
      <c r="S39" s="95">
        <v>164689.71</v>
      </c>
      <c r="T39" s="95">
        <v>155769.62</v>
      </c>
      <c r="U39" s="95">
        <v>172638.5</v>
      </c>
      <c r="V39" s="95">
        <v>164503.65</v>
      </c>
      <c r="W39" s="104">
        <v>156843.72</v>
      </c>
      <c r="X39" s="104">
        <v>149437.10999999999</v>
      </c>
      <c r="Y39" s="104">
        <v>137029.09</v>
      </c>
      <c r="Z39" s="104">
        <v>155747.07999999999</v>
      </c>
      <c r="AA39" s="104">
        <v>262877.71999999997</v>
      </c>
      <c r="AB39" s="104">
        <v>405202.34</v>
      </c>
      <c r="AC39" s="104">
        <v>385569.73</v>
      </c>
      <c r="AD39" s="104">
        <v>440885.67</v>
      </c>
      <c r="AE39" s="104">
        <v>487898.42</v>
      </c>
      <c r="AF39" s="104">
        <v>425781.68</v>
      </c>
      <c r="AG39" s="104">
        <v>502465.32</v>
      </c>
      <c r="AH39" s="104">
        <v>471908.19</v>
      </c>
      <c r="AI39" s="104">
        <v>465947.44</v>
      </c>
      <c r="AJ39" s="104">
        <v>437873.32000000007</v>
      </c>
      <c r="AK39" s="104">
        <v>426409.44</v>
      </c>
      <c r="AL39" s="104">
        <v>358135.90000000008</v>
      </c>
      <c r="AM39" s="104">
        <v>168230.86999999997</v>
      </c>
      <c r="AN39" s="104">
        <v>68225.86</v>
      </c>
      <c r="AO39" s="104">
        <v>67928.39</v>
      </c>
      <c r="AP39" s="104">
        <v>66282.06</v>
      </c>
      <c r="AQ39" s="104">
        <v>83488.460000000006</v>
      </c>
      <c r="AR39" s="104">
        <v>77716.079999999987</v>
      </c>
      <c r="AS39" s="104">
        <v>86055.61</v>
      </c>
      <c r="AT39" s="104">
        <v>87211.220000000016</v>
      </c>
      <c r="AU39" s="104">
        <v>82269.97</v>
      </c>
      <c r="AV39" s="110">
        <f t="shared" si="50"/>
        <v>77621.175351199738</v>
      </c>
      <c r="AW39" s="111">
        <f t="shared" ref="AW39:AX39" si="53">AW32*$AY39</f>
        <v>76570.78311565888</v>
      </c>
      <c r="AX39" s="115">
        <f t="shared" si="53"/>
        <v>77616.205543787786</v>
      </c>
      <c r="AY39" s="105">
        <v>6.87E-4</v>
      </c>
      <c r="AZ39" s="49"/>
    </row>
    <row r="40" spans="1:52" x14ac:dyDescent="0.25">
      <c r="A40" s="49"/>
      <c r="B40" s="100"/>
      <c r="C40" s="108"/>
      <c r="D40" s="99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0"/>
      <c r="AW40" s="99"/>
      <c r="AX40" s="102"/>
    </row>
    <row r="41" spans="1:52" s="165" customFormat="1" x14ac:dyDescent="0.25">
      <c r="A41" s="49" t="s">
        <v>102</v>
      </c>
      <c r="B41" s="211"/>
      <c r="C41" s="205"/>
      <c r="D41" s="103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8"/>
      <c r="AW41" s="99"/>
      <c r="AX41" s="102"/>
    </row>
    <row r="42" spans="1:52" s="165" customFormat="1" x14ac:dyDescent="0.25">
      <c r="A42" s="165" t="s">
        <v>0</v>
      </c>
      <c r="B42" s="110">
        <v>0</v>
      </c>
      <c r="C42" s="114">
        <v>0</v>
      </c>
      <c r="D42" s="114">
        <v>0</v>
      </c>
      <c r="E42" s="114">
        <v>0</v>
      </c>
      <c r="F42" s="137">
        <f>+(F35-F49)+(F49*F35/SUM(F35:F39))</f>
        <v>123961.69</v>
      </c>
      <c r="G42" s="137">
        <f>+(G35-G49)+(G49*G35/SUM(G35:G39))</f>
        <v>1908168.92</v>
      </c>
      <c r="H42" s="114">
        <f t="shared" ref="H42:AX42" si="54">+(H35-H49)+(H49*H35/SUM(H35:H39))</f>
        <v>2568297.87</v>
      </c>
      <c r="I42" s="114">
        <f t="shared" si="54"/>
        <v>2577448.31</v>
      </c>
      <c r="J42" s="114">
        <f t="shared" si="54"/>
        <v>2331302.52</v>
      </c>
      <c r="K42" s="114">
        <f t="shared" si="54"/>
        <v>1662285.76</v>
      </c>
      <c r="L42" s="114">
        <f t="shared" si="54"/>
        <v>1362163.19</v>
      </c>
      <c r="M42" s="114">
        <f t="shared" si="54"/>
        <v>2095736.41</v>
      </c>
      <c r="N42" s="114">
        <f t="shared" si="54"/>
        <v>2744219.77</v>
      </c>
      <c r="O42" s="114">
        <f t="shared" si="54"/>
        <v>2148829.36</v>
      </c>
      <c r="P42" s="114">
        <f t="shared" si="54"/>
        <v>1729823.68</v>
      </c>
      <c r="Q42" s="114">
        <f>+(Q35-Q49)+(Q49*Q35/SUM(Q35:Q39))</f>
        <v>1535490.3519158037</v>
      </c>
      <c r="R42" s="114">
        <f t="shared" si="54"/>
        <v>1461392.3439489268</v>
      </c>
      <c r="S42" s="114">
        <f t="shared" si="54"/>
        <v>1959654.4296565112</v>
      </c>
      <c r="T42" s="114">
        <f t="shared" si="54"/>
        <v>2602980.2619516258</v>
      </c>
      <c r="U42" s="114">
        <f t="shared" si="54"/>
        <v>2635782.5735193253</v>
      </c>
      <c r="V42" s="114">
        <f t="shared" si="54"/>
        <v>2087458.9369660481</v>
      </c>
      <c r="W42" s="111">
        <f t="shared" si="54"/>
        <v>1834404.122561598</v>
      </c>
      <c r="X42" s="111">
        <f t="shared" ref="X42:AH42" si="55">+(X35-X49)+(X49*X35/SUM(X35:X39))</f>
        <v>1606117.6948667259</v>
      </c>
      <c r="Y42" s="111">
        <f t="shared" si="55"/>
        <v>2068883.559439132</v>
      </c>
      <c r="Z42" s="111">
        <f t="shared" si="55"/>
        <v>3226172.2975526219</v>
      </c>
      <c r="AA42" s="111">
        <f t="shared" si="55"/>
        <v>2657419.7915159557</v>
      </c>
      <c r="AB42" s="111">
        <f t="shared" si="55"/>
        <v>2148033.234848218</v>
      </c>
      <c r="AC42" s="111">
        <f t="shared" si="55"/>
        <v>2073158.2689492719</v>
      </c>
      <c r="AD42" s="111">
        <f t="shared" si="55"/>
        <v>1684360.7882410712</v>
      </c>
      <c r="AE42" s="111">
        <f t="shared" si="55"/>
        <v>2489096.4246969549</v>
      </c>
      <c r="AF42" s="111">
        <f t="shared" si="55"/>
        <v>2916270.5428013494</v>
      </c>
      <c r="AG42" s="111">
        <f t="shared" si="55"/>
        <v>2614104.5086031272</v>
      </c>
      <c r="AH42" s="111">
        <f t="shared" si="55"/>
        <v>2514280.7205046257</v>
      </c>
      <c r="AI42" s="111">
        <f t="shared" ref="AI42:AU42" si="56">+(AI35-AI49)+(AI49*AI35/SUM(AI35:AI39))</f>
        <v>1952199.8455454113</v>
      </c>
      <c r="AJ42" s="111">
        <f t="shared" si="56"/>
        <v>1819195.5082668429</v>
      </c>
      <c r="AK42" s="111">
        <f t="shared" si="56"/>
        <v>2528983.8409120333</v>
      </c>
      <c r="AL42" s="111">
        <f t="shared" si="56"/>
        <v>2428682.2724777227</v>
      </c>
      <c r="AM42" s="111">
        <f t="shared" si="56"/>
        <v>-1104866.0403645083</v>
      </c>
      <c r="AN42" s="111">
        <f t="shared" si="56"/>
        <v>-151444.71727311076</v>
      </c>
      <c r="AO42" s="111">
        <f t="shared" si="56"/>
        <v>-615901.09641548886</v>
      </c>
      <c r="AP42" s="111">
        <f t="shared" si="56"/>
        <v>-481641.63624545839</v>
      </c>
      <c r="AQ42" s="111">
        <f t="shared" si="56"/>
        <v>-661701.41643242969</v>
      </c>
      <c r="AR42" s="111">
        <f t="shared" si="56"/>
        <v>-1065112.5793198571</v>
      </c>
      <c r="AS42" s="111">
        <f t="shared" si="56"/>
        <v>-1237132.8972703291</v>
      </c>
      <c r="AT42" s="111">
        <f t="shared" si="56"/>
        <v>-891232.67323233013</v>
      </c>
      <c r="AU42" s="111">
        <f t="shared" si="56"/>
        <v>-673291.94634736353</v>
      </c>
      <c r="AV42" s="110">
        <f>+(AV35-AV49)+(AV49*AV35/SUM(AV35:AV39))</f>
        <v>-547842.28327544569</v>
      </c>
      <c r="AW42" s="114">
        <f t="shared" si="54"/>
        <v>-1216868.4477254692</v>
      </c>
      <c r="AX42" s="115">
        <f t="shared" si="54"/>
        <v>-651250.77037554048</v>
      </c>
    </row>
    <row r="43" spans="1:52" s="165" customFormat="1" x14ac:dyDescent="0.25">
      <c r="A43" s="165" t="s">
        <v>4</v>
      </c>
      <c r="B43" s="110">
        <v>0</v>
      </c>
      <c r="C43" s="114">
        <v>0</v>
      </c>
      <c r="D43" s="114">
        <v>0</v>
      </c>
      <c r="E43" s="114">
        <v>0</v>
      </c>
      <c r="F43" s="137">
        <f>+F36+(F49*F36/SUM(F35:F39))</f>
        <v>30867.47</v>
      </c>
      <c r="G43" s="114">
        <f t="shared" ref="G43:AX43" si="57">+G36+(G49*G36/SUM(G35:G39))</f>
        <v>447208.24</v>
      </c>
      <c r="H43" s="114">
        <f t="shared" si="57"/>
        <v>531350.03</v>
      </c>
      <c r="I43" s="114">
        <f t="shared" si="57"/>
        <v>530492.54</v>
      </c>
      <c r="J43" s="114">
        <f t="shared" si="57"/>
        <v>510350.03</v>
      </c>
      <c r="K43" s="114">
        <f t="shared" si="57"/>
        <v>434079.23</v>
      </c>
      <c r="L43" s="114">
        <f t="shared" si="57"/>
        <v>385472.34</v>
      </c>
      <c r="M43" s="114">
        <f t="shared" si="57"/>
        <v>447361.18</v>
      </c>
      <c r="N43" s="114">
        <f t="shared" si="57"/>
        <v>521889.23</v>
      </c>
      <c r="O43" s="114">
        <f t="shared" si="57"/>
        <v>291041.78999999998</v>
      </c>
      <c r="P43" s="114">
        <f t="shared" si="57"/>
        <v>258475.06</v>
      </c>
      <c r="Q43" s="114">
        <f t="shared" si="57"/>
        <v>240083.15584274652</v>
      </c>
      <c r="R43" s="114">
        <f t="shared" si="57"/>
        <v>238149.15984790772</v>
      </c>
      <c r="S43" s="114">
        <f t="shared" si="57"/>
        <v>283245.20303855278</v>
      </c>
      <c r="T43" s="114">
        <f t="shared" si="57"/>
        <v>327996.44676217379</v>
      </c>
      <c r="U43" s="114">
        <f t="shared" si="57"/>
        <v>331103.46574723173</v>
      </c>
      <c r="V43" s="114">
        <f t="shared" si="57"/>
        <v>296282.23817969492</v>
      </c>
      <c r="W43" s="111">
        <f t="shared" si="57"/>
        <v>280564.22084559378</v>
      </c>
      <c r="X43" s="111">
        <f t="shared" ref="X43:AH43" si="58">+X36+(X49*X36/SUM(X35:X39))</f>
        <v>250099.87615326291</v>
      </c>
      <c r="Y43" s="111">
        <f t="shared" si="58"/>
        <v>275418.30182261876</v>
      </c>
      <c r="Z43" s="111">
        <f t="shared" si="58"/>
        <v>421500.50217779254</v>
      </c>
      <c r="AA43" s="111">
        <f t="shared" si="58"/>
        <v>936215.17642884317</v>
      </c>
      <c r="AB43" s="111">
        <f t="shared" si="58"/>
        <v>821710.18178006366</v>
      </c>
      <c r="AC43" s="111">
        <f t="shared" si="58"/>
        <v>810175.96384697023</v>
      </c>
      <c r="AD43" s="111">
        <f t="shared" si="58"/>
        <v>736229.84954130137</v>
      </c>
      <c r="AE43" s="111">
        <f t="shared" si="58"/>
        <v>926986.56114003644</v>
      </c>
      <c r="AF43" s="111">
        <f t="shared" si="58"/>
        <v>1022042.4867010192</v>
      </c>
      <c r="AG43" s="111">
        <f t="shared" si="58"/>
        <v>955648.28094076551</v>
      </c>
      <c r="AH43" s="111">
        <f t="shared" si="58"/>
        <v>939314.60212604853</v>
      </c>
      <c r="AI43" s="111">
        <f t="shared" ref="AI43:AU43" si="59">+AI36+(AI49*AI36/SUM(AI35:AI39))</f>
        <v>827775.46290727635</v>
      </c>
      <c r="AJ43" s="111">
        <f t="shared" si="59"/>
        <v>743916.57345465268</v>
      </c>
      <c r="AK43" s="111">
        <f t="shared" si="59"/>
        <v>896733.1428579042</v>
      </c>
      <c r="AL43" s="111">
        <f t="shared" si="59"/>
        <v>880406.34045537328</v>
      </c>
      <c r="AM43" s="111">
        <f t="shared" si="59"/>
        <v>232415.45010216403</v>
      </c>
      <c r="AN43" s="111">
        <f t="shared" si="59"/>
        <v>27316.648594111903</v>
      </c>
      <c r="AO43" s="111">
        <f t="shared" si="59"/>
        <v>157377.04203113262</v>
      </c>
      <c r="AP43" s="111">
        <f t="shared" si="59"/>
        <v>137634.87684908058</v>
      </c>
      <c r="AQ43" s="111">
        <f t="shared" si="59"/>
        <v>165867.83303630899</v>
      </c>
      <c r="AR43" s="111">
        <f t="shared" si="59"/>
        <v>241934.0031590279</v>
      </c>
      <c r="AS43" s="111">
        <f t="shared" si="59"/>
        <v>273886.85707687569</v>
      </c>
      <c r="AT43" s="111">
        <f t="shared" si="59"/>
        <v>205379.17337433269</v>
      </c>
      <c r="AU43" s="111">
        <f t="shared" si="59"/>
        <v>170631.84498505414</v>
      </c>
      <c r="AV43" s="110">
        <f t="shared" si="57"/>
        <v>145517.09207393177</v>
      </c>
      <c r="AW43" s="114">
        <f t="shared" si="57"/>
        <v>270601.1206433865</v>
      </c>
      <c r="AX43" s="115">
        <f t="shared" si="57"/>
        <v>129903.97120152137</v>
      </c>
    </row>
    <row r="44" spans="1:52" s="165" customFormat="1" x14ac:dyDescent="0.25">
      <c r="A44" s="165" t="s">
        <v>5</v>
      </c>
      <c r="B44" s="110">
        <v>0</v>
      </c>
      <c r="C44" s="114">
        <v>0</v>
      </c>
      <c r="D44" s="114">
        <v>0</v>
      </c>
      <c r="E44" s="114">
        <v>0</v>
      </c>
      <c r="F44" s="114">
        <f t="shared" ref="F44:AX44" si="60">+F37+(F49*F37/SUM(F35:F39))</f>
        <v>64202.879999999997</v>
      </c>
      <c r="G44" s="114">
        <f t="shared" si="60"/>
        <v>1059813.77</v>
      </c>
      <c r="H44" s="114">
        <f t="shared" si="60"/>
        <v>1203922.71</v>
      </c>
      <c r="I44" s="114">
        <f t="shared" si="60"/>
        <v>1206399.46</v>
      </c>
      <c r="J44" s="114">
        <f t="shared" si="60"/>
        <v>1211503.1299999999</v>
      </c>
      <c r="K44" s="114">
        <f t="shared" si="60"/>
        <v>1066102.3899999999</v>
      </c>
      <c r="L44" s="114">
        <f t="shared" si="60"/>
        <v>972108.05</v>
      </c>
      <c r="M44" s="114">
        <f t="shared" si="60"/>
        <v>1010681.81</v>
      </c>
      <c r="N44" s="114">
        <f t="shared" si="60"/>
        <v>1097512.96</v>
      </c>
      <c r="O44" s="114">
        <f t="shared" si="60"/>
        <v>657802.05000000005</v>
      </c>
      <c r="P44" s="114">
        <f t="shared" si="60"/>
        <v>617850.03</v>
      </c>
      <c r="Q44" s="114">
        <f t="shared" si="60"/>
        <v>596231.95185671397</v>
      </c>
      <c r="R44" s="114">
        <f t="shared" si="60"/>
        <v>614165.85333370208</v>
      </c>
      <c r="S44" s="114">
        <f t="shared" si="60"/>
        <v>696860.88468794955</v>
      </c>
      <c r="T44" s="114">
        <f t="shared" si="60"/>
        <v>758069.71397958952</v>
      </c>
      <c r="U44" s="114">
        <f t="shared" si="60"/>
        <v>772131.85339038563</v>
      </c>
      <c r="V44" s="114">
        <f t="shared" si="60"/>
        <v>728203.46848157048</v>
      </c>
      <c r="W44" s="111">
        <f t="shared" si="60"/>
        <v>699406.82147702377</v>
      </c>
      <c r="X44" s="111">
        <f t="shared" ref="X44:AH44" si="61">+X37+(X49*X37/SUM(X35:X39))</f>
        <v>626065.72632475162</v>
      </c>
      <c r="Y44" s="111">
        <f t="shared" si="61"/>
        <v>651814.91518812021</v>
      </c>
      <c r="Z44" s="111">
        <f t="shared" si="61"/>
        <v>853981.17454365024</v>
      </c>
      <c r="AA44" s="111">
        <f t="shared" si="61"/>
        <v>1954046.501744254</v>
      </c>
      <c r="AB44" s="111">
        <f t="shared" si="61"/>
        <v>1828967.5230805702</v>
      </c>
      <c r="AC44" s="111">
        <f t="shared" si="61"/>
        <v>1846159.2717824064</v>
      </c>
      <c r="AD44" s="111">
        <f t="shared" si="61"/>
        <v>1837688.8980724488</v>
      </c>
      <c r="AE44" s="111">
        <f t="shared" si="61"/>
        <v>2191518.7575483364</v>
      </c>
      <c r="AF44" s="111">
        <f t="shared" si="61"/>
        <v>2325557.020888139</v>
      </c>
      <c r="AG44" s="111">
        <f t="shared" si="61"/>
        <v>2202417.5685758349</v>
      </c>
      <c r="AH44" s="111">
        <f t="shared" si="61"/>
        <v>2241546.8483274984</v>
      </c>
      <c r="AI44" s="111">
        <f t="shared" ref="AI44:AU44" si="62">+AI37+(AI49*AI37/SUM(AI35:AI39))</f>
        <v>2036608.1787273556</v>
      </c>
      <c r="AJ44" s="111">
        <f t="shared" si="62"/>
        <v>1807335.6430622526</v>
      </c>
      <c r="AK44" s="111">
        <f t="shared" si="62"/>
        <v>1963254.6958957929</v>
      </c>
      <c r="AL44" s="111">
        <f t="shared" si="62"/>
        <v>1878926.5612580944</v>
      </c>
      <c r="AM44" s="111">
        <f t="shared" si="62"/>
        <v>483257.94982483203</v>
      </c>
      <c r="AN44" s="111">
        <f t="shared" si="62"/>
        <v>53929.087968073436</v>
      </c>
      <c r="AO44" s="111">
        <f t="shared" si="62"/>
        <v>347827.80445000017</v>
      </c>
      <c r="AP44" s="111">
        <f t="shared" si="62"/>
        <v>342712.80892015825</v>
      </c>
      <c r="AQ44" s="111">
        <f t="shared" si="62"/>
        <v>391834.3487641575</v>
      </c>
      <c r="AR44" s="111">
        <f t="shared" si="62"/>
        <v>540647.29997840314</v>
      </c>
      <c r="AS44" s="111">
        <f t="shared" si="62"/>
        <v>609369.63241135771</v>
      </c>
      <c r="AT44" s="111">
        <f t="shared" si="62"/>
        <v>478509.0577199838</v>
      </c>
      <c r="AU44" s="111">
        <f t="shared" si="62"/>
        <v>401955.06211083196</v>
      </c>
      <c r="AV44" s="110">
        <f t="shared" si="60"/>
        <v>353296.04717036546</v>
      </c>
      <c r="AW44" s="114">
        <f t="shared" si="60"/>
        <v>598768.73068225768</v>
      </c>
      <c r="AX44" s="115">
        <f t="shared" si="60"/>
        <v>263934.20852846536</v>
      </c>
    </row>
    <row r="45" spans="1:52" s="165" customFormat="1" x14ac:dyDescent="0.25">
      <c r="A45" s="165" t="s">
        <v>6</v>
      </c>
      <c r="B45" s="110">
        <v>0</v>
      </c>
      <c r="C45" s="114">
        <v>0</v>
      </c>
      <c r="D45" s="114">
        <v>0</v>
      </c>
      <c r="E45" s="114">
        <v>0</v>
      </c>
      <c r="F45" s="114">
        <f t="shared" ref="F45:AX45" si="63">+F38+(F49*F38/SUM(F35:F39))</f>
        <v>42324.55</v>
      </c>
      <c r="G45" s="114">
        <f t="shared" si="63"/>
        <v>402228.87</v>
      </c>
      <c r="H45" s="114">
        <f t="shared" si="63"/>
        <v>504543.46</v>
      </c>
      <c r="I45" s="114">
        <f t="shared" si="63"/>
        <v>492134.64</v>
      </c>
      <c r="J45" s="114">
        <f t="shared" si="63"/>
        <v>534160.06000000006</v>
      </c>
      <c r="K45" s="114">
        <f t="shared" si="63"/>
        <v>453189.31</v>
      </c>
      <c r="L45" s="114">
        <f t="shared" si="63"/>
        <v>435008.89</v>
      </c>
      <c r="M45" s="114">
        <f t="shared" si="63"/>
        <v>436137.77</v>
      </c>
      <c r="N45" s="114">
        <f t="shared" si="63"/>
        <v>457765.57</v>
      </c>
      <c r="O45" s="114">
        <f t="shared" si="63"/>
        <v>318136.18</v>
      </c>
      <c r="P45" s="114">
        <f t="shared" si="63"/>
        <v>262787.62</v>
      </c>
      <c r="Q45" s="114">
        <f t="shared" si="63"/>
        <v>277550.94566468237</v>
      </c>
      <c r="R45" s="114">
        <f t="shared" si="63"/>
        <v>281894.56648872508</v>
      </c>
      <c r="S45" s="114">
        <f t="shared" si="63"/>
        <v>324142.6746664003</v>
      </c>
      <c r="T45" s="114">
        <f t="shared" si="63"/>
        <v>317162.4484876045</v>
      </c>
      <c r="U45" s="114">
        <f t="shared" si="63"/>
        <v>334552.33100757014</v>
      </c>
      <c r="V45" s="114">
        <f t="shared" si="63"/>
        <v>322040.25785923278</v>
      </c>
      <c r="W45" s="111">
        <f t="shared" si="63"/>
        <v>315288.55507372593</v>
      </c>
      <c r="X45" s="111">
        <f t="shared" ref="X45:AH45" si="64">+X38+(X49*X38/SUM(X35:X39))</f>
        <v>283068.74488357187</v>
      </c>
      <c r="Y45" s="111">
        <f t="shared" si="64"/>
        <v>295799.54340895155</v>
      </c>
      <c r="Z45" s="111">
        <f t="shared" si="64"/>
        <v>385016.16833762458</v>
      </c>
      <c r="AA45" s="111">
        <f t="shared" si="64"/>
        <v>786186.34874770639</v>
      </c>
      <c r="AB45" s="111">
        <f t="shared" si="64"/>
        <v>850177.70547582896</v>
      </c>
      <c r="AC45" s="111">
        <f t="shared" si="64"/>
        <v>786638.48225478327</v>
      </c>
      <c r="AD45" s="111">
        <f t="shared" si="64"/>
        <v>907811.23664667946</v>
      </c>
      <c r="AE45" s="111">
        <f t="shared" si="64"/>
        <v>984599.08818343212</v>
      </c>
      <c r="AF45" s="111">
        <f t="shared" si="64"/>
        <v>1018898.693418121</v>
      </c>
      <c r="AG45" s="111">
        <f t="shared" si="64"/>
        <v>1002227.218164189</v>
      </c>
      <c r="AH45" s="111">
        <f t="shared" si="64"/>
        <v>975666.05383344879</v>
      </c>
      <c r="AI45" s="111">
        <f t="shared" ref="AI45:AU45" si="65">+AI38+(AI49*AI38/SUM(AI35:AI39))</f>
        <v>914855.68288313353</v>
      </c>
      <c r="AJ45" s="111">
        <f t="shared" si="65"/>
        <v>849505.37238120288</v>
      </c>
      <c r="AK45" s="111">
        <f t="shared" si="65"/>
        <v>911073.54198400478</v>
      </c>
      <c r="AL45" s="111">
        <f t="shared" si="65"/>
        <v>740411.00366982073</v>
      </c>
      <c r="AM45" s="111">
        <f t="shared" si="65"/>
        <v>281634.8452920281</v>
      </c>
      <c r="AN45" s="111">
        <f t="shared" si="65"/>
        <v>22764.052897174421</v>
      </c>
      <c r="AO45" s="111">
        <f t="shared" si="65"/>
        <v>156906.4899465054</v>
      </c>
      <c r="AP45" s="111">
        <f t="shared" si="65"/>
        <v>146565.8576476262</v>
      </c>
      <c r="AQ45" s="111">
        <f t="shared" si="65"/>
        <v>176182.39044146682</v>
      </c>
      <c r="AR45" s="111">
        <f t="shared" si="65"/>
        <v>225474.65577170154</v>
      </c>
      <c r="AS45" s="111">
        <f t="shared" si="65"/>
        <v>261229.56186591295</v>
      </c>
      <c r="AT45" s="111">
        <f t="shared" si="65"/>
        <v>201776.74232449854</v>
      </c>
      <c r="AU45" s="111">
        <f t="shared" si="65"/>
        <v>171553.55291163421</v>
      </c>
      <c r="AV45" s="110">
        <f t="shared" si="63"/>
        <v>157244.15696645321</v>
      </c>
      <c r="AW45" s="114">
        <f t="shared" si="63"/>
        <v>252375.12364536745</v>
      </c>
      <c r="AX45" s="115">
        <f t="shared" si="63"/>
        <v>107431.05131110351</v>
      </c>
    </row>
    <row r="46" spans="1:52" s="165" customFormat="1" x14ac:dyDescent="0.25">
      <c r="A46" s="165" t="s">
        <v>7</v>
      </c>
      <c r="B46" s="110">
        <v>0</v>
      </c>
      <c r="C46" s="114">
        <v>0</v>
      </c>
      <c r="D46" s="114">
        <v>0</v>
      </c>
      <c r="E46" s="114">
        <v>0</v>
      </c>
      <c r="F46" s="114">
        <f t="shared" ref="F46:AX46" si="66">+F39+(F49*F39/SUM(F35:F39))</f>
        <v>0</v>
      </c>
      <c r="G46" s="114">
        <f t="shared" si="66"/>
        <v>131268.19</v>
      </c>
      <c r="H46" s="114">
        <f t="shared" si="66"/>
        <v>256958.42</v>
      </c>
      <c r="I46" s="114">
        <f t="shared" si="66"/>
        <v>259475.03</v>
      </c>
      <c r="J46" s="114">
        <f t="shared" si="66"/>
        <v>285082.46999999997</v>
      </c>
      <c r="K46" s="114">
        <f t="shared" si="66"/>
        <v>250150.11</v>
      </c>
      <c r="L46" s="114">
        <f t="shared" si="66"/>
        <v>230623.71</v>
      </c>
      <c r="M46" s="114">
        <f t="shared" si="66"/>
        <v>216819.48</v>
      </c>
      <c r="N46" s="114">
        <f t="shared" si="66"/>
        <v>214621.26</v>
      </c>
      <c r="O46" s="114">
        <f t="shared" si="66"/>
        <v>172271.18</v>
      </c>
      <c r="P46" s="114">
        <f t="shared" si="66"/>
        <v>122366.39999999999</v>
      </c>
      <c r="Q46" s="114">
        <f t="shared" si="66"/>
        <v>133103.25472005364</v>
      </c>
      <c r="R46" s="114">
        <f t="shared" si="66"/>
        <v>135731.20638073841</v>
      </c>
      <c r="S46" s="114">
        <f t="shared" si="66"/>
        <v>162157.75795058615</v>
      </c>
      <c r="T46" s="114">
        <f t="shared" si="66"/>
        <v>153203.70881900616</v>
      </c>
      <c r="U46" s="114">
        <f t="shared" si="66"/>
        <v>169773.80633548702</v>
      </c>
      <c r="V46" s="114">
        <f t="shared" si="66"/>
        <v>161844.56851345385</v>
      </c>
      <c r="W46" s="111">
        <f t="shared" si="66"/>
        <v>154346.85004205842</v>
      </c>
      <c r="X46" s="111">
        <f t="shared" ref="X46:AH46" si="67">+X39+(X49*X39/SUM(X35:X39))</f>
        <v>146651.7377716878</v>
      </c>
      <c r="Y46" s="111">
        <f t="shared" si="67"/>
        <v>134093.50014117642</v>
      </c>
      <c r="Z46" s="111">
        <f t="shared" si="67"/>
        <v>152079.36738831084</v>
      </c>
      <c r="AA46" s="111">
        <f t="shared" si="67"/>
        <v>258832.95156324055</v>
      </c>
      <c r="AB46" s="111">
        <f t="shared" si="67"/>
        <v>399519.51481531939</v>
      </c>
      <c r="AC46" s="111">
        <f t="shared" si="67"/>
        <v>380319.84316656803</v>
      </c>
      <c r="AD46" s="111">
        <f t="shared" si="67"/>
        <v>436565.10749849904</v>
      </c>
      <c r="AE46" s="111">
        <f t="shared" si="67"/>
        <v>483173.79843124037</v>
      </c>
      <c r="AF46" s="111">
        <f t="shared" si="67"/>
        <v>421359.16619137116</v>
      </c>
      <c r="AG46" s="111">
        <f t="shared" si="67"/>
        <v>497590.5437160838</v>
      </c>
      <c r="AH46" s="111">
        <f t="shared" si="67"/>
        <v>467469.80520837824</v>
      </c>
      <c r="AI46" s="111">
        <f t="shared" ref="AI46:AU46" si="68">+AI39+(AI49*AI39/SUM(AI35:AI39))</f>
        <v>461536.03993682319</v>
      </c>
      <c r="AJ46" s="111">
        <f t="shared" si="68"/>
        <v>432759.69283504901</v>
      </c>
      <c r="AK46" s="111">
        <f t="shared" si="68"/>
        <v>420325.1283502648</v>
      </c>
      <c r="AL46" s="111">
        <f t="shared" si="68"/>
        <v>352935.39213898772</v>
      </c>
      <c r="AM46" s="111">
        <f t="shared" si="68"/>
        <v>218642.8051454844</v>
      </c>
      <c r="AN46" s="111">
        <f t="shared" si="68"/>
        <v>11072.917813751024</v>
      </c>
      <c r="AO46" s="111">
        <f t="shared" si="68"/>
        <v>78751.959987850729</v>
      </c>
      <c r="AP46" s="111">
        <f t="shared" si="68"/>
        <v>70870.782828593452</v>
      </c>
      <c r="AQ46" s="111">
        <f t="shared" si="68"/>
        <v>92349.934190496278</v>
      </c>
      <c r="AR46" s="111">
        <f t="shared" si="68"/>
        <v>109471.32041072448</v>
      </c>
      <c r="AS46" s="111">
        <f t="shared" si="68"/>
        <v>133778.99591618252</v>
      </c>
      <c r="AT46" s="111">
        <f t="shared" si="68"/>
        <v>105358.03981351505</v>
      </c>
      <c r="AU46" s="111">
        <f t="shared" si="68"/>
        <v>91193.096339843207</v>
      </c>
      <c r="AV46" s="110">
        <f t="shared" si="66"/>
        <v>84427.524975324501</v>
      </c>
      <c r="AW46" s="114">
        <f t="shared" si="66"/>
        <v>129978.53431075506</v>
      </c>
      <c r="AX46" s="115">
        <f t="shared" si="66"/>
        <v>52349.035136159328</v>
      </c>
    </row>
    <row r="47" spans="1:52" s="49" customFormat="1" x14ac:dyDescent="0.25">
      <c r="B47" s="212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00"/>
      <c r="AW47" s="99"/>
      <c r="AX47" s="102"/>
    </row>
    <row r="48" spans="1:52" s="165" customFormat="1" x14ac:dyDescent="0.25">
      <c r="A48" s="49" t="s">
        <v>103</v>
      </c>
      <c r="B48" s="211"/>
      <c r="C48" s="205"/>
      <c r="D48" s="103" t="s">
        <v>86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8"/>
      <c r="AW48" s="99"/>
      <c r="AX48" s="102"/>
      <c r="AY48" s="194"/>
      <c r="AZ48" s="49"/>
    </row>
    <row r="49" spans="1:52" s="165" customFormat="1" x14ac:dyDescent="0.25">
      <c r="A49" s="49" t="str">
        <f>A35</f>
        <v>RES</v>
      </c>
      <c r="B49" s="94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-51439.089999999989</v>
      </c>
      <c r="R49" s="95">
        <v>-43497.94</v>
      </c>
      <c r="S49" s="95">
        <v>-52672.520000000004</v>
      </c>
      <c r="T49" s="95">
        <v>-68515.819999999992</v>
      </c>
      <c r="U49" s="95">
        <v>-70412.339999999982</v>
      </c>
      <c r="V49" s="95">
        <v>-58123.959999999992</v>
      </c>
      <c r="W49" s="104">
        <v>-52279.729999999974</v>
      </c>
      <c r="X49" s="104">
        <v>-54277.110000000008</v>
      </c>
      <c r="Y49" s="104">
        <v>-73395.800000000017</v>
      </c>
      <c r="Z49" s="104">
        <f>-118236.63-OAR!D36</f>
        <v>-118658.30887468031</v>
      </c>
      <c r="AA49" s="104">
        <f>-97741.56-OAR!E36</f>
        <v>-101438.60037851662</v>
      </c>
      <c r="AB49" s="104">
        <f>-81845.59-OAR!F36</f>
        <v>-84826.87</v>
      </c>
      <c r="AC49" s="104">
        <v>-80285.62</v>
      </c>
      <c r="AD49" s="104">
        <v>-54904.540000000008</v>
      </c>
      <c r="AE49" s="104">
        <v>-68515.219999999987</v>
      </c>
      <c r="AF49" s="104">
        <v>-80021.319999999992</v>
      </c>
      <c r="AG49" s="104">
        <v>-70550.76999999999</v>
      </c>
      <c r="AH49" s="104">
        <v>-67136.84</v>
      </c>
      <c r="AI49" s="104">
        <v>-58632.55999999999</v>
      </c>
      <c r="AJ49" s="104">
        <v>-66014.22</v>
      </c>
      <c r="AK49" s="104">
        <v>-95891</v>
      </c>
      <c r="AL49" s="104">
        <v>-91211.940000000017</v>
      </c>
      <c r="AM49" s="104">
        <v>33287.65</v>
      </c>
      <c r="AN49" s="104">
        <v>30460.530000000002</v>
      </c>
      <c r="AO49" s="104">
        <v>19911.22</v>
      </c>
      <c r="AP49" s="104">
        <v>14963.609999999999</v>
      </c>
      <c r="AQ49" s="104">
        <v>17463.560000000001</v>
      </c>
      <c r="AR49" s="104">
        <v>21416.949999999997</v>
      </c>
      <c r="AS49" s="104">
        <v>22810.43</v>
      </c>
      <c r="AT49" s="104">
        <v>20764.27</v>
      </c>
      <c r="AU49" s="104">
        <v>17575.28</v>
      </c>
      <c r="AV49" s="110">
        <f>-(AV28*$AY$35*PPC!$B$14)</f>
        <v>16892.200608479783</v>
      </c>
      <c r="AW49" s="114">
        <f>-(AW28*$AY$35*PPC!$B$14)</f>
        <v>24311.236998538789</v>
      </c>
      <c r="AX49" s="115">
        <f>-(AX28*$AY$35*PPC!$B$14)</f>
        <v>31783.273913203571</v>
      </c>
      <c r="AY49" s="207"/>
      <c r="AZ49" s="49"/>
    </row>
    <row r="50" spans="1:52" s="165" customFormat="1" x14ac:dyDescent="0.25">
      <c r="A50" s="49"/>
      <c r="B50" s="100"/>
      <c r="C50" s="108"/>
      <c r="D50" s="103" t="s">
        <v>68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7"/>
      <c r="AW50" s="108"/>
      <c r="AX50" s="102"/>
    </row>
    <row r="51" spans="1:52" ht="15.75" thickBot="1" x14ac:dyDescent="0.3">
      <c r="A51" s="49" t="s">
        <v>92</v>
      </c>
      <c r="B51" s="117">
        <v>0</v>
      </c>
      <c r="C51" s="118">
        <v>0</v>
      </c>
      <c r="D51" s="118">
        <v>298.63</v>
      </c>
      <c r="E51" s="118">
        <v>674.69</v>
      </c>
      <c r="F51" s="118">
        <v>1475.36</v>
      </c>
      <c r="G51" s="118">
        <v>108.97</v>
      </c>
      <c r="H51" s="118">
        <v>-1399.24</v>
      </c>
      <c r="I51" s="118">
        <v>-2443.31</v>
      </c>
      <c r="J51" s="118">
        <v>-4160.29</v>
      </c>
      <c r="K51" s="118">
        <v>-4437.1276130225706</v>
      </c>
      <c r="L51" s="118">
        <v>-4089.8726909078409</v>
      </c>
      <c r="M51" s="118">
        <v>-5732.3796823568009</v>
      </c>
      <c r="N51" s="118">
        <v>-6387.1229241163428</v>
      </c>
      <c r="O51" s="118">
        <v>-3749.9100388094298</v>
      </c>
      <c r="P51" s="118">
        <v>-4794.8657862936871</v>
      </c>
      <c r="Q51" s="118">
        <v>-4983.609733505551</v>
      </c>
      <c r="R51" s="118">
        <v>-3142.1778395001616</v>
      </c>
      <c r="S51" s="118">
        <v>-2033.7917610442216</v>
      </c>
      <c r="T51" s="118">
        <v>-2950.032033167759</v>
      </c>
      <c r="U51" s="118">
        <v>-1520.1017399300081</v>
      </c>
      <c r="V51" s="118">
        <v>-600.37464592803713</v>
      </c>
      <c r="W51" s="119">
        <v>1065.6199999999999</v>
      </c>
      <c r="X51" s="119">
        <v>-1332.09</v>
      </c>
      <c r="Y51" s="119">
        <v>5237.09</v>
      </c>
      <c r="Z51" s="119">
        <v>3012.78</v>
      </c>
      <c r="AA51" s="119">
        <v>-1819.91</v>
      </c>
      <c r="AB51" s="119">
        <v>-5067.18</v>
      </c>
      <c r="AC51" s="119">
        <v>-9142.32</v>
      </c>
      <c r="AD51" s="119">
        <v>-10293.290000000001</v>
      </c>
      <c r="AE51" s="119">
        <v>-14356.41</v>
      </c>
      <c r="AF51" s="119">
        <v>-17932.63</v>
      </c>
      <c r="AG51" s="119">
        <v>-19194.27</v>
      </c>
      <c r="AH51" s="119">
        <v>-23187.84</v>
      </c>
      <c r="AI51" s="119">
        <v>-27364.65</v>
      </c>
      <c r="AJ51" s="119">
        <v>-26465.99</v>
      </c>
      <c r="AK51" s="119">
        <v>-25904.16</v>
      </c>
      <c r="AL51" s="119">
        <v>-38312.04</v>
      </c>
      <c r="AM51" s="119">
        <v>-15634.39</v>
      </c>
      <c r="AN51" s="119">
        <v>975.69</v>
      </c>
      <c r="AO51" s="119">
        <v>1094.57</v>
      </c>
      <c r="AP51" s="119">
        <v>1194.4000000000001</v>
      </c>
      <c r="AQ51" s="119">
        <v>1288.42</v>
      </c>
      <c r="AR51" s="119">
        <v>3704.41</v>
      </c>
      <c r="AS51" s="119">
        <v>637.09</v>
      </c>
      <c r="AT51" s="119">
        <v>575.71</v>
      </c>
      <c r="AU51" s="119">
        <v>1073.23</v>
      </c>
      <c r="AV51" s="96">
        <v>1411.4327844799798</v>
      </c>
      <c r="AW51" s="97">
        <v>1623.9450215614067</v>
      </c>
      <c r="AX51" s="152">
        <v>1860.0995272924845</v>
      </c>
      <c r="AY51" s="49"/>
    </row>
    <row r="52" spans="1:52" x14ac:dyDescent="0.25"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6"/>
      <c r="AW52" s="147"/>
      <c r="AX52" s="148"/>
    </row>
    <row r="53" spans="1:52" x14ac:dyDescent="0.25">
      <c r="A53" s="72" t="s">
        <v>69</v>
      </c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8"/>
      <c r="AW53" s="99"/>
      <c r="AX53" s="102"/>
    </row>
    <row r="54" spans="1:52" x14ac:dyDescent="0.25">
      <c r="A54" s="72" t="s">
        <v>0</v>
      </c>
      <c r="B54" s="110">
        <f t="shared" ref="B54:AX54" si="69">B21-B42</f>
        <v>0</v>
      </c>
      <c r="C54" s="114">
        <f t="shared" si="69"/>
        <v>0</v>
      </c>
      <c r="D54" s="114">
        <f>D21-D42</f>
        <v>109165.05951390543</v>
      </c>
      <c r="E54" s="114">
        <f t="shared" si="69"/>
        <v>480741.41032421798</v>
      </c>
      <c r="F54" s="114">
        <f t="shared" si="69"/>
        <v>1035558.9875673528</v>
      </c>
      <c r="G54" s="114">
        <f t="shared" si="69"/>
        <v>-796014.29677120619</v>
      </c>
      <c r="H54" s="114">
        <f t="shared" si="69"/>
        <v>-960426.68598167389</v>
      </c>
      <c r="I54" s="114">
        <f t="shared" si="69"/>
        <v>119508.3173276647</v>
      </c>
      <c r="J54" s="114">
        <f t="shared" si="69"/>
        <v>-650781.14802932926</v>
      </c>
      <c r="K54" s="114">
        <f t="shared" si="69"/>
        <v>283633.757875429</v>
      </c>
      <c r="L54" s="114">
        <f t="shared" si="69"/>
        <v>758391.50758311059</v>
      </c>
      <c r="M54" s="114">
        <f t="shared" si="69"/>
        <v>-97704.226593116764</v>
      </c>
      <c r="N54" s="114">
        <f t="shared" si="69"/>
        <v>-862665.63054309995</v>
      </c>
      <c r="O54" s="114">
        <f t="shared" si="69"/>
        <v>-119200.60126053984</v>
      </c>
      <c r="P54" s="114">
        <f t="shared" si="69"/>
        <v>-159533.62003397848</v>
      </c>
      <c r="Q54" s="114">
        <f t="shared" si="69"/>
        <v>-864420.67600424855</v>
      </c>
      <c r="R54" s="114">
        <f t="shared" si="69"/>
        <v>844188.85099213431</v>
      </c>
      <c r="S54" s="114">
        <f t="shared" si="69"/>
        <v>520030.96328711743</v>
      </c>
      <c r="T54" s="114">
        <f t="shared" si="69"/>
        <v>-1055149.5793604027</v>
      </c>
      <c r="U54" s="114">
        <f t="shared" si="69"/>
        <v>-67022.342312908731</v>
      </c>
      <c r="V54" s="114">
        <f t="shared" si="69"/>
        <v>-132471.96672626049</v>
      </c>
      <c r="W54" s="111">
        <f t="shared" si="69"/>
        <v>-29300.709057155997</v>
      </c>
      <c r="X54" s="111">
        <f t="shared" ref="X54:AH54" si="70">X21-X42</f>
        <v>-141089.5657424212</v>
      </c>
      <c r="Y54" s="111">
        <f t="shared" si="70"/>
        <v>-96637.005920365918</v>
      </c>
      <c r="Z54" s="111">
        <f t="shared" si="70"/>
        <v>-1813406.9128263511</v>
      </c>
      <c r="AA54" s="111">
        <f t="shared" si="70"/>
        <v>-1568830.10050225</v>
      </c>
      <c r="AB54" s="111">
        <f t="shared" si="70"/>
        <v>-1064539.8070336694</v>
      </c>
      <c r="AC54" s="111">
        <f t="shared" si="70"/>
        <v>-711712.41645144811</v>
      </c>
      <c r="AD54" s="111">
        <f t="shared" si="70"/>
        <v>-481640.43160215323</v>
      </c>
      <c r="AE54" s="111">
        <f t="shared" si="70"/>
        <v>-556459.27604299667</v>
      </c>
      <c r="AF54" s="111">
        <f t="shared" si="70"/>
        <v>-805512.04048896022</v>
      </c>
      <c r="AG54" s="111">
        <f>AG21-AG42</f>
        <v>-661140.78495057859</v>
      </c>
      <c r="AH54" s="111">
        <f t="shared" si="70"/>
        <v>-1099338.2931797178</v>
      </c>
      <c r="AI54" s="111">
        <f t="shared" ref="AI54:AT54" si="71">AI21-AI42</f>
        <v>-502423.59165475797</v>
      </c>
      <c r="AJ54" s="111">
        <f t="shared" si="71"/>
        <v>-17929.994693517452</v>
      </c>
      <c r="AK54" s="111">
        <f t="shared" si="71"/>
        <v>-213612.27375866659</v>
      </c>
      <c r="AL54" s="111">
        <f t="shared" si="71"/>
        <v>-2726340.6083985036</v>
      </c>
      <c r="AM54" s="111">
        <f t="shared" si="71"/>
        <v>3838165.4960362883</v>
      </c>
      <c r="AN54" s="111">
        <f t="shared" si="71"/>
        <v>1942733.4716532761</v>
      </c>
      <c r="AO54" s="111">
        <f t="shared" si="71"/>
        <v>620571.07088957168</v>
      </c>
      <c r="AP54" s="111">
        <f t="shared" si="71"/>
        <v>505998.50074041326</v>
      </c>
      <c r="AQ54" s="111">
        <f t="shared" si="71"/>
        <v>724833.03703407827</v>
      </c>
      <c r="AR54" s="111">
        <f t="shared" si="71"/>
        <v>2127815.7453005174</v>
      </c>
      <c r="AS54" s="111">
        <f t="shared" si="71"/>
        <v>-138746.12425577547</v>
      </c>
      <c r="AT54" s="111">
        <f t="shared" si="71"/>
        <v>914667.02106354828</v>
      </c>
      <c r="AU54" s="111">
        <f>AU21-AU42</f>
        <v>688228.38960263599</v>
      </c>
      <c r="AV54" s="110">
        <f>AV21-AV42</f>
        <v>547842.28327544569</v>
      </c>
      <c r="AW54" s="114">
        <f t="shared" si="69"/>
        <v>1216868.4477254692</v>
      </c>
      <c r="AX54" s="115">
        <f t="shared" si="69"/>
        <v>651250.77037554048</v>
      </c>
    </row>
    <row r="55" spans="1:52" x14ac:dyDescent="0.25">
      <c r="A55" s="72" t="s">
        <v>4</v>
      </c>
      <c r="B55" s="110">
        <f t="shared" ref="B55:AX55" si="72">B22-B43</f>
        <v>0</v>
      </c>
      <c r="C55" s="114">
        <f t="shared" si="72"/>
        <v>0</v>
      </c>
      <c r="D55" s="114">
        <f t="shared" si="72"/>
        <v>80396.905524086716</v>
      </c>
      <c r="E55" s="114">
        <f t="shared" si="72"/>
        <v>22367.506099326867</v>
      </c>
      <c r="F55" s="114">
        <f t="shared" si="72"/>
        <v>35649.148293223669</v>
      </c>
      <c r="G55" s="114">
        <f t="shared" si="72"/>
        <v>-305595.24885977083</v>
      </c>
      <c r="H55" s="114">
        <f t="shared" si="72"/>
        <v>-408166.96200675756</v>
      </c>
      <c r="I55" s="114">
        <f t="shared" si="72"/>
        <v>-273673.78639455995</v>
      </c>
      <c r="J55" s="114">
        <f t="shared" si="72"/>
        <v>-425864.98574106238</v>
      </c>
      <c r="K55" s="114">
        <f t="shared" si="72"/>
        <v>-133153.04532952601</v>
      </c>
      <c r="L55" s="114">
        <f t="shared" si="72"/>
        <v>-32452.752257377142</v>
      </c>
      <c r="M55" s="114">
        <f t="shared" si="72"/>
        <v>-132305.03521318134</v>
      </c>
      <c r="N55" s="114">
        <f t="shared" si="72"/>
        <v>-110319.16126958677</v>
      </c>
      <c r="O55" s="114">
        <f t="shared" si="72"/>
        <v>211751.84688851453</v>
      </c>
      <c r="P55" s="114">
        <f t="shared" si="72"/>
        <v>35929.320019657316</v>
      </c>
      <c r="Q55" s="114">
        <f t="shared" si="72"/>
        <v>133416.23187539689</v>
      </c>
      <c r="R55" s="114">
        <f t="shared" si="72"/>
        <v>207756.1758795252</v>
      </c>
      <c r="S55" s="114">
        <f t="shared" si="72"/>
        <v>204160.02694802557</v>
      </c>
      <c r="T55" s="114">
        <f t="shared" si="72"/>
        <v>55539.995071532729</v>
      </c>
      <c r="U55" s="114">
        <f t="shared" si="72"/>
        <v>288464.61794483243</v>
      </c>
      <c r="V55" s="114">
        <f t="shared" si="72"/>
        <v>177754.05025938922</v>
      </c>
      <c r="W55" s="111">
        <f t="shared" si="72"/>
        <v>278495.55990872293</v>
      </c>
      <c r="X55" s="111">
        <f t="shared" ref="X55:AH55" si="73">X22-X43</f>
        <v>157807.94374413323</v>
      </c>
      <c r="Y55" s="111">
        <f t="shared" si="73"/>
        <v>431904.47897833918</v>
      </c>
      <c r="Z55" s="111">
        <f t="shared" si="73"/>
        <v>81552.355561456061</v>
      </c>
      <c r="AA55" s="111">
        <f t="shared" si="73"/>
        <v>-426653.29207006359</v>
      </c>
      <c r="AB55" s="111">
        <f t="shared" si="73"/>
        <v>-146085.43641560117</v>
      </c>
      <c r="AC55" s="111">
        <f t="shared" si="73"/>
        <v>-221060.2411139108</v>
      </c>
      <c r="AD55" s="111">
        <f t="shared" si="73"/>
        <v>-65055.934862794238</v>
      </c>
      <c r="AE55" s="111">
        <f t="shared" si="73"/>
        <v>-271876.9917904397</v>
      </c>
      <c r="AF55" s="111">
        <f t="shared" si="73"/>
        <v>-175502.33644051582</v>
      </c>
      <c r="AG55" s="111">
        <f t="shared" si="73"/>
        <v>-6034.8734516518889</v>
      </c>
      <c r="AH55" s="111">
        <f t="shared" si="73"/>
        <v>-183146.60975405248</v>
      </c>
      <c r="AI55" s="111">
        <f t="shared" ref="AI55:AU55" si="74">AI22-AI43</f>
        <v>-168992.48946161557</v>
      </c>
      <c r="AJ55" s="111">
        <f t="shared" si="74"/>
        <v>168841.20040651376</v>
      </c>
      <c r="AK55" s="111">
        <f t="shared" si="74"/>
        <v>333546.1687376186</v>
      </c>
      <c r="AL55" s="111">
        <f t="shared" si="74"/>
        <v>-440552.50613722991</v>
      </c>
      <c r="AM55" s="111">
        <f t="shared" si="74"/>
        <v>1415522.7918677698</v>
      </c>
      <c r="AN55" s="111">
        <f t="shared" si="74"/>
        <v>1200927.3179176338</v>
      </c>
      <c r="AO55" s="111">
        <f t="shared" si="74"/>
        <v>-116670.84540074882</v>
      </c>
      <c r="AP55" s="111">
        <f t="shared" si="74"/>
        <v>-90568.795880392106</v>
      </c>
      <c r="AQ55" s="111">
        <f t="shared" si="74"/>
        <v>-135323.36293381421</v>
      </c>
      <c r="AR55" s="111">
        <f t="shared" si="74"/>
        <v>-215721.75181290164</v>
      </c>
      <c r="AS55" s="111">
        <f t="shared" si="74"/>
        <v>-268307.54751392885</v>
      </c>
      <c r="AT55" s="111">
        <f t="shared" si="74"/>
        <v>-192130.18672020314</v>
      </c>
      <c r="AU55" s="111">
        <f t="shared" si="74"/>
        <v>-77747.850836594254</v>
      </c>
      <c r="AV55" s="110">
        <f t="shared" si="72"/>
        <v>-67732.034342525454</v>
      </c>
      <c r="AW55" s="114">
        <f t="shared" si="72"/>
        <v>-236059.36011847711</v>
      </c>
      <c r="AX55" s="115">
        <f t="shared" si="72"/>
        <v>-121091.60463570384</v>
      </c>
    </row>
    <row r="56" spans="1:52" x14ac:dyDescent="0.25">
      <c r="A56" s="72" t="s">
        <v>5</v>
      </c>
      <c r="B56" s="110">
        <f t="shared" ref="B56:AX56" si="75">B23-B44</f>
        <v>0</v>
      </c>
      <c r="C56" s="114">
        <f t="shared" si="75"/>
        <v>0</v>
      </c>
      <c r="D56" s="114">
        <f t="shared" si="75"/>
        <v>184247.82933918544</v>
      </c>
      <c r="E56" s="114">
        <f t="shared" si="75"/>
        <v>55385.846863700259</v>
      </c>
      <c r="F56" s="114">
        <f t="shared" si="75"/>
        <v>107328.74773943188</v>
      </c>
      <c r="G56" s="114">
        <f t="shared" si="75"/>
        <v>-721309.05281867995</v>
      </c>
      <c r="H56" s="114">
        <f t="shared" si="75"/>
        <v>-924707.02921066992</v>
      </c>
      <c r="I56" s="114">
        <f t="shared" si="75"/>
        <v>-622107.22711593262</v>
      </c>
      <c r="J56" s="114">
        <f t="shared" si="75"/>
        <v>-1010830.4703996622</v>
      </c>
      <c r="K56" s="114">
        <f t="shared" si="75"/>
        <v>-326649.49814118026</v>
      </c>
      <c r="L56" s="114">
        <f t="shared" si="75"/>
        <v>-83293.358918056474</v>
      </c>
      <c r="M56" s="114">
        <f t="shared" si="75"/>
        <v>-298940.94318697951</v>
      </c>
      <c r="N56" s="114">
        <f t="shared" si="75"/>
        <v>-237410.13066418737</v>
      </c>
      <c r="O56" s="114">
        <f t="shared" si="75"/>
        <v>454164.41792280087</v>
      </c>
      <c r="P56" s="114">
        <f t="shared" si="75"/>
        <v>72620.549294193159</v>
      </c>
      <c r="Q56" s="114">
        <f t="shared" si="75"/>
        <v>313888.46612891997</v>
      </c>
      <c r="R56" s="114">
        <f t="shared" si="75"/>
        <v>513993.56122851558</v>
      </c>
      <c r="S56" s="114">
        <f t="shared" si="75"/>
        <v>479962.63902338257</v>
      </c>
      <c r="T56" s="114">
        <f t="shared" si="75"/>
        <v>111975.11007318588</v>
      </c>
      <c r="U56" s="114">
        <f t="shared" si="75"/>
        <v>645962.20875550294</v>
      </c>
      <c r="V56" s="114">
        <f t="shared" si="75"/>
        <v>415247.59182569128</v>
      </c>
      <c r="W56" s="111">
        <f t="shared" si="75"/>
        <v>668310.70842069539</v>
      </c>
      <c r="X56" s="111">
        <f t="shared" ref="X56:AH56" si="76">X23-X44</f>
        <v>376261.39586610894</v>
      </c>
      <c r="Y56" s="111">
        <f t="shared" si="76"/>
        <v>990900.08577033645</v>
      </c>
      <c r="Z56" s="111">
        <f t="shared" si="76"/>
        <v>168651.64440161514</v>
      </c>
      <c r="AA56" s="111">
        <f t="shared" si="76"/>
        <v>-888524.12267667358</v>
      </c>
      <c r="AB56" s="111">
        <f t="shared" si="76"/>
        <v>-331899.75322859408</v>
      </c>
      <c r="AC56" s="111">
        <f t="shared" si="76"/>
        <v>-510337.8222499867</v>
      </c>
      <c r="AD56" s="111">
        <f t="shared" si="76"/>
        <v>-171184.72250201041</v>
      </c>
      <c r="AE56" s="111">
        <f t="shared" si="76"/>
        <v>-649542.64703121991</v>
      </c>
      <c r="AF56" s="111">
        <f t="shared" si="76"/>
        <v>-406287.08692043973</v>
      </c>
      <c r="AG56" s="111">
        <f t="shared" si="76"/>
        <v>-25116.995257765986</v>
      </c>
      <c r="AH56" s="111">
        <f t="shared" si="76"/>
        <v>-446333.55042853369</v>
      </c>
      <c r="AI56" s="111">
        <f t="shared" ref="AI56:AU56" si="77">AI23-AI44</f>
        <v>-422542.84724162449</v>
      </c>
      <c r="AJ56" s="111">
        <f t="shared" si="77"/>
        <v>399011.66419091867</v>
      </c>
      <c r="AK56" s="111">
        <f t="shared" si="77"/>
        <v>715415.6809491599</v>
      </c>
      <c r="AL56" s="111">
        <f t="shared" si="77"/>
        <v>-956633.05814597942</v>
      </c>
      <c r="AM56" s="111">
        <f t="shared" si="77"/>
        <v>2856053.6686236672</v>
      </c>
      <c r="AN56" s="111">
        <f t="shared" si="77"/>
        <v>2484179.6826776476</v>
      </c>
      <c r="AO56" s="111">
        <f t="shared" si="77"/>
        <v>-253211.48669338896</v>
      </c>
      <c r="AP56" s="111">
        <f t="shared" si="77"/>
        <v>-226247.91099921553</v>
      </c>
      <c r="AQ56" s="111">
        <f t="shared" si="77"/>
        <v>-319868.33179412188</v>
      </c>
      <c r="AR56" s="111">
        <f t="shared" si="77"/>
        <v>-482478.4162492592</v>
      </c>
      <c r="AS56" s="111">
        <f t="shared" si="77"/>
        <v>-597045.63605933799</v>
      </c>
      <c r="AT56" s="111">
        <f t="shared" si="77"/>
        <v>-447898.47728046699</v>
      </c>
      <c r="AU56" s="111">
        <f t="shared" si="77"/>
        <v>-183530.61847738817</v>
      </c>
      <c r="AV56" s="110">
        <f t="shared" si="75"/>
        <v>-165737.83006895662</v>
      </c>
      <c r="AW56" s="114">
        <f t="shared" si="75"/>
        <v>-522860.45314635366</v>
      </c>
      <c r="AX56" s="115">
        <f t="shared" si="75"/>
        <v>-246152.19421201496</v>
      </c>
    </row>
    <row r="57" spans="1:52" x14ac:dyDescent="0.25">
      <c r="A57" s="72" t="s">
        <v>6</v>
      </c>
      <c r="B57" s="110">
        <f t="shared" ref="B57:AX57" si="78">B24-B45</f>
        <v>0</v>
      </c>
      <c r="C57" s="114">
        <f t="shared" si="78"/>
        <v>0</v>
      </c>
      <c r="D57" s="114">
        <f t="shared" si="78"/>
        <v>76446.845496259717</v>
      </c>
      <c r="E57" s="114">
        <f t="shared" si="78"/>
        <v>24925.441552928634</v>
      </c>
      <c r="F57" s="114">
        <f t="shared" si="78"/>
        <v>38048.606654482297</v>
      </c>
      <c r="G57" s="114">
        <f t="shared" si="78"/>
        <v>-258416.37577544444</v>
      </c>
      <c r="H57" s="114">
        <f t="shared" si="78"/>
        <v>-387453.90191009501</v>
      </c>
      <c r="I57" s="114">
        <f t="shared" si="78"/>
        <v>-253978.04832345201</v>
      </c>
      <c r="J57" s="114">
        <f t="shared" si="78"/>
        <v>-445728.66763809219</v>
      </c>
      <c r="K57" s="114">
        <f t="shared" si="78"/>
        <v>-139007.91718968638</v>
      </c>
      <c r="L57" s="114">
        <f t="shared" si="78"/>
        <v>-36890.856533018057</v>
      </c>
      <c r="M57" s="114">
        <f t="shared" si="78"/>
        <v>-129151.0816384597</v>
      </c>
      <c r="N57" s="114">
        <f t="shared" si="78"/>
        <v>-100977.52958177513</v>
      </c>
      <c r="O57" s="114">
        <f t="shared" si="78"/>
        <v>201907.90722166945</v>
      </c>
      <c r="P57" s="114">
        <f t="shared" si="78"/>
        <v>31290.893116822233</v>
      </c>
      <c r="Q57" s="114">
        <f t="shared" si="78"/>
        <v>146609.69208863127</v>
      </c>
      <c r="R57" s="114">
        <f t="shared" si="78"/>
        <v>236697.60336530575</v>
      </c>
      <c r="S57" s="114">
        <f t="shared" si="78"/>
        <v>223996.57620818634</v>
      </c>
      <c r="T57" s="114">
        <f t="shared" si="78"/>
        <v>47327.370643315255</v>
      </c>
      <c r="U57" s="114">
        <f t="shared" si="78"/>
        <v>280702.30776770622</v>
      </c>
      <c r="V57" s="114">
        <f t="shared" si="78"/>
        <v>184307.67623669398</v>
      </c>
      <c r="W57" s="111">
        <f t="shared" si="78"/>
        <v>302095.12968430069</v>
      </c>
      <c r="X57" s="111">
        <f t="shared" ref="X57:AH57" si="79">X24-X45</f>
        <v>170866.56722860155</v>
      </c>
      <c r="Y57" s="111">
        <f t="shared" si="79"/>
        <v>450699.31547003827</v>
      </c>
      <c r="Z57" s="111">
        <f t="shared" si="79"/>
        <v>58024.878791236028</v>
      </c>
      <c r="AA57" s="111">
        <f t="shared" si="79"/>
        <v>-328224.00123522163</v>
      </c>
      <c r="AB57" s="111">
        <f t="shared" si="79"/>
        <v>-161389.21758456051</v>
      </c>
      <c r="AC57" s="111">
        <f t="shared" si="79"/>
        <v>-224368.64453837438</v>
      </c>
      <c r="AD57" s="111">
        <f t="shared" si="79"/>
        <v>-92352.482614646549</v>
      </c>
      <c r="AE57" s="111">
        <f t="shared" si="79"/>
        <v>-298828.16464478907</v>
      </c>
      <c r="AF57" s="111">
        <f t="shared" si="79"/>
        <v>-186717.53926353704</v>
      </c>
      <c r="AG57" s="111">
        <f t="shared" si="79"/>
        <v>-20798.890421728021</v>
      </c>
      <c r="AH57" s="111">
        <f t="shared" si="79"/>
        <v>-201654.02364436549</v>
      </c>
      <c r="AI57" s="111">
        <f t="shared" ref="AI57:AU57" si="80">AI24-AI45</f>
        <v>-202155.18310460856</v>
      </c>
      <c r="AJ57" s="111">
        <f t="shared" si="80"/>
        <v>177374.67864981398</v>
      </c>
      <c r="AK57" s="111">
        <f t="shared" si="80"/>
        <v>320392.12222233333</v>
      </c>
      <c r="AL57" s="111">
        <f t="shared" si="80"/>
        <v>-379092.8258037169</v>
      </c>
      <c r="AM57" s="111">
        <f t="shared" si="80"/>
        <v>1048784.747343895</v>
      </c>
      <c r="AN57" s="111">
        <f t="shared" si="80"/>
        <v>1003667.451188039</v>
      </c>
      <c r="AO57" s="111">
        <f t="shared" si="80"/>
        <v>-116642.91328992342</v>
      </c>
      <c r="AP57" s="111">
        <f t="shared" si="80"/>
        <v>-97918.304780132137</v>
      </c>
      <c r="AQ57" s="111">
        <f t="shared" si="80"/>
        <v>-144739.14071658696</v>
      </c>
      <c r="AR57" s="111">
        <f t="shared" si="80"/>
        <v>-201768.78819196261</v>
      </c>
      <c r="AS57" s="111">
        <f t="shared" si="80"/>
        <v>-256075.28549101407</v>
      </c>
      <c r="AT57" s="111">
        <f t="shared" si="80"/>
        <v>-189170.79020625362</v>
      </c>
      <c r="AU57" s="111">
        <f t="shared" si="80"/>
        <v>-80749.725351799396</v>
      </c>
      <c r="AV57" s="110">
        <f t="shared" si="78"/>
        <v>-75720.52927186311</v>
      </c>
      <c r="AW57" s="114">
        <f t="shared" si="78"/>
        <v>-221129.5694246614</v>
      </c>
      <c r="AX57" s="115">
        <f t="shared" si="78"/>
        <v>-100362.55946084922</v>
      </c>
    </row>
    <row r="58" spans="1:52" x14ac:dyDescent="0.25">
      <c r="A58" s="72" t="s">
        <v>7</v>
      </c>
      <c r="B58" s="110">
        <f t="shared" ref="B58:AX58" si="81">B25-B46</f>
        <v>0</v>
      </c>
      <c r="C58" s="114">
        <f t="shared" si="81"/>
        <v>0</v>
      </c>
      <c r="D58" s="114">
        <f t="shared" si="81"/>
        <v>39321.070126562699</v>
      </c>
      <c r="E58" s="114">
        <f t="shared" si="81"/>
        <v>12619.135159826228</v>
      </c>
      <c r="F58" s="114">
        <f t="shared" si="81"/>
        <v>39310.379745509235</v>
      </c>
      <c r="G58" s="114">
        <f t="shared" si="81"/>
        <v>-53851.695774898544</v>
      </c>
      <c r="H58" s="114">
        <f t="shared" si="81"/>
        <v>-197393.83089080374</v>
      </c>
      <c r="I58" s="114">
        <f t="shared" si="81"/>
        <v>-133908.38549372059</v>
      </c>
      <c r="J58" s="114">
        <f t="shared" si="81"/>
        <v>-237887.45819185395</v>
      </c>
      <c r="K58" s="114">
        <f t="shared" si="81"/>
        <v>-76729.147215036035</v>
      </c>
      <c r="L58" s="114">
        <f t="shared" si="81"/>
        <v>-19558.069874658773</v>
      </c>
      <c r="M58" s="114">
        <f t="shared" si="81"/>
        <v>-64205.543368262704</v>
      </c>
      <c r="N58" s="114">
        <f t="shared" si="81"/>
        <v>-49997.51794135099</v>
      </c>
      <c r="O58" s="114">
        <f t="shared" si="81"/>
        <v>77321.659227554861</v>
      </c>
      <c r="P58" s="114">
        <f t="shared" si="81"/>
        <v>19984.607603305602</v>
      </c>
      <c r="Q58" s="114">
        <f t="shared" si="81"/>
        <v>78350.945911300631</v>
      </c>
      <c r="R58" s="114">
        <f t="shared" si="81"/>
        <v>123841.56853451955</v>
      </c>
      <c r="S58" s="114">
        <f t="shared" si="81"/>
        <v>122899.63453328802</v>
      </c>
      <c r="T58" s="114">
        <f t="shared" si="81"/>
        <v>29822.363572369242</v>
      </c>
      <c r="U58" s="114">
        <f t="shared" si="81"/>
        <v>154791.02784486694</v>
      </c>
      <c r="V58" s="114">
        <f t="shared" si="81"/>
        <v>102686.8684044863</v>
      </c>
      <c r="W58" s="111">
        <f t="shared" si="81"/>
        <v>159837.53104343769</v>
      </c>
      <c r="X58" s="111">
        <f t="shared" ref="X58:AH58" si="82">X25-X46</f>
        <v>103957.24890357757</v>
      </c>
      <c r="Y58" s="111">
        <f t="shared" si="82"/>
        <v>217693.13570165282</v>
      </c>
      <c r="Z58" s="111">
        <f t="shared" si="82"/>
        <v>41181.104072043643</v>
      </c>
      <c r="AA58" s="111">
        <f t="shared" si="82"/>
        <v>-48979.683515790559</v>
      </c>
      <c r="AB58" s="111">
        <f t="shared" si="82"/>
        <v>-81244.015737575595</v>
      </c>
      <c r="AC58" s="111">
        <f t="shared" si="82"/>
        <v>-113798.17564627936</v>
      </c>
      <c r="AD58" s="111">
        <f t="shared" si="82"/>
        <v>-51423.618418395577</v>
      </c>
      <c r="AE58" s="111">
        <f t="shared" si="82"/>
        <v>-152862.8004905546</v>
      </c>
      <c r="AF58" s="111">
        <f t="shared" si="82"/>
        <v>-22294.196886547899</v>
      </c>
      <c r="AG58" s="111">
        <f t="shared" si="82"/>
        <v>-5665.0359182761749</v>
      </c>
      <c r="AH58" s="111">
        <f t="shared" si="82"/>
        <v>-93070.602993329812</v>
      </c>
      <c r="AI58" s="111">
        <f t="shared" ref="AI58:AU58" si="83">AI25-AI46</f>
        <v>-95802.008537393413</v>
      </c>
      <c r="AJ58" s="111">
        <f t="shared" si="83"/>
        <v>95363.631446271669</v>
      </c>
      <c r="AK58" s="111">
        <f t="shared" si="83"/>
        <v>153248.24184955488</v>
      </c>
      <c r="AL58" s="111">
        <f t="shared" si="83"/>
        <v>-207311.34151456892</v>
      </c>
      <c r="AM58" s="111">
        <f t="shared" si="83"/>
        <v>295289.18612838024</v>
      </c>
      <c r="AN58" s="111">
        <f t="shared" si="83"/>
        <v>409277.38656340429</v>
      </c>
      <c r="AO58" s="111">
        <f t="shared" si="83"/>
        <v>-61631.735505510602</v>
      </c>
      <c r="AP58" s="111">
        <f t="shared" si="83"/>
        <v>-50395.039080673545</v>
      </c>
      <c r="AQ58" s="111">
        <f t="shared" si="83"/>
        <v>-78003.441589555092</v>
      </c>
      <c r="AR58" s="111">
        <f t="shared" si="83"/>
        <v>-99452.819046394507</v>
      </c>
      <c r="AS58" s="111">
        <f t="shared" si="83"/>
        <v>-131481.37667994321</v>
      </c>
      <c r="AT58" s="111">
        <f t="shared" si="83"/>
        <v>-99628.536856624531</v>
      </c>
      <c r="AU58" s="111">
        <f t="shared" si="83"/>
        <v>-49177.454936854156</v>
      </c>
      <c r="AV58" s="110">
        <f t="shared" si="81"/>
        <v>-46326.427502729704</v>
      </c>
      <c r="AW58" s="114">
        <f t="shared" si="81"/>
        <v>-115971.12659227451</v>
      </c>
      <c r="AX58" s="115">
        <f t="shared" si="81"/>
        <v>-49350.907868681526</v>
      </c>
    </row>
    <row r="59" spans="1:52" x14ac:dyDescent="0.25">
      <c r="B59" s="100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8"/>
      <c r="AW59" s="99"/>
      <c r="AX59" s="102"/>
    </row>
    <row r="60" spans="1:52" x14ac:dyDescent="0.25">
      <c r="A60" s="72" t="s">
        <v>70</v>
      </c>
      <c r="B60" s="100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8"/>
      <c r="AW60" s="99"/>
      <c r="AX60" s="102"/>
    </row>
    <row r="61" spans="1:52" x14ac:dyDescent="0.25">
      <c r="A61" s="72" t="s">
        <v>0</v>
      </c>
      <c r="B61" s="110">
        <f>B54</f>
        <v>0</v>
      </c>
      <c r="C61" s="114">
        <f t="shared" ref="C61:AX61" si="84">B61+C54+B68</f>
        <v>0</v>
      </c>
      <c r="D61" s="114">
        <f t="shared" si="84"/>
        <v>109165.05951390543</v>
      </c>
      <c r="E61" s="114">
        <f t="shared" si="84"/>
        <v>589973.05797724216</v>
      </c>
      <c r="F61" s="114">
        <f t="shared" si="84"/>
        <v>1625898.6002303143</v>
      </c>
      <c r="G61" s="114">
        <f t="shared" si="84"/>
        <v>830908.3404646602</v>
      </c>
      <c r="H61" s="114">
        <f t="shared" si="84"/>
        <v>-129084.66537233327</v>
      </c>
      <c r="I61" s="114">
        <f t="shared" si="84"/>
        <v>-9644.0145489684128</v>
      </c>
      <c r="J61" s="114">
        <f t="shared" si="84"/>
        <v>-660431.30714965402</v>
      </c>
      <c r="K61" s="114">
        <f t="shared" si="84"/>
        <v>-377213.32380364108</v>
      </c>
      <c r="L61" s="114">
        <f t="shared" si="84"/>
        <v>380939.22856917302</v>
      </c>
      <c r="M61" s="114">
        <f t="shared" si="84"/>
        <v>283477.57931506872</v>
      </c>
      <c r="N61" s="114">
        <f>M61+N54+M68</f>
        <v>-578960.74851075851</v>
      </c>
      <c r="O61" s="114">
        <f>N61+O54+N68+N78</f>
        <v>1561544.4296673187</v>
      </c>
      <c r="P61" s="114">
        <f>O61+P54+O68</f>
        <v>1403181.9679555907</v>
      </c>
      <c r="Q61" s="114">
        <f t="shared" si="84"/>
        <v>540106.0080039663</v>
      </c>
      <c r="R61" s="114">
        <f t="shared" si="84"/>
        <v>1384812.4605871045</v>
      </c>
      <c r="S61" s="114">
        <f t="shared" si="84"/>
        <v>1906170.535815618</v>
      </c>
      <c r="T61" s="114">
        <f t="shared" si="84"/>
        <v>853260.70683479868</v>
      </c>
      <c r="U61" s="114">
        <f t="shared" si="84"/>
        <v>787228.04028422991</v>
      </c>
      <c r="V61" s="114">
        <f t="shared" si="84"/>
        <v>655718.44409265614</v>
      </c>
      <c r="W61" s="111">
        <f t="shared" si="84"/>
        <v>627209.11943994742</v>
      </c>
      <c r="X61" s="111">
        <f t="shared" ref="X61:X65" si="85">W61+X54+W68</f>
        <v>486877.86520315713</v>
      </c>
      <c r="Y61" s="111">
        <f t="shared" ref="Y61:Y65" si="86">X61+Y54+X68</f>
        <v>389557.29746406822</v>
      </c>
      <c r="Z61" s="111">
        <f t="shared" ref="Z61:Z65" si="87">Y61+Z54+Y68</f>
        <v>-1423273.8688298648</v>
      </c>
      <c r="AA61" s="111">
        <f t="shared" ref="AA61:AA65" si="88">Z61+AA54+Z68</f>
        <v>-2994138.5227227453</v>
      </c>
      <c r="AB61" s="111">
        <f t="shared" ref="AB61:AB65" si="89">AA61+AB54+AA68</f>
        <v>-4063238.3178925966</v>
      </c>
      <c r="AC61" s="111">
        <f t="shared" ref="AC61:AC65" si="90">AB61+AC54+AB68</f>
        <v>-4781905.4610857796</v>
      </c>
      <c r="AD61" s="111">
        <f t="shared" ref="AD61:AD65" si="91">AC61+AD54+AC68</f>
        <v>-5272755.8266662993</v>
      </c>
      <c r="AE61" s="111">
        <f t="shared" ref="AE61:AE65" si="92">AD61+AE54+AD68</f>
        <v>-5838876.5269992081</v>
      </c>
      <c r="AF61" s="111">
        <f t="shared" ref="AF61:AF65" si="93">AE61+AF54+AE68</f>
        <v>-6655480.2968338039</v>
      </c>
      <c r="AG61" s="111">
        <f t="shared" ref="AG61:AG65" si="94">AF61+AG54+AF68</f>
        <v>-7329639.0293117482</v>
      </c>
      <c r="AH61" s="111">
        <f t="shared" ref="AH61:AH65" si="95">AG61+AH54+AG68</f>
        <v>-8443181.2222932652</v>
      </c>
      <c r="AI61" s="111">
        <f t="shared" ref="AI61:AI65" si="96">AH61+AI54+AH68</f>
        <v>-8961991.3541362192</v>
      </c>
      <c r="AJ61" s="111">
        <f>AI61+AJ54+AI68</f>
        <v>-8998274.1105460227</v>
      </c>
      <c r="AK61" s="111">
        <f t="shared" ref="AK61:AK65" si="97">AJ61+AK54+AJ68</f>
        <v>-9230836.1197023112</v>
      </c>
      <c r="AL61" s="111">
        <f t="shared" ref="AL61:AL65" si="98">AK61+AL54+AK68</f>
        <v>-11978365.950873958</v>
      </c>
      <c r="AM61" s="111">
        <f t="shared" ref="AM61:AM65" si="99">AL61+AM54+AL68</f>
        <v>-8168845.6689021643</v>
      </c>
      <c r="AN61" s="111">
        <f t="shared" ref="AN61:AN65" si="100">AM61+AN54+AM68</f>
        <v>-6245447.7936808374</v>
      </c>
      <c r="AO61" s="111">
        <f t="shared" ref="AO61:AO65" si="101">AN61+AO54+AN68</f>
        <v>-5639386.0169920493</v>
      </c>
      <c r="AP61" s="111">
        <f t="shared" ref="AP61:AP65" si="102">AO61+AP54+AO68</f>
        <v>-5145898.8418924706</v>
      </c>
      <c r="AQ61" s="111">
        <f t="shared" ref="AQ61:AQ65" si="103">AP61+AQ54+AP68</f>
        <v>-4432546.9955827491</v>
      </c>
      <c r="AR61" s="111">
        <f t="shared" ref="AR61:AR65" si="104">AQ61+AR54+AQ68</f>
        <v>-2314520.002110126</v>
      </c>
      <c r="AS61" s="111">
        <f t="shared" ref="AS61:AS65" si="105">AR61+AS54+AR68</f>
        <v>-2458271.0232020309</v>
      </c>
      <c r="AT61" s="111">
        <f t="shared" ref="AT61:AT65" si="106">AS61+AT54+AS68</f>
        <v>-1548420.554011018</v>
      </c>
      <c r="AU61" s="111">
        <f t="shared" ref="AU61:AU65" si="107">AT61+AU54+AT68</f>
        <v>-863052.70363635733</v>
      </c>
      <c r="AV61" s="110">
        <f>AU61+AV54+AU68</f>
        <v>-316730.7826341645</v>
      </c>
      <c r="AW61" s="114">
        <f>AV61+AW54+AV68+AV78</f>
        <v>899579.70897730859</v>
      </c>
      <c r="AX61" s="115">
        <f t="shared" si="84"/>
        <v>1552415.1879639805</v>
      </c>
    </row>
    <row r="62" spans="1:52" x14ac:dyDescent="0.25">
      <c r="A62" s="72" t="s">
        <v>4</v>
      </c>
      <c r="B62" s="110">
        <f>B55</f>
        <v>0</v>
      </c>
      <c r="C62" s="114">
        <f t="shared" ref="C62:J65" si="108">B62+C55+B69</f>
        <v>0</v>
      </c>
      <c r="D62" s="114">
        <f t="shared" si="108"/>
        <v>80396.905524086716</v>
      </c>
      <c r="E62" s="114">
        <f t="shared" si="108"/>
        <v>102813.45185985549</v>
      </c>
      <c r="F62" s="114">
        <f t="shared" si="108"/>
        <v>138526.47892182056</v>
      </c>
      <c r="G62" s="114">
        <f t="shared" si="108"/>
        <v>-166981.5220366084</v>
      </c>
      <c r="H62" s="114">
        <f t="shared" si="108"/>
        <v>-575235.63754407014</v>
      </c>
      <c r="I62" s="114">
        <f t="shared" si="108"/>
        <v>-849210.96389791986</v>
      </c>
      <c r="J62" s="114">
        <f t="shared" si="108"/>
        <v>-1275617.0144971686</v>
      </c>
      <c r="K62" s="114">
        <f t="shared" ref="K62:AX62" si="109">J62+K55+J69</f>
        <v>-1409573.1245181714</v>
      </c>
      <c r="L62" s="114">
        <f t="shared" si="109"/>
        <v>-1442918.8061106028</v>
      </c>
      <c r="M62" s="114">
        <f t="shared" si="109"/>
        <v>-1576142.6739830303</v>
      </c>
      <c r="N62" s="114">
        <f t="shared" si="109"/>
        <v>-1687725.6442405146</v>
      </c>
      <c r="O62" s="114">
        <f>N62+O55+N69+N79</f>
        <v>-1378496.5915851805</v>
      </c>
      <c r="P62" s="114">
        <f t="shared" si="109"/>
        <v>-1343601.144009212</v>
      </c>
      <c r="Q62" s="114">
        <f t="shared" si="109"/>
        <v>-1211472.5298968242</v>
      </c>
      <c r="R62" s="114">
        <f t="shared" si="109"/>
        <v>-1004877.3485251167</v>
      </c>
      <c r="S62" s="114">
        <f t="shared" si="109"/>
        <v>-801680.32903609436</v>
      </c>
      <c r="T62" s="114">
        <f t="shared" si="109"/>
        <v>-747082.308351179</v>
      </c>
      <c r="U62" s="114">
        <f t="shared" si="109"/>
        <v>-459484.21249874542</v>
      </c>
      <c r="V62" s="114">
        <f t="shared" si="109"/>
        <v>-282291.87249945168</v>
      </c>
      <c r="W62" s="111">
        <f t="shared" si="109"/>
        <v>-4137.0097106754265</v>
      </c>
      <c r="X62" s="111">
        <f t="shared" si="85"/>
        <v>153665.93228529237</v>
      </c>
      <c r="Y62" s="111">
        <f t="shared" si="86"/>
        <v>585383.48561580118</v>
      </c>
      <c r="Z62" s="111">
        <f t="shared" si="87"/>
        <v>667801.00918764272</v>
      </c>
      <c r="AA62" s="111">
        <f t="shared" si="88"/>
        <v>242102.33086920111</v>
      </c>
      <c r="AB62" s="111">
        <f t="shared" si="89"/>
        <v>96385.609443947687</v>
      </c>
      <c r="AC62" s="111">
        <f t="shared" si="90"/>
        <v>-124509.65597248398</v>
      </c>
      <c r="AD62" s="111">
        <f t="shared" si="91"/>
        <v>-189805.39601764904</v>
      </c>
      <c r="AE62" s="111">
        <f t="shared" si="92"/>
        <v>-462030.17377120256</v>
      </c>
      <c r="AF62" s="111">
        <f t="shared" si="93"/>
        <v>-638410.19851584511</v>
      </c>
      <c r="AG62" s="111">
        <f t="shared" si="94"/>
        <v>-645693.78582353052</v>
      </c>
      <c r="AH62" s="111">
        <f t="shared" si="95"/>
        <v>-830091.6672704732</v>
      </c>
      <c r="AI62" s="111">
        <f t="shared" si="96"/>
        <v>-1000695.2000234134</v>
      </c>
      <c r="AJ62" s="111">
        <f t="shared" ref="AJ62:AJ65" si="110">AI62+AJ55+AI69</f>
        <v>-833903.26744487893</v>
      </c>
      <c r="AK62" s="111">
        <f t="shared" si="97"/>
        <v>-502113.24061527051</v>
      </c>
      <c r="AL62" s="111">
        <f t="shared" si="98"/>
        <v>-943818.33890935103</v>
      </c>
      <c r="AM62" s="111">
        <f t="shared" si="99"/>
        <v>469447.39398502168</v>
      </c>
      <c r="AN62" s="111">
        <f t="shared" si="100"/>
        <v>1671485.8903633626</v>
      </c>
      <c r="AO62" s="111">
        <f t="shared" si="101"/>
        <v>1558698.2061604832</v>
      </c>
      <c r="AP62" s="111">
        <f t="shared" si="102"/>
        <v>1471587.4783701808</v>
      </c>
      <c r="AQ62" s="111">
        <f t="shared" si="103"/>
        <v>1339547.424538597</v>
      </c>
      <c r="AR62" s="111">
        <f t="shared" si="104"/>
        <v>1126783.9035833874</v>
      </c>
      <c r="AS62" s="111">
        <f t="shared" si="105"/>
        <v>860912.90325371479</v>
      </c>
      <c r="AT62" s="111">
        <f t="shared" si="106"/>
        <v>670469.52470767917</v>
      </c>
      <c r="AU62" s="111">
        <f t="shared" si="107"/>
        <v>593960.29368378385</v>
      </c>
      <c r="AV62" s="110">
        <f t="shared" ref="AV62:AV65" si="111">AU62+AV55+AU69</f>
        <v>527274.58573421475</v>
      </c>
      <c r="AW62" s="114">
        <f t="shared" si="109"/>
        <v>292144.07779871288</v>
      </c>
      <c r="AX62" s="115">
        <f t="shared" si="109"/>
        <v>171567.11709190003</v>
      </c>
    </row>
    <row r="63" spans="1:52" x14ac:dyDescent="0.25">
      <c r="A63" s="72" t="s">
        <v>5</v>
      </c>
      <c r="B63" s="110">
        <f>B56</f>
        <v>0</v>
      </c>
      <c r="C63" s="114">
        <f t="shared" si="108"/>
        <v>0</v>
      </c>
      <c r="D63" s="114">
        <f t="shared" si="108"/>
        <v>184247.82933918544</v>
      </c>
      <c r="E63" s="114">
        <f t="shared" si="108"/>
        <v>239746.06307966658</v>
      </c>
      <c r="F63" s="114">
        <f t="shared" si="108"/>
        <v>347223.76684618538</v>
      </c>
      <c r="G63" s="114">
        <f t="shared" si="108"/>
        <v>-373866.59460612811</v>
      </c>
      <c r="H63" s="114">
        <f t="shared" si="108"/>
        <v>-1298768.7578778537</v>
      </c>
      <c r="I63" s="114">
        <f t="shared" si="108"/>
        <v>-1921556.8028235878</v>
      </c>
      <c r="J63" s="114">
        <f t="shared" si="108"/>
        <v>-2933611.5707220067</v>
      </c>
      <c r="K63" s="114">
        <f t="shared" ref="K63:AX63" si="112">J63+K56+J70</f>
        <v>-3262107.9240275351</v>
      </c>
      <c r="L63" s="114">
        <f t="shared" si="112"/>
        <v>-3347467.7467627646</v>
      </c>
      <c r="M63" s="114">
        <f t="shared" si="112"/>
        <v>-3648540.3155675363</v>
      </c>
      <c r="N63" s="114">
        <f t="shared" si="112"/>
        <v>-3888875.9796365574</v>
      </c>
      <c r="O63" s="114">
        <f>N63+O56+N70+N80</f>
        <v>-3083427.2186984839</v>
      </c>
      <c r="P63" s="114">
        <f t="shared" si="112"/>
        <v>-3013119.2398183146</v>
      </c>
      <c r="Q63" s="114">
        <f t="shared" si="112"/>
        <v>-2702118.3462942205</v>
      </c>
      <c r="R63" s="114">
        <f t="shared" si="112"/>
        <v>-2190714.3151475703</v>
      </c>
      <c r="S63" s="114">
        <f t="shared" si="112"/>
        <v>-1712851.1106762041</v>
      </c>
      <c r="T63" s="114">
        <f t="shared" si="112"/>
        <v>-1602888.6006580628</v>
      </c>
      <c r="U63" s="114">
        <f t="shared" si="112"/>
        <v>-958785.54231824819</v>
      </c>
      <c r="V63" s="114">
        <f t="shared" si="112"/>
        <v>-544710.04664233013</v>
      </c>
      <c r="W63" s="111">
        <f t="shared" si="112"/>
        <v>122943.25303877279</v>
      </c>
      <c r="X63" s="111">
        <f t="shared" si="85"/>
        <v>499353.29037138692</v>
      </c>
      <c r="Y63" s="111">
        <f t="shared" si="86"/>
        <v>1489940.4573800988</v>
      </c>
      <c r="Z63" s="111">
        <f t="shared" si="87"/>
        <v>1660794.1605223157</v>
      </c>
      <c r="AA63" s="111">
        <f t="shared" si="88"/>
        <v>774644.12372217688</v>
      </c>
      <c r="AB63" s="111">
        <f t="shared" si="89"/>
        <v>443924.13154576148</v>
      </c>
      <c r="AC63" s="111">
        <f t="shared" si="90"/>
        <v>-65653.860542315306</v>
      </c>
      <c r="AD63" s="111">
        <f t="shared" si="91"/>
        <v>-236965.032160884</v>
      </c>
      <c r="AE63" s="111">
        <f t="shared" si="92"/>
        <v>-886941.87713201239</v>
      </c>
      <c r="AF63" s="111">
        <f t="shared" si="93"/>
        <v>-1294913.8291460997</v>
      </c>
      <c r="AG63" s="111">
        <f t="shared" si="94"/>
        <v>-1322563.6424017348</v>
      </c>
      <c r="AH63" s="111">
        <f t="shared" si="95"/>
        <v>-1771460.1514402423</v>
      </c>
      <c r="AI63" s="111">
        <f t="shared" si="96"/>
        <v>-2197441.0514962152</v>
      </c>
      <c r="AJ63" s="111">
        <f t="shared" si="110"/>
        <v>-1802929.4041441968</v>
      </c>
      <c r="AK63" s="111">
        <f t="shared" si="97"/>
        <v>-1091310.5663151063</v>
      </c>
      <c r="AL63" s="111">
        <f t="shared" si="98"/>
        <v>-2050448.7087681273</v>
      </c>
      <c r="AM63" s="111">
        <f t="shared" si="99"/>
        <v>800701.49118278304</v>
      </c>
      <c r="AN63" s="111">
        <f t="shared" si="100"/>
        <v>3286776.4282847992</v>
      </c>
      <c r="AO63" s="111">
        <f t="shared" si="101"/>
        <v>3041200.7121150927</v>
      </c>
      <c r="AP63" s="111">
        <f t="shared" si="102"/>
        <v>2821699.892436415</v>
      </c>
      <c r="AQ63" s="111">
        <f t="shared" si="103"/>
        <v>2508127.1516803876</v>
      </c>
      <c r="AR63" s="111">
        <f t="shared" si="104"/>
        <v>2031187.6353604624</v>
      </c>
      <c r="AS63" s="111">
        <f t="shared" si="105"/>
        <v>1438534.2208246079</v>
      </c>
      <c r="AT63" s="111">
        <f t="shared" si="106"/>
        <v>993454.29960635805</v>
      </c>
      <c r="AU63" s="111">
        <f t="shared" si="107"/>
        <v>811758.98032327683</v>
      </c>
      <c r="AV63" s="110">
        <f t="shared" si="111"/>
        <v>647451.15299164748</v>
      </c>
      <c r="AW63" s="114">
        <f t="shared" si="112"/>
        <v>125731.25627091544</v>
      </c>
      <c r="AX63" s="115">
        <f t="shared" si="112"/>
        <v>-120199.44850274011</v>
      </c>
    </row>
    <row r="64" spans="1:52" x14ac:dyDescent="0.25">
      <c r="A64" s="72" t="s">
        <v>6</v>
      </c>
      <c r="B64" s="110">
        <f>B57</f>
        <v>0</v>
      </c>
      <c r="C64" s="114">
        <f t="shared" si="108"/>
        <v>0</v>
      </c>
      <c r="D64" s="114">
        <f t="shared" si="108"/>
        <v>76446.845496259717</v>
      </c>
      <c r="E64" s="114">
        <f t="shared" si="108"/>
        <v>101418.91784118135</v>
      </c>
      <c r="F64" s="114">
        <f t="shared" si="108"/>
        <v>139530.53682996024</v>
      </c>
      <c r="G64" s="114">
        <f t="shared" si="108"/>
        <v>-118797.95866002348</v>
      </c>
      <c r="H64" s="114">
        <f t="shared" si="108"/>
        <v>-506313.86538267171</v>
      </c>
      <c r="I64" s="114">
        <f t="shared" si="108"/>
        <v>-760557.32470014202</v>
      </c>
      <c r="J64" s="114">
        <f t="shared" si="108"/>
        <v>-1206770.5725644981</v>
      </c>
      <c r="K64" s="114">
        <f t="shared" ref="K64:AX64" si="113">J64+K57+J71</f>
        <v>-1346538.2121681424</v>
      </c>
      <c r="L64" s="114">
        <f t="shared" si="113"/>
        <v>-1384282.0669951139</v>
      </c>
      <c r="M64" s="114">
        <f t="shared" si="113"/>
        <v>-1514314.6421503103</v>
      </c>
      <c r="N64" s="114">
        <f t="shared" si="113"/>
        <v>-1616506.4047370318</v>
      </c>
      <c r="O64" s="114">
        <f>N64+O57+N71+N81</f>
        <v>-1309206.877318915</v>
      </c>
      <c r="P64" s="114">
        <f t="shared" si="113"/>
        <v>-1278897.8893600819</v>
      </c>
      <c r="Q64" s="114">
        <f t="shared" si="113"/>
        <v>-1133513.807748754</v>
      </c>
      <c r="R64" s="114">
        <f t="shared" si="113"/>
        <v>-897902.48844920751</v>
      </c>
      <c r="S64" s="114">
        <f t="shared" si="113"/>
        <v>-674766.40212578501</v>
      </c>
      <c r="T64" s="114">
        <f t="shared" si="113"/>
        <v>-628231.88200496754</v>
      </c>
      <c r="U64" s="114">
        <f t="shared" si="113"/>
        <v>-348258.24469140184</v>
      </c>
      <c r="V64" s="114">
        <f t="shared" si="113"/>
        <v>-164376.30719367819</v>
      </c>
      <c r="W64" s="111">
        <f t="shared" si="113"/>
        <v>137520.43727339146</v>
      </c>
      <c r="X64" s="111">
        <f t="shared" si="85"/>
        <v>308553.27014866745</v>
      </c>
      <c r="Y64" s="111">
        <f t="shared" si="86"/>
        <v>759209.95408458391</v>
      </c>
      <c r="Z64" s="111">
        <f t="shared" si="87"/>
        <v>818356.90786013415</v>
      </c>
      <c r="AA64" s="111">
        <f t="shared" si="88"/>
        <v>491302.73827720131</v>
      </c>
      <c r="AB64" s="111">
        <f t="shared" si="89"/>
        <v>330661.76084279275</v>
      </c>
      <c r="AC64" s="111">
        <f t="shared" si="90"/>
        <v>106859.08413861504</v>
      </c>
      <c r="AD64" s="111">
        <f t="shared" si="91"/>
        <v>14712.411763822518</v>
      </c>
      <c r="AE64" s="111">
        <f t="shared" si="92"/>
        <v>-284088.79489977966</v>
      </c>
      <c r="AF64" s="111">
        <f t="shared" si="93"/>
        <v>-471345.99894447549</v>
      </c>
      <c r="AG64" s="111">
        <f t="shared" si="94"/>
        <v>-493066.82996370061</v>
      </c>
      <c r="AH64" s="111">
        <f t="shared" si="95"/>
        <v>-695676.3538476259</v>
      </c>
      <c r="AI64" s="111">
        <f t="shared" si="96"/>
        <v>-899181.70677924249</v>
      </c>
      <c r="AJ64" s="111">
        <f t="shared" si="110"/>
        <v>-723648.41214242973</v>
      </c>
      <c r="AK64" s="111">
        <f t="shared" si="97"/>
        <v>-404780.2428206795</v>
      </c>
      <c r="AL64" s="111">
        <f t="shared" si="98"/>
        <v>-784802.23458813701</v>
      </c>
      <c r="AM64" s="111">
        <f t="shared" si="99"/>
        <v>262105.72688193602</v>
      </c>
      <c r="AN64" s="111">
        <f t="shared" si="100"/>
        <v>1266393.5803597115</v>
      </c>
      <c r="AO64" s="111">
        <f t="shared" si="101"/>
        <v>1152692.7262524802</v>
      </c>
      <c r="AP64" s="111">
        <f t="shared" si="102"/>
        <v>1057331.7413682572</v>
      </c>
      <c r="AQ64" s="111">
        <f t="shared" si="103"/>
        <v>914951.64962533815</v>
      </c>
      <c r="AR64" s="111">
        <f t="shared" si="104"/>
        <v>715203.42311983486</v>
      </c>
      <c r="AS64" s="111">
        <f t="shared" si="105"/>
        <v>460674.68695494375</v>
      </c>
      <c r="AT64" s="111">
        <f t="shared" si="106"/>
        <v>272406.50817970815</v>
      </c>
      <c r="AU64" s="111">
        <f t="shared" si="107"/>
        <v>192160.02434106573</v>
      </c>
      <c r="AV64" s="110">
        <f t="shared" si="111"/>
        <v>116778.00608968208</v>
      </c>
      <c r="AW64" s="114">
        <f t="shared" si="113"/>
        <v>-104145.84603167168</v>
      </c>
      <c r="AX64" s="115">
        <f t="shared" si="113"/>
        <v>-204691.86985634876</v>
      </c>
    </row>
    <row r="65" spans="1:50" x14ac:dyDescent="0.25">
      <c r="A65" s="72" t="s">
        <v>7</v>
      </c>
      <c r="B65" s="110">
        <f>B58</f>
        <v>0</v>
      </c>
      <c r="C65" s="114">
        <f t="shared" si="108"/>
        <v>0</v>
      </c>
      <c r="D65" s="114">
        <f t="shared" si="108"/>
        <v>39321.070126562699</v>
      </c>
      <c r="E65" s="114">
        <f t="shared" si="108"/>
        <v>51964.190221674493</v>
      </c>
      <c r="F65" s="114">
        <f t="shared" si="108"/>
        <v>91306.855708299874</v>
      </c>
      <c r="G65" s="114">
        <f t="shared" si="108"/>
        <v>37512.667578153996</v>
      </c>
      <c r="H65" s="114">
        <f t="shared" si="108"/>
        <v>-159861.58413849736</v>
      </c>
      <c r="I65" s="114">
        <f t="shared" si="108"/>
        <v>-293853.76947427733</v>
      </c>
      <c r="J65" s="114">
        <f t="shared" si="108"/>
        <v>-531928.45316705783</v>
      </c>
      <c r="K65" s="114">
        <f t="shared" ref="K65:AX65" si="114">J65+K58+J72</f>
        <v>-608992.47593978513</v>
      </c>
      <c r="L65" s="114">
        <f t="shared" si="114"/>
        <v>-628936.32732313976</v>
      </c>
      <c r="M65" s="114">
        <f t="shared" si="114"/>
        <v>-693542.36948293773</v>
      </c>
      <c r="N65" s="114">
        <f t="shared" si="114"/>
        <v>-744095.99512602703</v>
      </c>
      <c r="O65" s="114">
        <f>N65+O58+N72+N82</f>
        <v>-790294.40789481672</v>
      </c>
      <c r="P65" s="114">
        <f t="shared" si="114"/>
        <v>-770902.52109743224</v>
      </c>
      <c r="Q65" s="114">
        <f t="shared" si="114"/>
        <v>-693290.35676885</v>
      </c>
      <c r="R65" s="114">
        <f t="shared" si="114"/>
        <v>-570113.1914929006</v>
      </c>
      <c r="S65" s="114">
        <f t="shared" si="114"/>
        <v>-447759.91543479328</v>
      </c>
      <c r="T65" s="114">
        <f t="shared" si="114"/>
        <v>-418463.66976305988</v>
      </c>
      <c r="U65" s="114">
        <f t="shared" si="114"/>
        <v>-264158.00746715942</v>
      </c>
      <c r="V65" s="114">
        <f t="shared" si="114"/>
        <v>-161794.06694364158</v>
      </c>
      <c r="W65" s="111">
        <f t="shared" si="114"/>
        <v>-2151.804620284614</v>
      </c>
      <c r="X65" s="111">
        <f t="shared" si="85"/>
        <v>101802.84269771191</v>
      </c>
      <c r="Y65" s="111">
        <f t="shared" si="86"/>
        <v>319390.02627035143</v>
      </c>
      <c r="Z65" s="111">
        <f t="shared" si="87"/>
        <v>361043.17309787968</v>
      </c>
      <c r="AA65" s="111">
        <f t="shared" si="88"/>
        <v>312579.59658586216</v>
      </c>
      <c r="AB65" s="111">
        <f t="shared" si="89"/>
        <v>231811.63071746493</v>
      </c>
      <c r="AC65" s="111">
        <f t="shared" si="90"/>
        <v>118410.22888090691</v>
      </c>
      <c r="AD65" s="111">
        <f t="shared" si="91"/>
        <v>67214.668168635195</v>
      </c>
      <c r="AE65" s="111">
        <f t="shared" si="92"/>
        <v>-85524.972925006194</v>
      </c>
      <c r="AF65" s="111">
        <f t="shared" si="93"/>
        <v>-107981.63597222567</v>
      </c>
      <c r="AG65" s="111">
        <f t="shared" si="94"/>
        <v>-113857.88118093793</v>
      </c>
      <c r="AH65" s="111">
        <f t="shared" si="95"/>
        <v>-207149.12613623499</v>
      </c>
      <c r="AI65" s="111">
        <f t="shared" si="96"/>
        <v>-303353.17004288215</v>
      </c>
      <c r="AJ65" s="111">
        <f t="shared" si="110"/>
        <v>-208610.75861632265</v>
      </c>
      <c r="AK65" s="111">
        <f t="shared" si="97"/>
        <v>-55801.83642166065</v>
      </c>
      <c r="AL65" s="111">
        <f t="shared" si="98"/>
        <v>-263241.27007520333</v>
      </c>
      <c r="AM65" s="111">
        <f t="shared" si="99"/>
        <v>31418.397589403197</v>
      </c>
      <c r="AN65" s="111">
        <f t="shared" si="100"/>
        <v>440770.15126426361</v>
      </c>
      <c r="AO65" s="111">
        <f t="shared" si="101"/>
        <v>380162.4037914587</v>
      </c>
      <c r="AP65" s="111">
        <f t="shared" si="102"/>
        <v>330610.77844694472</v>
      </c>
      <c r="AQ65" s="111">
        <f t="shared" si="103"/>
        <v>253344.97386105088</v>
      </c>
      <c r="AR65" s="111">
        <f t="shared" si="104"/>
        <v>154451.63699915243</v>
      </c>
      <c r="AS65" s="111">
        <f t="shared" si="105"/>
        <v>23304.245123249515</v>
      </c>
      <c r="AT65" s="111">
        <f t="shared" si="106"/>
        <v>-76278.631143298917</v>
      </c>
      <c r="AU65" s="111">
        <f t="shared" si="107"/>
        <v>-125597.00258767193</v>
      </c>
      <c r="AV65" s="110">
        <f t="shared" si="111"/>
        <v>-172144.68302613011</v>
      </c>
      <c r="AW65" s="114">
        <f t="shared" si="114"/>
        <v>-288419.06141347025</v>
      </c>
      <c r="AX65" s="115">
        <f t="shared" si="114"/>
        <v>-338278.05118492839</v>
      </c>
    </row>
    <row r="66" spans="1:50" x14ac:dyDescent="0.25">
      <c r="B66" s="100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8"/>
      <c r="AW66" s="99"/>
      <c r="AX66" s="102"/>
    </row>
    <row r="67" spans="1:50" x14ac:dyDescent="0.25">
      <c r="A67" s="72" t="s">
        <v>65</v>
      </c>
      <c r="B67" s="123">
        <v>0</v>
      </c>
      <c r="C67" s="124">
        <v>0</v>
      </c>
      <c r="D67" s="124">
        <f>0.731972%/12</f>
        <v>6.0997666666666656E-4</v>
      </c>
      <c r="E67" s="124">
        <f>0.745569%/12</f>
        <v>6.2130750000000004E-4</v>
      </c>
      <c r="F67" s="124">
        <f>0.755794%/12</f>
        <v>6.2982833333333329E-4</v>
      </c>
      <c r="G67" s="124">
        <f>0.626322%/12</f>
        <v>5.2193500000000006E-4</v>
      </c>
      <c r="H67" s="124">
        <f>0.629043%/12</f>
        <v>5.2420250000000004E-4</v>
      </c>
      <c r="I67" s="124">
        <f>0.764566%/12</f>
        <v>6.3713833333333325E-4</v>
      </c>
      <c r="J67" s="124">
        <f>0.75546%/12</f>
        <v>6.2954999999999999E-4</v>
      </c>
      <c r="K67" s="186">
        <f>0.76017%/12</f>
        <v>6.3347499999999999E-4</v>
      </c>
      <c r="L67" s="186">
        <f>0.764145%/12</f>
        <v>6.3678749999999994E-4</v>
      </c>
      <c r="M67" s="186">
        <f>0.962204%/12</f>
        <v>8.0183666666666664E-4</v>
      </c>
      <c r="N67" s="186">
        <f>0.9%/12</f>
        <v>7.5000000000000012E-4</v>
      </c>
      <c r="O67" s="186">
        <f>0.9%/12</f>
        <v>7.5000000000000012E-4</v>
      </c>
      <c r="P67" s="186">
        <f>1.15%/12</f>
        <v>9.5833333333333328E-4</v>
      </c>
      <c r="Q67" s="186">
        <f>1.15%/12</f>
        <v>9.5833333333333328E-4</v>
      </c>
      <c r="R67" s="186">
        <f>1.15%/12</f>
        <v>9.5833333333333328E-4</v>
      </c>
      <c r="S67" s="186">
        <f>1.41%/12</f>
        <v>1.175E-3</v>
      </c>
      <c r="T67" s="186">
        <f>1.39185%/12</f>
        <v>1.1598750000000001E-3</v>
      </c>
      <c r="U67" s="186">
        <f>1.466976%/12</f>
        <v>1.22248E-3</v>
      </c>
      <c r="V67" s="186">
        <f>1.448276%/12</f>
        <v>1.2068966666666666E-3</v>
      </c>
      <c r="W67" s="186">
        <f>1.45083%/12</f>
        <v>1.2090250000000001E-3</v>
      </c>
      <c r="X67" s="186">
        <f>1.4428689%/12</f>
        <v>1.2023907500000001E-3</v>
      </c>
      <c r="Y67" s="186">
        <f>1.773541%/12</f>
        <v>1.4779508333333333E-3</v>
      </c>
      <c r="Z67" s="186">
        <f>1.715386%/12</f>
        <v>1.4294883333333334E-3</v>
      </c>
      <c r="AA67" s="186">
        <f>1.827566%/12</f>
        <v>1.5229716666666667E-3</v>
      </c>
      <c r="AB67" s="186">
        <f>2.053946%/12</f>
        <v>1.7116216666666665E-3</v>
      </c>
      <c r="AC67" s="186">
        <f>2.311196%/12</f>
        <v>1.9259966666666664E-3</v>
      </c>
      <c r="AD67" s="186">
        <f>2.198795%/12</f>
        <v>1.8323291666666665E-3</v>
      </c>
      <c r="AE67" s="186">
        <f>2.279561%/12</f>
        <v>1.8996341666666667E-3</v>
      </c>
      <c r="AF67" s="186">
        <f>2.347169%/12</f>
        <v>1.9559741666666667E-3</v>
      </c>
      <c r="AG67" s="186">
        <f>2.325446%/12</f>
        <v>1.9378716666666664E-3</v>
      </c>
      <c r="AH67" s="186">
        <f>2.328962%/12</f>
        <v>1.9408016666666668E-3</v>
      </c>
      <c r="AI67" s="186">
        <f>2.457413%/12</f>
        <v>2.0478441666666666E-3</v>
      </c>
      <c r="AJ67" s="186">
        <f>2.527116%/12</f>
        <v>2.1059300000000002E-3</v>
      </c>
      <c r="AK67" s="186">
        <f>2.754579%/12</f>
        <v>2.2954824999999999E-3</v>
      </c>
      <c r="AL67" s="186">
        <f>2.869695%/12</f>
        <v>2.3914125E-3</v>
      </c>
      <c r="AM67" s="186">
        <f>2.840391%/12</f>
        <v>2.3669924999999998E-3</v>
      </c>
      <c r="AN67" s="186">
        <f>2.787815%/12</f>
        <v>2.3231791666666669E-3</v>
      </c>
      <c r="AO67" s="186">
        <f>2.662274%/12</f>
        <v>2.2185616666666667E-3</v>
      </c>
      <c r="AP67" s="186">
        <f>2.677361%/12</f>
        <v>2.2311341666666666E-3</v>
      </c>
      <c r="AQ67" s="186">
        <f>2.650057%/12</f>
        <v>2.2083808333333331E-3</v>
      </c>
      <c r="AR67" s="186">
        <f>2.594869%/12</f>
        <v>2.1623908333333335E-3</v>
      </c>
      <c r="AS67" s="186">
        <f>2.35119%/12</f>
        <v>1.959325E-3</v>
      </c>
      <c r="AT67" s="186">
        <f>2.21687%/12</f>
        <v>1.8473916666666666E-3</v>
      </c>
      <c r="AU67" s="186">
        <f>2.113932%/12</f>
        <v>1.7616100000000003E-3</v>
      </c>
      <c r="AV67" s="123">
        <f>+AU67</f>
        <v>1.7616100000000003E-3</v>
      </c>
      <c r="AW67" s="124">
        <f>+AV67</f>
        <v>1.7616100000000003E-3</v>
      </c>
      <c r="AX67" s="187">
        <f>+AW67</f>
        <v>1.7616100000000003E-3</v>
      </c>
    </row>
    <row r="68" spans="1:50" x14ac:dyDescent="0.25">
      <c r="A68" s="72" t="s">
        <v>0</v>
      </c>
      <c r="B68" s="110">
        <f t="shared" ref="B68:U68" si="115">B61*B$67</f>
        <v>0</v>
      </c>
      <c r="C68" s="114">
        <f t="shared" si="115"/>
        <v>0</v>
      </c>
      <c r="D68" s="114">
        <f t="shared" si="115"/>
        <v>66.58813911876031</v>
      </c>
      <c r="E68" s="114">
        <f>E61*E$67</f>
        <v>366.55468571919539</v>
      </c>
      <c r="F68" s="114">
        <f t="shared" si="115"/>
        <v>1024.0370055520584</v>
      </c>
      <c r="G68" s="114">
        <f t="shared" si="115"/>
        <v>433.68014468042247</v>
      </c>
      <c r="H68" s="114">
        <f t="shared" si="115"/>
        <v>-67.66650429984054</v>
      </c>
      <c r="I68" s="114">
        <f t="shared" si="115"/>
        <v>-6.1445713563721522</v>
      </c>
      <c r="J68" s="114">
        <f t="shared" si="115"/>
        <v>-415.77452941606469</v>
      </c>
      <c r="K68" s="114">
        <f>K61*K$67</f>
        <v>-238.95521029651152</v>
      </c>
      <c r="L68" s="114">
        <f t="shared" si="115"/>
        <v>242.57733901249225</v>
      </c>
      <c r="M68" s="114">
        <f t="shared" si="115"/>
        <v>227.30271727273032</v>
      </c>
      <c r="N68" s="114">
        <f>N61*N$67</f>
        <v>-434.22056138306897</v>
      </c>
      <c r="O68" s="114">
        <f>O61*O$67</f>
        <v>1171.1583222504892</v>
      </c>
      <c r="P68" s="114">
        <f t="shared" si="115"/>
        <v>1344.7160526241078</v>
      </c>
      <c r="Q68" s="114">
        <f t="shared" si="115"/>
        <v>517.60159100380099</v>
      </c>
      <c r="R68" s="114">
        <f t="shared" si="115"/>
        <v>1327.111941395975</v>
      </c>
      <c r="S68" s="114">
        <f t="shared" si="115"/>
        <v>2239.7503795833513</v>
      </c>
      <c r="T68" s="114">
        <f t="shared" si="115"/>
        <v>989.67576234001217</v>
      </c>
      <c r="U68" s="114">
        <f t="shared" si="115"/>
        <v>962.37053468666534</v>
      </c>
      <c r="V68" s="114">
        <f t="shared" ref="V68:W72" si="116">V61*V$67</f>
        <v>791.38440444727962</v>
      </c>
      <c r="W68" s="111">
        <f t="shared" si="116"/>
        <v>758.31150563088249</v>
      </c>
      <c r="X68" s="111">
        <f>X61*X$67-3196*(X28/SUM($X$28:$X$32))</f>
        <v>-683.56181872300442</v>
      </c>
      <c r="Y68" s="111">
        <f t="shared" ref="Y68:AH68" si="117">Y61*Y$67</f>
        <v>575.74653241810086</v>
      </c>
      <c r="Z68" s="111">
        <f t="shared" si="117"/>
        <v>-2034.5533906304888</v>
      </c>
      <c r="AA68" s="111">
        <f t="shared" si="117"/>
        <v>-4559.9881361819307</v>
      </c>
      <c r="AB68" s="111">
        <f t="shared" si="117"/>
        <v>-6954.7267417351886</v>
      </c>
      <c r="AC68" s="111">
        <f t="shared" si="117"/>
        <v>-9209.9339783663399</v>
      </c>
      <c r="AD68" s="111">
        <f t="shared" si="117"/>
        <v>-9661.424289912271</v>
      </c>
      <c r="AE68" s="111">
        <f t="shared" si="117"/>
        <v>-11091.729345635702</v>
      </c>
      <c r="AF68" s="111">
        <f t="shared" si="117"/>
        <v>-13017.947527365919</v>
      </c>
      <c r="AG68" s="111">
        <f t="shared" si="117"/>
        <v>-14203.899801797405</v>
      </c>
      <c r="AH68" s="111">
        <f t="shared" si="117"/>
        <v>-16386.540188195475</v>
      </c>
      <c r="AI68" s="111">
        <f t="shared" ref="AI68:AU68" si="118">AI61*AI$67</f>
        <v>-18352.761716284956</v>
      </c>
      <c r="AJ68" s="111">
        <f>AJ61*AJ$67</f>
        <v>-18949.735397622186</v>
      </c>
      <c r="AK68" s="111">
        <f t="shared" si="118"/>
        <v>-21189.22277314456</v>
      </c>
      <c r="AL68" s="111">
        <f t="shared" si="118"/>
        <v>-28645.214064494368</v>
      </c>
      <c r="AM68" s="111">
        <f t="shared" si="118"/>
        <v>-19335.596431948903</v>
      </c>
      <c r="AN68" s="111">
        <f t="shared" si="118"/>
        <v>-14509.294200783621</v>
      </c>
      <c r="AO68" s="111">
        <f t="shared" si="118"/>
        <v>-12511.325640834577</v>
      </c>
      <c r="AP68" s="111">
        <f t="shared" si="118"/>
        <v>-11481.190724356722</v>
      </c>
      <c r="AQ68" s="111">
        <f t="shared" si="118"/>
        <v>-9788.7518278941934</v>
      </c>
      <c r="AR68" s="111">
        <f t="shared" si="118"/>
        <v>-5004.8968361295838</v>
      </c>
      <c r="AS68" s="289">
        <f t="shared" si="118"/>
        <v>-4816.5518725353195</v>
      </c>
      <c r="AT68" s="111">
        <f t="shared" si="118"/>
        <v>-2860.5392279753378</v>
      </c>
      <c r="AU68" s="111">
        <f t="shared" si="118"/>
        <v>-1520.3622732528436</v>
      </c>
      <c r="AV68" s="110">
        <f>AV61*AV$67</f>
        <v>-557.95611399617064</v>
      </c>
      <c r="AW68" s="114">
        <f t="shared" ref="AV68:AX72" si="119">AW61*AW$67</f>
        <v>1584.7086111315168</v>
      </c>
      <c r="AX68" s="115">
        <f t="shared" si="119"/>
        <v>2734.750119269228</v>
      </c>
    </row>
    <row r="69" spans="1:50" x14ac:dyDescent="0.25">
      <c r="A69" s="72" t="s">
        <v>4</v>
      </c>
      <c r="B69" s="110">
        <f t="shared" ref="B69:J72" si="120">B62*B$67</f>
        <v>0</v>
      </c>
      <c r="C69" s="114">
        <f t="shared" si="120"/>
        <v>0</v>
      </c>
      <c r="D69" s="114">
        <f t="shared" si="120"/>
        <v>49.040236441897328</v>
      </c>
      <c r="E69" s="114">
        <f t="shared" si="120"/>
        <v>63.878768741417169</v>
      </c>
      <c r="F69" s="114">
        <f t="shared" si="120"/>
        <v>87.247901341865372</v>
      </c>
      <c r="G69" s="114">
        <f t="shared" si="120"/>
        <v>-87.153500704177219</v>
      </c>
      <c r="H69" s="114">
        <f t="shared" si="120"/>
        <v>-301.53995928969545</v>
      </c>
      <c r="I69" s="114">
        <f t="shared" si="120"/>
        <v>-541.06485818631404</v>
      </c>
      <c r="J69" s="114">
        <f t="shared" si="120"/>
        <v>-803.06469147669247</v>
      </c>
      <c r="K69" s="114">
        <f>K62*K$67</f>
        <v>-892.92933505414862</v>
      </c>
      <c r="L69" s="114">
        <f t="shared" ref="L69:U69" si="121">L62*L$67</f>
        <v>-918.83265924615534</v>
      </c>
      <c r="M69" s="114">
        <f t="shared" si="121"/>
        <v>-1263.8089878976396</v>
      </c>
      <c r="N69" s="114">
        <f t="shared" si="121"/>
        <v>-1265.7942331803861</v>
      </c>
      <c r="O69" s="114">
        <f t="shared" si="121"/>
        <v>-1033.8724436888856</v>
      </c>
      <c r="P69" s="114">
        <f t="shared" si="121"/>
        <v>-1287.6177630088282</v>
      </c>
      <c r="Q69" s="114">
        <f t="shared" si="121"/>
        <v>-1160.9945078177898</v>
      </c>
      <c r="R69" s="114">
        <f t="shared" si="121"/>
        <v>-963.00745900323682</v>
      </c>
      <c r="S69" s="114">
        <f t="shared" si="121"/>
        <v>-941.97438661741091</v>
      </c>
      <c r="T69" s="114">
        <f t="shared" si="121"/>
        <v>-866.52209239882382</v>
      </c>
      <c r="U69" s="114">
        <f t="shared" si="121"/>
        <v>-561.71026009546631</v>
      </c>
      <c r="V69" s="114">
        <f t="shared" si="116"/>
        <v>-340.69711994667989</v>
      </c>
      <c r="W69" s="111">
        <f t="shared" si="116"/>
        <v>-5.0017481654493574</v>
      </c>
      <c r="X69" s="111">
        <f>X62*X$67-3196*(X29/SUM($X$28:$X$32))</f>
        <v>-186.92564783031244</v>
      </c>
      <c r="Y69" s="111">
        <f t="shared" ref="Y69:AH69" si="122">Y62*Y$67</f>
        <v>865.16801038544475</v>
      </c>
      <c r="Z69" s="111">
        <f t="shared" si="122"/>
        <v>954.61375162196146</v>
      </c>
      <c r="AA69" s="111">
        <f t="shared" si="122"/>
        <v>368.71499034775201</v>
      </c>
      <c r="AB69" s="111">
        <f t="shared" si="122"/>
        <v>164.97569747913212</v>
      </c>
      <c r="AC69" s="111">
        <f t="shared" si="122"/>
        <v>-239.80518237081753</v>
      </c>
      <c r="AD69" s="111">
        <f t="shared" si="122"/>
        <v>-347.78596311385547</v>
      </c>
      <c r="AE69" s="111">
        <f t="shared" si="122"/>
        <v>-877.68830412671355</v>
      </c>
      <c r="AF69" s="111">
        <f t="shared" si="122"/>
        <v>-1248.7138560335313</v>
      </c>
      <c r="AG69" s="111">
        <f t="shared" si="122"/>
        <v>-1251.2716928901546</v>
      </c>
      <c r="AH69" s="111">
        <f t="shared" si="122"/>
        <v>-1611.0432913246466</v>
      </c>
      <c r="AI69" s="111">
        <f t="shared" ref="AI69:AU69" si="123">AI62*AI$67</f>
        <v>-2049.2678279792804</v>
      </c>
      <c r="AJ69" s="111">
        <f t="shared" si="123"/>
        <v>-1756.1419080101941</v>
      </c>
      <c r="AK69" s="111">
        <f t="shared" si="123"/>
        <v>-1152.5921568506426</v>
      </c>
      <c r="AL69" s="111">
        <f t="shared" si="123"/>
        <v>-2257.0589733970583</v>
      </c>
      <c r="AM69" s="111">
        <f t="shared" si="123"/>
        <v>1111.1784607070913</v>
      </c>
      <c r="AN69" s="111">
        <f t="shared" si="123"/>
        <v>3883.1611978694486</v>
      </c>
      <c r="AO69" s="111">
        <f t="shared" si="123"/>
        <v>3458.0680900897451</v>
      </c>
      <c r="AP69" s="111">
        <f t="shared" si="123"/>
        <v>3283.3091022305548</v>
      </c>
      <c r="AQ69" s="111">
        <f t="shared" si="123"/>
        <v>2958.2308576920668</v>
      </c>
      <c r="AR69" s="111">
        <f t="shared" si="123"/>
        <v>2436.5471842562674</v>
      </c>
      <c r="AS69" s="289">
        <f t="shared" si="123"/>
        <v>1686.8081741675849</v>
      </c>
      <c r="AT69" s="111">
        <f t="shared" si="123"/>
        <v>1238.6198126989273</v>
      </c>
      <c r="AU69" s="111">
        <f t="shared" si="123"/>
        <v>1046.3263929562906</v>
      </c>
      <c r="AV69" s="110">
        <f t="shared" si="119"/>
        <v>928.85218297525023</v>
      </c>
      <c r="AW69" s="114">
        <f t="shared" si="119"/>
        <v>514.64392889099065</v>
      </c>
      <c r="AX69" s="115">
        <f t="shared" si="119"/>
        <v>302.23434914026205</v>
      </c>
    </row>
    <row r="70" spans="1:50" x14ac:dyDescent="0.25">
      <c r="A70" s="72" t="s">
        <v>5</v>
      </c>
      <c r="B70" s="110">
        <f t="shared" si="120"/>
        <v>0</v>
      </c>
      <c r="C70" s="114">
        <f t="shared" si="120"/>
        <v>0</v>
      </c>
      <c r="D70" s="114">
        <f t="shared" si="120"/>
        <v>112.38687678088519</v>
      </c>
      <c r="E70" s="114">
        <f t="shared" si="120"/>
        <v>148.95602708686997</v>
      </c>
      <c r="F70" s="114">
        <f t="shared" si="120"/>
        <v>218.69136636645484</v>
      </c>
      <c r="G70" s="114">
        <f t="shared" si="120"/>
        <v>-195.1340610557495</v>
      </c>
      <c r="H70" s="114">
        <f t="shared" si="120"/>
        <v>-680.81782980146568</v>
      </c>
      <c r="I70" s="114">
        <f t="shared" si="120"/>
        <v>-1224.2974987563491</v>
      </c>
      <c r="J70" s="114">
        <f t="shared" si="120"/>
        <v>-1846.8551643480394</v>
      </c>
      <c r="K70" s="114">
        <f>K63*K$67</f>
        <v>-2066.4638171733427</v>
      </c>
      <c r="L70" s="114">
        <f t="shared" ref="L70:U70" si="124">L63*L$67</f>
        <v>-2131.6256177916939</v>
      </c>
      <c r="M70" s="114">
        <f t="shared" si="124"/>
        <v>-2925.5334048336213</v>
      </c>
      <c r="N70" s="114">
        <f t="shared" si="124"/>
        <v>-2916.6569847274186</v>
      </c>
      <c r="O70" s="114">
        <f t="shared" si="124"/>
        <v>-2312.5704140238631</v>
      </c>
      <c r="P70" s="114">
        <f t="shared" si="124"/>
        <v>-2887.5726048258848</v>
      </c>
      <c r="Q70" s="114">
        <f t="shared" si="124"/>
        <v>-2589.5300818652945</v>
      </c>
      <c r="R70" s="114">
        <f t="shared" si="124"/>
        <v>-2099.4345520164215</v>
      </c>
      <c r="S70" s="114">
        <f t="shared" si="124"/>
        <v>-2012.6000550445399</v>
      </c>
      <c r="T70" s="114">
        <f t="shared" si="124"/>
        <v>-1859.1504156882709</v>
      </c>
      <c r="U70" s="114">
        <f t="shared" si="124"/>
        <v>-1172.0961497732121</v>
      </c>
      <c r="V70" s="114">
        <f t="shared" si="116"/>
        <v>-657.40873959247267</v>
      </c>
      <c r="W70" s="111">
        <f t="shared" si="116"/>
        <v>148.64146650520229</v>
      </c>
      <c r="X70" s="111">
        <f>X63*X$67-3196*(X30/SUM($X$28:$X$32))</f>
        <v>-312.91876162445351</v>
      </c>
      <c r="Y70" s="111">
        <f t="shared" ref="Y70:AH70" si="125">Y63*Y$67</f>
        <v>2202.0587406019649</v>
      </c>
      <c r="Z70" s="111">
        <f t="shared" si="125"/>
        <v>2374.0858765347775</v>
      </c>
      <c r="AA70" s="111">
        <f t="shared" si="125"/>
        <v>1179.7610521787033</v>
      </c>
      <c r="AB70" s="111">
        <f t="shared" si="125"/>
        <v>759.83016190990872</v>
      </c>
      <c r="AC70" s="111">
        <f t="shared" si="125"/>
        <v>-126.44911655829746</v>
      </c>
      <c r="AD70" s="111">
        <f t="shared" si="125"/>
        <v>-434.1979399084924</v>
      </c>
      <c r="AE70" s="111">
        <f t="shared" si="125"/>
        <v>-1684.8650936474394</v>
      </c>
      <c r="AF70" s="111">
        <f t="shared" si="125"/>
        <v>-2532.8179978691846</v>
      </c>
      <c r="AG70" s="111">
        <f t="shared" si="125"/>
        <v>-2562.9586099737867</v>
      </c>
      <c r="AH70" s="111">
        <f t="shared" si="125"/>
        <v>-3438.0528143488082</v>
      </c>
      <c r="AI70" s="111">
        <f t="shared" ref="AI70:AU70" si="126">AI63*AI$67</f>
        <v>-4500.0168389003902</v>
      </c>
      <c r="AJ70" s="111">
        <f t="shared" si="126"/>
        <v>-3796.8431200693885</v>
      </c>
      <c r="AK70" s="111">
        <f t="shared" si="126"/>
        <v>-2505.0843070414162</v>
      </c>
      <c r="AL70" s="111">
        <f t="shared" si="126"/>
        <v>-4903.4686727569588</v>
      </c>
      <c r="AM70" s="111">
        <f t="shared" si="126"/>
        <v>1895.2544243684633</v>
      </c>
      <c r="AN70" s="111">
        <f t="shared" si="126"/>
        <v>7635.770523682324</v>
      </c>
      <c r="AO70" s="111">
        <f t="shared" si="126"/>
        <v>6747.0913205379138</v>
      </c>
      <c r="AP70" s="111">
        <f t="shared" si="126"/>
        <v>6295.5910380945434</v>
      </c>
      <c r="AQ70" s="111">
        <f t="shared" si="126"/>
        <v>5538.8999293338939</v>
      </c>
      <c r="AR70" s="111">
        <f t="shared" si="126"/>
        <v>4392.221523483473</v>
      </c>
      <c r="AS70" s="289">
        <f t="shared" si="126"/>
        <v>2818.5560622171747</v>
      </c>
      <c r="AT70" s="111">
        <f t="shared" si="126"/>
        <v>1835.2991943069558</v>
      </c>
      <c r="AU70" s="111">
        <f t="shared" si="126"/>
        <v>1430.0027373272878</v>
      </c>
      <c r="AV70" s="110">
        <f t="shared" si="119"/>
        <v>1140.5564256216162</v>
      </c>
      <c r="AW70" s="114">
        <f t="shared" si="119"/>
        <v>221.48943835940739</v>
      </c>
      <c r="AX70" s="115">
        <f t="shared" si="119"/>
        <v>-211.74455047691202</v>
      </c>
    </row>
    <row r="71" spans="1:50" x14ac:dyDescent="0.25">
      <c r="A71" s="72" t="s">
        <v>6</v>
      </c>
      <c r="B71" s="110">
        <f t="shared" si="120"/>
        <v>0</v>
      </c>
      <c r="C71" s="114">
        <f t="shared" si="120"/>
        <v>0</v>
      </c>
      <c r="D71" s="114">
        <f t="shared" si="120"/>
        <v>46.630791992990176</v>
      </c>
      <c r="E71" s="114">
        <f t="shared" si="120"/>
        <v>63.012334296609787</v>
      </c>
      <c r="F71" s="114">
        <f t="shared" si="120"/>
        <v>87.880285460719136</v>
      </c>
      <c r="G71" s="114">
        <f t="shared" si="120"/>
        <v>-62.004812553219359</v>
      </c>
      <c r="H71" s="114">
        <f t="shared" si="120"/>
        <v>-265.41099401826</v>
      </c>
      <c r="I71" s="114">
        <f t="shared" si="120"/>
        <v>-484.58022626390726</v>
      </c>
      <c r="J71" s="114">
        <f t="shared" si="120"/>
        <v>-759.72241395797971</v>
      </c>
      <c r="K71" s="114">
        <f>K64*K$67</f>
        <v>-852.99829395321399</v>
      </c>
      <c r="L71" s="114">
        <f t="shared" ref="L71:U71" si="127">L64*L$67</f>
        <v>-881.49351673665103</v>
      </c>
      <c r="M71" s="114">
        <f t="shared" si="127"/>
        <v>-1214.233004946331</v>
      </c>
      <c r="N71" s="114">
        <f t="shared" si="127"/>
        <v>-1212.3798035527741</v>
      </c>
      <c r="O71" s="114">
        <f t="shared" si="127"/>
        <v>-981.90515798918636</v>
      </c>
      <c r="P71" s="114">
        <f t="shared" si="127"/>
        <v>-1225.6104773034117</v>
      </c>
      <c r="Q71" s="114">
        <f t="shared" si="127"/>
        <v>-1086.2840657592226</v>
      </c>
      <c r="R71" s="114">
        <f t="shared" si="127"/>
        <v>-860.48988476382385</v>
      </c>
      <c r="S71" s="114">
        <f t="shared" si="127"/>
        <v>-792.85052249779744</v>
      </c>
      <c r="T71" s="114">
        <f t="shared" si="127"/>
        <v>-728.67045414051177</v>
      </c>
      <c r="U71" s="114">
        <f t="shared" si="127"/>
        <v>-425.73873897034491</v>
      </c>
      <c r="V71" s="114">
        <f t="shared" si="116"/>
        <v>-198.38521723102622</v>
      </c>
      <c r="W71" s="111">
        <f t="shared" si="116"/>
        <v>166.26564667446212</v>
      </c>
      <c r="X71" s="111">
        <f>X64*X$67-3196*(X31/SUM($X$28:$X$32))</f>
        <v>-42.631534121866594</v>
      </c>
      <c r="Y71" s="111">
        <f t="shared" ref="Y71:AH71" si="128">Y64*Y$67</f>
        <v>1122.0749843142726</v>
      </c>
      <c r="Z71" s="111">
        <f t="shared" si="128"/>
        <v>1169.8316522888035</v>
      </c>
      <c r="AA71" s="111">
        <f t="shared" si="128"/>
        <v>748.2401501519264</v>
      </c>
      <c r="AB71" s="111">
        <f t="shared" si="128"/>
        <v>565.96783419667565</v>
      </c>
      <c r="AC71" s="111">
        <f t="shared" si="128"/>
        <v>205.81023985402541</v>
      </c>
      <c r="AD71" s="111">
        <f t="shared" si="128"/>
        <v>26.957981186861776</v>
      </c>
      <c r="AE71" s="111">
        <f t="shared" si="128"/>
        <v>-539.66478115878056</v>
      </c>
      <c r="AF71" s="111">
        <f t="shared" si="128"/>
        <v>-921.94059749708799</v>
      </c>
      <c r="AG71" s="111">
        <f t="shared" si="128"/>
        <v>-955.50023955980635</v>
      </c>
      <c r="AH71" s="111">
        <f t="shared" si="128"/>
        <v>-1350.1698270080622</v>
      </c>
      <c r="AI71" s="111">
        <f t="shared" ref="AI71:AU71" si="129">AI64*AI$67</f>
        <v>-1841.3840130012488</v>
      </c>
      <c r="AJ71" s="111">
        <f t="shared" si="129"/>
        <v>-1523.9529005831073</v>
      </c>
      <c r="AK71" s="111">
        <f t="shared" si="129"/>
        <v>-929.16596374062044</v>
      </c>
      <c r="AL71" s="111">
        <f t="shared" si="129"/>
        <v>-1876.7858738220032</v>
      </c>
      <c r="AM71" s="111">
        <f t="shared" si="129"/>
        <v>620.40228973659089</v>
      </c>
      <c r="AN71" s="111">
        <f t="shared" si="129"/>
        <v>2942.0591826920913</v>
      </c>
      <c r="AO71" s="111">
        <f t="shared" si="129"/>
        <v>2557.319895909246</v>
      </c>
      <c r="AP71" s="111">
        <f t="shared" si="129"/>
        <v>2359.0489736678819</v>
      </c>
      <c r="AQ71" s="111">
        <f t="shared" si="129"/>
        <v>2020.5616864593121</v>
      </c>
      <c r="AR71" s="111">
        <f t="shared" si="129"/>
        <v>1546.5493261229524</v>
      </c>
      <c r="AS71" s="289">
        <f t="shared" si="129"/>
        <v>902.61143101799519</v>
      </c>
      <c r="AT71" s="111">
        <f t="shared" si="129"/>
        <v>503.24151315695798</v>
      </c>
      <c r="AU71" s="111">
        <f t="shared" si="129"/>
        <v>338.51102047946483</v>
      </c>
      <c r="AV71" s="110">
        <f t="shared" si="119"/>
        <v>205.71730330764487</v>
      </c>
      <c r="AW71" s="114">
        <f t="shared" si="119"/>
        <v>-183.46436382785319</v>
      </c>
      <c r="AX71" s="115">
        <f t="shared" si="119"/>
        <v>-360.58724485764259</v>
      </c>
    </row>
    <row r="72" spans="1:50" ht="15.75" thickBot="1" x14ac:dyDescent="0.3">
      <c r="A72" s="72" t="s">
        <v>7</v>
      </c>
      <c r="B72" s="110">
        <f t="shared" si="120"/>
        <v>0</v>
      </c>
      <c r="C72" s="114">
        <f t="shared" si="120"/>
        <v>0</v>
      </c>
      <c r="D72" s="114">
        <f t="shared" si="120"/>
        <v>23.984935285566955</v>
      </c>
      <c r="E72" s="114">
        <f t="shared" si="120"/>
        <v>32.285741116153027</v>
      </c>
      <c r="F72" s="114">
        <f t="shared" si="120"/>
        <v>57.507644752665662</v>
      </c>
      <c r="G72" s="114">
        <f t="shared" si="120"/>
        <v>19.579174152403809</v>
      </c>
      <c r="H72" s="114">
        <f t="shared" si="120"/>
        <v>-83.799842059360671</v>
      </c>
      <c r="I72" s="114">
        <f t="shared" si="120"/>
        <v>-187.22550092655857</v>
      </c>
      <c r="J72" s="114">
        <f t="shared" si="120"/>
        <v>-334.87555769132126</v>
      </c>
      <c r="K72" s="114">
        <f>K65*K$67</f>
        <v>-385.78150869595538</v>
      </c>
      <c r="L72" s="114">
        <f t="shared" ref="L72:U72" si="130">L65*L$67</f>
        <v>-400.49879153528383</v>
      </c>
      <c r="M72" s="114">
        <f t="shared" si="130"/>
        <v>-556.10770173830053</v>
      </c>
      <c r="N72" s="114">
        <f t="shared" si="130"/>
        <v>-558.07199634452036</v>
      </c>
      <c r="O72" s="114">
        <f t="shared" si="130"/>
        <v>-592.72080592111263</v>
      </c>
      <c r="P72" s="114">
        <f t="shared" si="130"/>
        <v>-738.78158271837253</v>
      </c>
      <c r="Q72" s="114">
        <f t="shared" si="130"/>
        <v>-664.40325857014784</v>
      </c>
      <c r="R72" s="114">
        <f t="shared" si="130"/>
        <v>-546.35847518069636</v>
      </c>
      <c r="S72" s="114">
        <f t="shared" si="130"/>
        <v>-526.11790063588217</v>
      </c>
      <c r="T72" s="114">
        <f t="shared" si="130"/>
        <v>-485.36554896642912</v>
      </c>
      <c r="U72" s="114">
        <f t="shared" si="130"/>
        <v>-322.92788096845305</v>
      </c>
      <c r="V72" s="114">
        <f t="shared" si="116"/>
        <v>-195.26872008072453</v>
      </c>
      <c r="W72" s="111">
        <f t="shared" si="116"/>
        <v>-2.6015855810396054</v>
      </c>
      <c r="X72" s="111">
        <f>X65*X$67-3196*(X32/SUM($X$28:$X$32))</f>
        <v>-105.95212901331553</v>
      </c>
      <c r="Y72" s="111">
        <f t="shared" ref="Y72:AH72" si="131">Y65*Y$67</f>
        <v>472.04275548462113</v>
      </c>
      <c r="Z72" s="111">
        <f t="shared" si="131"/>
        <v>516.10700377306625</v>
      </c>
      <c r="AA72" s="111">
        <f t="shared" si="131"/>
        <v>476.04986917836482</v>
      </c>
      <c r="AB72" s="111">
        <f t="shared" si="131"/>
        <v>396.77380972134512</v>
      </c>
      <c r="AC72" s="111">
        <f t="shared" si="131"/>
        <v>228.05770612386377</v>
      </c>
      <c r="AD72" s="111">
        <f t="shared" si="131"/>
        <v>123.15939691321185</v>
      </c>
      <c r="AE72" s="111">
        <f t="shared" si="131"/>
        <v>-162.46616067158337</v>
      </c>
      <c r="AF72" s="111">
        <f t="shared" si="131"/>
        <v>-211.20929043607748</v>
      </c>
      <c r="AG72" s="111">
        <f t="shared" si="131"/>
        <v>-220.64196196723944</v>
      </c>
      <c r="AH72" s="111">
        <f t="shared" si="131"/>
        <v>-402.03536925374846</v>
      </c>
      <c r="AI72" s="111">
        <f t="shared" ref="AI72:AU72" si="132">AI65*AI$67</f>
        <v>-621.22001971215764</v>
      </c>
      <c r="AJ72" s="111">
        <f t="shared" si="132"/>
        <v>-439.31965489287239</v>
      </c>
      <c r="AK72" s="111">
        <f t="shared" si="132"/>
        <v>-128.09213897378464</v>
      </c>
      <c r="AL72" s="111">
        <f t="shared" si="132"/>
        <v>-629.51846377371714</v>
      </c>
      <c r="AM72" s="111">
        <f t="shared" si="132"/>
        <v>74.367111456135447</v>
      </c>
      <c r="AN72" s="111">
        <f t="shared" si="132"/>
        <v>1023.9880327056526</v>
      </c>
      <c r="AO72" s="111">
        <f t="shared" si="132"/>
        <v>843.41373615958491</v>
      </c>
      <c r="AP72" s="111">
        <f t="shared" si="132"/>
        <v>737.63700366124192</v>
      </c>
      <c r="AQ72" s="111">
        <f t="shared" si="132"/>
        <v>559.48218449607907</v>
      </c>
      <c r="AR72" s="111">
        <f t="shared" si="132"/>
        <v>333.98480404029476</v>
      </c>
      <c r="AS72" s="289">
        <f t="shared" si="132"/>
        <v>45.660590076110857</v>
      </c>
      <c r="AT72" s="111">
        <f t="shared" si="132"/>
        <v>-140.9165075188709</v>
      </c>
      <c r="AU72" s="111">
        <f t="shared" si="132"/>
        <v>-221.25293572846877</v>
      </c>
      <c r="AV72" s="110">
        <f t="shared" si="119"/>
        <v>-303.2517950656611</v>
      </c>
      <c r="AW72" s="114">
        <f t="shared" si="119"/>
        <v>-508.08190277658338</v>
      </c>
      <c r="AX72" s="115">
        <f t="shared" si="119"/>
        <v>-595.91399774788181</v>
      </c>
    </row>
    <row r="73" spans="1:50" ht="16.5" thickTop="1" thickBot="1" x14ac:dyDescent="0.3">
      <c r="A73" s="126" t="s">
        <v>71</v>
      </c>
      <c r="B73" s="130">
        <f t="shared" ref="B73:AI73" si="133">SUM(B68:B72)+SUM(B61:B65)-B76</f>
        <v>0</v>
      </c>
      <c r="C73" s="131">
        <f t="shared" si="133"/>
        <v>0</v>
      </c>
      <c r="D73" s="131">
        <f t="shared" si="133"/>
        <v>0</v>
      </c>
      <c r="E73" s="131">
        <f t="shared" si="133"/>
        <v>0</v>
      </c>
      <c r="F73" s="131">
        <f t="shared" si="133"/>
        <v>0</v>
      </c>
      <c r="G73" s="131">
        <f t="shared" si="133"/>
        <v>3.7834979593753815E-10</v>
      </c>
      <c r="H73" s="131">
        <f t="shared" si="133"/>
        <v>0</v>
      </c>
      <c r="I73" s="131">
        <f t="shared" si="133"/>
        <v>0</v>
      </c>
      <c r="J73" s="131">
        <f t="shared" si="133"/>
        <v>0</v>
      </c>
      <c r="K73" s="131">
        <f t="shared" si="133"/>
        <v>0</v>
      </c>
      <c r="L73" s="131">
        <f t="shared" si="133"/>
        <v>0</v>
      </c>
      <c r="M73" s="131">
        <f t="shared" si="133"/>
        <v>0</v>
      </c>
      <c r="N73" s="131">
        <f t="shared" si="133"/>
        <v>0</v>
      </c>
      <c r="O73" s="131">
        <f t="shared" si="133"/>
        <v>0</v>
      </c>
      <c r="P73" s="131">
        <f t="shared" si="133"/>
        <v>0</v>
      </c>
      <c r="Q73" s="131">
        <f t="shared" si="133"/>
        <v>0</v>
      </c>
      <c r="R73" s="131">
        <f t="shared" si="133"/>
        <v>0</v>
      </c>
      <c r="S73" s="131">
        <f t="shared" si="133"/>
        <v>2.0954757928848267E-9</v>
      </c>
      <c r="T73" s="131">
        <f t="shared" si="133"/>
        <v>0</v>
      </c>
      <c r="U73" s="131">
        <f t="shared" si="133"/>
        <v>3.7252902984619141E-9</v>
      </c>
      <c r="V73" s="131">
        <f t="shared" si="133"/>
        <v>2.9103830456733704E-9</v>
      </c>
      <c r="W73" s="154">
        <f t="shared" si="133"/>
        <v>3.8417056202888489E-9</v>
      </c>
      <c r="X73" s="154">
        <f t="shared" si="133"/>
        <v>3.9581209421157837E-9</v>
      </c>
      <c r="Y73" s="154">
        <f t="shared" si="133"/>
        <v>0</v>
      </c>
      <c r="Z73" s="154">
        <f t="shared" si="133"/>
        <v>2.7939677238464355E-9</v>
      </c>
      <c r="AA73" s="154">
        <f t="shared" si="133"/>
        <v>0</v>
      </c>
      <c r="AB73" s="154">
        <f t="shared" si="133"/>
        <v>0</v>
      </c>
      <c r="AC73" s="154">
        <f t="shared" si="133"/>
        <v>0</v>
      </c>
      <c r="AD73" s="154">
        <f t="shared" si="133"/>
        <v>0</v>
      </c>
      <c r="AE73" s="154">
        <f t="shared" si="133"/>
        <v>0</v>
      </c>
      <c r="AF73" s="154">
        <f t="shared" si="133"/>
        <v>0</v>
      </c>
      <c r="AG73" s="154">
        <f t="shared" si="133"/>
        <v>0</v>
      </c>
      <c r="AH73" s="154">
        <f t="shared" si="133"/>
        <v>0</v>
      </c>
      <c r="AI73" s="154">
        <f t="shared" si="133"/>
        <v>0</v>
      </c>
      <c r="AJ73" s="154">
        <f t="shared" ref="AJ73:AU73" si="134">SUM(AJ68:AJ72)+SUM(AJ61:AJ65)-AJ76</f>
        <v>0</v>
      </c>
      <c r="AK73" s="154">
        <f t="shared" si="134"/>
        <v>0</v>
      </c>
      <c r="AL73" s="154">
        <f t="shared" si="134"/>
        <v>0</v>
      </c>
      <c r="AM73" s="154">
        <f t="shared" si="134"/>
        <v>7.4505805969238281E-9</v>
      </c>
      <c r="AN73" s="154">
        <f t="shared" si="134"/>
        <v>7.2759576141834259E-9</v>
      </c>
      <c r="AO73" s="154">
        <f t="shared" si="134"/>
        <v>6.8685039877891541E-9</v>
      </c>
      <c r="AP73" s="154">
        <f t="shared" si="134"/>
        <v>6.8685039877891541E-9</v>
      </c>
      <c r="AQ73" s="154">
        <f t="shared" si="134"/>
        <v>6.6356733441352844E-9</v>
      </c>
      <c r="AR73" s="154">
        <f t="shared" si="134"/>
        <v>6.0535967350006104E-9</v>
      </c>
      <c r="AS73" s="154">
        <f t="shared" si="134"/>
        <v>6.577465683221817E-9</v>
      </c>
      <c r="AT73" s="154">
        <f t="shared" si="134"/>
        <v>6.3446350395679474E-9</v>
      </c>
      <c r="AU73" s="154">
        <f t="shared" si="134"/>
        <v>6.4028427004814148E-9</v>
      </c>
      <c r="AV73" s="130">
        <f>SUM(AV68:AV72)+SUM(AV61:AV65)-AV76</f>
        <v>6.6356733441352844E-9</v>
      </c>
      <c r="AW73" s="131">
        <f>SUM(AW68:AW72)+SUM(AW61:AW65)-AW76</f>
        <v>6.8685039877891541E-9</v>
      </c>
      <c r="AX73" s="132">
        <f>SUM(AX68:AX72)+SUM(AX61:AX65)-AX76</f>
        <v>6.5192580223083496E-9</v>
      </c>
    </row>
    <row r="74" spans="1:50" ht="16.5" thickTop="1" thickBot="1" x14ac:dyDescent="0.3">
      <c r="A74" s="126" t="s">
        <v>72</v>
      </c>
      <c r="B74" s="130">
        <f t="shared" ref="B74:AH74" si="135">SUM(B68:B72)-B51</f>
        <v>0</v>
      </c>
      <c r="C74" s="128">
        <f t="shared" si="135"/>
        <v>0</v>
      </c>
      <c r="D74" s="131">
        <f>SUM(D68:D72)-D51</f>
        <v>9.7962009999719157E-4</v>
      </c>
      <c r="E74" s="131">
        <f t="shared" si="135"/>
        <v>-2.4430397546666427E-3</v>
      </c>
      <c r="F74" s="131">
        <f t="shared" si="135"/>
        <v>4.2034737632548058E-3</v>
      </c>
      <c r="G74" s="131">
        <f t="shared" si="135"/>
        <v>-3.0554803197588853E-3</v>
      </c>
      <c r="H74" s="131">
        <f t="shared" si="135"/>
        <v>4.8705313777190895E-3</v>
      </c>
      <c r="I74" s="131">
        <f t="shared" si="135"/>
        <v>-2.6554895011940971E-3</v>
      </c>
      <c r="J74" s="131">
        <f t="shared" si="135"/>
        <v>-2.3568900978716556E-3</v>
      </c>
      <c r="K74" s="131">
        <f t="shared" si="135"/>
        <v>-5.5215060183400055E-4</v>
      </c>
      <c r="L74" s="131">
        <f t="shared" si="135"/>
        <v>-5.5538945116495597E-4</v>
      </c>
      <c r="M74" s="131">
        <f t="shared" si="135"/>
        <v>-6.9978636111045489E-4</v>
      </c>
      <c r="N74" s="131">
        <f t="shared" si="135"/>
        <v>-6.5507182534929598E-4</v>
      </c>
      <c r="O74" s="131">
        <f t="shared" si="135"/>
        <v>-4.6056312885411899E-4</v>
      </c>
      <c r="P74" s="131">
        <f t="shared" si="135"/>
        <v>-5.8893870209431043E-4</v>
      </c>
      <c r="Q74" s="131">
        <f t="shared" si="135"/>
        <v>-5.8950310267391615E-4</v>
      </c>
      <c r="R74" s="131">
        <f t="shared" si="135"/>
        <v>-5.9006804212913266E-4</v>
      </c>
      <c r="S74" s="131">
        <f t="shared" si="135"/>
        <v>-7.2416805710417975E-4</v>
      </c>
      <c r="T74" s="131">
        <f t="shared" si="135"/>
        <v>-7.1568626481166575E-4</v>
      </c>
      <c r="U74" s="131">
        <f t="shared" si="135"/>
        <v>-7.551908031473431E-4</v>
      </c>
      <c r="V74" s="131">
        <f t="shared" si="135"/>
        <v>-7.4647558653850865E-4</v>
      </c>
      <c r="W74" s="154">
        <f t="shared" si="135"/>
        <v>-4.7149359420473047E-3</v>
      </c>
      <c r="X74" s="154">
        <f t="shared" si="135"/>
        <v>0.10010868704739551</v>
      </c>
      <c r="Y74" s="154">
        <f t="shared" si="135"/>
        <v>1.0232044041913468E-3</v>
      </c>
      <c r="Z74" s="154">
        <f t="shared" si="135"/>
        <v>-32.695106411880715</v>
      </c>
      <c r="AA74" s="154">
        <f t="shared" si="135"/>
        <v>32.687925674816142</v>
      </c>
      <c r="AB74" s="154">
        <f t="shared" si="135"/>
        <v>7.615718732267851E-4</v>
      </c>
      <c r="AC74" s="154">
        <f t="shared" si="135"/>
        <v>-3.3131756572402082E-4</v>
      </c>
      <c r="AD74" s="154">
        <f t="shared" si="135"/>
        <v>-8.1483454414410517E-4</v>
      </c>
      <c r="AE74" s="154">
        <f t="shared" si="135"/>
        <v>-3.6852402190561406E-3</v>
      </c>
      <c r="AF74" s="154">
        <f t="shared" si="135"/>
        <v>7.3079820140264928E-4</v>
      </c>
      <c r="AG74" s="154">
        <f t="shared" si="135"/>
        <v>-2.306188387592556E-3</v>
      </c>
      <c r="AH74" s="154">
        <f t="shared" si="135"/>
        <v>-1.4901307440595701E-3</v>
      </c>
      <c r="AI74" s="154">
        <f>SUM(AI68:AI72)-AI51</f>
        <v>-4.1587803207221441E-4</v>
      </c>
      <c r="AJ74" s="154">
        <f t="shared" ref="AJ74:AK74" si="136">SUM(AJ68:AJ72)-AJ51</f>
        <v>-2.9811777458235156E-3</v>
      </c>
      <c r="AK74" s="154">
        <f t="shared" si="136"/>
        <v>2.660248977917945E-3</v>
      </c>
      <c r="AL74" s="154">
        <f t="shared" ref="AL74:AT74" si="137">SUM(AL68:AL72)-AL51</f>
        <v>-6.0482441040221602E-3</v>
      </c>
      <c r="AM74" s="154">
        <f t="shared" si="137"/>
        <v>-4.1456806229689391E-3</v>
      </c>
      <c r="AN74" s="154">
        <f t="shared" si="137"/>
        <v>-5.2638341039710212E-3</v>
      </c>
      <c r="AO74" s="154">
        <f t="shared" si="137"/>
        <v>-2.5981380861139769E-3</v>
      </c>
      <c r="AP74" s="154">
        <f t="shared" si="137"/>
        <v>-4.606702500495885E-3</v>
      </c>
      <c r="AQ74" s="154">
        <f t="shared" si="137"/>
        <v>2.8300871583724074E-3</v>
      </c>
      <c r="AR74" s="154">
        <f t="shared" si="137"/>
        <v>-3.998226596195309E-3</v>
      </c>
      <c r="AS74" s="290">
        <f>SUM(AS68:AS72)-AS51</f>
        <v>-5.6150564536210368E-3</v>
      </c>
      <c r="AT74" s="290">
        <f t="shared" si="137"/>
        <v>-5.2153313677081314E-3</v>
      </c>
      <c r="AU74" s="290">
        <f>SUM(AU68:AU72)-AU51</f>
        <v>-5.0582182691414346E-3</v>
      </c>
      <c r="AV74" s="130">
        <f>SUM(AV68:AV72)-AV51</f>
        <v>2.4852183626999249</v>
      </c>
      <c r="AW74" s="131">
        <f>SUM(AW68:AW72)-AW51</f>
        <v>5.3506902160718255</v>
      </c>
      <c r="AX74" s="132">
        <f>SUM(AX68:AX72)-AX51</f>
        <v>8.6391480345694163</v>
      </c>
    </row>
    <row r="75" spans="1:50" ht="15.75" thickTop="1" x14ac:dyDescent="0.25">
      <c r="B75" s="100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8"/>
      <c r="AW75" s="99"/>
      <c r="AX75" s="102"/>
    </row>
    <row r="76" spans="1:50" x14ac:dyDescent="0.25">
      <c r="A76" s="72" t="s">
        <v>73</v>
      </c>
      <c r="B76" s="110">
        <f>(SUM(B15:B18)-SUM(B35:B39))+SUM(B68:B72)</f>
        <v>0</v>
      </c>
      <c r="C76" s="114">
        <f t="shared" ref="C76:N76" si="138">(SUM(C15:C18)-SUM(C35:C39))+SUM(C68:C72)+B76</f>
        <v>0</v>
      </c>
      <c r="D76" s="114">
        <f t="shared" si="138"/>
        <v>489876.34097962017</v>
      </c>
      <c r="E76" s="114">
        <f t="shared" si="138"/>
        <v>1086590.3685365804</v>
      </c>
      <c r="F76" s="114">
        <f t="shared" si="138"/>
        <v>2343961.602740054</v>
      </c>
      <c r="G76" s="114">
        <f t="shared" si="138"/>
        <v>208883.89968457352</v>
      </c>
      <c r="H76" s="114">
        <f t="shared" si="138"/>
        <v>-2670663.7454448952</v>
      </c>
      <c r="I76" s="114">
        <f t="shared" si="138"/>
        <v>-3837266.1881003855</v>
      </c>
      <c r="J76" s="114">
        <f t="shared" si="138"/>
        <v>-6612519.2104572756</v>
      </c>
      <c r="K76" s="114">
        <f t="shared" si="138"/>
        <v>-7008862.1886224486</v>
      </c>
      <c r="L76" s="114">
        <f t="shared" si="138"/>
        <v>-6426755.5918687461</v>
      </c>
      <c r="M76" s="114">
        <f t="shared" si="138"/>
        <v>-7154794.8022508901</v>
      </c>
      <c r="N76" s="114">
        <f t="shared" si="138"/>
        <v>-8522551.8958300781</v>
      </c>
      <c r="O76" s="114">
        <f>(SUM(O15:O18)-SUM(O35:O39))+SUM(O68:O72)+N76+N77</f>
        <v>-5003630.5763294511</v>
      </c>
      <c r="P76" s="114">
        <f t="shared" ref="P76:AH76" si="139">(SUM(P15:P18)-SUM(P35:P39))+SUM(P68:P72)+O76</f>
        <v>-5008133.6927046841</v>
      </c>
      <c r="Q76" s="114">
        <f t="shared" si="139"/>
        <v>-5205272.643027693</v>
      </c>
      <c r="R76" s="114">
        <f t="shared" si="139"/>
        <v>-3281937.0614572605</v>
      </c>
      <c r="S76" s="114">
        <f t="shared" si="139"/>
        <v>-1732921.0139424729</v>
      </c>
      <c r="T76" s="114">
        <f t="shared" si="139"/>
        <v>-2546355.7866913271</v>
      </c>
      <c r="U76" s="114">
        <f t="shared" si="139"/>
        <v>-1244978.0691864495</v>
      </c>
      <c r="V76" s="114">
        <f t="shared" si="139"/>
        <v>-498054.22457885195</v>
      </c>
      <c r="W76" s="111">
        <f t="shared" si="139"/>
        <v>882449.61070621188</v>
      </c>
      <c r="X76" s="111">
        <f t="shared" si="139"/>
        <v>1548921.2108148988</v>
      </c>
      <c r="Y76" s="111">
        <f t="shared" si="139"/>
        <v>3548718.3118381049</v>
      </c>
      <c r="Z76" s="111">
        <f t="shared" si="139"/>
        <v>2087701.4667316929</v>
      </c>
      <c r="AA76" s="111">
        <f t="shared" si="139"/>
        <v>-1175296.9553426306</v>
      </c>
      <c r="AB76" s="111">
        <f t="shared" si="139"/>
        <v>-2965522.3645810592</v>
      </c>
      <c r="AC76" s="111">
        <f t="shared" si="139"/>
        <v>-4755941.9849123769</v>
      </c>
      <c r="AD76" s="111">
        <f t="shared" si="139"/>
        <v>-5627892.4657272128</v>
      </c>
      <c r="AE76" s="111">
        <f t="shared" si="139"/>
        <v>-7571818.7594124526</v>
      </c>
      <c r="AF76" s="111">
        <f t="shared" si="139"/>
        <v>-9186064.588681655</v>
      </c>
      <c r="AG76" s="111">
        <f t="shared" si="139"/>
        <v>-9924015.440987844</v>
      </c>
      <c r="AH76" s="111">
        <f t="shared" si="139"/>
        <v>-11970746.362477975</v>
      </c>
      <c r="AI76" s="236">
        <f>(SUM(AI15:AI18)-SUM(AI35:AI39))+SUM(AI68:AI72)+AH76</f>
        <v>-13390027.132893855</v>
      </c>
      <c r="AJ76" s="236">
        <f t="shared" ref="AJ76:AU76" si="140">(SUM(AJ15:AJ18)-SUM(AJ35:AJ39))+SUM(AJ68:AJ72)+AI76</f>
        <v>-12593831.945875032</v>
      </c>
      <c r="AK76" s="236">
        <f t="shared" si="140"/>
        <v>-11310746.163214782</v>
      </c>
      <c r="AL76" s="236">
        <f t="shared" si="140"/>
        <v>-16058988.549263027</v>
      </c>
      <c r="AM76" s="236">
        <f t="shared" si="140"/>
        <v>-6620807.0534087084</v>
      </c>
      <c r="AN76" s="236">
        <f t="shared" si="140"/>
        <v>420953.94132745825</v>
      </c>
      <c r="AO76" s="236">
        <f t="shared" si="140"/>
        <v>494462.59872932022</v>
      </c>
      <c r="AP76" s="236">
        <f t="shared" si="140"/>
        <v>536525.44412261772</v>
      </c>
      <c r="AQ76" s="236">
        <f t="shared" si="140"/>
        <v>584712.62695270497</v>
      </c>
      <c r="AR76" s="236">
        <f t="shared" si="140"/>
        <v>1716811.0029544784</v>
      </c>
      <c r="AS76" s="236">
        <f t="shared" si="140"/>
        <v>325792.11733942199</v>
      </c>
      <c r="AT76" s="236">
        <f t="shared" si="140"/>
        <v>312206.85212409071</v>
      </c>
      <c r="AU76" s="236">
        <f t="shared" si="140"/>
        <v>610302.81706587248</v>
      </c>
      <c r="AV76" s="110">
        <f>(SUM(AV15:AV18)-SUM(AV35:AV39))+SUM(AV68:AV72)+AU76</f>
        <v>804042.19715808588</v>
      </c>
      <c r="AW76" s="114">
        <f>(SUM(AW15:AW18)-SUM(AW35:AW39))+SUM(AW68:AW72)+AV76</f>
        <v>926519.43131356593</v>
      </c>
      <c r="AX76" s="115">
        <f>(SUM(AX15:AX18)-SUM(AX35:AX39))+SUM(AX68:AX72)+AW76</f>
        <v>1062681.6741871838</v>
      </c>
    </row>
    <row r="77" spans="1:50" x14ac:dyDescent="0.25"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224" t="s">
        <v>105</v>
      </c>
      <c r="N77" s="213">
        <v>2696726</v>
      </c>
      <c r="O77" s="199"/>
      <c r="P77" s="199"/>
      <c r="Q77" s="199"/>
      <c r="R77" s="199"/>
      <c r="S77" s="199"/>
      <c r="T77" s="199"/>
      <c r="U77" s="199"/>
      <c r="V77" s="199"/>
      <c r="W77" s="199"/>
      <c r="X77" s="200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230"/>
      <c r="AW77" s="200"/>
      <c r="AX77" s="201"/>
    </row>
    <row r="78" spans="1:50" s="165" customFormat="1" x14ac:dyDescent="0.25">
      <c r="A78" s="202" t="s">
        <v>0</v>
      </c>
      <c r="B78" s="10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196">
        <v>2260140</v>
      </c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151"/>
      <c r="AW78" s="101"/>
      <c r="AX78" s="102"/>
    </row>
    <row r="79" spans="1:50" s="165" customFormat="1" x14ac:dyDescent="0.25">
      <c r="A79" s="202" t="s">
        <v>4</v>
      </c>
      <c r="B79" s="100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196">
        <v>98743</v>
      </c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100"/>
      <c r="AW79" s="101"/>
      <c r="AX79" s="102"/>
    </row>
    <row r="80" spans="1:50" s="165" customFormat="1" x14ac:dyDescent="0.25">
      <c r="A80" s="202" t="s">
        <v>5</v>
      </c>
      <c r="B80" s="100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196">
        <v>354201</v>
      </c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100"/>
      <c r="AW80" s="101"/>
      <c r="AX80" s="102"/>
    </row>
    <row r="81" spans="1:50" s="165" customFormat="1" x14ac:dyDescent="0.25">
      <c r="A81" s="202" t="s">
        <v>6</v>
      </c>
      <c r="B81" s="100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96">
        <v>106604</v>
      </c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100"/>
      <c r="AW81" s="101"/>
      <c r="AX81" s="102"/>
    </row>
    <row r="82" spans="1:50" ht="15.75" thickBot="1" x14ac:dyDescent="0.3">
      <c r="A82" s="202" t="s">
        <v>7</v>
      </c>
      <c r="B82" s="14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214">
        <v>-122962</v>
      </c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49"/>
      <c r="AW82" s="150"/>
      <c r="AX82" s="135"/>
    </row>
    <row r="83" spans="1:50" x14ac:dyDescent="0.25">
      <c r="D83" s="56"/>
      <c r="E83" s="52"/>
      <c r="F83" s="52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</row>
    <row r="85" spans="1:50" x14ac:dyDescent="0.25"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</row>
    <row r="86" spans="1:50" x14ac:dyDescent="0.25"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4"/>
    </row>
    <row r="87" spans="1:50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9" spans="1:50" x14ac:dyDescent="0.25"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4"/>
    </row>
  </sheetData>
  <mergeCells count="1">
    <mergeCell ref="AV13:AX13"/>
  </mergeCells>
  <pageMargins left="0.7" right="0.7" top="0.75" bottom="0.75" header="0.3" footer="0.3"/>
  <pageSetup scale="7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AA57"/>
  <sheetViews>
    <sheetView workbookViewId="0">
      <selection activeCell="E14" sqref="E14"/>
    </sheetView>
  </sheetViews>
  <sheetFormatPr defaultRowHeight="15" x14ac:dyDescent="0.25"/>
  <cols>
    <col min="1" max="1" width="17.5703125" customWidth="1"/>
    <col min="2" max="2" width="15.570312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148</v>
      </c>
      <c r="D1" s="49"/>
    </row>
    <row r="2" spans="1:10" x14ac:dyDescent="0.25">
      <c r="B2" s="75" t="s">
        <v>60</v>
      </c>
      <c r="C2" s="75"/>
      <c r="E2" s="57" t="s">
        <v>26</v>
      </c>
      <c r="F2" s="49"/>
      <c r="G2" s="49"/>
      <c r="H2" s="49"/>
      <c r="I2" s="49"/>
      <c r="J2" s="49"/>
    </row>
    <row r="3" spans="1:10" x14ac:dyDescent="0.25">
      <c r="B3" s="345" t="s">
        <v>62</v>
      </c>
      <c r="C3" s="345"/>
      <c r="E3" s="57" t="s">
        <v>61</v>
      </c>
      <c r="F3" s="49"/>
    </row>
    <row r="4" spans="1:10" s="165" customFormat="1" x14ac:dyDescent="0.25">
      <c r="B4" s="227" t="s">
        <v>162</v>
      </c>
      <c r="C4" s="227" t="s">
        <v>163</v>
      </c>
      <c r="E4" s="57"/>
      <c r="F4" s="49"/>
    </row>
    <row r="5" spans="1:10" x14ac:dyDescent="0.25">
      <c r="A5" s="22" t="s">
        <v>0</v>
      </c>
      <c r="B5" s="320">
        <v>2280260.8046227256</v>
      </c>
      <c r="C5" s="45">
        <v>6017985.4763414776</v>
      </c>
      <c r="F5" s="49"/>
      <c r="G5" s="49"/>
      <c r="H5" s="49"/>
      <c r="I5" s="49"/>
      <c r="J5" s="49"/>
    </row>
    <row r="6" spans="1:10" x14ac:dyDescent="0.25">
      <c r="A6" s="22" t="s">
        <v>4</v>
      </c>
      <c r="B6" s="320">
        <v>1674532.5324816029</v>
      </c>
      <c r="C6" s="45">
        <v>1116992.8956234725</v>
      </c>
      <c r="E6" s="3"/>
    </row>
    <row r="7" spans="1:10" x14ac:dyDescent="0.25">
      <c r="A7" s="22" t="s">
        <v>5</v>
      </c>
      <c r="B7" s="320">
        <v>3353196.7422620417</v>
      </c>
      <c r="C7" s="45">
        <v>1821999.9705891765</v>
      </c>
      <c r="E7" s="3"/>
    </row>
    <row r="8" spans="1:10" x14ac:dyDescent="0.25">
      <c r="A8" s="22" t="s">
        <v>6</v>
      </c>
      <c r="B8" s="320">
        <v>1218754.3343546377</v>
      </c>
      <c r="C8" s="45">
        <v>796336.49225546781</v>
      </c>
    </row>
    <row r="9" spans="1:10" ht="15.75" thickBot="1" x14ac:dyDescent="0.3">
      <c r="A9" s="22" t="s">
        <v>7</v>
      </c>
      <c r="B9" s="320">
        <v>240974.86627899206</v>
      </c>
      <c r="C9" s="45">
        <v>377301.79195936822</v>
      </c>
    </row>
    <row r="10" spans="1:10" ht="16.5" thickTop="1" thickBot="1" x14ac:dyDescent="0.3">
      <c r="A10" s="73" t="s">
        <v>9</v>
      </c>
      <c r="B10" s="69">
        <f>SUM(B5:B9)</f>
        <v>8767719.2800000012</v>
      </c>
      <c r="C10" s="69">
        <f>SUM(C5:C9)</f>
        <v>10130616.626768962</v>
      </c>
    </row>
    <row r="11" spans="1:10" ht="15.75" thickTop="1" x14ac:dyDescent="0.25">
      <c r="C11" s="4"/>
      <c r="D11" s="55"/>
    </row>
    <row r="12" spans="1:10" x14ac:dyDescent="0.25">
      <c r="C12" s="4"/>
    </row>
    <row r="13" spans="1:10" x14ac:dyDescent="0.25">
      <c r="C13" s="4"/>
      <c r="D13" s="4"/>
    </row>
    <row r="14" spans="1:10" x14ac:dyDescent="0.25">
      <c r="D14" s="4"/>
    </row>
    <row r="18" spans="5:27" x14ac:dyDescent="0.25">
      <c r="R18" s="1"/>
      <c r="S18" s="1"/>
      <c r="T18" s="1"/>
      <c r="U18" s="1"/>
      <c r="V18" s="1"/>
      <c r="W18" s="1"/>
      <c r="X18" s="1"/>
      <c r="Y18" s="1"/>
      <c r="Z18" s="1"/>
      <c r="AA18" s="1"/>
    </row>
    <row r="26" spans="5:27" x14ac:dyDescent="0.25">
      <c r="E26" s="58"/>
    </row>
    <row r="48" spans="2:2" x14ac:dyDescent="0.25">
      <c r="B48" s="7"/>
    </row>
    <row r="52" spans="2:4" x14ac:dyDescent="0.25">
      <c r="B52" s="7"/>
      <c r="D52" s="7"/>
    </row>
    <row r="53" spans="2:4" x14ac:dyDescent="0.25">
      <c r="C53" s="7"/>
    </row>
    <row r="56" spans="2:4" x14ac:dyDescent="0.25">
      <c r="D56" s="7"/>
    </row>
    <row r="57" spans="2:4" x14ac:dyDescent="0.25">
      <c r="C57" s="7"/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Y75"/>
  <sheetViews>
    <sheetView zoomScaleNormal="100" workbookViewId="0">
      <pane xSplit="1" ySplit="14" topLeftCell="B15" activePane="bottomRight" state="frozen"/>
      <selection activeCell="AC68" sqref="AC68"/>
      <selection pane="topRight" activeCell="AC68" sqref="AC68"/>
      <selection pane="bottomLeft" activeCell="AC68" sqref="AC68"/>
      <selection pane="bottomRight" activeCell="K64" sqref="K64"/>
    </sheetView>
  </sheetViews>
  <sheetFormatPr defaultColWidth="9.140625" defaultRowHeight="15" x14ac:dyDescent="0.25"/>
  <cols>
    <col min="1" max="1" width="17.5703125" style="165" customWidth="1"/>
    <col min="2" max="2" width="16" style="165" customWidth="1"/>
    <col min="3" max="3" width="14.5703125" style="165" customWidth="1"/>
    <col min="4" max="4" width="15.140625" style="165" customWidth="1"/>
    <col min="5" max="5" width="16.140625" style="165" customWidth="1"/>
    <col min="6" max="6" width="14.28515625" style="165" bestFit="1" customWidth="1"/>
    <col min="7" max="7" width="16" style="165" customWidth="1"/>
    <col min="8" max="9" width="14.28515625" style="165" bestFit="1" customWidth="1"/>
    <col min="10" max="10" width="15.5703125" style="165" customWidth="1"/>
    <col min="11" max="11" width="14" style="165" customWidth="1"/>
    <col min="12" max="14" width="15.5703125" style="165" customWidth="1"/>
    <col min="15" max="15" width="17.28515625" style="165" customWidth="1"/>
    <col min="16" max="16384" width="9.140625" style="165"/>
  </cols>
  <sheetData>
    <row r="2" spans="1:25" x14ac:dyDescent="0.25">
      <c r="B2" s="184" t="s">
        <v>100</v>
      </c>
      <c r="I2" s="3" t="s">
        <v>26</v>
      </c>
    </row>
    <row r="3" spans="1:25" x14ac:dyDescent="0.25">
      <c r="B3" s="227" t="s">
        <v>64</v>
      </c>
      <c r="C3" s="227" t="s">
        <v>76</v>
      </c>
      <c r="D3" s="227" t="s">
        <v>91</v>
      </c>
      <c r="E3" s="227" t="s">
        <v>65</v>
      </c>
      <c r="F3" s="227" t="s">
        <v>66</v>
      </c>
      <c r="H3" s="57" t="s">
        <v>90</v>
      </c>
      <c r="I3" s="49"/>
    </row>
    <row r="4" spans="1:25" x14ac:dyDescent="0.25">
      <c r="A4" s="168" t="s">
        <v>0</v>
      </c>
      <c r="B4" s="24">
        <f>SUM(B29:N29)</f>
        <v>3295756.4772497457</v>
      </c>
      <c r="C4" s="24">
        <f>SUM(B15:N15)</f>
        <v>2103110.8336101142</v>
      </c>
      <c r="D4" s="24">
        <f>-B4+C4</f>
        <v>-1192645.6436396316</v>
      </c>
      <c r="E4" s="24">
        <f>SUM(B56:N56)</f>
        <v>-5583.5267946897711</v>
      </c>
      <c r="F4" s="42">
        <f>D4+E4</f>
        <v>-1198229.1704343213</v>
      </c>
      <c r="H4" s="3" t="s">
        <v>98</v>
      </c>
      <c r="I4" s="49"/>
    </row>
    <row r="5" spans="1:25" x14ac:dyDescent="0.25">
      <c r="A5" s="168" t="s">
        <v>4</v>
      </c>
      <c r="B5" s="24">
        <f>SUM(B30:N30)</f>
        <v>531640.95087043627</v>
      </c>
      <c r="C5" s="24">
        <f>SUM(B16:N16)</f>
        <v>315800.37981418159</v>
      </c>
      <c r="D5" s="24">
        <f t="shared" ref="D5:D8" si="0">-B5+C5</f>
        <v>-215840.57105625467</v>
      </c>
      <c r="E5" s="24">
        <f>SUM(B57:N57)</f>
        <v>-1448.5957399602203</v>
      </c>
      <c r="F5" s="42">
        <f>D5+E5</f>
        <v>-217289.16679621491</v>
      </c>
      <c r="H5" s="57" t="s">
        <v>99</v>
      </c>
      <c r="I5" s="49"/>
    </row>
    <row r="6" spans="1:25" x14ac:dyDescent="0.25">
      <c r="A6" s="168" t="s">
        <v>5</v>
      </c>
      <c r="B6" s="24">
        <f>SUM(B31:N31)</f>
        <v>898187.72940507799</v>
      </c>
      <c r="C6" s="24">
        <f>SUM(B17:N17)</f>
        <v>406497.89103221573</v>
      </c>
      <c r="D6" s="24">
        <f t="shared" si="0"/>
        <v>-491689.83837286226</v>
      </c>
      <c r="E6" s="24">
        <f>SUM(B58:N58)</f>
        <v>-4514.4892141359342</v>
      </c>
      <c r="F6" s="42">
        <f>D6+E6</f>
        <v>-496204.32758699817</v>
      </c>
      <c r="H6" s="57" t="s">
        <v>129</v>
      </c>
      <c r="I6" s="49"/>
    </row>
    <row r="7" spans="1:25" x14ac:dyDescent="0.25">
      <c r="A7" s="168" t="s">
        <v>6</v>
      </c>
      <c r="B7" s="24">
        <f>SUM(B32:N32)</f>
        <v>363956.67534101295</v>
      </c>
      <c r="C7" s="24">
        <f>SUM(B18:N18)</f>
        <v>116086.63785760824</v>
      </c>
      <c r="D7" s="24">
        <f t="shared" si="0"/>
        <v>-247870.03748340471</v>
      </c>
      <c r="E7" s="24">
        <f>SUM(B59:N59)</f>
        <v>-2113.8896293387656</v>
      </c>
      <c r="F7" s="42">
        <f>D7+E7</f>
        <v>-249983.92711274346</v>
      </c>
      <c r="H7" s="57" t="s">
        <v>82</v>
      </c>
      <c r="I7" s="49"/>
    </row>
    <row r="8" spans="1:25" ht="15.75" thickBot="1" x14ac:dyDescent="0.3">
      <c r="A8" s="168" t="s">
        <v>7</v>
      </c>
      <c r="B8" s="24">
        <f>SUM(B33:N33)</f>
        <v>53313.003810564398</v>
      </c>
      <c r="C8" s="24">
        <f>SUM(B19:N19)</f>
        <v>10271.800694651398</v>
      </c>
      <c r="D8" s="24">
        <f t="shared" si="0"/>
        <v>-43041.203115912998</v>
      </c>
      <c r="E8" s="24">
        <f>SUM(B60:N60)</f>
        <v>-376.34604211446202</v>
      </c>
      <c r="F8" s="42">
        <f>D8+E8</f>
        <v>-43417.549158027461</v>
      </c>
      <c r="H8" s="57" t="s">
        <v>96</v>
      </c>
    </row>
    <row r="9" spans="1:25" ht="16.5" thickTop="1" thickBot="1" x14ac:dyDescent="0.3">
      <c r="B9" s="87">
        <f t="shared" ref="B9:F9" si="1">SUM(B4:B8)</f>
        <v>5142854.8366768369</v>
      </c>
      <c r="C9" s="87">
        <f t="shared" si="1"/>
        <v>2951767.5430087708</v>
      </c>
      <c r="D9" s="87">
        <f t="shared" si="1"/>
        <v>-2191087.2936680662</v>
      </c>
      <c r="E9" s="87">
        <f t="shared" si="1"/>
        <v>-14036.847420239155</v>
      </c>
      <c r="F9" s="87">
        <f t="shared" si="1"/>
        <v>-2205124.141088305</v>
      </c>
      <c r="H9" s="57" t="s">
        <v>128</v>
      </c>
      <c r="K9" s="48"/>
    </row>
    <row r="10" spans="1:25" ht="16.5" thickTop="1" thickBot="1" x14ac:dyDescent="0.3">
      <c r="D10" s="39" t="s">
        <v>25</v>
      </c>
      <c r="E10" s="288">
        <f>E9-SUM(B39:N39)</f>
        <v>2.5797608450375265E-3</v>
      </c>
      <c r="I10" s="49"/>
    </row>
    <row r="11" spans="1:25" ht="15.75" thickTop="1" x14ac:dyDescent="0.25">
      <c r="E11" s="4"/>
      <c r="F11" s="4"/>
    </row>
    <row r="12" spans="1:25" ht="15.75" thickBot="1" x14ac:dyDescent="0.3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25" ht="15.75" thickBot="1" x14ac:dyDescent="0.3">
      <c r="B13" s="88"/>
      <c r="C13" s="89"/>
      <c r="D13" s="90" t="s">
        <v>149</v>
      </c>
      <c r="E13" s="89"/>
      <c r="F13" s="89"/>
      <c r="G13" s="89"/>
      <c r="H13" s="89"/>
      <c r="I13" s="89"/>
      <c r="J13" s="89"/>
      <c r="K13" s="89"/>
      <c r="L13" s="342" t="s">
        <v>67</v>
      </c>
      <c r="M13" s="343"/>
      <c r="N13" s="344"/>
    </row>
    <row r="14" spans="1:25" x14ac:dyDescent="0.25">
      <c r="A14" s="165" t="s">
        <v>75</v>
      </c>
      <c r="B14" s="91">
        <v>43466</v>
      </c>
      <c r="C14" s="92">
        <f>EDATE(B14,1)</f>
        <v>43497</v>
      </c>
      <c r="D14" s="92">
        <f t="shared" ref="D14:N14" si="2">EDATE(C14,1)</f>
        <v>43525</v>
      </c>
      <c r="E14" s="92">
        <f t="shared" si="2"/>
        <v>43556</v>
      </c>
      <c r="F14" s="92">
        <f t="shared" si="2"/>
        <v>43586</v>
      </c>
      <c r="G14" s="92">
        <f t="shared" si="2"/>
        <v>43617</v>
      </c>
      <c r="H14" s="92">
        <f t="shared" si="2"/>
        <v>43647</v>
      </c>
      <c r="I14" s="92">
        <f t="shared" si="2"/>
        <v>43678</v>
      </c>
      <c r="J14" s="92">
        <f t="shared" si="2"/>
        <v>43709</v>
      </c>
      <c r="K14" s="92">
        <f t="shared" si="2"/>
        <v>43739</v>
      </c>
      <c r="L14" s="91">
        <f>EDATE(K14,1)</f>
        <v>43770</v>
      </c>
      <c r="M14" s="92">
        <f t="shared" si="2"/>
        <v>43800</v>
      </c>
      <c r="N14" s="93">
        <f t="shared" si="2"/>
        <v>43831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65" t="s">
        <v>0</v>
      </c>
      <c r="B15" s="94">
        <v>0</v>
      </c>
      <c r="C15" s="95">
        <v>0</v>
      </c>
      <c r="D15" s="95">
        <v>0</v>
      </c>
      <c r="E15" s="95">
        <v>3542.7066619947968</v>
      </c>
      <c r="F15" s="95">
        <v>26593.748856903429</v>
      </c>
      <c r="G15" s="95">
        <v>243363.92907678595</v>
      </c>
      <c r="H15" s="95">
        <v>441129.8099540461</v>
      </c>
      <c r="I15" s="95">
        <v>538055.00088770315</v>
      </c>
      <c r="J15" s="95">
        <v>375001.00963366695</v>
      </c>
      <c r="K15" s="95">
        <v>137834.38057719183</v>
      </c>
      <c r="L15" s="96">
        <v>38660.453207554492</v>
      </c>
      <c r="M15" s="97">
        <v>127791.56735667802</v>
      </c>
      <c r="N15" s="219">
        <v>171138.22739758933</v>
      </c>
      <c r="O15" s="49"/>
    </row>
    <row r="16" spans="1:25" x14ac:dyDescent="0.25">
      <c r="A16" s="165" t="s">
        <v>4</v>
      </c>
      <c r="B16" s="94">
        <v>0</v>
      </c>
      <c r="C16" s="95">
        <v>0</v>
      </c>
      <c r="D16" s="95">
        <v>0.34412602678174997</v>
      </c>
      <c r="E16" s="95">
        <v>593.85341007321881</v>
      </c>
      <c r="F16" s="95">
        <v>8368.5225960071712</v>
      </c>
      <c r="G16" s="95">
        <v>23641.814181406706</v>
      </c>
      <c r="H16" s="95">
        <v>47663.861231335664</v>
      </c>
      <c r="I16" s="95">
        <v>53414.007632337976</v>
      </c>
      <c r="J16" s="95">
        <v>71963.570102025027</v>
      </c>
      <c r="K16" s="95">
        <v>61965.410188273323</v>
      </c>
      <c r="L16" s="96">
        <v>5767.9681454076735</v>
      </c>
      <c r="M16" s="97">
        <v>16895.928056087101</v>
      </c>
      <c r="N16" s="219">
        <v>25525.100145200897</v>
      </c>
      <c r="O16" s="49"/>
    </row>
    <row r="17" spans="1:16" x14ac:dyDescent="0.25">
      <c r="A17" s="165" t="s">
        <v>5</v>
      </c>
      <c r="B17" s="94">
        <v>0</v>
      </c>
      <c r="C17" s="95">
        <v>0</v>
      </c>
      <c r="D17" s="95">
        <v>0.36790548240712501</v>
      </c>
      <c r="E17" s="95">
        <v>549.3842450882164</v>
      </c>
      <c r="F17" s="95">
        <v>3822.5375931394819</v>
      </c>
      <c r="G17" s="95">
        <v>16781.332362054229</v>
      </c>
      <c r="H17" s="95">
        <v>40077.718380542559</v>
      </c>
      <c r="I17" s="95">
        <v>54061.137994792116</v>
      </c>
      <c r="J17" s="95">
        <v>79608.348605740233</v>
      </c>
      <c r="K17" s="95">
        <v>56432.915123633284</v>
      </c>
      <c r="L17" s="96">
        <v>17128.655882905976</v>
      </c>
      <c r="M17" s="97">
        <v>56455.337426852158</v>
      </c>
      <c r="N17" s="219">
        <v>81580.155511985067</v>
      </c>
      <c r="O17" s="49"/>
    </row>
    <row r="18" spans="1:16" x14ac:dyDescent="0.25">
      <c r="A18" s="165" t="s">
        <v>6</v>
      </c>
      <c r="B18" s="94">
        <v>0</v>
      </c>
      <c r="C18" s="95">
        <v>0</v>
      </c>
      <c r="D18" s="95">
        <v>0</v>
      </c>
      <c r="E18" s="95">
        <v>9.4764517045030008</v>
      </c>
      <c r="F18" s="95">
        <v>992.38480063141662</v>
      </c>
      <c r="G18" s="95">
        <v>7292.1248374502911</v>
      </c>
      <c r="H18" s="95">
        <v>15994.94501268368</v>
      </c>
      <c r="I18" s="95">
        <v>17286.492613957165</v>
      </c>
      <c r="J18" s="95">
        <v>20593.63561343183</v>
      </c>
      <c r="K18" s="95">
        <v>13281.46306563299</v>
      </c>
      <c r="L18" s="96">
        <v>2851.0403448731718</v>
      </c>
      <c r="M18" s="97">
        <v>13421.429988507141</v>
      </c>
      <c r="N18" s="219">
        <v>24363.645128736036</v>
      </c>
      <c r="O18" s="49"/>
    </row>
    <row r="19" spans="1:16" x14ac:dyDescent="0.25">
      <c r="A19" s="165" t="s">
        <v>7</v>
      </c>
      <c r="B19" s="94">
        <v>0</v>
      </c>
      <c r="C19" s="95">
        <v>0</v>
      </c>
      <c r="D19" s="95">
        <v>0</v>
      </c>
      <c r="E19" s="95">
        <v>0</v>
      </c>
      <c r="F19" s="95">
        <v>158.37627524588399</v>
      </c>
      <c r="G19" s="95">
        <v>597.17310476301054</v>
      </c>
      <c r="H19" s="95">
        <v>0</v>
      </c>
      <c r="I19" s="95">
        <v>224.30843760020062</v>
      </c>
      <c r="J19" s="95">
        <v>578.11242788452876</v>
      </c>
      <c r="K19" s="95">
        <v>553.72176658848127</v>
      </c>
      <c r="L19" s="96">
        <v>1275.5923432842158</v>
      </c>
      <c r="M19" s="97">
        <v>2924.3368347957021</v>
      </c>
      <c r="N19" s="219">
        <v>3960.1795044893756</v>
      </c>
      <c r="O19" s="49"/>
    </row>
    <row r="20" spans="1:16" x14ac:dyDescent="0.25">
      <c r="B20" s="98"/>
      <c r="C20" s="99"/>
      <c r="D20" s="99"/>
      <c r="E20" s="99"/>
      <c r="F20" s="99"/>
      <c r="G20" s="108"/>
      <c r="H20" s="99"/>
      <c r="I20" s="99"/>
      <c r="J20" s="99"/>
      <c r="K20" s="99"/>
      <c r="L20" s="100"/>
      <c r="M20" s="101"/>
      <c r="N20" s="102"/>
    </row>
    <row r="21" spans="1:16" x14ac:dyDescent="0.25">
      <c r="A21" s="49" t="s">
        <v>130</v>
      </c>
      <c r="B21" s="206"/>
      <c r="C21" s="99"/>
      <c r="D21" s="103" t="s">
        <v>68</v>
      </c>
      <c r="E21" s="205"/>
      <c r="F21" s="205"/>
      <c r="G21" s="108"/>
      <c r="H21" s="99"/>
      <c r="I21" s="99"/>
      <c r="J21" s="99"/>
      <c r="K21" s="99"/>
      <c r="L21" s="100"/>
      <c r="M21" s="101"/>
      <c r="N21" s="102"/>
      <c r="O21" s="116" t="s">
        <v>110</v>
      </c>
    </row>
    <row r="22" spans="1:16" x14ac:dyDescent="0.25">
      <c r="A22" s="165" t="s">
        <v>0</v>
      </c>
      <c r="B22" s="94">
        <v>0</v>
      </c>
      <c r="C22" s="95">
        <v>0</v>
      </c>
      <c r="D22" s="95">
        <v>0</v>
      </c>
      <c r="E22" s="95">
        <v>0</v>
      </c>
      <c r="F22" s="95">
        <v>28084.31</v>
      </c>
      <c r="G22" s="95">
        <v>338961.47</v>
      </c>
      <c r="H22" s="95">
        <v>431295.26</v>
      </c>
      <c r="I22" s="95">
        <v>454282.99</v>
      </c>
      <c r="J22" s="95">
        <v>419095.06</v>
      </c>
      <c r="K22" s="95">
        <v>344369.99</v>
      </c>
      <c r="L22" s="110">
        <f>+'PCR (M2)'!AV28*'TDR (M3)'!$O$22+L36</f>
        <v>283824.37774138723</v>
      </c>
      <c r="M22" s="114">
        <f>+'PCR (M2)'!AW28*'TDR (M3)'!$O$22+M36</f>
        <v>408479.740038716</v>
      </c>
      <c r="N22" s="115">
        <f>+'PCR (M2)'!AX28*'TDR (M3)'!$O$22+N36</f>
        <v>534025.62224312266</v>
      </c>
      <c r="O22" s="105">
        <v>3.57E-4</v>
      </c>
      <c r="P22" s="106"/>
    </row>
    <row r="23" spans="1:16" x14ac:dyDescent="0.25">
      <c r="A23" s="165" t="s">
        <v>4</v>
      </c>
      <c r="B23" s="94">
        <v>0</v>
      </c>
      <c r="C23" s="95">
        <v>0</v>
      </c>
      <c r="D23" s="95">
        <v>0</v>
      </c>
      <c r="E23" s="95">
        <v>0</v>
      </c>
      <c r="F23" s="95">
        <v>4774.55</v>
      </c>
      <c r="G23" s="95">
        <v>61751.54</v>
      </c>
      <c r="H23" s="95">
        <v>70665.5</v>
      </c>
      <c r="I23" s="95">
        <v>72630.98</v>
      </c>
      <c r="J23" s="95">
        <v>70137.22</v>
      </c>
      <c r="K23" s="95">
        <v>63135.64</v>
      </c>
      <c r="L23" s="110">
        <f>+'PCR (M2)'!AV29*'TDR (M3)'!$O$23</f>
        <v>55128.9945078417</v>
      </c>
      <c r="M23" s="114">
        <f>+'PCR (M2)'!AW29*'TDR (M3)'!$O$23</f>
        <v>65688.743029146906</v>
      </c>
      <c r="N23" s="115">
        <f>+'PCR (M2)'!AX29*'TDR (M3)'!$O$23</f>
        <v>79366.286626773508</v>
      </c>
      <c r="O23" s="105">
        <v>2.3900000000000001E-4</v>
      </c>
      <c r="P23" s="106"/>
    </row>
    <row r="24" spans="1:16" x14ac:dyDescent="0.25">
      <c r="A24" s="165" t="s">
        <v>5</v>
      </c>
      <c r="B24" s="94">
        <v>0</v>
      </c>
      <c r="C24" s="95">
        <v>0</v>
      </c>
      <c r="D24" s="95">
        <v>0</v>
      </c>
      <c r="E24" s="95">
        <v>0</v>
      </c>
      <c r="F24" s="95">
        <v>7030.01</v>
      </c>
      <c r="G24" s="95">
        <v>109921.60000000001</v>
      </c>
      <c r="H24" s="95">
        <v>118808.51</v>
      </c>
      <c r="I24" s="95">
        <v>121642.28</v>
      </c>
      <c r="J24" s="95">
        <v>122769.41</v>
      </c>
      <c r="K24" s="95">
        <v>112787.98</v>
      </c>
      <c r="L24" s="110">
        <f>+'PCR (M2)'!AV30*'TDR (M3)'!$O$24</f>
        <v>100670.13773243058</v>
      </c>
      <c r="M24" s="114">
        <f>+'PCR (M2)'!AW30*'TDR (M3)'!$O$24</f>
        <v>109324.19632603781</v>
      </c>
      <c r="N24" s="115">
        <f>+'PCR (M2)'!AX30*'TDR (M3)'!$O$24</f>
        <v>121284.45373783431</v>
      </c>
      <c r="O24" s="105">
        <v>1.8100000000000001E-4</v>
      </c>
      <c r="P24" s="106"/>
    </row>
    <row r="25" spans="1:16" x14ac:dyDescent="0.25">
      <c r="A25" s="165" t="s">
        <v>6</v>
      </c>
      <c r="B25" s="94">
        <v>0</v>
      </c>
      <c r="C25" s="95">
        <v>0</v>
      </c>
      <c r="D25" s="95">
        <v>0</v>
      </c>
      <c r="E25" s="95">
        <v>0</v>
      </c>
      <c r="F25" s="95">
        <v>2496.56</v>
      </c>
      <c r="G25" s="95">
        <v>42291.09</v>
      </c>
      <c r="H25" s="95">
        <v>47913.74</v>
      </c>
      <c r="I25" s="95">
        <v>50299.83</v>
      </c>
      <c r="J25" s="95">
        <v>49993.73</v>
      </c>
      <c r="K25" s="95">
        <v>46326.65</v>
      </c>
      <c r="L25" s="110">
        <f>+'PCR (M2)'!AV31*'TDR (M3)'!$O$25</f>
        <v>43273.549557919905</v>
      </c>
      <c r="M25" s="114">
        <f>+'PCR (M2)'!AW31*'TDR (M3)'!$O$25</f>
        <v>44503.057062009852</v>
      </c>
      <c r="N25" s="115">
        <f>+'PCR (M2)'!AX31*'TDR (M3)'!$O$25</f>
        <v>47678.809033308229</v>
      </c>
      <c r="O25" s="105">
        <v>1.7899999999999999E-4</v>
      </c>
      <c r="P25" s="106"/>
    </row>
    <row r="26" spans="1:16" x14ac:dyDescent="0.25">
      <c r="A26" s="165" t="s">
        <v>7</v>
      </c>
      <c r="B26" s="94">
        <v>0</v>
      </c>
      <c r="C26" s="95">
        <v>0</v>
      </c>
      <c r="D26" s="95">
        <v>0</v>
      </c>
      <c r="E26" s="95">
        <v>0</v>
      </c>
      <c r="F26" s="95">
        <v>0</v>
      </c>
      <c r="G26" s="95">
        <v>4678.1400000000003</v>
      </c>
      <c r="H26" s="95">
        <v>7353.04</v>
      </c>
      <c r="I26" s="95">
        <v>8142.09</v>
      </c>
      <c r="J26" s="95">
        <v>8251.43</v>
      </c>
      <c r="K26" s="95">
        <v>7783.91</v>
      </c>
      <c r="L26" s="110">
        <f>+'PCR (M2)'!AV32*'TDR (M3)'!$O$26</f>
        <v>7344.0704480756658</v>
      </c>
      <c r="M26" s="114">
        <f>+'PCR (M2)'!AW32*'TDR (M3)'!$O$26</f>
        <v>7244.6883588323535</v>
      </c>
      <c r="N26" s="115">
        <f>+'PCR (M2)'!AX32*'TDR (M3)'!$O$26</f>
        <v>7343.6002334005907</v>
      </c>
      <c r="O26" s="105">
        <v>6.4999999999999994E-5</v>
      </c>
      <c r="P26" s="106"/>
    </row>
    <row r="27" spans="1:16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7"/>
      <c r="M27" s="108"/>
      <c r="N27" s="102"/>
      <c r="P27" s="4"/>
    </row>
    <row r="28" spans="1:16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L28" s="107"/>
      <c r="M28" s="108"/>
      <c r="N28" s="102"/>
    </row>
    <row r="29" spans="1:16" x14ac:dyDescent="0.25">
      <c r="A29" s="165" t="s">
        <v>0</v>
      </c>
      <c r="B29" s="110">
        <v>0</v>
      </c>
      <c r="C29" s="114">
        <v>0</v>
      </c>
      <c r="D29" s="114">
        <v>0</v>
      </c>
      <c r="E29" s="114">
        <v>0</v>
      </c>
      <c r="F29" s="114">
        <f>+(F22-F36)+(F36*'PCR (M2)'!AP28/SUM('PCR (M2)'!AP28:AP32))</f>
        <v>28636.335868779192</v>
      </c>
      <c r="G29" s="114">
        <f>+(G22-G36)+(G36*'PCR (M2)'!AQ28/SUM('PCR (M2)'!AQ28:AQ32))</f>
        <v>344669.92129031231</v>
      </c>
      <c r="H29" s="114">
        <f>+(H22-H36)+(H36*'PCR (M2)'!AR28/SUM('PCR (M2)'!AR28:AR32))</f>
        <v>437739.69493695599</v>
      </c>
      <c r="I29" s="114">
        <f>+(I22-I36)+(I36*'PCR (M2)'!AS28/SUM('PCR (M2)'!AS28:AS32))</f>
        <v>461093.89388914994</v>
      </c>
      <c r="J29" s="114">
        <f>+(J22-J36)+(J36*'PCR (M2)'!AT28/SUM('PCR (M2)'!AT28:AT32))</f>
        <v>425531.99443758972</v>
      </c>
      <c r="K29" s="111">
        <f>+(K22-K36)+(K36*'PCR (M2)'!AU28/SUM('PCR (M2)'!AU28:AU32))</f>
        <v>350101.97926152864</v>
      </c>
      <c r="L29" s="110">
        <f>+(L22-L36)+(L36*'PCR (M2)'!AV28/SUM('PCR (M2)'!AV28:AV32))</f>
        <v>289532.93867281172</v>
      </c>
      <c r="M29" s="114">
        <f>+(M22-M36)+(M36*'PCR (M2)'!AW28/SUM('PCR (M2)'!AW28:AW32))</f>
        <v>415708.25055353018</v>
      </c>
      <c r="N29" s="115">
        <f>+(N22-N36)+(N36*'PCR (M2)'!AX28/SUM('PCR (M2)'!AX28:AX32))</f>
        <v>542741.46833908802</v>
      </c>
    </row>
    <row r="30" spans="1:16" x14ac:dyDescent="0.25">
      <c r="A30" s="165" t="s">
        <v>4</v>
      </c>
      <c r="B30" s="110">
        <v>0</v>
      </c>
      <c r="C30" s="114">
        <v>0</v>
      </c>
      <c r="D30" s="114">
        <v>0</v>
      </c>
      <c r="E30" s="114">
        <v>0</v>
      </c>
      <c r="F30" s="114">
        <f>+F23+(F36*'PCR (M2)'!AP29/SUM('PCR (M2)'!AP28:AP32))</f>
        <v>4662.874879564878</v>
      </c>
      <c r="G30" s="114">
        <f>+G23+(G36*'PCR (M2)'!AQ29/SUM('PCR (M2)'!AQ28:AQ32))</f>
        <v>60575.806014450071</v>
      </c>
      <c r="H30" s="114">
        <f>+H23+(H36*'PCR (M2)'!AR29/SUM('PCR (M2)'!AR28:AR32))</f>
        <v>69235.226705339766</v>
      </c>
      <c r="I30" s="114">
        <f>+I23+(I36*'PCR (M2)'!AS29/SUM('PCR (M2)'!AS28:AS32))</f>
        <v>71132.268141530934</v>
      </c>
      <c r="J30" s="114">
        <f>+J23+(J36*'PCR (M2)'!AT29/SUM('PCR (M2)'!AT28:AT32))</f>
        <v>68766.003213137257</v>
      </c>
      <c r="K30" s="111">
        <f>+K23+(K36*'PCR (M2)'!AU29/SUM('PCR (M2)'!AU28:AU32))</f>
        <v>61936.863591354115</v>
      </c>
      <c r="L30" s="110">
        <f>+L23+(L36*'PCR (M2)'!AV29/SUM('PCR (M2)'!AV28:AV32))</f>
        <v>53975.546061180925</v>
      </c>
      <c r="M30" s="114">
        <f>+M23+(M36*'PCR (M2)'!AW29/SUM('PCR (M2)'!AW28:AW32))</f>
        <v>64085.142076342534</v>
      </c>
      <c r="N30" s="115">
        <f>+N23+(N36*'PCR (M2)'!AX29/SUM('PCR (M2)'!AX28:AX32))</f>
        <v>77271.220187535713</v>
      </c>
    </row>
    <row r="31" spans="1:16" x14ac:dyDescent="0.25">
      <c r="A31" s="165" t="s">
        <v>5</v>
      </c>
      <c r="B31" s="110">
        <v>0</v>
      </c>
      <c r="C31" s="114">
        <v>0</v>
      </c>
      <c r="D31" s="114">
        <v>0</v>
      </c>
      <c r="E31" s="114">
        <v>0</v>
      </c>
      <c r="F31" s="114">
        <f>+F24+(F36*'PCR (M2)'!AP30/SUM('PCR (M2)'!AP28:AP32))</f>
        <v>6753.6701978728988</v>
      </c>
      <c r="G31" s="114">
        <f>+G24+(G36*'PCR (M2)'!AQ30/SUM('PCR (M2)'!AQ28:AQ32))</f>
        <v>107151.44580605239</v>
      </c>
      <c r="H31" s="114">
        <f>+H24+(H36*'PCR (M2)'!AR30/SUM('PCR (M2)'!AR28:AR32))</f>
        <v>115634.5208649429</v>
      </c>
      <c r="I31" s="114">
        <f>+I24+(I36*'PCR (M2)'!AS30/SUM('PCR (M2)'!AS28:AS32))</f>
        <v>118331.81312804784</v>
      </c>
      <c r="J31" s="114">
        <f>+J24+(J36*'PCR (M2)'!AT30/SUM('PCR (M2)'!AT28:AT32))</f>
        <v>119601.33814288217</v>
      </c>
      <c r="K31" s="111">
        <f>+K24+(K36*'PCR (M2)'!AU30/SUM('PCR (M2)'!AU28:AU32))</f>
        <v>109968.9574924099</v>
      </c>
      <c r="L31" s="110">
        <f>+L24+(L36*'PCR (M2)'!AV30/SUM('PCR (M2)'!AV28:AV32))</f>
        <v>97888.900043810398</v>
      </c>
      <c r="M31" s="114">
        <f>+M24+(M36*'PCR (M2)'!AW30/SUM('PCR (M2)'!AW28:AW32))</f>
        <v>105800.15515579889</v>
      </c>
      <c r="N31" s="115">
        <f>+N24+(N36*'PCR (M2)'!AX30/SUM('PCR (M2)'!AX28:AX32))</f>
        <v>117056.92857326064</v>
      </c>
    </row>
    <row r="32" spans="1:16" x14ac:dyDescent="0.25">
      <c r="A32" s="165" t="s">
        <v>6</v>
      </c>
      <c r="B32" s="110">
        <v>0</v>
      </c>
      <c r="C32" s="114">
        <v>0</v>
      </c>
      <c r="D32" s="114">
        <v>0</v>
      </c>
      <c r="E32" s="114">
        <v>0</v>
      </c>
      <c r="F32" s="114">
        <f>+F25+(F36*'PCR (M2)'!AP31/SUM('PCR (M2)'!AP28:AP32))</f>
        <v>2381.1324731369587</v>
      </c>
      <c r="G32" s="114">
        <f>+G25+(G36*'PCR (M2)'!AQ31/SUM('PCR (M2)'!AQ28:AQ32))</f>
        <v>41080.759711289073</v>
      </c>
      <c r="H32" s="114">
        <f>+H25+(H36*'PCR (M2)'!AR31/SUM('PCR (M2)'!AR28:AR32))</f>
        <v>46620.227707662583</v>
      </c>
      <c r="I32" s="114">
        <f>+I25+(I36*'PCR (M2)'!AS31/SUM('PCR (M2)'!AS28:AS32))</f>
        <v>48915.290383093015</v>
      </c>
      <c r="J32" s="114">
        <f>+J25+(J36*'PCR (M2)'!AT31/SUM('PCR (M2)'!AT28:AT32))</f>
        <v>48689.064699160743</v>
      </c>
      <c r="K32" s="111">
        <f>+K25+(K36*'PCR (M2)'!AU31/SUM('PCR (M2)'!AU28:AU32))</f>
        <v>45154.720570269681</v>
      </c>
      <c r="L32" s="110">
        <f>+L25+(L36*'PCR (M2)'!AV31/SUM('PCR (M2)'!AV28:AV32))</f>
        <v>42064.663115292642</v>
      </c>
      <c r="M32" s="114">
        <f>+M25+(M36*'PCR (M2)'!AW31/SUM('PCR (M2)'!AW28:AW32))</f>
        <v>43052.482460200197</v>
      </c>
      <c r="N32" s="115">
        <f>+N25+(N36*'PCR (M2)'!AX31/SUM('PCR (M2)'!AX28:AX32))</f>
        <v>45998.334220908073</v>
      </c>
    </row>
    <row r="33" spans="1:16" x14ac:dyDescent="0.25">
      <c r="A33" s="165" t="s">
        <v>7</v>
      </c>
      <c r="B33" s="110">
        <v>0</v>
      </c>
      <c r="C33" s="114">
        <v>0</v>
      </c>
      <c r="D33" s="114">
        <v>0</v>
      </c>
      <c r="E33" s="114">
        <v>0</v>
      </c>
      <c r="F33" s="114">
        <f>+F26+(F36*'PCR (M2)'!AP32/SUM('PCR (M2)'!AP28:AP32))</f>
        <v>-48.583419353926594</v>
      </c>
      <c r="G33" s="114">
        <f>+G26+(G36*'PCR (M2)'!AQ32/SUM('PCR (M2)'!AQ28:AQ32))</f>
        <v>4125.9071778961579</v>
      </c>
      <c r="H33" s="114">
        <f>+H26+(H36*'PCR (M2)'!AR32/SUM('PCR (M2)'!AR28:AR32))</f>
        <v>6806.3797850987785</v>
      </c>
      <c r="I33" s="114">
        <f>+I26+(I36*'PCR (M2)'!AS32/SUM('PCR (M2)'!AS28:AS32))</f>
        <v>7524.9044581782691</v>
      </c>
      <c r="J33" s="114">
        <f>+J26+(J36*'PCR (M2)'!AT32/SUM('PCR (M2)'!AT28:AT32))</f>
        <v>7658.4495072300715</v>
      </c>
      <c r="K33" s="111">
        <f>+K26+(K36*'PCR (M2)'!AU32/SUM('PCR (M2)'!AU28:AU32))</f>
        <v>7241.6490844376849</v>
      </c>
      <c r="L33" s="110">
        <f>+L26+(L36*'PCR (M2)'!AV32/SUM('PCR (M2)'!AV28:AV32))</f>
        <v>6779.0820945593969</v>
      </c>
      <c r="M33" s="114">
        <f>+M26+(M36*'PCR (M2)'!AW32/SUM('PCR (M2)'!AW28:AW32))</f>
        <v>6594.3945688711765</v>
      </c>
      <c r="N33" s="115">
        <f>+N26+(N36*'PCR (M2)'!AX32/SUM('PCR (M2)'!AX28:AX32))</f>
        <v>6630.8205536467958</v>
      </c>
    </row>
    <row r="34" spans="1:16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98"/>
      <c r="M34" s="99"/>
      <c r="N34" s="102"/>
    </row>
    <row r="35" spans="1:16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8"/>
      <c r="M35" s="99"/>
      <c r="N35" s="102"/>
    </row>
    <row r="36" spans="1:16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0</v>
      </c>
      <c r="F36" s="95">
        <v>-923.75</v>
      </c>
      <c r="G36" s="95">
        <v>-10157.06</v>
      </c>
      <c r="H36" s="95">
        <v>-12455.51</v>
      </c>
      <c r="I36" s="95">
        <v>-13265.51</v>
      </c>
      <c r="J36" s="95">
        <v>-12079.85</v>
      </c>
      <c r="K36" s="104">
        <v>-10230.950000000001</v>
      </c>
      <c r="L36" s="110">
        <f>-('PCR (M2)'!AV28*'TDR (M3)'!$O$22*PPC!$B$14)</f>
        <v>-9821.686673008604</v>
      </c>
      <c r="M36" s="114">
        <f>-('PCR (M2)'!AW28*'TDR (M3)'!$O$22*PPC!$B$14)</f>
        <v>-14135.360925860501</v>
      </c>
      <c r="N36" s="115">
        <f>-('PCR (M2)'!AX28*'TDR (M3)'!$O$22*PPC!$B$14)</f>
        <v>-18479.851444647684</v>
      </c>
    </row>
    <row r="37" spans="1:16" x14ac:dyDescent="0.2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7"/>
      <c r="M37" s="108"/>
      <c r="N37" s="102"/>
      <c r="P37" s="4"/>
    </row>
    <row r="38" spans="1:16" x14ac:dyDescent="0.25">
      <c r="B38" s="107"/>
      <c r="C38" s="108"/>
      <c r="D38" s="103" t="s">
        <v>68</v>
      </c>
      <c r="E38" s="108"/>
      <c r="F38" s="108"/>
      <c r="G38" s="108"/>
      <c r="H38" s="108"/>
      <c r="I38" s="108"/>
      <c r="J38" s="108"/>
      <c r="K38" s="108"/>
      <c r="L38" s="107"/>
      <c r="M38" s="108"/>
      <c r="N38" s="112"/>
      <c r="O38" s="4"/>
    </row>
    <row r="39" spans="1:16" ht="15.75" thickBot="1" x14ac:dyDescent="0.3">
      <c r="A39" s="116" t="s">
        <v>88</v>
      </c>
      <c r="B39" s="117">
        <v>0</v>
      </c>
      <c r="C39" s="118">
        <v>0</v>
      </c>
      <c r="D39" s="118">
        <v>0</v>
      </c>
      <c r="E39" s="118">
        <v>10.42</v>
      </c>
      <c r="F39" s="118">
        <v>5.03</v>
      </c>
      <c r="G39" s="118">
        <v>-582.27</v>
      </c>
      <c r="H39" s="118">
        <v>-855.05</v>
      </c>
      <c r="I39" s="118">
        <v>-862.55</v>
      </c>
      <c r="J39" s="118">
        <v>-1041.18</v>
      </c>
      <c r="K39" s="118">
        <v>-1530.79</v>
      </c>
      <c r="L39" s="96">
        <v>-2281.3900000000003</v>
      </c>
      <c r="M39" s="97">
        <v>-3021.33</v>
      </c>
      <c r="N39" s="152">
        <v>-3877.7400000000002</v>
      </c>
    </row>
    <row r="40" spans="1:16" x14ac:dyDescent="0.25">
      <c r="B40" s="167"/>
      <c r="C40" s="120"/>
      <c r="D40" s="120"/>
      <c r="E40" s="120"/>
      <c r="F40" s="120"/>
      <c r="G40" s="191"/>
      <c r="H40" s="120"/>
      <c r="I40" s="120"/>
      <c r="J40" s="120"/>
      <c r="K40" s="120"/>
      <c r="L40" s="167"/>
      <c r="M40" s="120"/>
      <c r="N40" s="121"/>
    </row>
    <row r="41" spans="1:16" x14ac:dyDescent="0.25">
      <c r="A41" s="165" t="s">
        <v>69</v>
      </c>
      <c r="B41" s="122"/>
      <c r="C41" s="50"/>
      <c r="D41" s="50"/>
      <c r="E41" s="50"/>
      <c r="F41" s="50"/>
      <c r="G41" s="192"/>
      <c r="H41" s="50"/>
      <c r="I41" s="50"/>
      <c r="J41" s="50"/>
      <c r="K41" s="51"/>
      <c r="L41" s="98"/>
      <c r="M41" s="99"/>
      <c r="N41" s="102"/>
    </row>
    <row r="42" spans="1:16" x14ac:dyDescent="0.25">
      <c r="A42" s="165" t="s">
        <v>0</v>
      </c>
      <c r="B42" s="110">
        <f>B15-B29</f>
        <v>0</v>
      </c>
      <c r="C42" s="114">
        <f t="shared" ref="C42:N46" si="3">C15-C29</f>
        <v>0</v>
      </c>
      <c r="D42" s="114">
        <f t="shared" si="3"/>
        <v>0</v>
      </c>
      <c r="E42" s="114">
        <f t="shared" si="3"/>
        <v>3542.7066619947968</v>
      </c>
      <c r="F42" s="114">
        <f>F15-F29</f>
        <v>-2042.587011875763</v>
      </c>
      <c r="G42" s="114">
        <f t="shared" si="3"/>
        <v>-101305.99221352636</v>
      </c>
      <c r="H42" s="114">
        <f t="shared" si="3"/>
        <v>3390.1150170901092</v>
      </c>
      <c r="I42" s="114">
        <f t="shared" si="3"/>
        <v>76961.106998553209</v>
      </c>
      <c r="J42" s="114">
        <f t="shared" si="3"/>
        <v>-50530.984803922765</v>
      </c>
      <c r="K42" s="114">
        <f t="shared" si="3"/>
        <v>-212267.59868433682</v>
      </c>
      <c r="L42" s="110">
        <f>L15-L29</f>
        <v>-250872.48546525722</v>
      </c>
      <c r="M42" s="114">
        <f t="shared" si="3"/>
        <v>-287916.68319685216</v>
      </c>
      <c r="N42" s="115">
        <f t="shared" si="3"/>
        <v>-371603.24094149866</v>
      </c>
    </row>
    <row r="43" spans="1:16" x14ac:dyDescent="0.25">
      <c r="A43" s="165" t="s">
        <v>4</v>
      </c>
      <c r="B43" s="110">
        <f t="shared" ref="B43:J46" si="4">B16-B30</f>
        <v>0</v>
      </c>
      <c r="C43" s="114">
        <f t="shared" si="4"/>
        <v>0</v>
      </c>
      <c r="D43" s="114">
        <f t="shared" si="4"/>
        <v>0.34412602678174997</v>
      </c>
      <c r="E43" s="114">
        <f t="shared" si="4"/>
        <v>593.85341007321881</v>
      </c>
      <c r="F43" s="114">
        <f t="shared" si="4"/>
        <v>3705.6477164422931</v>
      </c>
      <c r="G43" s="114">
        <f t="shared" si="4"/>
        <v>-36933.991833043365</v>
      </c>
      <c r="H43" s="114">
        <f t="shared" si="4"/>
        <v>-21571.365474004102</v>
      </c>
      <c r="I43" s="114">
        <f t="shared" si="4"/>
        <v>-17718.260509192958</v>
      </c>
      <c r="J43" s="114">
        <f t="shared" si="4"/>
        <v>3197.5668888877699</v>
      </c>
      <c r="K43" s="114">
        <f t="shared" si="3"/>
        <v>28.546596919208241</v>
      </c>
      <c r="L43" s="110">
        <f t="shared" si="3"/>
        <v>-48207.577915773254</v>
      </c>
      <c r="M43" s="114">
        <f t="shared" si="3"/>
        <v>-47189.214020255429</v>
      </c>
      <c r="N43" s="115">
        <f t="shared" si="3"/>
        <v>-51746.12004233482</v>
      </c>
    </row>
    <row r="44" spans="1:16" x14ac:dyDescent="0.25">
      <c r="A44" s="165" t="s">
        <v>5</v>
      </c>
      <c r="B44" s="110">
        <f t="shared" si="4"/>
        <v>0</v>
      </c>
      <c r="C44" s="114">
        <f t="shared" si="3"/>
        <v>0</v>
      </c>
      <c r="D44" s="114">
        <f t="shared" si="3"/>
        <v>0.36790548240712501</v>
      </c>
      <c r="E44" s="114">
        <f t="shared" si="3"/>
        <v>549.3842450882164</v>
      </c>
      <c r="F44" s="114">
        <f t="shared" si="3"/>
        <v>-2931.1326047334169</v>
      </c>
      <c r="G44" s="114">
        <f t="shared" si="3"/>
        <v>-90370.113443998154</v>
      </c>
      <c r="H44" s="114">
        <f t="shared" si="3"/>
        <v>-75556.802484400338</v>
      </c>
      <c r="I44" s="114">
        <f t="shared" si="3"/>
        <v>-64270.675133255725</v>
      </c>
      <c r="J44" s="114">
        <f t="shared" si="3"/>
        <v>-39992.989537141941</v>
      </c>
      <c r="K44" s="114">
        <f t="shared" si="3"/>
        <v>-53536.042368776616</v>
      </c>
      <c r="L44" s="110">
        <f t="shared" si="3"/>
        <v>-80760.244160904418</v>
      </c>
      <c r="M44" s="114">
        <f t="shared" si="3"/>
        <v>-49344.817728946728</v>
      </c>
      <c r="N44" s="115">
        <f t="shared" si="3"/>
        <v>-35476.773061275569</v>
      </c>
    </row>
    <row r="45" spans="1:16" x14ac:dyDescent="0.25">
      <c r="A45" s="165" t="s">
        <v>6</v>
      </c>
      <c r="B45" s="110">
        <f t="shared" si="4"/>
        <v>0</v>
      </c>
      <c r="C45" s="114">
        <f t="shared" si="3"/>
        <v>0</v>
      </c>
      <c r="D45" s="114">
        <f t="shared" si="3"/>
        <v>0</v>
      </c>
      <c r="E45" s="114">
        <f t="shared" si="3"/>
        <v>9.4764517045030008</v>
      </c>
      <c r="F45" s="114">
        <f t="shared" si="3"/>
        <v>-1388.7476725055421</v>
      </c>
      <c r="G45" s="114">
        <f t="shared" si="3"/>
        <v>-33788.634873838782</v>
      </c>
      <c r="H45" s="114">
        <f t="shared" si="3"/>
        <v>-30625.282694978901</v>
      </c>
      <c r="I45" s="114">
        <f t="shared" si="3"/>
        <v>-31628.79776913585</v>
      </c>
      <c r="J45" s="114">
        <f t="shared" si="3"/>
        <v>-28095.429085728912</v>
      </c>
      <c r="K45" s="114">
        <f t="shared" si="3"/>
        <v>-31873.257504636691</v>
      </c>
      <c r="L45" s="110">
        <f t="shared" si="3"/>
        <v>-39213.622770419468</v>
      </c>
      <c r="M45" s="114">
        <f t="shared" si="3"/>
        <v>-29631.052471693056</v>
      </c>
      <c r="N45" s="115">
        <f t="shared" si="3"/>
        <v>-21634.689092172037</v>
      </c>
    </row>
    <row r="46" spans="1:16" x14ac:dyDescent="0.25">
      <c r="A46" s="165" t="s">
        <v>7</v>
      </c>
      <c r="B46" s="110">
        <f t="shared" si="4"/>
        <v>0</v>
      </c>
      <c r="C46" s="114">
        <f t="shared" si="3"/>
        <v>0</v>
      </c>
      <c r="D46" s="114">
        <f t="shared" si="3"/>
        <v>0</v>
      </c>
      <c r="E46" s="114">
        <f t="shared" si="3"/>
        <v>0</v>
      </c>
      <c r="F46" s="114">
        <f t="shared" si="3"/>
        <v>206.95969459981058</v>
      </c>
      <c r="G46" s="114">
        <f t="shared" si="3"/>
        <v>-3528.7340731331474</v>
      </c>
      <c r="H46" s="114">
        <f t="shared" si="3"/>
        <v>-6806.3797850987785</v>
      </c>
      <c r="I46" s="114">
        <f t="shared" si="3"/>
        <v>-7300.5960205780684</v>
      </c>
      <c r="J46" s="114">
        <f t="shared" si="3"/>
        <v>-7080.3370793455424</v>
      </c>
      <c r="K46" s="114">
        <f t="shared" si="3"/>
        <v>-6687.927317849204</v>
      </c>
      <c r="L46" s="110">
        <f t="shared" si="3"/>
        <v>-5503.4897512751813</v>
      </c>
      <c r="M46" s="114">
        <f t="shared" si="3"/>
        <v>-3670.0577340754744</v>
      </c>
      <c r="N46" s="115">
        <f t="shared" si="3"/>
        <v>-2670.6410491574202</v>
      </c>
    </row>
    <row r="47" spans="1:16" x14ac:dyDescent="0.25">
      <c r="B47" s="98"/>
      <c r="C47" s="99"/>
      <c r="D47" s="99"/>
      <c r="E47" s="99"/>
      <c r="F47" s="101"/>
      <c r="G47" s="101"/>
      <c r="H47" s="99"/>
      <c r="I47" s="99"/>
      <c r="J47" s="99"/>
      <c r="K47" s="99"/>
      <c r="L47" s="98"/>
      <c r="M47" s="99"/>
      <c r="N47" s="102"/>
    </row>
    <row r="48" spans="1:16" x14ac:dyDescent="0.25">
      <c r="A48" s="165" t="s">
        <v>70</v>
      </c>
      <c r="B48" s="98"/>
      <c r="C48" s="99"/>
      <c r="D48" s="99"/>
      <c r="E48" s="99"/>
      <c r="F48" s="101"/>
      <c r="G48" s="101"/>
      <c r="H48" s="99"/>
      <c r="I48" s="99"/>
      <c r="J48" s="99"/>
      <c r="K48" s="99"/>
      <c r="L48" s="98"/>
      <c r="M48" s="99"/>
      <c r="N48" s="102"/>
    </row>
    <row r="49" spans="1:14" x14ac:dyDescent="0.25">
      <c r="A49" s="165" t="s">
        <v>0</v>
      </c>
      <c r="B49" s="110">
        <f>B42</f>
        <v>0</v>
      </c>
      <c r="C49" s="114">
        <f>B49+C42+B56</f>
        <v>0</v>
      </c>
      <c r="D49" s="114">
        <f t="shared" ref="D49:I49" si="5">C49+D42+C56</f>
        <v>0</v>
      </c>
      <c r="E49" s="114">
        <f t="shared" si="5"/>
        <v>3542.7066619947968</v>
      </c>
      <c r="F49" s="114">
        <f>E49+F42+E56</f>
        <v>1507.97936331558</v>
      </c>
      <c r="G49" s="114">
        <f t="shared" si="5"/>
        <v>-99794.648345930662</v>
      </c>
      <c r="H49" s="114">
        <f t="shared" si="5"/>
        <v>-96624.917917516941</v>
      </c>
      <c r="I49" s="114">
        <f t="shared" si="5"/>
        <v>-19872.751755740155</v>
      </c>
      <c r="J49" s="114">
        <f>I49+J42+I56</f>
        <v>-70442.673738996746</v>
      </c>
      <c r="K49" s="114">
        <f>J49+K42+J56</f>
        <v>-282840.4076317767</v>
      </c>
      <c r="L49" s="110">
        <f>K49+L42+K56</f>
        <v>-534211.14758752217</v>
      </c>
      <c r="M49" s="114">
        <f t="shared" ref="M49:N53" si="6">L49+M42+L56</f>
        <v>-823068.90248407598</v>
      </c>
      <c r="N49" s="115">
        <f>M49+N42+M56</f>
        <v>-1196122.0698348796</v>
      </c>
    </row>
    <row r="50" spans="1:14" x14ac:dyDescent="0.25">
      <c r="A50" s="165" t="s">
        <v>4</v>
      </c>
      <c r="B50" s="110">
        <f>B43</f>
        <v>0</v>
      </c>
      <c r="C50" s="114">
        <f t="shared" ref="C50:K53" si="7">B50+C43+B57</f>
        <v>0</v>
      </c>
      <c r="D50" s="114">
        <f t="shared" si="7"/>
        <v>0.34412602678174997</v>
      </c>
      <c r="E50" s="114">
        <f t="shared" si="7"/>
        <v>594.19753610000055</v>
      </c>
      <c r="F50" s="114">
        <f t="shared" si="7"/>
        <v>4301.1635164183126</v>
      </c>
      <c r="G50" s="114">
        <f t="shared" si="7"/>
        <v>-32623.231843747151</v>
      </c>
      <c r="H50" s="114">
        <f t="shared" si="7"/>
        <v>-54266.641837676369</v>
      </c>
      <c r="I50" s="114">
        <f t="shared" si="7"/>
        <v>-72102.248035734898</v>
      </c>
      <c r="J50" s="114">
        <f t="shared" si="7"/>
        <v>-69045.952883979742</v>
      </c>
      <c r="K50" s="114">
        <f t="shared" si="7"/>
        <v>-69144.961205035448</v>
      </c>
      <c r="L50" s="110">
        <f t="shared" ref="L50:L53" si="8">K50+L43+K57</f>
        <v>-117474.3455759171</v>
      </c>
      <c r="M50" s="114">
        <f t="shared" si="6"/>
        <v>-164870.50357808251</v>
      </c>
      <c r="N50" s="115">
        <f t="shared" si="6"/>
        <v>-216907.0611482255</v>
      </c>
    </row>
    <row r="51" spans="1:14" x14ac:dyDescent="0.25">
      <c r="A51" s="165" t="s">
        <v>5</v>
      </c>
      <c r="B51" s="110">
        <f>B44</f>
        <v>0</v>
      </c>
      <c r="C51" s="114">
        <f t="shared" si="7"/>
        <v>0</v>
      </c>
      <c r="D51" s="114">
        <f t="shared" si="7"/>
        <v>0.36790548240712501</v>
      </c>
      <c r="E51" s="114">
        <f t="shared" si="7"/>
        <v>549.75215057062348</v>
      </c>
      <c r="F51" s="114">
        <f t="shared" si="7"/>
        <v>-2380.1607951153696</v>
      </c>
      <c r="G51" s="114">
        <f t="shared" si="7"/>
        <v>-92755.584697185666</v>
      </c>
      <c r="H51" s="114">
        <f t="shared" si="7"/>
        <v>-168517.22683701589</v>
      </c>
      <c r="I51" s="114">
        <f t="shared" si="7"/>
        <v>-233152.30207684272</v>
      </c>
      <c r="J51" s="114">
        <f t="shared" si="7"/>
        <v>-273602.11274825141</v>
      </c>
      <c r="K51" s="114">
        <f t="shared" si="7"/>
        <v>-327643.60538010154</v>
      </c>
      <c r="L51" s="110">
        <f t="shared" si="8"/>
        <v>-408981.02979267959</v>
      </c>
      <c r="M51" s="114">
        <f t="shared" si="6"/>
        <v>-459046.3125935194</v>
      </c>
      <c r="N51" s="115">
        <f t="shared" si="6"/>
        <v>-495331.7462295228</v>
      </c>
    </row>
    <row r="52" spans="1:14" x14ac:dyDescent="0.25">
      <c r="A52" s="165" t="s">
        <v>6</v>
      </c>
      <c r="B52" s="110">
        <f>B45</f>
        <v>0</v>
      </c>
      <c r="C52" s="114">
        <f t="shared" si="7"/>
        <v>0</v>
      </c>
      <c r="D52" s="114">
        <f t="shared" si="7"/>
        <v>0</v>
      </c>
      <c r="E52" s="114">
        <f t="shared" si="7"/>
        <v>9.4764517045030008</v>
      </c>
      <c r="F52" s="114">
        <f t="shared" si="7"/>
        <v>-1379.2501967085516</v>
      </c>
      <c r="G52" s="114">
        <f t="shared" si="7"/>
        <v>-35170.962362785591</v>
      </c>
      <c r="H52" s="114">
        <f t="shared" si="7"/>
        <v>-65873.915936936362</v>
      </c>
      <c r="I52" s="114">
        <f t="shared" si="7"/>
        <v>-97645.158858050025</v>
      </c>
      <c r="J52" s="114">
        <f t="shared" si="7"/>
        <v>-125931.90654465849</v>
      </c>
      <c r="K52" s="114">
        <f t="shared" si="7"/>
        <v>-158037.80960401322</v>
      </c>
      <c r="L52" s="110">
        <f t="shared" si="8"/>
        <v>-197529.83336020922</v>
      </c>
      <c r="M52" s="114">
        <f t="shared" si="6"/>
        <v>-227508.85636164795</v>
      </c>
      <c r="N52" s="115">
        <f t="shared" si="6"/>
        <v>-249544.32733027523</v>
      </c>
    </row>
    <row r="53" spans="1:14" x14ac:dyDescent="0.25">
      <c r="A53" s="165" t="s">
        <v>7</v>
      </c>
      <c r="B53" s="110">
        <f>B46</f>
        <v>0</v>
      </c>
      <c r="C53" s="114">
        <f t="shared" si="7"/>
        <v>0</v>
      </c>
      <c r="D53" s="114">
        <f t="shared" si="7"/>
        <v>0</v>
      </c>
      <c r="E53" s="114">
        <f t="shared" si="7"/>
        <v>0</v>
      </c>
      <c r="F53" s="114">
        <f t="shared" si="7"/>
        <v>206.95969459981058</v>
      </c>
      <c r="G53" s="114">
        <f t="shared" si="7"/>
        <v>-3321.3126236875923</v>
      </c>
      <c r="H53" s="114">
        <f t="shared" si="7"/>
        <v>-10135.02713192603</v>
      </c>
      <c r="I53" s="114">
        <f t="shared" si="7"/>
        <v>-17457.53904226976</v>
      </c>
      <c r="J53" s="114">
        <f t="shared" si="7"/>
        <v>-24572.081114299297</v>
      </c>
      <c r="K53" s="114">
        <f t="shared" si="7"/>
        <v>-31305.402690031715</v>
      </c>
      <c r="L53" s="110">
        <f t="shared" si="8"/>
        <v>-36864.040351739684</v>
      </c>
      <c r="M53" s="114">
        <f t="shared" si="6"/>
        <v>-40599.038147939187</v>
      </c>
      <c r="N53" s="115">
        <f t="shared" si="6"/>
        <v>-43341.1988686884</v>
      </c>
    </row>
    <row r="54" spans="1:14" x14ac:dyDescent="0.25">
      <c r="B54" s="98"/>
      <c r="C54" s="99"/>
      <c r="D54" s="99"/>
      <c r="E54" s="99"/>
      <c r="F54" s="101"/>
      <c r="G54" s="101"/>
      <c r="H54" s="99"/>
      <c r="I54" s="99"/>
      <c r="J54" s="99"/>
      <c r="K54" s="99"/>
      <c r="L54" s="98"/>
      <c r="M54" s="99"/>
      <c r="N54" s="102"/>
    </row>
    <row r="55" spans="1:14" x14ac:dyDescent="0.25">
      <c r="A55" s="165" t="s">
        <v>65</v>
      </c>
      <c r="B55" s="123">
        <v>0</v>
      </c>
      <c r="C55" s="124">
        <v>0</v>
      </c>
      <c r="D55" s="124">
        <v>0</v>
      </c>
      <c r="E55" s="124">
        <f>+'PCR (M2)'!AO67</f>
        <v>2.2185616666666667E-3</v>
      </c>
      <c r="F55" s="124">
        <f>+'PCR (M2)'!AP67</f>
        <v>2.2311341666666666E-3</v>
      </c>
      <c r="G55" s="124">
        <f>+'PCR (M2)'!AQ67</f>
        <v>2.2083808333333331E-3</v>
      </c>
      <c r="H55" s="124">
        <f>+'PCR (M2)'!AR67</f>
        <v>2.1623908333333335E-3</v>
      </c>
      <c r="I55" s="124">
        <f>+'PCR (M2)'!AS67</f>
        <v>1.959325E-3</v>
      </c>
      <c r="J55" s="124">
        <f>+'PCR (M2)'!AT67</f>
        <v>1.8473916666666666E-3</v>
      </c>
      <c r="K55" s="124">
        <f>+'PCR (M2)'!AU67</f>
        <v>1.7616100000000003E-3</v>
      </c>
      <c r="L55" s="188">
        <f>'PCR (M2)'!AV67</f>
        <v>1.7616100000000003E-3</v>
      </c>
      <c r="M55" s="189">
        <f>'PCR (M2)'!AW67</f>
        <v>1.7616100000000003E-3</v>
      </c>
      <c r="N55" s="190">
        <f>'PCR (M2)'!AX67</f>
        <v>1.7616100000000003E-3</v>
      </c>
    </row>
    <row r="56" spans="1:14" x14ac:dyDescent="0.25">
      <c r="A56" s="165" t="s">
        <v>0</v>
      </c>
      <c r="B56" s="110">
        <f t="shared" ref="B56:K60" si="9">B49*B$55</f>
        <v>0</v>
      </c>
      <c r="C56" s="114">
        <f t="shared" si="9"/>
        <v>0</v>
      </c>
      <c r="D56" s="114">
        <f>D49*D$55</f>
        <v>0</v>
      </c>
      <c r="E56" s="114">
        <f t="shared" si="9"/>
        <v>7.8597131965462799</v>
      </c>
      <c r="F56" s="114">
        <f t="shared" si="9"/>
        <v>3.3645042801216372</v>
      </c>
      <c r="G56" s="114">
        <f t="shared" si="9"/>
        <v>-220.38458867639329</v>
      </c>
      <c r="H56" s="114">
        <f t="shared" si="9"/>
        <v>-208.94083677642439</v>
      </c>
      <c r="I56" s="114">
        <f t="shared" si="9"/>
        <v>-38.937179333815578</v>
      </c>
      <c r="J56" s="114">
        <f t="shared" si="9"/>
        <v>-130.13520844314144</v>
      </c>
      <c r="K56" s="114">
        <f t="shared" si="9"/>
        <v>-498.25449048821423</v>
      </c>
      <c r="L56" s="110">
        <f>L49*L$55</f>
        <v>-941.07169970165501</v>
      </c>
      <c r="M56" s="114">
        <f t="shared" ref="L56:N60" si="10">M49*M$55</f>
        <v>-1449.9264093049733</v>
      </c>
      <c r="N56" s="115">
        <f t="shared" si="10"/>
        <v>-2107.1005994418224</v>
      </c>
    </row>
    <row r="57" spans="1:14" x14ac:dyDescent="0.25">
      <c r="A57" s="165" t="s">
        <v>4</v>
      </c>
      <c r="B57" s="110">
        <f t="shared" si="9"/>
        <v>0</v>
      </c>
      <c r="C57" s="114">
        <f t="shared" si="9"/>
        <v>0</v>
      </c>
      <c r="D57" s="114">
        <f t="shared" si="9"/>
        <v>0</v>
      </c>
      <c r="E57" s="114">
        <f t="shared" si="9"/>
        <v>1.318263876019244</v>
      </c>
      <c r="F57" s="114">
        <f t="shared" si="9"/>
        <v>9.5964728779010411</v>
      </c>
      <c r="G57" s="114">
        <f t="shared" si="9"/>
        <v>-72.044519925120866</v>
      </c>
      <c r="H57" s="114">
        <f t="shared" si="9"/>
        <v>-117.34568886557454</v>
      </c>
      <c r="I57" s="114">
        <f t="shared" si="9"/>
        <v>-141.27173713261629</v>
      </c>
      <c r="J57" s="114">
        <f t="shared" si="9"/>
        <v>-127.55491797492347</v>
      </c>
      <c r="K57" s="114">
        <f t="shared" si="9"/>
        <v>-121.80645510840252</v>
      </c>
      <c r="L57" s="110">
        <f t="shared" si="10"/>
        <v>-206.94398190999135</v>
      </c>
      <c r="M57" s="114">
        <f t="shared" si="10"/>
        <v>-290.43752780818596</v>
      </c>
      <c r="N57" s="115">
        <f t="shared" si="10"/>
        <v>-382.10564798932558</v>
      </c>
    </row>
    <row r="58" spans="1:14" x14ac:dyDescent="0.25">
      <c r="A58" s="165" t="s">
        <v>5</v>
      </c>
      <c r="B58" s="110">
        <f t="shared" si="9"/>
        <v>0</v>
      </c>
      <c r="C58" s="114">
        <f t="shared" si="9"/>
        <v>0</v>
      </c>
      <c r="D58" s="114">
        <f t="shared" si="9"/>
        <v>0</v>
      </c>
      <c r="E58" s="114">
        <f t="shared" si="9"/>
        <v>1.2196590474235467</v>
      </c>
      <c r="F58" s="114">
        <f t="shared" si="9"/>
        <v>-5.3104580721424011</v>
      </c>
      <c r="G58" s="114">
        <f t="shared" si="9"/>
        <v>-204.83965542989145</v>
      </c>
      <c r="H58" s="114">
        <f t="shared" si="9"/>
        <v>-364.40010657111719</v>
      </c>
      <c r="I58" s="114">
        <f t="shared" si="9"/>
        <v>-456.82113426670986</v>
      </c>
      <c r="J58" s="114">
        <f t="shared" si="9"/>
        <v>-505.45026307351344</v>
      </c>
      <c r="K58" s="114">
        <f t="shared" si="9"/>
        <v>-577.18025167364078</v>
      </c>
      <c r="L58" s="110">
        <f t="shared" si="10"/>
        <v>-720.46507189308238</v>
      </c>
      <c r="M58" s="114">
        <f t="shared" si="10"/>
        <v>-808.66057472786986</v>
      </c>
      <c r="N58" s="115">
        <f t="shared" si="10"/>
        <v>-872.58135747538984</v>
      </c>
    </row>
    <row r="59" spans="1:14" x14ac:dyDescent="0.25">
      <c r="A59" s="165" t="s">
        <v>6</v>
      </c>
      <c r="B59" s="110">
        <f t="shared" si="9"/>
        <v>0</v>
      </c>
      <c r="C59" s="114">
        <f t="shared" si="9"/>
        <v>0</v>
      </c>
      <c r="D59" s="114">
        <f t="shared" si="9"/>
        <v>0</v>
      </c>
      <c r="E59" s="114">
        <f t="shared" si="9"/>
        <v>2.1024092487628352E-2</v>
      </c>
      <c r="F59" s="114">
        <f t="shared" si="9"/>
        <v>-3.0772922382581704</v>
      </c>
      <c r="G59" s="114">
        <f t="shared" si="9"/>
        <v>-77.670879171863731</v>
      </c>
      <c r="H59" s="114">
        <f t="shared" si="9"/>
        <v>-142.44515197780177</v>
      </c>
      <c r="I59" s="114">
        <f t="shared" si="9"/>
        <v>-191.31860087954888</v>
      </c>
      <c r="J59" s="114">
        <f>J52*J$55</f>
        <v>-232.64555471804755</v>
      </c>
      <c r="K59" s="114">
        <f t="shared" si="9"/>
        <v>-278.40098577652577</v>
      </c>
      <c r="L59" s="110">
        <f t="shared" si="10"/>
        <v>-347.97052974567822</v>
      </c>
      <c r="M59" s="114">
        <f t="shared" si="10"/>
        <v>-400.7818764552427</v>
      </c>
      <c r="N59" s="115">
        <f t="shared" si="10"/>
        <v>-439.59978246828621</v>
      </c>
    </row>
    <row r="60" spans="1:14" ht="15.75" thickBot="1" x14ac:dyDescent="0.3">
      <c r="A60" s="165" t="s">
        <v>7</v>
      </c>
      <c r="B60" s="110">
        <f t="shared" si="9"/>
        <v>0</v>
      </c>
      <c r="C60" s="114">
        <f t="shared" si="9"/>
        <v>0</v>
      </c>
      <c r="D60" s="114">
        <f t="shared" si="9"/>
        <v>0</v>
      </c>
      <c r="E60" s="114">
        <f t="shared" si="9"/>
        <v>0</v>
      </c>
      <c r="F60" s="114">
        <f t="shared" si="9"/>
        <v>0.46175484574453618</v>
      </c>
      <c r="G60" s="114">
        <f t="shared" si="9"/>
        <v>-7.3347231396597241</v>
      </c>
      <c r="H60" s="114">
        <f t="shared" si="9"/>
        <v>-21.915889765661472</v>
      </c>
      <c r="I60" s="114">
        <f t="shared" si="9"/>
        <v>-34.204992683995201</v>
      </c>
      <c r="J60" s="114">
        <f t="shared" si="9"/>
        <v>-45.394257883213903</v>
      </c>
      <c r="K60" s="114">
        <f t="shared" si="9"/>
        <v>-55.14791043278678</v>
      </c>
      <c r="L60" s="110">
        <f t="shared" si="10"/>
        <v>-64.940062124028159</v>
      </c>
      <c r="M60" s="114">
        <f t="shared" si="10"/>
        <v>-71.519671591791166</v>
      </c>
      <c r="N60" s="115">
        <f t="shared" si="10"/>
        <v>-76.350289339070187</v>
      </c>
    </row>
    <row r="61" spans="1:14" ht="16.5" thickTop="1" thickBot="1" x14ac:dyDescent="0.3">
      <c r="A61" s="126" t="s">
        <v>71</v>
      </c>
      <c r="B61" s="127">
        <f>SUM(B56:B60)+SUM(B49:B53)-B64</f>
        <v>0</v>
      </c>
      <c r="C61" s="128">
        <f>SUM(C56:C60)+SUM(C49:C53)-C64</f>
        <v>0</v>
      </c>
      <c r="D61" s="128">
        <f t="shared" ref="D61:J61" si="11">SUM(D56:D60)+SUM(D49:D53)-D64</f>
        <v>0</v>
      </c>
      <c r="E61" s="128">
        <f t="shared" si="11"/>
        <v>0</v>
      </c>
      <c r="F61" s="128">
        <f>SUM(F56:F60)+SUM(F49:F53)-F64</f>
        <v>0</v>
      </c>
      <c r="G61" s="131">
        <f>SUM(G56:G60)+SUM(G49:G53)-G64</f>
        <v>0</v>
      </c>
      <c r="H61" s="128">
        <f t="shared" si="11"/>
        <v>0</v>
      </c>
      <c r="I61" s="128">
        <f t="shared" si="11"/>
        <v>0</v>
      </c>
      <c r="J61" s="128">
        <f t="shared" si="11"/>
        <v>0</v>
      </c>
      <c r="K61" s="128">
        <f>SUM(K56:K60)+SUM(K49:K53)-K64</f>
        <v>0</v>
      </c>
      <c r="L61" s="127">
        <f>SUM(L56:L60)+SUM(L49:L53)-L64</f>
        <v>0</v>
      </c>
      <c r="M61" s="128">
        <f>SUM(M56:M60)+SUM(M49:M53)-M64</f>
        <v>0</v>
      </c>
      <c r="N61" s="129">
        <f>SUM(N56:N60)+SUM(N49:N53)-N64</f>
        <v>0</v>
      </c>
    </row>
    <row r="62" spans="1:14" ht="16.5" thickTop="1" thickBot="1" x14ac:dyDescent="0.3">
      <c r="A62" s="126" t="s">
        <v>72</v>
      </c>
      <c r="B62" s="130">
        <f>SUM(B56:B60)-B39</f>
        <v>0</v>
      </c>
      <c r="C62" s="131">
        <f t="shared" ref="C62:I62" si="12">SUM(C56:C60)-C39</f>
        <v>0</v>
      </c>
      <c r="D62" s="131">
        <f>SUM(D56:D60)-D39</f>
        <v>0</v>
      </c>
      <c r="E62" s="131">
        <f>SUM(E56:E60)-E39</f>
        <v>-1.3397875233014389E-3</v>
      </c>
      <c r="F62" s="131">
        <f>SUM(F56:F60)-F39</f>
        <v>4.9816933666440022E-3</v>
      </c>
      <c r="G62" s="131">
        <f>SUM(G56:G60)-G39</f>
        <v>-4.3663429289608757E-3</v>
      </c>
      <c r="H62" s="131">
        <f t="shared" si="12"/>
        <v>2.326043420566748E-3</v>
      </c>
      <c r="I62" s="131">
        <f t="shared" si="12"/>
        <v>-3.6442966858203363E-3</v>
      </c>
      <c r="J62" s="131">
        <f>SUM(J56:J60)-J39</f>
        <v>-2.0209283979966131E-4</v>
      </c>
      <c r="K62" s="131">
        <f t="shared" ref="K62" si="13">SUM(K56:K60)-K39</f>
        <v>-9.3479570296040038E-5</v>
      </c>
      <c r="L62" s="130">
        <f>SUM(L56:L60)-L39</f>
        <v>-1.3453744350044872E-3</v>
      </c>
      <c r="M62" s="131">
        <f>SUM(M56:M60)-M39</f>
        <v>3.9401119374815607E-3</v>
      </c>
      <c r="N62" s="132">
        <f>SUM(N56:N60)-N39</f>
        <v>2.3232861062751908E-3</v>
      </c>
    </row>
    <row r="63" spans="1:14" ht="15.75" thickTop="1" x14ac:dyDescent="0.25">
      <c r="B63" s="98"/>
      <c r="C63" s="99"/>
      <c r="D63" s="99"/>
      <c r="E63" s="99"/>
      <c r="F63" s="99"/>
      <c r="G63" s="101"/>
      <c r="H63" s="99"/>
      <c r="I63" s="99"/>
      <c r="J63" s="99"/>
      <c r="K63" s="99"/>
      <c r="L63" s="98"/>
      <c r="M63" s="99"/>
      <c r="N63" s="102"/>
    </row>
    <row r="64" spans="1:14" x14ac:dyDescent="0.25">
      <c r="A64" s="165" t="s">
        <v>73</v>
      </c>
      <c r="B64" s="110">
        <f>(B15-SUM(B22:B26))+SUM(B56:B60)</f>
        <v>0</v>
      </c>
      <c r="C64" s="114">
        <f t="shared" ref="C64:N64" si="14">(SUM(C15:C19)-SUM(C22:C26))+SUM(C56:C60)+B64</f>
        <v>0</v>
      </c>
      <c r="D64" s="114">
        <f t="shared" si="14"/>
        <v>0.71203150918887492</v>
      </c>
      <c r="E64" s="114">
        <f>(SUM(E15:E19)-SUM(E22:E26))+SUM(E56:E60)+D64</f>
        <v>4706.551460582401</v>
      </c>
      <c r="F64" s="114">
        <f t="shared" si="14"/>
        <v>2261.7265642031507</v>
      </c>
      <c r="G64" s="114">
        <f>(SUM(G15:G19)-SUM(G22:G26))+SUM(G56:G60)+F64</f>
        <v>-264248.01423967956</v>
      </c>
      <c r="H64" s="114">
        <f t="shared" si="14"/>
        <v>-396272.77733502828</v>
      </c>
      <c r="I64" s="114">
        <f t="shared" si="14"/>
        <v>-441092.55341293442</v>
      </c>
      <c r="J64" s="114">
        <f t="shared" si="14"/>
        <v>-564635.90723227884</v>
      </c>
      <c r="K64" s="114">
        <f t="shared" si="14"/>
        <v>-870502.97660443862</v>
      </c>
      <c r="L64" s="110">
        <f>(SUM(L15:L19)-SUM(L22:L26))+SUM(L56:L60)+K64</f>
        <v>-1297341.7880134427</v>
      </c>
      <c r="M64" s="114">
        <f t="shared" si="14"/>
        <v>-1718114.9392251535</v>
      </c>
      <c r="N64" s="115">
        <f t="shared" si="14"/>
        <v>-2205124.141088306</v>
      </c>
    </row>
    <row r="65" spans="1:14" x14ac:dyDescent="0.25">
      <c r="A65" s="165" t="s">
        <v>105</v>
      </c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8"/>
      <c r="M65" s="99"/>
      <c r="N65" s="102"/>
    </row>
    <row r="66" spans="1:14" x14ac:dyDescent="0.25">
      <c r="A66" s="202" t="s">
        <v>0</v>
      </c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8"/>
      <c r="M66" s="99"/>
      <c r="N66" s="102"/>
    </row>
    <row r="67" spans="1:14" x14ac:dyDescent="0.25">
      <c r="A67" s="202" t="s">
        <v>4</v>
      </c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8"/>
      <c r="M67" s="99"/>
      <c r="N67" s="102"/>
    </row>
    <row r="68" spans="1:14" x14ac:dyDescent="0.25">
      <c r="A68" s="202" t="s">
        <v>5</v>
      </c>
      <c r="B68" s="98"/>
      <c r="C68" s="99"/>
      <c r="D68" s="99"/>
      <c r="E68" s="215"/>
      <c r="F68" s="215"/>
      <c r="G68" s="215"/>
      <c r="H68" s="215"/>
      <c r="I68" s="215"/>
      <c r="J68" s="215"/>
      <c r="K68" s="215"/>
      <c r="L68" s="98"/>
      <c r="M68" s="99"/>
      <c r="N68" s="102"/>
    </row>
    <row r="69" spans="1:14" x14ac:dyDescent="0.25">
      <c r="A69" s="202" t="s">
        <v>6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8"/>
      <c r="M69" s="99"/>
      <c r="N69" s="102"/>
    </row>
    <row r="70" spans="1:14" ht="15.75" thickBot="1" x14ac:dyDescent="0.3">
      <c r="A70" s="202" t="s">
        <v>7</v>
      </c>
      <c r="B70" s="133"/>
      <c r="C70" s="134"/>
      <c r="D70" s="134"/>
      <c r="E70" s="216"/>
      <c r="F70" s="216"/>
      <c r="G70" s="216"/>
      <c r="H70" s="216"/>
      <c r="I70" s="216"/>
      <c r="J70" s="216"/>
      <c r="K70" s="216"/>
      <c r="L70" s="133"/>
      <c r="M70" s="134"/>
      <c r="N70" s="135"/>
    </row>
    <row r="71" spans="1:14" x14ac:dyDescent="0.25">
      <c r="B71" s="55"/>
      <c r="C71" s="55"/>
      <c r="D71" s="55"/>
      <c r="E71" s="55"/>
      <c r="F71" s="55"/>
      <c r="G71" s="55"/>
      <c r="H71" s="55"/>
    </row>
    <row r="75" spans="1:14" x14ac:dyDescent="0.25">
      <c r="C75" s="55"/>
      <c r="D75" s="55"/>
      <c r="E75" s="55"/>
      <c r="F75" s="55"/>
      <c r="G75" s="55"/>
      <c r="H75" s="55"/>
    </row>
  </sheetData>
  <mergeCells count="1">
    <mergeCell ref="L13:N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</sheetPr>
  <dimension ref="A2:BI75"/>
  <sheetViews>
    <sheetView zoomScaleNormal="100" workbookViewId="0">
      <pane xSplit="1" ySplit="14" topLeftCell="AP15" activePane="bottomRight" state="frozen"/>
      <selection activeCell="B5" sqref="B5:B9"/>
      <selection pane="topRight" activeCell="B5" sqref="B5:B9"/>
      <selection pane="bottomLeft" activeCell="B5" sqref="B5:B9"/>
      <selection pane="bottomRight" activeCell="BA40" sqref="BA40"/>
    </sheetView>
  </sheetViews>
  <sheetFormatPr defaultColWidth="9.140625" defaultRowHeight="15" x14ac:dyDescent="0.25"/>
  <cols>
    <col min="1" max="1" width="17.5703125" style="72" customWidth="1"/>
    <col min="2" max="2" width="16" style="72" customWidth="1"/>
    <col min="3" max="3" width="14.5703125" style="72" customWidth="1"/>
    <col min="4" max="4" width="15.140625" style="72" customWidth="1"/>
    <col min="5" max="5" width="16.140625" style="72" customWidth="1"/>
    <col min="6" max="6" width="14.28515625" style="72" bestFit="1" customWidth="1"/>
    <col min="7" max="7" width="16" style="72" customWidth="1"/>
    <col min="8" max="9" width="14.28515625" style="72" bestFit="1" customWidth="1"/>
    <col min="10" max="10" width="15.5703125" style="72" customWidth="1"/>
    <col min="11" max="11" width="14" style="72" customWidth="1"/>
    <col min="12" max="47" width="14" style="165" customWidth="1"/>
    <col min="48" max="50" width="15.5703125" style="72" customWidth="1"/>
    <col min="51" max="51" width="17.28515625" style="72" customWidth="1"/>
    <col min="52" max="16384" width="9.140625" style="72"/>
  </cols>
  <sheetData>
    <row r="2" spans="1:61" x14ac:dyDescent="0.25">
      <c r="B2" s="184" t="s">
        <v>100</v>
      </c>
      <c r="E2" s="165"/>
      <c r="I2" s="3" t="s">
        <v>26</v>
      </c>
      <c r="L2" s="72"/>
      <c r="AV2" s="165"/>
    </row>
    <row r="3" spans="1:61" x14ac:dyDescent="0.25">
      <c r="B3" s="204" t="s">
        <v>124</v>
      </c>
      <c r="C3" s="85" t="s">
        <v>64</v>
      </c>
      <c r="D3" s="85" t="s">
        <v>76</v>
      </c>
      <c r="E3" s="183" t="s">
        <v>91</v>
      </c>
      <c r="F3" s="85" t="s">
        <v>65</v>
      </c>
      <c r="G3" s="85" t="s">
        <v>66</v>
      </c>
      <c r="I3" s="57" t="s">
        <v>90</v>
      </c>
      <c r="J3" s="49"/>
      <c r="K3" s="49"/>
      <c r="L3" s="72"/>
      <c r="AV3" s="165"/>
    </row>
    <row r="4" spans="1:61" x14ac:dyDescent="0.25">
      <c r="A4" s="73" t="s">
        <v>0</v>
      </c>
      <c r="B4" s="24">
        <f>+N66</f>
        <v>7611905</v>
      </c>
      <c r="C4" s="24">
        <f>SUM(B29:AX29)</f>
        <v>47327848.956912778</v>
      </c>
      <c r="D4" s="24">
        <f>SUM(B15:AX15)</f>
        <v>38797025.7630319</v>
      </c>
      <c r="E4" s="24">
        <f>B4-C4+D4</f>
        <v>-918918.19388087839</v>
      </c>
      <c r="F4" s="24">
        <f>SUM(B56:AX56)</f>
        <v>-28104.925462988151</v>
      </c>
      <c r="G4" s="42">
        <f>E4+F4</f>
        <v>-947023.11934386659</v>
      </c>
      <c r="I4" s="3" t="s">
        <v>98</v>
      </c>
      <c r="J4" s="49"/>
      <c r="K4" s="49"/>
      <c r="L4" s="72"/>
      <c r="AV4" s="165"/>
    </row>
    <row r="5" spans="1:61" x14ac:dyDescent="0.25">
      <c r="A5" s="73" t="s">
        <v>4</v>
      </c>
      <c r="B5" s="24">
        <f>+N67</f>
        <v>668388</v>
      </c>
      <c r="C5" s="24">
        <f t="shared" ref="C5:C8" si="0">SUM(B30:AX30)</f>
        <v>13210721.016014377</v>
      </c>
      <c r="D5" s="24">
        <f>SUM(B16:AX16)</f>
        <v>11900634.481399644</v>
      </c>
      <c r="E5" s="24">
        <f t="shared" ref="E5:E8" si="1">B5-C5+D5</f>
        <v>-641698.53461473249</v>
      </c>
      <c r="F5" s="24">
        <f>SUM(B57:AX57)</f>
        <v>1716.0670160602838</v>
      </c>
      <c r="G5" s="42">
        <f>E5+F5</f>
        <v>-639982.46759867226</v>
      </c>
      <c r="I5" s="57" t="s">
        <v>99</v>
      </c>
      <c r="J5" s="49"/>
      <c r="K5" s="49"/>
      <c r="L5" s="72"/>
      <c r="AV5" s="165"/>
    </row>
    <row r="6" spans="1:61" x14ac:dyDescent="0.25">
      <c r="A6" s="73" t="s">
        <v>5</v>
      </c>
      <c r="B6" s="24">
        <f>+N68</f>
        <v>905881</v>
      </c>
      <c r="C6" s="24">
        <f t="shared" si="0"/>
        <v>24536040.705414295</v>
      </c>
      <c r="D6" s="24">
        <f>SUM(B17:AX17)</f>
        <v>24339243.232716888</v>
      </c>
      <c r="E6" s="24">
        <f t="shared" si="1"/>
        <v>709083.52730259299</v>
      </c>
      <c r="F6" s="24">
        <f>SUM(B58:AX58)</f>
        <v>6528.7174980167374</v>
      </c>
      <c r="G6" s="42">
        <f>E6+F6</f>
        <v>715612.24480060977</v>
      </c>
      <c r="I6" s="57" t="s">
        <v>129</v>
      </c>
      <c r="J6" s="49"/>
      <c r="K6" s="49"/>
      <c r="L6" s="72"/>
      <c r="AV6" s="165"/>
    </row>
    <row r="7" spans="1:61" x14ac:dyDescent="0.25">
      <c r="A7" s="73" t="s">
        <v>6</v>
      </c>
      <c r="B7" s="24">
        <f>+N69</f>
        <v>2477462</v>
      </c>
      <c r="C7" s="24">
        <f t="shared" si="0"/>
        <v>12258111.325279364</v>
      </c>
      <c r="D7" s="24">
        <f>SUM(B18:AX18)</f>
        <v>10261882.247415146</v>
      </c>
      <c r="E7" s="24">
        <f t="shared" si="1"/>
        <v>481232.9221357815</v>
      </c>
      <c r="F7" s="24">
        <f>SUM(B59:AX59)</f>
        <v>-2579.1223668541452</v>
      </c>
      <c r="G7" s="42">
        <f>E7+F7</f>
        <v>478653.79976892733</v>
      </c>
      <c r="I7" s="57" t="s">
        <v>82</v>
      </c>
      <c r="J7" s="49"/>
      <c r="K7" s="49"/>
      <c r="L7" s="72"/>
      <c r="AV7" s="165"/>
    </row>
    <row r="8" spans="1:61" ht="15.75" thickBot="1" x14ac:dyDescent="0.3">
      <c r="A8" s="73" t="s">
        <v>7</v>
      </c>
      <c r="B8" s="24">
        <f>+N70</f>
        <v>1878286</v>
      </c>
      <c r="C8" s="24">
        <f t="shared" si="0"/>
        <v>3602681.9159780536</v>
      </c>
      <c r="D8" s="24">
        <f>SUM(B19:AX19)</f>
        <v>2153266.4854364232</v>
      </c>
      <c r="E8" s="24">
        <f t="shared" si="1"/>
        <v>428870.56945836963</v>
      </c>
      <c r="F8" s="24">
        <f>SUM(B60:AX60)</f>
        <v>6492.220721228382</v>
      </c>
      <c r="G8" s="42">
        <f>E8+F8</f>
        <v>435362.79017959803</v>
      </c>
      <c r="I8" s="57" t="s">
        <v>96</v>
      </c>
      <c r="L8" s="72"/>
      <c r="AV8" s="165"/>
    </row>
    <row r="9" spans="1:61" ht="16.5" thickTop="1" thickBot="1" x14ac:dyDescent="0.3">
      <c r="B9" s="87">
        <f t="shared" ref="B9:G9" si="2">SUM(B4:B8)</f>
        <v>13541922</v>
      </c>
      <c r="C9" s="87">
        <f t="shared" si="2"/>
        <v>100935403.91959888</v>
      </c>
      <c r="D9" s="87">
        <f t="shared" si="2"/>
        <v>87452052.209999993</v>
      </c>
      <c r="E9" s="87">
        <f t="shared" si="2"/>
        <v>58570.290401133243</v>
      </c>
      <c r="F9" s="87">
        <f t="shared" si="2"/>
        <v>-15947.042594536895</v>
      </c>
      <c r="G9" s="87">
        <f t="shared" si="2"/>
        <v>42623.247806596279</v>
      </c>
      <c r="I9" s="57" t="s">
        <v>128</v>
      </c>
      <c r="L9" s="72"/>
      <c r="AV9" s="48"/>
    </row>
    <row r="10" spans="1:61" ht="16.5" thickTop="1" thickBot="1" x14ac:dyDescent="0.3">
      <c r="B10" s="165"/>
      <c r="E10" s="39" t="s">
        <v>25</v>
      </c>
      <c r="F10" s="21">
        <f>F9-SUM(B39:AX39)</f>
        <v>-4.4649323863268364E-3</v>
      </c>
      <c r="J10" s="49"/>
      <c r="K10" s="49"/>
      <c r="L10" s="72"/>
      <c r="AV10" s="165"/>
    </row>
    <row r="11" spans="1:61" ht="15.75" thickTop="1" x14ac:dyDescent="0.25">
      <c r="B11" s="165"/>
      <c r="F11" s="4"/>
      <c r="G11" s="4"/>
      <c r="L11" s="72"/>
      <c r="M11" s="72"/>
      <c r="AV11" s="165"/>
      <c r="AW11" s="165"/>
    </row>
    <row r="12" spans="1:61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20"/>
      <c r="AW12" s="20"/>
    </row>
    <row r="13" spans="1:61" ht="15.75" thickBot="1" x14ac:dyDescent="0.3">
      <c r="B13" s="88"/>
      <c r="C13" s="89"/>
      <c r="D13" s="90" t="s">
        <v>89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342" t="s">
        <v>67</v>
      </c>
      <c r="AW13" s="343"/>
      <c r="AX13" s="344"/>
    </row>
    <row r="14" spans="1:61" x14ac:dyDescent="0.25">
      <c r="A14" s="72" t="s">
        <v>75</v>
      </c>
      <c r="B14" s="91">
        <v>42370</v>
      </c>
      <c r="C14" s="92">
        <f>EDATE(B14,1)</f>
        <v>42401</v>
      </c>
      <c r="D14" s="92">
        <f t="shared" ref="D14:AX14" si="3">EDATE(C14,1)</f>
        <v>42430</v>
      </c>
      <c r="E14" s="92">
        <f t="shared" si="3"/>
        <v>42461</v>
      </c>
      <c r="F14" s="92">
        <f t="shared" si="3"/>
        <v>42491</v>
      </c>
      <c r="G14" s="92">
        <f t="shared" si="3"/>
        <v>42522</v>
      </c>
      <c r="H14" s="92">
        <f t="shared" si="3"/>
        <v>42552</v>
      </c>
      <c r="I14" s="92">
        <f t="shared" si="3"/>
        <v>42583</v>
      </c>
      <c r="J14" s="92">
        <f t="shared" si="3"/>
        <v>42614</v>
      </c>
      <c r="K14" s="92">
        <f t="shared" si="3"/>
        <v>42644</v>
      </c>
      <c r="L14" s="92">
        <f t="shared" ref="L14" si="4">EDATE(K14,1)</f>
        <v>42675</v>
      </c>
      <c r="M14" s="92">
        <f t="shared" ref="M14" si="5">EDATE(L14,1)</f>
        <v>42705</v>
      </c>
      <c r="N14" s="92">
        <f t="shared" ref="N14" si="6">EDATE(M14,1)</f>
        <v>42736</v>
      </c>
      <c r="O14" s="92">
        <f t="shared" ref="O14" si="7">EDATE(N14,1)</f>
        <v>42767</v>
      </c>
      <c r="P14" s="92">
        <f t="shared" ref="P14" si="8">EDATE(O14,1)</f>
        <v>42795</v>
      </c>
      <c r="Q14" s="92">
        <f t="shared" ref="Q14" si="9">EDATE(P14,1)</f>
        <v>42826</v>
      </c>
      <c r="R14" s="92">
        <f t="shared" ref="R14" si="10">EDATE(Q14,1)</f>
        <v>42856</v>
      </c>
      <c r="S14" s="92">
        <f t="shared" ref="S14" si="11">EDATE(R14,1)</f>
        <v>42887</v>
      </c>
      <c r="T14" s="92">
        <f t="shared" ref="T14" si="12">EDATE(S14,1)</f>
        <v>42917</v>
      </c>
      <c r="U14" s="92">
        <f t="shared" ref="U14" si="13">EDATE(T14,1)</f>
        <v>42948</v>
      </c>
      <c r="V14" s="92">
        <f t="shared" ref="V14" si="14">EDATE(U14,1)</f>
        <v>42979</v>
      </c>
      <c r="W14" s="92">
        <f t="shared" ref="W14" si="15">EDATE(V14,1)</f>
        <v>43009</v>
      </c>
      <c r="X14" s="92">
        <f t="shared" ref="X14" si="16">EDATE(W14,1)</f>
        <v>43040</v>
      </c>
      <c r="Y14" s="92">
        <f t="shared" ref="Y14" si="17">EDATE(X14,1)</f>
        <v>43070</v>
      </c>
      <c r="Z14" s="92">
        <f t="shared" ref="Z14" si="18">EDATE(Y14,1)</f>
        <v>43101</v>
      </c>
      <c r="AA14" s="92">
        <f t="shared" ref="AA14" si="19">EDATE(Z14,1)</f>
        <v>43132</v>
      </c>
      <c r="AB14" s="92">
        <f t="shared" ref="AB14" si="20">EDATE(AA14,1)</f>
        <v>43160</v>
      </c>
      <c r="AC14" s="92">
        <f t="shared" ref="AC14" si="21">EDATE(AB14,1)</f>
        <v>43191</v>
      </c>
      <c r="AD14" s="92">
        <f t="shared" ref="AD14" si="22">EDATE(AC14,1)</f>
        <v>43221</v>
      </c>
      <c r="AE14" s="92">
        <f t="shared" ref="AE14" si="23">EDATE(AD14,1)</f>
        <v>43252</v>
      </c>
      <c r="AF14" s="92">
        <f t="shared" ref="AF14" si="24">EDATE(AE14,1)</f>
        <v>43282</v>
      </c>
      <c r="AG14" s="92">
        <f t="shared" ref="AG14" si="25">EDATE(AF14,1)</f>
        <v>43313</v>
      </c>
      <c r="AH14" s="92">
        <f t="shared" ref="AH14:AI14" si="26">EDATE(AG14,1)</f>
        <v>43344</v>
      </c>
      <c r="AI14" s="92">
        <f t="shared" si="26"/>
        <v>43374</v>
      </c>
      <c r="AJ14" s="92">
        <f t="shared" ref="AJ14" si="27">EDATE(AI14,1)</f>
        <v>43405</v>
      </c>
      <c r="AK14" s="92">
        <f t="shared" ref="AK14" si="28">EDATE(AJ14,1)</f>
        <v>43435</v>
      </c>
      <c r="AL14" s="92">
        <f t="shared" ref="AL14" si="29">EDATE(AK14,1)</f>
        <v>43466</v>
      </c>
      <c r="AM14" s="92">
        <f t="shared" ref="AM14" si="30">EDATE(AL14,1)</f>
        <v>43497</v>
      </c>
      <c r="AN14" s="92">
        <f t="shared" ref="AN14" si="31">EDATE(AM14,1)</f>
        <v>43525</v>
      </c>
      <c r="AO14" s="92">
        <f t="shared" ref="AO14" si="32">EDATE(AN14,1)</f>
        <v>43556</v>
      </c>
      <c r="AP14" s="92">
        <f t="shared" ref="AP14" si="33">EDATE(AO14,1)</f>
        <v>43586</v>
      </c>
      <c r="AQ14" s="92">
        <f t="shared" ref="AQ14" si="34">EDATE(AP14,1)</f>
        <v>43617</v>
      </c>
      <c r="AR14" s="92">
        <f t="shared" ref="AR14" si="35">EDATE(AQ14,1)</f>
        <v>43647</v>
      </c>
      <c r="AS14" s="92">
        <f t="shared" ref="AS14" si="36">EDATE(AR14,1)</f>
        <v>43678</v>
      </c>
      <c r="AT14" s="92">
        <f t="shared" ref="AT14" si="37">EDATE(AS14,1)</f>
        <v>43709</v>
      </c>
      <c r="AU14" s="92">
        <f t="shared" ref="AU14" si="38">EDATE(AT14,1)</f>
        <v>43739</v>
      </c>
      <c r="AV14" s="91">
        <f>EDATE(AU14,1)</f>
        <v>43770</v>
      </c>
      <c r="AW14" s="92">
        <f t="shared" si="3"/>
        <v>43800</v>
      </c>
      <c r="AX14" s="93">
        <f t="shared" si="3"/>
        <v>43831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x14ac:dyDescent="0.25">
      <c r="A15" s="72" t="s">
        <v>0</v>
      </c>
      <c r="B15" s="94">
        <v>0</v>
      </c>
      <c r="C15" s="95">
        <v>0</v>
      </c>
      <c r="D15" s="95">
        <v>0</v>
      </c>
      <c r="E15" s="95">
        <v>1328.78</v>
      </c>
      <c r="F15" s="95">
        <v>9526.5300000000007</v>
      </c>
      <c r="G15" s="95">
        <v>120352.88</v>
      </c>
      <c r="H15" s="95">
        <v>256080.65000000002</v>
      </c>
      <c r="I15" s="95">
        <v>373393.34435846674</v>
      </c>
      <c r="J15" s="95">
        <v>671736.21363575384</v>
      </c>
      <c r="K15" s="95">
        <v>120839.85</v>
      </c>
      <c r="L15" s="95">
        <v>185093.49881649271</v>
      </c>
      <c r="M15" s="95">
        <v>303285.19452852954</v>
      </c>
      <c r="N15" s="95">
        <v>329743.7910035231</v>
      </c>
      <c r="O15" s="95">
        <v>319589.12614734296</v>
      </c>
      <c r="P15" s="95">
        <v>307416.51622437377</v>
      </c>
      <c r="Q15" s="95">
        <v>202009.99758789604</v>
      </c>
      <c r="R15" s="95">
        <v>201518.00847600689</v>
      </c>
      <c r="S15" s="95">
        <v>884196.51701427973</v>
      </c>
      <c r="T15" s="95">
        <v>1282604.3399999999</v>
      </c>
      <c r="U15" s="95">
        <v>1412760.5841518985</v>
      </c>
      <c r="V15" s="95">
        <v>912043.87330211163</v>
      </c>
      <c r="W15" s="95">
        <v>279976.46619588812</v>
      </c>
      <c r="X15" s="95">
        <v>377438.47759872582</v>
      </c>
      <c r="Y15" s="95">
        <v>565267.94576951256</v>
      </c>
      <c r="Z15" s="95">
        <v>607215.02747681318</v>
      </c>
      <c r="AA15" s="95">
        <v>515316.53827609093</v>
      </c>
      <c r="AB15" s="95">
        <v>473150.50916160172</v>
      </c>
      <c r="AC15" s="95">
        <v>270731.77958850004</v>
      </c>
      <c r="AD15" s="95">
        <v>491596.14834248205</v>
      </c>
      <c r="AE15" s="95">
        <v>2024956.6659391024</v>
      </c>
      <c r="AF15" s="95">
        <v>2753783.435947692</v>
      </c>
      <c r="AG15" s="95">
        <v>2655187.2707727067</v>
      </c>
      <c r="AH15" s="95">
        <v>1585670.784126644</v>
      </c>
      <c r="AI15" s="95">
        <v>556118.7299202627</v>
      </c>
      <c r="AJ15" s="95">
        <v>513458.06050710165</v>
      </c>
      <c r="AK15" s="95">
        <v>702799.89768350183</v>
      </c>
      <c r="AL15" s="95">
        <v>705267.00941836974</v>
      </c>
      <c r="AM15" s="95">
        <v>626813.61963691877</v>
      </c>
      <c r="AN15" s="95">
        <v>733376.44916449382</v>
      </c>
      <c r="AO15" s="95">
        <v>579952.0325992658</v>
      </c>
      <c r="AP15" s="95">
        <v>371011.49182013981</v>
      </c>
      <c r="AQ15" s="95">
        <v>2723256.6958003566</v>
      </c>
      <c r="AR15" s="95">
        <v>3090240.1159956334</v>
      </c>
      <c r="AS15" s="95">
        <v>3319235.3330920129</v>
      </c>
      <c r="AT15" s="95">
        <v>1872423.9163418177</v>
      </c>
      <c r="AU15" s="95">
        <v>468639.40013933519</v>
      </c>
      <c r="AV15" s="317">
        <v>563246.16138701665</v>
      </c>
      <c r="AW15" s="318">
        <v>744958.19331758656</v>
      </c>
      <c r="AX15" s="319">
        <v>732417.91176565038</v>
      </c>
      <c r="AY15" s="49"/>
    </row>
    <row r="16" spans="1:61" x14ac:dyDescent="0.25">
      <c r="A16" s="72" t="s">
        <v>4</v>
      </c>
      <c r="B16" s="94">
        <v>0</v>
      </c>
      <c r="C16" s="95">
        <v>0</v>
      </c>
      <c r="D16" s="95">
        <v>0</v>
      </c>
      <c r="E16" s="95">
        <v>0</v>
      </c>
      <c r="F16" s="95">
        <v>0</v>
      </c>
      <c r="G16" s="95">
        <v>4167.9399999999996</v>
      </c>
      <c r="H16" s="95">
        <v>13357.940000000002</v>
      </c>
      <c r="I16" s="95">
        <v>14670.985238775314</v>
      </c>
      <c r="J16" s="95">
        <v>22602.465674921033</v>
      </c>
      <c r="K16" s="95">
        <v>23670.86</v>
      </c>
      <c r="L16" s="95">
        <v>27753.308601536653</v>
      </c>
      <c r="M16" s="95">
        <v>37258.575758638253</v>
      </c>
      <c r="N16" s="95">
        <v>47579.322188278435</v>
      </c>
      <c r="O16" s="95">
        <v>42911.041729266297</v>
      </c>
      <c r="P16" s="95">
        <v>52823.001162257649</v>
      </c>
      <c r="Q16" s="95">
        <v>25950.307634173645</v>
      </c>
      <c r="R16" s="95">
        <v>48983.559131334005</v>
      </c>
      <c r="S16" s="95">
        <v>90621.489340586311</v>
      </c>
      <c r="T16" s="95">
        <v>138931.90000000002</v>
      </c>
      <c r="U16" s="95">
        <v>133700.2685394297</v>
      </c>
      <c r="V16" s="95">
        <v>151757.81340251025</v>
      </c>
      <c r="W16" s="95">
        <v>116837.79257470783</v>
      </c>
      <c r="X16" s="95">
        <v>88133.517269885691</v>
      </c>
      <c r="Y16" s="95">
        <v>126989.00719390194</v>
      </c>
      <c r="Z16" s="95">
        <v>151376.91870679389</v>
      </c>
      <c r="AA16" s="95">
        <v>131012.65264951537</v>
      </c>
      <c r="AB16" s="95">
        <v>161984.73662810036</v>
      </c>
      <c r="AC16" s="95">
        <v>186884.98622710272</v>
      </c>
      <c r="AD16" s="95">
        <v>260709.07600105793</v>
      </c>
      <c r="AE16" s="95">
        <v>394275.90039880731</v>
      </c>
      <c r="AF16" s="95">
        <v>517564.58433629415</v>
      </c>
      <c r="AG16" s="95">
        <v>456642.37398614379</v>
      </c>
      <c r="AH16" s="95">
        <v>495377.09665466635</v>
      </c>
      <c r="AI16" s="95">
        <v>348239.88671273278</v>
      </c>
      <c r="AJ16" s="95">
        <v>315404.35918017995</v>
      </c>
      <c r="AK16" s="95">
        <v>349367.88347835495</v>
      </c>
      <c r="AL16" s="95">
        <v>376670.80776353204</v>
      </c>
      <c r="AM16" s="95">
        <v>315666.15712072933</v>
      </c>
      <c r="AN16" s="95">
        <v>426235.9958025862</v>
      </c>
      <c r="AO16" s="95">
        <v>429805.50677490461</v>
      </c>
      <c r="AP16" s="95">
        <v>425502.70439957909</v>
      </c>
      <c r="AQ16" s="95">
        <v>711026.13316380861</v>
      </c>
      <c r="AR16" s="95">
        <v>906630.75933951</v>
      </c>
      <c r="AS16" s="95">
        <v>735303.71734464087</v>
      </c>
      <c r="AT16" s="95">
        <v>765682.15647802898</v>
      </c>
      <c r="AU16" s="95">
        <v>522721.08210263157</v>
      </c>
      <c r="AV16" s="317">
        <v>420390.33114496828</v>
      </c>
      <c r="AW16" s="318">
        <v>436082.58133009676</v>
      </c>
      <c r="AX16" s="319">
        <v>451374.99823467422</v>
      </c>
      <c r="AY16" s="49"/>
    </row>
    <row r="17" spans="1:52" x14ac:dyDescent="0.25">
      <c r="A17" s="72" t="s">
        <v>5</v>
      </c>
      <c r="B17" s="94">
        <v>0</v>
      </c>
      <c r="C17" s="95">
        <v>0</v>
      </c>
      <c r="D17" s="95">
        <v>0</v>
      </c>
      <c r="E17" s="95">
        <v>0</v>
      </c>
      <c r="F17" s="95">
        <v>0</v>
      </c>
      <c r="G17" s="95">
        <v>6853.38</v>
      </c>
      <c r="H17" s="95">
        <v>24493.5</v>
      </c>
      <c r="I17" s="95">
        <v>33902.946879751129</v>
      </c>
      <c r="J17" s="95">
        <v>57130.941306139037</v>
      </c>
      <c r="K17" s="95">
        <v>48568.43</v>
      </c>
      <c r="L17" s="95">
        <v>56402.832716238408</v>
      </c>
      <c r="M17" s="95">
        <v>76416.403445979842</v>
      </c>
      <c r="N17" s="95">
        <v>98464.472713338357</v>
      </c>
      <c r="O17" s="95">
        <v>92820.247439449406</v>
      </c>
      <c r="P17" s="95">
        <v>115878.51859125202</v>
      </c>
      <c r="Q17" s="95">
        <v>64178.344243350926</v>
      </c>
      <c r="R17" s="95">
        <v>102867.21859456625</v>
      </c>
      <c r="S17" s="95">
        <v>225026.10782354834</v>
      </c>
      <c r="T17" s="95">
        <v>332206.05000000005</v>
      </c>
      <c r="U17" s="95">
        <v>326565.43828407576</v>
      </c>
      <c r="V17" s="95">
        <v>357152.1332604558</v>
      </c>
      <c r="W17" s="95">
        <v>233165.34998028661</v>
      </c>
      <c r="X17" s="95">
        <v>242735.19909115109</v>
      </c>
      <c r="Y17" s="95">
        <v>270260.8911173091</v>
      </c>
      <c r="Z17" s="95">
        <v>318931.98735694966</v>
      </c>
      <c r="AA17" s="95">
        <v>278425.9450890508</v>
      </c>
      <c r="AB17" s="95">
        <v>325174.04680208978</v>
      </c>
      <c r="AC17" s="95">
        <v>343158.29248776339</v>
      </c>
      <c r="AD17" s="95">
        <v>457118.03014316031</v>
      </c>
      <c r="AE17" s="95">
        <v>886825.58305134752</v>
      </c>
      <c r="AF17" s="95">
        <v>1197518.2821251666</v>
      </c>
      <c r="AG17" s="95">
        <v>1030275.3853313371</v>
      </c>
      <c r="AH17" s="95">
        <v>1033786.813176945</v>
      </c>
      <c r="AI17" s="95">
        <v>565137.42472021224</v>
      </c>
      <c r="AJ17" s="95">
        <v>515386.54786655982</v>
      </c>
      <c r="AK17" s="95">
        <v>600621.60749234632</v>
      </c>
      <c r="AL17" s="95">
        <v>677840.83886779845</v>
      </c>
      <c r="AM17" s="95">
        <v>590569.34077565547</v>
      </c>
      <c r="AN17" s="95">
        <v>785533.21729427099</v>
      </c>
      <c r="AO17" s="95">
        <v>759722.89069128735</v>
      </c>
      <c r="AP17" s="95">
        <v>730573.86433008127</v>
      </c>
      <c r="AQ17" s="95">
        <v>1701261.2984572235</v>
      </c>
      <c r="AR17" s="95">
        <v>2138329.3142225798</v>
      </c>
      <c r="AS17" s="95">
        <v>1807748.5219926799</v>
      </c>
      <c r="AT17" s="95">
        <v>1650674.4488178033</v>
      </c>
      <c r="AU17" s="95">
        <v>846164.39074269368</v>
      </c>
      <c r="AV17" s="317">
        <v>727479.01211920916</v>
      </c>
      <c r="AW17" s="318">
        <v>779949.89241541782</v>
      </c>
      <c r="AX17" s="319">
        <v>825947.85086036497</v>
      </c>
      <c r="AY17" s="49"/>
    </row>
    <row r="18" spans="1:52" x14ac:dyDescent="0.25">
      <c r="A18" s="72" t="s">
        <v>6</v>
      </c>
      <c r="B18" s="94">
        <v>0</v>
      </c>
      <c r="C18" s="95">
        <v>0</v>
      </c>
      <c r="D18" s="95">
        <v>0</v>
      </c>
      <c r="E18" s="95">
        <v>0</v>
      </c>
      <c r="F18" s="95">
        <v>0</v>
      </c>
      <c r="G18" s="95">
        <v>526.23</v>
      </c>
      <c r="H18" s="95">
        <v>1707.2399999999998</v>
      </c>
      <c r="I18" s="95">
        <v>2230.0207254609436</v>
      </c>
      <c r="J18" s="95">
        <v>4794.6581417484167</v>
      </c>
      <c r="K18" s="95">
        <v>4373.8599999999997</v>
      </c>
      <c r="L18" s="95">
        <v>7453.242982336099</v>
      </c>
      <c r="M18" s="95">
        <v>18084.577784318448</v>
      </c>
      <c r="N18" s="95">
        <v>27963.810761260709</v>
      </c>
      <c r="O18" s="95">
        <v>24456.059952649921</v>
      </c>
      <c r="P18" s="95">
        <v>29615.310672687767</v>
      </c>
      <c r="Q18" s="95">
        <v>12166.436689655247</v>
      </c>
      <c r="R18" s="95">
        <v>28108.084360485296</v>
      </c>
      <c r="S18" s="95">
        <v>128148.15141495112</v>
      </c>
      <c r="T18" s="95">
        <v>175689.74</v>
      </c>
      <c r="U18" s="95">
        <v>218402.52810095585</v>
      </c>
      <c r="V18" s="95">
        <v>205067.89849978662</v>
      </c>
      <c r="W18" s="95">
        <v>101187.08297273742</v>
      </c>
      <c r="X18" s="95">
        <v>97773.438006020719</v>
      </c>
      <c r="Y18" s="95">
        <v>113746.10309897989</v>
      </c>
      <c r="Z18" s="95">
        <v>131796.02801249109</v>
      </c>
      <c r="AA18" s="95">
        <v>116090.38160247794</v>
      </c>
      <c r="AB18" s="95">
        <v>132068.16497570253</v>
      </c>
      <c r="AC18" s="95">
        <v>133321.08677453059</v>
      </c>
      <c r="AD18" s="95">
        <v>180104.81791441111</v>
      </c>
      <c r="AE18" s="95">
        <v>422991.61425343697</v>
      </c>
      <c r="AF18" s="95">
        <v>543609.86073367961</v>
      </c>
      <c r="AG18" s="95">
        <v>486263.01132460969</v>
      </c>
      <c r="AH18" s="95">
        <v>414107.44556621916</v>
      </c>
      <c r="AI18" s="95">
        <v>207208.35422995902</v>
      </c>
      <c r="AJ18" s="95">
        <v>191307.18426831797</v>
      </c>
      <c r="AK18" s="95">
        <v>223825.29632810416</v>
      </c>
      <c r="AL18" s="95">
        <v>251714.86075436554</v>
      </c>
      <c r="AM18" s="95">
        <v>220841.99668727524</v>
      </c>
      <c r="AN18" s="95">
        <v>305651.11265488941</v>
      </c>
      <c r="AO18" s="95">
        <v>284274.24631552736</v>
      </c>
      <c r="AP18" s="95">
        <v>294781.80288519792</v>
      </c>
      <c r="AQ18" s="95">
        <v>791914.33120203775</v>
      </c>
      <c r="AR18" s="95">
        <v>978344.05317777325</v>
      </c>
      <c r="AS18" s="95">
        <v>874777.66117086785</v>
      </c>
      <c r="AT18" s="95">
        <v>686805.48036969628</v>
      </c>
      <c r="AU18" s="95">
        <v>321802.45107933023</v>
      </c>
      <c r="AV18" s="317">
        <v>272764.09703096992</v>
      </c>
      <c r="AW18" s="318">
        <v>290670.04791185108</v>
      </c>
      <c r="AX18" s="319">
        <v>303352.38602739281</v>
      </c>
      <c r="AY18" s="49"/>
    </row>
    <row r="19" spans="1:52" x14ac:dyDescent="0.25">
      <c r="A19" s="72" t="s">
        <v>7</v>
      </c>
      <c r="B19" s="94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360.22</v>
      </c>
      <c r="I19" s="95">
        <v>1356.5027975457876</v>
      </c>
      <c r="J19" s="95">
        <v>2255.3712414377201</v>
      </c>
      <c r="K19" s="95">
        <v>1897.72</v>
      </c>
      <c r="L19" s="95">
        <v>2405.4668833960245</v>
      </c>
      <c r="M19" s="95">
        <v>3262.8984825339485</v>
      </c>
      <c r="N19" s="95">
        <v>5909.4833335993335</v>
      </c>
      <c r="O19" s="95">
        <v>6425.014731291647</v>
      </c>
      <c r="P19" s="95">
        <v>9106.0133494287093</v>
      </c>
      <c r="Q19" s="95">
        <v>8390.7638449238184</v>
      </c>
      <c r="R19" s="95">
        <v>10997.379437607351</v>
      </c>
      <c r="S19" s="95">
        <v>20856.094406634937</v>
      </c>
      <c r="T19" s="95">
        <v>29338.039999999994</v>
      </c>
      <c r="U19" s="95">
        <v>27923.370923640025</v>
      </c>
      <c r="V19" s="95">
        <v>26983.721535135461</v>
      </c>
      <c r="W19" s="95">
        <v>19471.188276380515</v>
      </c>
      <c r="X19" s="95">
        <v>18971.478034215677</v>
      </c>
      <c r="Y19" s="95">
        <v>20838.032820297231</v>
      </c>
      <c r="Z19" s="95">
        <v>24107.448446951264</v>
      </c>
      <c r="AA19" s="95">
        <v>21893.062382864882</v>
      </c>
      <c r="AB19" s="95">
        <v>24080.232432507251</v>
      </c>
      <c r="AC19" s="95">
        <v>25697.334922102909</v>
      </c>
      <c r="AD19" s="95">
        <v>34703.027598888038</v>
      </c>
      <c r="AE19" s="95">
        <v>75519.476357307751</v>
      </c>
      <c r="AF19" s="95">
        <v>100273.42685716876</v>
      </c>
      <c r="AG19" s="95">
        <v>85499.508585205374</v>
      </c>
      <c r="AH19" s="95">
        <v>69397.820475524379</v>
      </c>
      <c r="AI19" s="95">
        <v>37821.144416831085</v>
      </c>
      <c r="AJ19" s="95">
        <v>35865.098177838852</v>
      </c>
      <c r="AK19" s="95">
        <v>42905.24501769265</v>
      </c>
      <c r="AL19" s="95">
        <v>48941.253195931422</v>
      </c>
      <c r="AM19" s="95">
        <v>45736.205779424003</v>
      </c>
      <c r="AN19" s="95">
        <v>61794.995083764363</v>
      </c>
      <c r="AO19" s="95">
        <v>56159.323619014431</v>
      </c>
      <c r="AP19" s="95">
        <v>66116.096564999927</v>
      </c>
      <c r="AQ19" s="95">
        <v>196336.18137657503</v>
      </c>
      <c r="AR19" s="95">
        <v>261767.5472645007</v>
      </c>
      <c r="AS19" s="95">
        <v>232206.9863998002</v>
      </c>
      <c r="AT19" s="95">
        <v>149701.48799265211</v>
      </c>
      <c r="AU19" s="95">
        <v>63981.67593600769</v>
      </c>
      <c r="AV19" s="317">
        <v>55465.008317835993</v>
      </c>
      <c r="AW19" s="318">
        <v>59428.475025047788</v>
      </c>
      <c r="AX19" s="319">
        <v>61119.663111917544</v>
      </c>
      <c r="AY19" s="49"/>
    </row>
    <row r="20" spans="1:52" x14ac:dyDescent="0.25">
      <c r="B20" s="98"/>
      <c r="C20" s="99"/>
      <c r="D20" s="99"/>
      <c r="E20" s="99"/>
      <c r="F20" s="99"/>
      <c r="G20" s="108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100"/>
      <c r="AW20" s="101"/>
      <c r="AX20" s="102"/>
    </row>
    <row r="21" spans="1:52" x14ac:dyDescent="0.25">
      <c r="A21" s="49" t="s">
        <v>130</v>
      </c>
      <c r="B21" s="206"/>
      <c r="C21" s="99"/>
      <c r="D21" s="103" t="s">
        <v>68</v>
      </c>
      <c r="E21" s="205"/>
      <c r="F21" s="205"/>
      <c r="G21" s="10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100"/>
      <c r="AW21" s="101"/>
      <c r="AX21" s="102"/>
      <c r="AY21" s="116" t="s">
        <v>110</v>
      </c>
    </row>
    <row r="22" spans="1:52" x14ac:dyDescent="0.25">
      <c r="A22" s="72" t="s">
        <v>0</v>
      </c>
      <c r="B22" s="94">
        <v>0</v>
      </c>
      <c r="C22" s="95">
        <v>0</v>
      </c>
      <c r="D22" s="95">
        <v>0</v>
      </c>
      <c r="E22" s="95">
        <v>0</v>
      </c>
      <c r="F22" s="95">
        <v>12454.76</v>
      </c>
      <c r="G22" s="95">
        <v>191642.45</v>
      </c>
      <c r="H22" s="95">
        <v>257925.06</v>
      </c>
      <c r="I22" s="95">
        <v>258848.42</v>
      </c>
      <c r="J22" s="95">
        <v>234125.18</v>
      </c>
      <c r="K22" s="95">
        <v>166948.49</v>
      </c>
      <c r="L22" s="95">
        <v>136842.14000000001</v>
      </c>
      <c r="M22" s="95">
        <v>210493.55</v>
      </c>
      <c r="N22" s="95">
        <v>406285.42</v>
      </c>
      <c r="O22" s="95">
        <v>1369889.78</v>
      </c>
      <c r="P22" s="95">
        <v>1103029.06</v>
      </c>
      <c r="Q22" s="95">
        <v>964230.74</v>
      </c>
      <c r="R22" s="95">
        <v>918986.9</v>
      </c>
      <c r="S22" s="95">
        <v>1235335.3500000001</v>
      </c>
      <c r="T22" s="95">
        <v>1643710.03</v>
      </c>
      <c r="U22" s="95">
        <v>1663991.32</v>
      </c>
      <c r="V22" s="95">
        <v>1315722.52</v>
      </c>
      <c r="W22" s="95">
        <v>1155142.76</v>
      </c>
      <c r="X22" s="95">
        <v>1008647.72</v>
      </c>
      <c r="Y22" s="95">
        <v>1300717.95</v>
      </c>
      <c r="Z22" s="95">
        <v>1995202.44</v>
      </c>
      <c r="AA22" s="95">
        <v>1361606.16</v>
      </c>
      <c r="AB22" s="95">
        <v>1097480.82</v>
      </c>
      <c r="AC22" s="95">
        <v>1059578.1200000001</v>
      </c>
      <c r="AD22" s="95">
        <v>862980.65</v>
      </c>
      <c r="AE22" s="95">
        <v>1281774.72</v>
      </c>
      <c r="AF22" s="95">
        <v>1502957.34</v>
      </c>
      <c r="AG22" s="95">
        <v>1346919.46</v>
      </c>
      <c r="AH22" s="95">
        <v>1295482.8999999999</v>
      </c>
      <c r="AI22" s="95">
        <v>1002485.52</v>
      </c>
      <c r="AJ22" s="95">
        <v>930228.6</v>
      </c>
      <c r="AK22" s="95">
        <v>1294357.3</v>
      </c>
      <c r="AL22" s="95">
        <v>1435395.83</v>
      </c>
      <c r="AM22" s="95">
        <v>1500360.52</v>
      </c>
      <c r="AN22" s="95">
        <v>1351205.92</v>
      </c>
      <c r="AO22" s="95">
        <v>930965.27</v>
      </c>
      <c r="AP22" s="95">
        <v>791487</v>
      </c>
      <c r="AQ22" s="95">
        <v>1054075.57</v>
      </c>
      <c r="AR22" s="95">
        <v>1341002.6200000001</v>
      </c>
      <c r="AS22" s="95">
        <v>1411567.5</v>
      </c>
      <c r="AT22" s="95">
        <v>1302183.99</v>
      </c>
      <c r="AU22" s="95">
        <v>1070055.19</v>
      </c>
      <c r="AV22" s="110">
        <f>+'PCR (M2)'!AV28*'TDR (M2)'!$AY$22+AV36</f>
        <v>881684.13141512172</v>
      </c>
      <c r="AW22" s="114">
        <f>+'PCR (M2)'!AW28*'TDR (M2)'!$AY$22+AW36</f>
        <v>1268918.8563107452</v>
      </c>
      <c r="AX22" s="115">
        <f>+'PCR (M2)'!AX28*'TDR (M2)'!$AY$22+AX36</f>
        <v>1658919.9301614088</v>
      </c>
      <c r="AY22" s="105">
        <v>1.109E-3</v>
      </c>
      <c r="AZ22" s="106"/>
    </row>
    <row r="23" spans="1:52" x14ac:dyDescent="0.25">
      <c r="A23" s="72" t="s">
        <v>4</v>
      </c>
      <c r="B23" s="94">
        <v>0</v>
      </c>
      <c r="C23" s="95">
        <v>0</v>
      </c>
      <c r="D23" s="95">
        <v>0</v>
      </c>
      <c r="E23" s="95">
        <v>0</v>
      </c>
      <c r="F23" s="95">
        <v>856.28</v>
      </c>
      <c r="G23" s="95">
        <v>12419.27</v>
      </c>
      <c r="H23" s="95">
        <v>14760.05</v>
      </c>
      <c r="I23" s="95">
        <v>14736.25</v>
      </c>
      <c r="J23" s="95">
        <v>14174.52</v>
      </c>
      <c r="K23" s="95">
        <v>12053.27</v>
      </c>
      <c r="L23" s="95">
        <v>10707.26</v>
      </c>
      <c r="M23" s="95">
        <v>12431.58</v>
      </c>
      <c r="N23" s="95">
        <v>27338.89</v>
      </c>
      <c r="O23" s="95">
        <v>144726.28</v>
      </c>
      <c r="P23" s="95">
        <v>128485.97</v>
      </c>
      <c r="Q23" s="95">
        <v>121597.62</v>
      </c>
      <c r="R23" s="95">
        <v>120360.92</v>
      </c>
      <c r="S23" s="95">
        <v>143026.74</v>
      </c>
      <c r="T23" s="95">
        <v>165801.25</v>
      </c>
      <c r="U23" s="95">
        <v>167384.09</v>
      </c>
      <c r="V23" s="95">
        <v>149701.24</v>
      </c>
      <c r="W23" s="95">
        <v>141748.14000000001</v>
      </c>
      <c r="X23" s="95">
        <v>126699.78</v>
      </c>
      <c r="Y23" s="95">
        <v>139926.94</v>
      </c>
      <c r="Z23" s="95">
        <v>202221.15</v>
      </c>
      <c r="AA23" s="95">
        <v>343067.75</v>
      </c>
      <c r="AB23" s="95">
        <v>300632.48</v>
      </c>
      <c r="AC23" s="95">
        <v>296300.02</v>
      </c>
      <c r="AD23" s="95">
        <v>268199.42</v>
      </c>
      <c r="AE23" s="95">
        <v>337634.86</v>
      </c>
      <c r="AF23" s="95">
        <v>372521.79</v>
      </c>
      <c r="AG23" s="95">
        <v>348089.17</v>
      </c>
      <c r="AH23" s="95">
        <v>342034.51</v>
      </c>
      <c r="AI23" s="95">
        <v>301373.81</v>
      </c>
      <c r="AJ23" s="95">
        <v>271517.73</v>
      </c>
      <c r="AK23" s="95">
        <v>328156.33</v>
      </c>
      <c r="AL23" s="95">
        <v>377703.97</v>
      </c>
      <c r="AM23" s="95">
        <v>708077.88</v>
      </c>
      <c r="AN23" s="95">
        <v>666764.85</v>
      </c>
      <c r="AO23" s="95">
        <v>540522.54</v>
      </c>
      <c r="AP23" s="95">
        <v>509584.1</v>
      </c>
      <c r="AQ23" s="95">
        <v>594934.36</v>
      </c>
      <c r="AR23" s="95">
        <v>680484</v>
      </c>
      <c r="AS23" s="95">
        <v>699354.09</v>
      </c>
      <c r="AT23" s="95">
        <v>675136.56</v>
      </c>
      <c r="AU23" s="95">
        <v>608437.81999999995</v>
      </c>
      <c r="AV23" s="110">
        <f>+'PCR (M2)'!AV29*'TDR (M2)'!$AY$23</f>
        <v>530760.73791859311</v>
      </c>
      <c r="AW23" s="114">
        <f>+'PCR (M2)'!AW29*'TDR (M2)'!$AY$23</f>
        <v>632425.93184128462</v>
      </c>
      <c r="AX23" s="115">
        <f>+'PCR (M2)'!AX29*'TDR (M2)'!$AY$23</f>
        <v>764108.05660337175</v>
      </c>
      <c r="AY23" s="105">
        <v>2.3010000000000001E-3</v>
      </c>
      <c r="AZ23" s="106"/>
    </row>
    <row r="24" spans="1:52" x14ac:dyDescent="0.25">
      <c r="A24" s="72" t="s">
        <v>5</v>
      </c>
      <c r="B24" s="94">
        <v>0</v>
      </c>
      <c r="C24" s="95">
        <v>0</v>
      </c>
      <c r="D24" s="95">
        <v>0</v>
      </c>
      <c r="E24" s="95">
        <v>0</v>
      </c>
      <c r="F24" s="95">
        <v>2460.2199999999998</v>
      </c>
      <c r="G24" s="95">
        <v>40611.43</v>
      </c>
      <c r="H24" s="95">
        <v>46133.34</v>
      </c>
      <c r="I24" s="95">
        <v>46227.56</v>
      </c>
      <c r="J24" s="95">
        <v>46423.360000000001</v>
      </c>
      <c r="K24" s="95">
        <v>40852.160000000003</v>
      </c>
      <c r="L24" s="95">
        <v>37249.85</v>
      </c>
      <c r="M24" s="95">
        <v>38727.83</v>
      </c>
      <c r="N24" s="95">
        <v>63808.639999999999</v>
      </c>
      <c r="O24" s="95">
        <v>334912.75</v>
      </c>
      <c r="P24" s="95">
        <v>311859.65000000002</v>
      </c>
      <c r="Q24" s="95">
        <v>306431.03999999998</v>
      </c>
      <c r="R24" s="95">
        <v>315079.21999999997</v>
      </c>
      <c r="S24" s="95">
        <v>357143.49</v>
      </c>
      <c r="T24" s="95">
        <v>388918.74</v>
      </c>
      <c r="U24" s="95">
        <v>396209.91</v>
      </c>
      <c r="V24" s="95">
        <v>373506.75</v>
      </c>
      <c r="W24" s="95">
        <v>358646.38</v>
      </c>
      <c r="X24" s="95">
        <v>321927.84000000003</v>
      </c>
      <c r="Y24" s="95">
        <v>337190.07</v>
      </c>
      <c r="Z24" s="95">
        <v>406112.33</v>
      </c>
      <c r="AA24" s="95">
        <v>569283.56999999995</v>
      </c>
      <c r="AB24" s="95">
        <v>530638.37</v>
      </c>
      <c r="AC24" s="95">
        <v>535419.43000000005</v>
      </c>
      <c r="AD24" s="95">
        <v>530865.09</v>
      </c>
      <c r="AE24" s="95">
        <v>632987.31999999995</v>
      </c>
      <c r="AF24" s="95">
        <v>672168.03</v>
      </c>
      <c r="AG24" s="95">
        <v>636130.80000000005</v>
      </c>
      <c r="AH24" s="95">
        <v>647286.31999999995</v>
      </c>
      <c r="AI24" s="95">
        <v>588134.43000000005</v>
      </c>
      <c r="AJ24" s="95">
        <v>523066.9</v>
      </c>
      <c r="AK24" s="95">
        <v>569652.57999999996</v>
      </c>
      <c r="AL24" s="95">
        <v>622149.86</v>
      </c>
      <c r="AM24" s="95">
        <v>1121084.3899999999</v>
      </c>
      <c r="AN24" s="95">
        <v>1064143.96</v>
      </c>
      <c r="AO24" s="95">
        <v>956310.33</v>
      </c>
      <c r="AP24" s="95">
        <v>988397.62</v>
      </c>
      <c r="AQ24" s="95">
        <v>1099738.51</v>
      </c>
      <c r="AR24" s="95">
        <v>1183208.1399999999</v>
      </c>
      <c r="AS24" s="95">
        <v>1210589.8</v>
      </c>
      <c r="AT24" s="95">
        <v>1222150.02</v>
      </c>
      <c r="AU24" s="95">
        <v>1122226.3600000001</v>
      </c>
      <c r="AV24" s="110">
        <f>+'PCR (M2)'!AV30*'TDR (M2)'!$AY$24</f>
        <v>1002251.8684742536</v>
      </c>
      <c r="AW24" s="114">
        <f>+'PCR (M2)'!AW30*'TDR (M2)'!$AY$24</f>
        <v>1088409.9545829841</v>
      </c>
      <c r="AX24" s="115">
        <f>+'PCR (M2)'!AX30*'TDR (M2)'!$AY$24</f>
        <v>1207483.8985391017</v>
      </c>
      <c r="AY24" s="105">
        <v>1.802E-3</v>
      </c>
      <c r="AZ24" s="106"/>
    </row>
    <row r="25" spans="1:52" x14ac:dyDescent="0.25">
      <c r="A25" s="72" t="s">
        <v>6</v>
      </c>
      <c r="B25" s="94">
        <v>0</v>
      </c>
      <c r="C25" s="95">
        <v>0</v>
      </c>
      <c r="D25" s="95">
        <v>0</v>
      </c>
      <c r="E25" s="95">
        <v>0</v>
      </c>
      <c r="F25" s="95">
        <v>1621.85</v>
      </c>
      <c r="G25" s="95">
        <v>15413.06</v>
      </c>
      <c r="H25" s="95">
        <v>19333.560000000001</v>
      </c>
      <c r="I25" s="95">
        <v>18858.009999999998</v>
      </c>
      <c r="J25" s="95">
        <v>20468.599999999999</v>
      </c>
      <c r="K25" s="95">
        <v>17365.72</v>
      </c>
      <c r="L25" s="95">
        <v>16669.060000000001</v>
      </c>
      <c r="M25" s="95">
        <v>16712.28</v>
      </c>
      <c r="N25" s="95">
        <v>31958.9</v>
      </c>
      <c r="O25" s="95">
        <v>328456.90999999997</v>
      </c>
      <c r="P25" s="95">
        <v>267175.5</v>
      </c>
      <c r="Q25" s="95">
        <v>287500.39</v>
      </c>
      <c r="R25" s="95">
        <v>291239.59000000003</v>
      </c>
      <c r="S25" s="95">
        <v>334700.84000000003</v>
      </c>
      <c r="T25" s="95">
        <v>327858.78000000003</v>
      </c>
      <c r="U25" s="95">
        <v>345877.98</v>
      </c>
      <c r="V25" s="95">
        <v>332796.82</v>
      </c>
      <c r="W25" s="95">
        <v>325738.77</v>
      </c>
      <c r="X25" s="95">
        <v>293261.37</v>
      </c>
      <c r="Y25" s="95">
        <v>307322.53000000003</v>
      </c>
      <c r="Z25" s="95">
        <v>339565.96</v>
      </c>
      <c r="AA25" s="95">
        <v>307869.25</v>
      </c>
      <c r="AB25" s="95">
        <v>306963.45</v>
      </c>
      <c r="AC25" s="95">
        <v>283370.14</v>
      </c>
      <c r="AD25" s="95">
        <v>326351.34000000003</v>
      </c>
      <c r="AE25" s="95">
        <v>353914.84</v>
      </c>
      <c r="AF25" s="95">
        <v>366503.78</v>
      </c>
      <c r="AG25" s="95">
        <v>360257.72</v>
      </c>
      <c r="AH25" s="95">
        <v>350605.05</v>
      </c>
      <c r="AI25" s="95">
        <v>328773.59000000003</v>
      </c>
      <c r="AJ25" s="95">
        <v>305971.46999999997</v>
      </c>
      <c r="AK25" s="95">
        <v>329009.21000000002</v>
      </c>
      <c r="AL25" s="95">
        <v>301972.13</v>
      </c>
      <c r="AM25" s="95">
        <v>361271.84</v>
      </c>
      <c r="AN25" s="95">
        <v>357649</v>
      </c>
      <c r="AO25" s="95">
        <v>342832.09</v>
      </c>
      <c r="AP25" s="95">
        <v>342002.7</v>
      </c>
      <c r="AQ25" s="95">
        <v>397393.17</v>
      </c>
      <c r="AR25" s="95">
        <v>399370.7</v>
      </c>
      <c r="AS25" s="95">
        <v>419257.53</v>
      </c>
      <c r="AT25" s="95">
        <v>416719</v>
      </c>
      <c r="AU25" s="95">
        <v>386141.21</v>
      </c>
      <c r="AV25" s="110">
        <f>+'PCR (M2)'!AV31*'TDR (M2)'!$AY$25</f>
        <v>360693.49687383522</v>
      </c>
      <c r="AW25" s="114">
        <f>+'PCR (M2)'!AW31*'TDR (M2)'!$AY$25</f>
        <v>370941.68232692016</v>
      </c>
      <c r="AX25" s="115">
        <f>+'PCR (M2)'!AX31*'TDR (M2)'!$AY$25</f>
        <v>397412.19596478145</v>
      </c>
      <c r="AY25" s="105">
        <v>1.4920000000000001E-3</v>
      </c>
      <c r="AZ25" s="106"/>
    </row>
    <row r="26" spans="1:52" x14ac:dyDescent="0.25">
      <c r="A26" s="72" t="s">
        <v>7</v>
      </c>
      <c r="B26" s="94">
        <v>0</v>
      </c>
      <c r="C26" s="95">
        <v>0</v>
      </c>
      <c r="D26" s="95">
        <v>0</v>
      </c>
      <c r="E26" s="95">
        <v>0</v>
      </c>
      <c r="F26" s="95"/>
      <c r="G26" s="95">
        <v>4867.8</v>
      </c>
      <c r="H26" s="95">
        <v>9528.7800000000007</v>
      </c>
      <c r="I26" s="95">
        <v>9622.07</v>
      </c>
      <c r="J26" s="95">
        <v>10571.65</v>
      </c>
      <c r="K26" s="95">
        <v>9276.2800000000007</v>
      </c>
      <c r="L26" s="95">
        <v>8552.14</v>
      </c>
      <c r="M26" s="95">
        <v>8040.28</v>
      </c>
      <c r="N26" s="95">
        <v>7958.8</v>
      </c>
      <c r="O26" s="95">
        <v>202699.47</v>
      </c>
      <c r="P26" s="95">
        <v>167678.56</v>
      </c>
      <c r="Q26" s="95">
        <v>185826.61</v>
      </c>
      <c r="R26" s="95">
        <v>189002.31</v>
      </c>
      <c r="S26" s="95">
        <v>225674.13</v>
      </c>
      <c r="T26" s="95">
        <v>213450.91</v>
      </c>
      <c r="U26" s="95">
        <v>236566.37</v>
      </c>
      <c r="V26" s="95">
        <v>225419.26</v>
      </c>
      <c r="W26" s="95">
        <v>214922.7</v>
      </c>
      <c r="X26" s="95">
        <v>204773.48</v>
      </c>
      <c r="Y26" s="95">
        <v>187770.83</v>
      </c>
      <c r="Z26" s="95">
        <v>190411.74</v>
      </c>
      <c r="AA26" s="95">
        <v>104692.59</v>
      </c>
      <c r="AB26" s="95">
        <v>18094.560000000001</v>
      </c>
      <c r="AC26" s="95">
        <v>17212.91</v>
      </c>
      <c r="AD26" s="95">
        <v>19682.41</v>
      </c>
      <c r="AE26" s="95">
        <v>21781.17</v>
      </c>
      <c r="AF26" s="95">
        <v>13233.54</v>
      </c>
      <c r="AG26" s="95">
        <v>22431.52</v>
      </c>
      <c r="AH26" s="95">
        <v>21067.32</v>
      </c>
      <c r="AI26" s="95">
        <v>20801.22</v>
      </c>
      <c r="AJ26" s="95">
        <v>19547.939999999999</v>
      </c>
      <c r="AK26" s="95">
        <v>19036.14</v>
      </c>
      <c r="AL26" s="95">
        <v>21300.85</v>
      </c>
      <c r="AM26" s="95">
        <v>41051.660000000003</v>
      </c>
      <c r="AN26" s="95">
        <v>64352.88</v>
      </c>
      <c r="AO26" s="95">
        <v>64072.1</v>
      </c>
      <c r="AP26" s="95">
        <v>62519.33</v>
      </c>
      <c r="AQ26" s="95">
        <v>78748.960000000006</v>
      </c>
      <c r="AR26" s="95">
        <v>73304.259999999995</v>
      </c>
      <c r="AS26" s="95">
        <v>81170.33</v>
      </c>
      <c r="AT26" s="95">
        <v>82260.42</v>
      </c>
      <c r="AU26" s="95">
        <v>77599.5</v>
      </c>
      <c r="AV26" s="110">
        <f>+'PCR (M2)'!AV32*'TDR (M2)'!$AY$26</f>
        <v>73214.733082354345</v>
      </c>
      <c r="AW26" s="114">
        <f>+'PCR (M2)'!AW32*'TDR (M2)'!$AY$26</f>
        <v>72223.970100359467</v>
      </c>
      <c r="AX26" s="115">
        <f>+'PCR (M2)'!AX32*'TDR (M2)'!$AY$26</f>
        <v>73210.045403747441</v>
      </c>
      <c r="AY26" s="105">
        <v>6.4800000000000003E-4</v>
      </c>
      <c r="AZ26" s="106"/>
    </row>
    <row r="27" spans="1:52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7"/>
      <c r="AW27" s="108"/>
      <c r="AX27" s="102"/>
      <c r="AZ27" s="4"/>
    </row>
    <row r="28" spans="1:52" s="165" customFormat="1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K28" s="108"/>
      <c r="L28" s="108"/>
      <c r="M28" s="108"/>
      <c r="N28" s="108"/>
      <c r="AV28" s="107"/>
      <c r="AW28" s="108"/>
      <c r="AX28" s="102"/>
    </row>
    <row r="29" spans="1:52" s="165" customFormat="1" x14ac:dyDescent="0.25">
      <c r="A29" s="165" t="s">
        <v>0</v>
      </c>
      <c r="B29" s="110">
        <v>0</v>
      </c>
      <c r="C29" s="114">
        <v>0</v>
      </c>
      <c r="D29" s="114">
        <v>0</v>
      </c>
      <c r="E29" s="114">
        <v>0</v>
      </c>
      <c r="F29" s="137">
        <f>+(F22-F36)+(F36*F22/SUM(F22:F26))</f>
        <v>12454.76</v>
      </c>
      <c r="G29" s="114">
        <f>+(G22-G36)+(G36*G22/SUM(G22:G26))</f>
        <v>191642.45</v>
      </c>
      <c r="H29" s="114">
        <f t="shared" ref="H29:P29" si="39">+(H22-H36)+(H36*H22/SUM(H22:H26))</f>
        <v>257925.06</v>
      </c>
      <c r="I29" s="114">
        <f t="shared" si="39"/>
        <v>258848.42</v>
      </c>
      <c r="J29" s="114">
        <f t="shared" si="39"/>
        <v>234125.18</v>
      </c>
      <c r="K29" s="114">
        <f t="shared" si="39"/>
        <v>166948.49</v>
      </c>
      <c r="L29" s="114">
        <f t="shared" si="39"/>
        <v>136842.14000000001</v>
      </c>
      <c r="M29" s="114">
        <f t="shared" si="39"/>
        <v>210493.55</v>
      </c>
      <c r="N29" s="114">
        <f t="shared" si="39"/>
        <v>406285.42</v>
      </c>
      <c r="O29" s="114">
        <f t="shared" si="39"/>
        <v>1369889.78</v>
      </c>
      <c r="P29" s="114">
        <f t="shared" si="39"/>
        <v>1103029.06</v>
      </c>
      <c r="Q29" s="114">
        <f>+(Q22-Q36)+(Q36*'PCR (M2)'!Q28/SUM('PCR (M2)'!Q28:Q32))</f>
        <v>983976.8055998187</v>
      </c>
      <c r="R29" s="114">
        <f>+(R22-R36)+(R36*'PCR (M2)'!R28/SUM('PCR (M2)'!R28:R32))</f>
        <v>936126.67058040295</v>
      </c>
      <c r="S29" s="114">
        <f>+(S22-S36)+(S36*'PCR (M2)'!S28/SUM('PCR (M2)'!S28:S32))</f>
        <v>1254886.244789884</v>
      </c>
      <c r="T29" s="114">
        <f>+(T22-T36)+(T36*'PCR (M2)'!T28/SUM('PCR (M2)'!T28:T32))</f>
        <v>1666724.2213379955</v>
      </c>
      <c r="U29" s="114">
        <f>+(U22-U36)+(U36*'PCR (M2)'!U28/SUM('PCR (M2)'!U28:U32))</f>
        <v>1687867.967739454</v>
      </c>
      <c r="V29" s="114">
        <f>+(V22-V36)+(V36*'PCR (M2)'!V28/SUM('PCR (M2)'!V28:V32))</f>
        <v>1336984.8118306769</v>
      </c>
      <c r="W29" s="111">
        <f>+(W22-W36)+(W36*'PCR (M2)'!W28/SUM('PCR (M2)'!W28:W32))</f>
        <v>1174985.3507627479</v>
      </c>
      <c r="X29" s="111">
        <f>+(X22-X36)+(X36*'PCR (M2)'!X28/SUM('PCR (M2)'!X28:X32))</f>
        <v>1029531.6444714632</v>
      </c>
      <c r="Y29" s="111">
        <f>+(Y22-Y36)+(Y36*'PCR (M2)'!Y28/SUM('PCR (M2)'!Y28:Y32))</f>
        <v>1326453.2350570641</v>
      </c>
      <c r="Z29" s="111">
        <f>+(Z22-Z36)+(Z36*'PCR (M2)'!Z28/SUM('PCR (M2)'!Z28:Z32))</f>
        <v>2030661.7411402338</v>
      </c>
      <c r="AA29" s="111">
        <f>+(AA22-AA36)+(AA36*'PCR (M2)'!AA28/SUM('PCR (M2)'!AA28:AA32))</f>
        <v>1388250.351917315</v>
      </c>
      <c r="AB29" s="111">
        <f>+(AB22-AB36)+(AB36*'PCR (M2)'!AB28/SUM('PCR (M2)'!AB28:AB32))</f>
        <v>1120654.6531242458</v>
      </c>
      <c r="AC29" s="111">
        <f>+(AC22-AC36)+(AC36*'PCR (M2)'!AC28/SUM('PCR (M2)'!AC28:AC32))</f>
        <v>1082451.6725849968</v>
      </c>
      <c r="AD29" s="111">
        <f>+(AD22-AD36)+(AD36*'PCR (M2)'!AD28/SUM('PCR (M2)'!AD28:AD32))</f>
        <v>880251.85351460415</v>
      </c>
      <c r="AE29" s="111">
        <f>+(AE22-AE36)+(AE36*'PCR (M2)'!AE28/SUM('PCR (M2)'!AE28:AE32))</f>
        <v>1301284.1891339927</v>
      </c>
      <c r="AF29" s="111">
        <f>+(AF22-AF36)+(AF36*'PCR (M2)'!AF28/SUM('PCR (M2)'!AF28:AF32))</f>
        <v>1524704.8572049867</v>
      </c>
      <c r="AG29" s="111">
        <f>+(AG22-AG36)+(AG36*'PCR (M2)'!AG28/SUM('PCR (M2)'!AG28:AG32))</f>
        <v>1366723.6950669868</v>
      </c>
      <c r="AH29" s="111">
        <f>+(AH22-AH36)+(AH36*'PCR (M2)'!AH28/SUM('PCR (M2)'!AH28:AH32))</f>
        <v>1314605.108458352</v>
      </c>
      <c r="AI29" s="111">
        <f>+(AI22-AI36)+(AI36*'PCR (M2)'!AI28/SUM('PCR (M2)'!AI28:AI32))</f>
        <v>1020432.9529194708</v>
      </c>
      <c r="AJ29" s="111">
        <f>+(AJ22-AJ36)+(AJ36*'PCR (M2)'!AJ28/SUM('PCR (M2)'!AJ28:AJ32))</f>
        <v>950195.40735321853</v>
      </c>
      <c r="AK29" s="111">
        <f>+(AK22-AK36)+(AK36*'PCR (M2)'!AK28/SUM('PCR (M2)'!AK28:AK32))</f>
        <v>1320371.9817385538</v>
      </c>
      <c r="AL29" s="111">
        <f>+(AL22-AL36)+(AL36*'PCR (M2)'!AL28/SUM('PCR (M2)'!AL28:AL32))</f>
        <v>1462433.5546846255</v>
      </c>
      <c r="AM29" s="111">
        <f>+(AM22-AM36)+(AM36*'PCR (M2)'!AM28/SUM('PCR (M2)'!AM28:AM32))</f>
        <v>1529137.4028414818</v>
      </c>
      <c r="AN29" s="111">
        <f>+(AN22-AN36)+(AN36*'PCR (M2)'!AN28/SUM('PCR (M2)'!AN28:AN32))</f>
        <v>1378360.7270812315</v>
      </c>
      <c r="AO29" s="111">
        <f>+(AO22-AO36)+(AO36*'PCR (M2)'!AO28/SUM('PCR (M2)'!AO28:AO32))</f>
        <v>951160.98963883938</v>
      </c>
      <c r="AP29" s="111">
        <f>+(AP22-AP36)+(AP36*'PCR (M2)'!AP28/SUM('PCR (M2)'!AP28:AP32))</f>
        <v>807723.67786616471</v>
      </c>
      <c r="AQ29" s="111">
        <f>+(AQ22-AQ36)+(AQ36*'PCR (M2)'!AQ28/SUM('PCR (M2)'!AQ28:AQ32))</f>
        <v>1071830.4459348798</v>
      </c>
      <c r="AR29" s="111">
        <f>+(AR22-AR36)+(AR36*'PCR (M2)'!AR28/SUM('PCR (M2)'!AR28:AR32))</f>
        <v>1361027.792333117</v>
      </c>
      <c r="AS29" s="111">
        <f>+(AS22-AS36)+(AS36*'PCR (M2)'!AS28/SUM('PCR (M2)'!AS28:AS32))</f>
        <v>1432733.48651519</v>
      </c>
      <c r="AT29" s="111">
        <f>+(AT22-AT36)+(AT36*'PCR (M2)'!AT28/SUM('PCR (M2)'!AT28:AT32))</f>
        <v>1322179.2642833879</v>
      </c>
      <c r="AU29" s="111">
        <f>+(AU22-AU36)+(AU36*'PCR (M2)'!AU28/SUM('PCR (M2)'!AU28:AU32))</f>
        <v>1087865.4265500808</v>
      </c>
      <c r="AV29" s="110">
        <f>+(AV22-AV36)+(AV36*'PCR (M2)'!AV28/SUM('PCR (M2)'!AV28:AV32))</f>
        <v>899417.44814607338</v>
      </c>
      <c r="AW29" s="114">
        <f>+(AW22-AW36)+(AW36*'PCR (M2)'!AW28/SUM('PCR (M2)'!AW28:AW32))</f>
        <v>1291373.8091424787</v>
      </c>
      <c r="AX29" s="115">
        <f>+(AX22-AX36)+(AX36*'PCR (M2)'!AX28/SUM('PCR (M2)'!AX28:AX32))</f>
        <v>1685995.2055687637</v>
      </c>
    </row>
    <row r="30" spans="1:52" s="165" customFormat="1" x14ac:dyDescent="0.25">
      <c r="A30" s="165" t="s">
        <v>4</v>
      </c>
      <c r="B30" s="110">
        <v>0</v>
      </c>
      <c r="C30" s="114">
        <v>0</v>
      </c>
      <c r="D30" s="114">
        <v>0</v>
      </c>
      <c r="E30" s="114">
        <v>0</v>
      </c>
      <c r="F30" s="137">
        <f>+F23+(F36*F23/SUM(F22:F26))</f>
        <v>856.28</v>
      </c>
      <c r="G30" s="114">
        <f t="shared" ref="G30:P30" si="40">+G23+(G36*G23/SUM(G22:G26))</f>
        <v>12419.27</v>
      </c>
      <c r="H30" s="114">
        <f t="shared" si="40"/>
        <v>14760.05</v>
      </c>
      <c r="I30" s="114">
        <f t="shared" si="40"/>
        <v>14736.25</v>
      </c>
      <c r="J30" s="114">
        <f t="shared" si="40"/>
        <v>14174.52</v>
      </c>
      <c r="K30" s="114">
        <f t="shared" si="40"/>
        <v>12053.27</v>
      </c>
      <c r="L30" s="114">
        <f t="shared" si="40"/>
        <v>10707.26</v>
      </c>
      <c r="M30" s="114">
        <f t="shared" si="40"/>
        <v>12431.58</v>
      </c>
      <c r="N30" s="114">
        <f t="shared" si="40"/>
        <v>27338.89</v>
      </c>
      <c r="O30" s="114">
        <f t="shared" si="40"/>
        <v>144726.28</v>
      </c>
      <c r="P30" s="114">
        <f t="shared" si="40"/>
        <v>128485.97</v>
      </c>
      <c r="Q30" s="114">
        <f>+Q23+(Q36*'PCR (M2)'!Q29/SUM('PCR (M2)'!Q28:Q32))</f>
        <v>117754.86766427531</v>
      </c>
      <c r="R30" s="114">
        <f>+R23+(R36*'PCR (M2)'!R29/SUM('PCR (M2)'!R28:R32))</f>
        <v>117111.78358657917</v>
      </c>
      <c r="S30" s="114">
        <f>+S23+(S36*'PCR (M2)'!S29/SUM('PCR (M2)'!S28:S32))</f>
        <v>139211.1271761941</v>
      </c>
      <c r="T30" s="114">
        <f>+T23+(T36*'PCR (M2)'!T29/SUM('PCR (M2)'!T28:T32))</f>
        <v>160900.46992761682</v>
      </c>
      <c r="U30" s="114">
        <f>+U23+(U36*'PCR (M2)'!U29/SUM('PCR (M2)'!U28:U32))</f>
        <v>162415.72720926077</v>
      </c>
      <c r="V30" s="114">
        <f>+V23+(V36*'PCR (M2)'!V29/SUM('PCR (M2)'!V28:V32))</f>
        <v>145481.1603029698</v>
      </c>
      <c r="W30" s="111">
        <f>+W23+(W36*'PCR (M2)'!W29/SUM('PCR (M2)'!W28:W32))</f>
        <v>137867.15538119225</v>
      </c>
      <c r="X30" s="111">
        <f>+X23+(X36*'PCR (M2)'!X29/SUM('PCR (M2)'!X28:X32))</f>
        <v>122671.59779667509</v>
      </c>
      <c r="Y30" s="111">
        <f>+Y23+(Y36*'PCR (M2)'!Y29/SUM('PCR (M2)'!Y28:Y32))</f>
        <v>134648.09810155624</v>
      </c>
      <c r="Z30" s="111">
        <f>+Z23+(Z36*'PCR (M2)'!Z29/SUM('PCR (M2)'!Z28:Z32))</f>
        <v>193970.45230344273</v>
      </c>
      <c r="AA30" s="111">
        <f>+AA23+(AA36*'PCR (M2)'!AA29/SUM('PCR (M2)'!AA28:AA32))</f>
        <v>337014.48620173347</v>
      </c>
      <c r="AB30" s="111">
        <f>+AB23+(AB36*'PCR (M2)'!AB29/SUM('PCR (M2)'!AB28:AB32))</f>
        <v>295708.57620644657</v>
      </c>
      <c r="AC30" s="111">
        <f>+AC23+(AC36*'PCR (M2)'!AC29/SUM('PCR (M2)'!AC28:AC32))</f>
        <v>291406.59328999976</v>
      </c>
      <c r="AD30" s="111">
        <f>+AD23+(AD36*'PCR (M2)'!AD29/SUM('PCR (M2)'!AD28:AD32))</f>
        <v>264923.25566753082</v>
      </c>
      <c r="AE30" s="111">
        <f>+AE23+(AE36*'PCR (M2)'!AE29/SUM('PCR (M2)'!AE28:AE32))</f>
        <v>333657.21503767214</v>
      </c>
      <c r="AF30" s="111">
        <f>+AF23+(AF36*'PCR (M2)'!AF29/SUM('PCR (M2)'!AF28:AF32))</f>
        <v>367915.86365673423</v>
      </c>
      <c r="AG30" s="111">
        <f>+AG23+(AG36*'PCR (M2)'!AG29/SUM('PCR (M2)'!AG28:AG32))</f>
        <v>344001.06732957577</v>
      </c>
      <c r="AH30" s="111">
        <f>+AH23+(AH36*'PCR (M2)'!AH29/SUM('PCR (M2)'!AH28:AH32))</f>
        <v>338126.29031171976</v>
      </c>
      <c r="AI30" s="111">
        <f>+AI23+(AI36*'PCR (M2)'!AI29/SUM('PCR (M2)'!AI28:AI32))</f>
        <v>297845.76900715684</v>
      </c>
      <c r="AJ30" s="111">
        <f>+AJ23+(AJ36*'PCR (M2)'!AJ29/SUM('PCR (M2)'!AJ28:AJ32))</f>
        <v>267618.62093979405</v>
      </c>
      <c r="AK30" s="111">
        <f>+AK23+(AK36*'PCR (M2)'!AK29/SUM('PCR (M2)'!AK28:AK32))</f>
        <v>322555.10705520917</v>
      </c>
      <c r="AL30" s="111">
        <f>+AL23+(AL36*'PCR (M2)'!AL29/SUM('PCR (M2)'!AL28:AL32))</f>
        <v>371341.16797562933</v>
      </c>
      <c r="AM30" s="111">
        <f>+AM23+(AM36*'PCR (M2)'!AM29/SUM('PCR (M2)'!AM28:AM32))</f>
        <v>701136.2388481237</v>
      </c>
      <c r="AN30" s="111">
        <f>+AN23+(AN36*'PCR (M2)'!AN29/SUM('PCR (M2)'!AN28:AN32))</f>
        <v>660367.02395744435</v>
      </c>
      <c r="AO30" s="111">
        <f>+AO23+(AO36*'PCR (M2)'!AO29/SUM('PCR (M2)'!AO28:AO32))</f>
        <v>536256.50994038768</v>
      </c>
      <c r="AP30" s="111">
        <f>+AP23+(AP36*'PCR (M2)'!AP29/SUM('PCR (M2)'!AP28:AP32))</f>
        <v>506299.41162084811</v>
      </c>
      <c r="AQ30" s="111">
        <f>+AQ23+(AQ36*'PCR (M2)'!AQ29/SUM('PCR (M2)'!AQ28:AQ32))</f>
        <v>591277.49932374491</v>
      </c>
      <c r="AR30" s="111">
        <f>+AR23+(AR36*'PCR (M2)'!AR29/SUM('PCR (M2)'!AR28:AR32))</f>
        <v>676039.62753147224</v>
      </c>
      <c r="AS30" s="111">
        <f>+AS23+(AS36*'PCR (M2)'!AS29/SUM('PCR (M2)'!AS28:AS32))</f>
        <v>694696.60025960801</v>
      </c>
      <c r="AT30" s="111">
        <f>+AT23+(AT36*'PCR (M2)'!AT29/SUM('PCR (M2)'!AT28:AT32))</f>
        <v>670877.10139883822</v>
      </c>
      <c r="AU30" s="111">
        <f>+AU23+(AU36*'PCR (M2)'!AU29/SUM('PCR (M2)'!AU28:AU32))</f>
        <v>604713.02387172775</v>
      </c>
      <c r="AV30" s="110">
        <f>+AV23+(AV36*'PCR (M2)'!AV29/SUM('PCR (M2)'!AV28:AV32))</f>
        <v>527177.61655347608</v>
      </c>
      <c r="AW30" s="114">
        <f>+AW23+(AW36*'PCR (M2)'!AW29/SUM('PCR (M2)'!AW28:AW32))</f>
        <v>627444.43756492599</v>
      </c>
      <c r="AX30" s="115">
        <f>+AX23+(AX36*'PCR (M2)'!AX29/SUM('PCR (M2)'!AX28:AX32))</f>
        <v>757599.85301481513</v>
      </c>
    </row>
    <row r="31" spans="1:52" s="165" customFormat="1" x14ac:dyDescent="0.25">
      <c r="A31" s="165" t="s">
        <v>5</v>
      </c>
      <c r="B31" s="110">
        <v>0</v>
      </c>
      <c r="C31" s="114">
        <v>0</v>
      </c>
      <c r="D31" s="114">
        <v>0</v>
      </c>
      <c r="E31" s="114">
        <v>0</v>
      </c>
      <c r="F31" s="114">
        <f t="shared" ref="F31:P31" si="41">+F24+(F36*F24/SUM(F22:F26))</f>
        <v>2460.2199999999998</v>
      </c>
      <c r="G31" s="114">
        <f t="shared" si="41"/>
        <v>40611.43</v>
      </c>
      <c r="H31" s="114">
        <f t="shared" si="41"/>
        <v>46133.34</v>
      </c>
      <c r="I31" s="114">
        <f t="shared" si="41"/>
        <v>46227.56</v>
      </c>
      <c r="J31" s="114">
        <f t="shared" si="41"/>
        <v>46423.360000000001</v>
      </c>
      <c r="K31" s="114">
        <f t="shared" si="41"/>
        <v>40852.160000000003</v>
      </c>
      <c r="L31" s="114">
        <f t="shared" si="41"/>
        <v>37249.85</v>
      </c>
      <c r="M31" s="114">
        <f t="shared" si="41"/>
        <v>38727.83</v>
      </c>
      <c r="N31" s="114">
        <f t="shared" si="41"/>
        <v>63808.639999999999</v>
      </c>
      <c r="O31" s="114">
        <f t="shared" si="41"/>
        <v>334912.75</v>
      </c>
      <c r="P31" s="114">
        <f t="shared" si="41"/>
        <v>311859.65000000002</v>
      </c>
      <c r="Q31" s="114">
        <f>+Q24+(Q36*'PCR (M2)'!Q30/SUM('PCR (M2)'!Q28:Q32))</f>
        <v>297067.25661237026</v>
      </c>
      <c r="R31" s="114">
        <f>+R24+(R36*'PCR (M2)'!R30/SUM('PCR (M2)'!R28:R32))</f>
        <v>306858.76704664429</v>
      </c>
      <c r="S31" s="114">
        <f>+S24+(S36*'PCR (M2)'!S30/SUM('PCR (M2)'!S28:S32))</f>
        <v>347930.82125503593</v>
      </c>
      <c r="T31" s="114">
        <f>+T24+(T36*'PCR (M2)'!T30/SUM('PCR (M2)'!T28:T32))</f>
        <v>377801.41744412482</v>
      </c>
      <c r="U31" s="114">
        <f>+U24+(U36*'PCR (M2)'!U30/SUM('PCR (M2)'!U28:U32))</f>
        <v>384838.10767902108</v>
      </c>
      <c r="V31" s="114">
        <f>+V24+(V36*'PCR (M2)'!V30/SUM('PCR (M2)'!V28:V32))</f>
        <v>363327.24534638016</v>
      </c>
      <c r="W31" s="111">
        <f>+W24+(W36*'PCR (M2)'!W30/SUM('PCR (M2)'!W28:W32))</f>
        <v>349151.70540680212</v>
      </c>
      <c r="X31" s="111">
        <f>+X24+(X36*'PCR (M2)'!X30/SUM('PCR (M2)'!X28:X32))</f>
        <v>312029.63241835893</v>
      </c>
      <c r="Y31" s="111">
        <f>+Y24+(Y36*'PCR (M2)'!Y30/SUM('PCR (M2)'!Y28:Y32))</f>
        <v>324930.27431740938</v>
      </c>
      <c r="Z31" s="111">
        <f>+Z24+(Z36*'PCR (M2)'!Z30/SUM('PCR (M2)'!Z28:Z32))</f>
        <v>389339.8693849984</v>
      </c>
      <c r="AA31" s="111">
        <f>+AA24+(AA36*'PCR (M2)'!AA30/SUM('PCR (M2)'!AA28:AA32))</f>
        <v>556625.85708732984</v>
      </c>
      <c r="AB31" s="111">
        <f>+AB24+(AB36*'PCR (M2)'!AB30/SUM('PCR (M2)'!AB28:AB32))</f>
        <v>519727.84944586566</v>
      </c>
      <c r="AC31" s="111">
        <f>+AC24+(AC36*'PCR (M2)'!AC30/SUM('PCR (M2)'!AC28:AC32))</f>
        <v>524323.57207482436</v>
      </c>
      <c r="AD31" s="111">
        <f>+AD24+(AD36*'PCR (M2)'!AD30/SUM('PCR (M2)'!AD28:AD32))</f>
        <v>522730.47478252684</v>
      </c>
      <c r="AE31" s="111">
        <f>+AE24+(AE36*'PCR (M2)'!AE30/SUM('PCR (M2)'!AE28:AE32))</f>
        <v>623624.8655420111</v>
      </c>
      <c r="AF31" s="111">
        <f>+AF24+(AF36*'PCR (M2)'!AF30/SUM('PCR (M2)'!AF28:AF32))</f>
        <v>661725.50586693978</v>
      </c>
      <c r="AG31" s="111">
        <f>+AG24+(AG36*'PCR (M2)'!AG30/SUM('PCR (M2)'!AG28:AG32))</f>
        <v>626757.48216571088</v>
      </c>
      <c r="AH31" s="111">
        <f>+AH24+(AH36*'PCR (M2)'!AH30/SUM('PCR (M2)'!AH28:AH32))</f>
        <v>638007.84216665139</v>
      </c>
      <c r="AI31" s="111">
        <f>+AI24+(AI36*'PCR (M2)'!AI30/SUM('PCR (M2)'!AI28:AI32))</f>
        <v>579490.47761485481</v>
      </c>
      <c r="AJ31" s="111">
        <f>+AJ24+(AJ36*'PCR (M2)'!AJ30/SUM('PCR (M2)'!AJ28:AJ32))</f>
        <v>513641.84877388977</v>
      </c>
      <c r="AK31" s="111">
        <f>+AK24+(AK36*'PCR (M2)'!AK30/SUM('PCR (M2)'!AK28:AK32))</f>
        <v>557457.11362508603</v>
      </c>
      <c r="AL31" s="111">
        <f>+AL24+(AL36*'PCR (M2)'!AL30/SUM('PCR (M2)'!AL28:AL32))</f>
        <v>608808.22123092401</v>
      </c>
      <c r="AM31" s="111">
        <f>+AM24+(AM36*'PCR (M2)'!AM30/SUM('PCR (M2)'!AM28:AM32))</f>
        <v>1107018.1450648431</v>
      </c>
      <c r="AN31" s="111">
        <f>+AN24+(AN36*'PCR (M2)'!AN30/SUM('PCR (M2)'!AN28:AN32))</f>
        <v>1050923.1514029966</v>
      </c>
      <c r="AO31" s="111">
        <f>+AO24+(AO36*'PCR (M2)'!AO30/SUM('PCR (M2)'!AO28:AO32))</f>
        <v>946394.49189445085</v>
      </c>
      <c r="AP31" s="111">
        <f>+AP24+(AP36*'PCR (M2)'!AP30/SUM('PCR (M2)'!AP28:AP32))</f>
        <v>980269.66694109701</v>
      </c>
      <c r="AQ31" s="111">
        <f>+AQ24+(AQ36*'PCR (M2)'!AQ30/SUM('PCR (M2)'!AQ28:AQ32))</f>
        <v>1091122.5576982794</v>
      </c>
      <c r="AR31" s="111">
        <f>+AR24+(AR36*'PCR (M2)'!AR30/SUM('PCR (M2)'!AR28:AR32))</f>
        <v>1173345.4165751</v>
      </c>
      <c r="AS31" s="111">
        <f>+AS24+(AS36*'PCR (M2)'!AS30/SUM('PCR (M2)'!AS28:AS32))</f>
        <v>1200301.9882335844</v>
      </c>
      <c r="AT31" s="111">
        <f>+AT24+(AT36*'PCR (M2)'!AT30/SUM('PCR (M2)'!AT28:AT32))</f>
        <v>1212308.9277305761</v>
      </c>
      <c r="AU31" s="111">
        <f>+AU24+(AU36*'PCR (M2)'!AU30/SUM('PCR (M2)'!AU28:AU32))</f>
        <v>1113467.1918631792</v>
      </c>
      <c r="AV31" s="110">
        <f>+AV24+(AV36*'PCR (M2)'!AV30/SUM('PCR (M2)'!AV28:AV32))</f>
        <v>993612.113301481</v>
      </c>
      <c r="AW31" s="114">
        <f>+AW24+(AW36*'PCR (M2)'!AW30/SUM('PCR (M2)'!AW28:AW32))</f>
        <v>1077462.7230485445</v>
      </c>
      <c r="AX31" s="115">
        <f>+AX24+(AX36*'PCR (M2)'!AX30/SUM('PCR (M2)'!AX28:AX32))</f>
        <v>1194351.3343724008</v>
      </c>
    </row>
    <row r="32" spans="1:52" s="165" customFormat="1" x14ac:dyDescent="0.25">
      <c r="A32" s="165" t="s">
        <v>6</v>
      </c>
      <c r="B32" s="110">
        <v>0</v>
      </c>
      <c r="C32" s="114">
        <v>0</v>
      </c>
      <c r="D32" s="114">
        <v>0</v>
      </c>
      <c r="E32" s="114">
        <v>0</v>
      </c>
      <c r="F32" s="114">
        <f t="shared" ref="F32:P32" si="42">+F25+(F36*F25/SUM(F22:F26))</f>
        <v>1621.85</v>
      </c>
      <c r="G32" s="114">
        <f t="shared" si="42"/>
        <v>15413.06</v>
      </c>
      <c r="H32" s="114">
        <f t="shared" si="42"/>
        <v>19333.560000000001</v>
      </c>
      <c r="I32" s="114">
        <f t="shared" si="42"/>
        <v>18858.009999999998</v>
      </c>
      <c r="J32" s="114">
        <f t="shared" si="42"/>
        <v>20468.599999999999</v>
      </c>
      <c r="K32" s="114">
        <f t="shared" si="42"/>
        <v>17365.72</v>
      </c>
      <c r="L32" s="114">
        <f t="shared" si="42"/>
        <v>16669.060000000001</v>
      </c>
      <c r="M32" s="114">
        <f t="shared" si="42"/>
        <v>16712.28</v>
      </c>
      <c r="N32" s="114">
        <f t="shared" si="42"/>
        <v>31958.9</v>
      </c>
      <c r="O32" s="114">
        <f t="shared" si="42"/>
        <v>328456.90999999997</v>
      </c>
      <c r="P32" s="114">
        <f t="shared" si="42"/>
        <v>267175.5</v>
      </c>
      <c r="Q32" s="114">
        <f>+Q25+(Q36*'PCR (M2)'!Q31/SUM('PCR (M2)'!Q28:Q32))</f>
        <v>283136.40886630391</v>
      </c>
      <c r="R32" s="114">
        <f>+R25+(R36*'PCR (M2)'!R31/SUM('PCR (M2)'!R28:R32))</f>
        <v>287460.81327816768</v>
      </c>
      <c r="S32" s="114">
        <f>+S25+(S36*'PCR (M2)'!S31/SUM('PCR (M2)'!S28:S32))</f>
        <v>330409.77575572423</v>
      </c>
      <c r="T32" s="114">
        <f>+T25+(T36*'PCR (M2)'!T31/SUM('PCR (M2)'!T28:T32))</f>
        <v>323201.37525993661</v>
      </c>
      <c r="U32" s="114">
        <f>+U25+(U36*'PCR (M2)'!U31/SUM('PCR (M2)'!U28:U32))</f>
        <v>340944.20704658219</v>
      </c>
      <c r="V32" s="114">
        <f>+V25+(V36*'PCR (M2)'!V31/SUM('PCR (M2)'!V28:V32))</f>
        <v>328289.08781066153</v>
      </c>
      <c r="W32" s="111">
        <f>+W25+(W36*'PCR (M2)'!W31/SUM('PCR (M2)'!W28:W32))</f>
        <v>321452.90171375725</v>
      </c>
      <c r="X32" s="111">
        <f>+X25+(X36*'PCR (M2)'!X31/SUM('PCR (M2)'!X28:X32))</f>
        <v>288778.65587559086</v>
      </c>
      <c r="Y32" s="111">
        <f>+Y25+(Y36*'PCR (M2)'!Y31/SUM('PCR (M2)'!Y28:Y32))</f>
        <v>301751.31193612184</v>
      </c>
      <c r="Z32" s="111">
        <f>+Z25+(Z36*'PCR (M2)'!Z31/SUM('PCR (M2)'!Z28:Z32))</f>
        <v>332299.53125242464</v>
      </c>
      <c r="AA32" s="111">
        <f>+AA25+(AA36*'PCR (M2)'!AA31/SUM('PCR (M2)'!AA28:AA32))</f>
        <v>302428.95514228137</v>
      </c>
      <c r="AB32" s="111">
        <f>+AB25+(AB36*'PCR (M2)'!AB31/SUM('PCR (M2)'!AB28:AB32))</f>
        <v>301943.60981245001</v>
      </c>
      <c r="AC32" s="111">
        <f>+AC25+(AC36*'PCR (M2)'!AC31/SUM('PCR (M2)'!AC28:AC32))</f>
        <v>278699.7057611302</v>
      </c>
      <c r="AD32" s="111">
        <f>+AD25+(AD36*'PCR (M2)'!AD31/SUM('PCR (M2)'!AD28:AD32))</f>
        <v>322370.88601313852</v>
      </c>
      <c r="AE32" s="111">
        <f>+AE25+(AE36*'PCR (M2)'!AE31/SUM('PCR (M2)'!AE28:AE32))</f>
        <v>349751.02773569047</v>
      </c>
      <c r="AF32" s="111">
        <f>+AF25+(AF36*'PCR (M2)'!AF31/SUM('PCR (M2)'!AF28:AF32))</f>
        <v>361975.97928185289</v>
      </c>
      <c r="AG32" s="111">
        <f>+AG25+(AG36*'PCR (M2)'!AG31/SUM('PCR (M2)'!AG28:AG32))</f>
        <v>356032.65352996916</v>
      </c>
      <c r="AH32" s="111">
        <f>+AH25+(AH36*'PCR (M2)'!AH31/SUM('PCR (M2)'!AH28:AH32))</f>
        <v>346604.60421828728</v>
      </c>
      <c r="AI32" s="111">
        <f>+AI25+(AI36*'PCR (M2)'!AI31/SUM('PCR (M2)'!AI28:AI32))</f>
        <v>324956.79952393915</v>
      </c>
      <c r="AJ32" s="111">
        <f>+AJ25+(AJ36*'PCR (M2)'!AJ31/SUM('PCR (M2)'!AJ28:AJ32))</f>
        <v>301584.85459624138</v>
      </c>
      <c r="AK32" s="111">
        <f>+AK25+(AK36*'PCR (M2)'!AK31/SUM('PCR (M2)'!AK28:AK32))</f>
        <v>323402.5858220082</v>
      </c>
      <c r="AL32" s="111">
        <f>+AL25+(AL36*'PCR (M2)'!AL31/SUM('PCR (M2)'!AL28:AL32))</f>
        <v>296745.40272335312</v>
      </c>
      <c r="AM32" s="111">
        <f>+AM25+(AM36*'PCR (M2)'!AM31/SUM('PCR (M2)'!AM28:AM32))</f>
        <v>355667.68860749144</v>
      </c>
      <c r="AN32" s="111">
        <f>+AN25+(AN36*'PCR (M2)'!AN31/SUM('PCR (M2)'!AN28:AN32))</f>
        <v>352302.39917248994</v>
      </c>
      <c r="AO32" s="111">
        <f>+AO25+(AO36*'PCR (M2)'!AO31/SUM('PCR (M2)'!AO28:AO32))</f>
        <v>338612.44673821039</v>
      </c>
      <c r="AP32" s="111">
        <f>+AP25+(AP36*'PCR (M2)'!AP31/SUM('PCR (M2)'!AP28:AP32))</f>
        <v>338607.64249172056</v>
      </c>
      <c r="AQ32" s="111">
        <f>+AQ25+(AQ36*'PCR (M2)'!AQ31/SUM('PCR (M2)'!AQ28:AQ32))</f>
        <v>393628.70516997529</v>
      </c>
      <c r="AR32" s="111">
        <f>+AR25+(AR36*'PCR (M2)'!AR31/SUM('PCR (M2)'!AR28:AR32))</f>
        <v>395351.29305083206</v>
      </c>
      <c r="AS32" s="111">
        <f>+AS25+(AS36*'PCR (M2)'!AS31/SUM('PCR (M2)'!AS28:AS32))</f>
        <v>414954.8489846529</v>
      </c>
      <c r="AT32" s="111">
        <f>+AT25+(AT36*'PCR (M2)'!AT31/SUM('PCR (M2)'!AT28:AT32))</f>
        <v>412666.27260449337</v>
      </c>
      <c r="AU32" s="111">
        <f>+AU25+(AU36*'PCR (M2)'!AU31/SUM('PCR (M2)'!AU28:AU32))</f>
        <v>382499.83186560834</v>
      </c>
      <c r="AV32" s="110">
        <f>+AV25+(AV36*'PCR (M2)'!AV31/SUM('PCR (M2)'!AV28:AV32))</f>
        <v>356938.16055766254</v>
      </c>
      <c r="AW32" s="114">
        <f>+AW25+(AW36*'PCR (M2)'!AW31/SUM('PCR (M2)'!AW28:AW32))</f>
        <v>366435.55562269915</v>
      </c>
      <c r="AX32" s="115">
        <f>+AX25+(AX36*'PCR (M2)'!AX31/SUM('PCR (M2)'!AX28:AX32))</f>
        <v>392191.89745791373</v>
      </c>
    </row>
    <row r="33" spans="1:52" s="165" customFormat="1" x14ac:dyDescent="0.25">
      <c r="A33" s="165" t="s">
        <v>7</v>
      </c>
      <c r="B33" s="110">
        <v>0</v>
      </c>
      <c r="C33" s="114">
        <v>0</v>
      </c>
      <c r="D33" s="114">
        <v>0</v>
      </c>
      <c r="E33" s="114">
        <v>0</v>
      </c>
      <c r="F33" s="114">
        <f t="shared" ref="F33:P33" si="43">+F26+(F36*F26/SUM(F22:F26))</f>
        <v>0</v>
      </c>
      <c r="G33" s="114">
        <f t="shared" si="43"/>
        <v>4867.8</v>
      </c>
      <c r="H33" s="114">
        <f t="shared" si="43"/>
        <v>9528.7800000000007</v>
      </c>
      <c r="I33" s="114">
        <f t="shared" si="43"/>
        <v>9622.07</v>
      </c>
      <c r="J33" s="114">
        <f t="shared" si="43"/>
        <v>10571.65</v>
      </c>
      <c r="K33" s="114">
        <f t="shared" si="43"/>
        <v>9276.2800000000007</v>
      </c>
      <c r="L33" s="114">
        <f t="shared" si="43"/>
        <v>8552.14</v>
      </c>
      <c r="M33" s="114">
        <f t="shared" si="43"/>
        <v>8040.28</v>
      </c>
      <c r="N33" s="114">
        <f t="shared" si="43"/>
        <v>7958.8</v>
      </c>
      <c r="O33" s="114">
        <f t="shared" si="43"/>
        <v>202699.47</v>
      </c>
      <c r="P33" s="114">
        <f t="shared" si="43"/>
        <v>167678.56</v>
      </c>
      <c r="Q33" s="114">
        <f>+Q26+(Q36*'PCR (M2)'!Q32/SUM('PCR (M2)'!Q28:Q32))</f>
        <v>183651.06125723169</v>
      </c>
      <c r="R33" s="114">
        <f>+R26+(R36*'PCR (M2)'!R32/SUM('PCR (M2)'!R28:R32))</f>
        <v>187110.90550820582</v>
      </c>
      <c r="S33" s="114">
        <f>+S26+(S36*'PCR (M2)'!S32/SUM('PCR (M2)'!S28:S32))</f>
        <v>223442.58102316182</v>
      </c>
      <c r="T33" s="114">
        <f>+T26+(T36*'PCR (M2)'!T32/SUM('PCR (M2)'!T28:T32))</f>
        <v>211112.22603032622</v>
      </c>
      <c r="U33" s="114">
        <f>+U26+(U36*'PCR (M2)'!U32/SUM('PCR (M2)'!U28:U32))</f>
        <v>233963.66032568182</v>
      </c>
      <c r="V33" s="114">
        <f>+V26+(V36*'PCR (M2)'!V32/SUM('PCR (M2)'!V28:V32))</f>
        <v>223064.28470931173</v>
      </c>
      <c r="W33" s="111">
        <f>+W26+(W36*'PCR (M2)'!W32/SUM('PCR (M2)'!W28:W32))</f>
        <v>212741.63673550039</v>
      </c>
      <c r="X33" s="111">
        <f>+X26+(X36*'PCR (M2)'!X32/SUM('PCR (M2)'!X28:X32))</f>
        <v>202298.65943791193</v>
      </c>
      <c r="Y33" s="111">
        <f>+Y26+(Y36*'PCR (M2)'!Y32/SUM('PCR (M2)'!Y28:Y32))</f>
        <v>185145.40058784836</v>
      </c>
      <c r="Z33" s="111">
        <f>+Z26+(Z36*'PCR (M2)'!Z32/SUM('PCR (M2)'!Z28:Z32))</f>
        <v>187242.02591890033</v>
      </c>
      <c r="AA33" s="111">
        <f>+AA26+(AA36*'PCR (M2)'!AA32/SUM('PCR (M2)'!AA28:AA32))</f>
        <v>102199.66965133997</v>
      </c>
      <c r="AB33" s="111">
        <f>+AB26+(AB36*'PCR (M2)'!AB32/SUM('PCR (M2)'!AB28:AB32))</f>
        <v>15774.991410991883</v>
      </c>
      <c r="AC33" s="111">
        <f>+AC26+(AC36*'PCR (M2)'!AC32/SUM('PCR (M2)'!AC28:AC32))</f>
        <v>14999.076289049191</v>
      </c>
      <c r="AD33" s="111">
        <f>+AD26+(AD36*'PCR (M2)'!AD32/SUM('PCR (M2)'!AD28:AD32))</f>
        <v>17802.440022199695</v>
      </c>
      <c r="AE33" s="111">
        <f>+AE26+(AE36*'PCR (M2)'!AE32/SUM('PCR (M2)'!AE28:AE32))</f>
        <v>19775.612550633668</v>
      </c>
      <c r="AF33" s="111">
        <f>+AF26+(AF36*'PCR (M2)'!AF32/SUM('PCR (M2)'!AF28:AF32))</f>
        <v>11062.273989486501</v>
      </c>
      <c r="AG33" s="111">
        <f>+AG26+(AG36*'PCR (M2)'!AG32/SUM('PCR (M2)'!AG28:AG32))</f>
        <v>20313.771907757455</v>
      </c>
      <c r="AH33" s="111">
        <f>+AH26+(AH36*'PCR (M2)'!AH32/SUM('PCR (M2)'!AH28:AH32))</f>
        <v>19132.25484498954</v>
      </c>
      <c r="AI33" s="111">
        <f>+AI26+(AI36*'PCR (M2)'!AI32/SUM('PCR (M2)'!AI28:AI32))</f>
        <v>18842.570934578442</v>
      </c>
      <c r="AJ33" s="111">
        <f>+AJ26+(AJ36*'PCR (M2)'!AJ32/SUM('PCR (M2)'!AJ28:AJ32))</f>
        <v>17291.908336856264</v>
      </c>
      <c r="AK33" s="111">
        <f>+AK26+(AK36*'PCR (M2)'!AK32/SUM('PCR (M2)'!AK28:AK32))</f>
        <v>16424.771759142779</v>
      </c>
      <c r="AL33" s="111">
        <f>+AL26+(AL36*'PCR (M2)'!AL32/SUM('PCR (M2)'!AL28:AL32))</f>
        <v>19194.293385468092</v>
      </c>
      <c r="AM33" s="111">
        <f>+AM26+(AM36*'PCR (M2)'!AM32/SUM('PCR (M2)'!AM28:AM32))</f>
        <v>38886.814638059877</v>
      </c>
      <c r="AN33" s="111">
        <f>+AN26+(AN36*'PCR (M2)'!AN32/SUM('PCR (M2)'!AN28:AN32))</f>
        <v>62163.30838583759</v>
      </c>
      <c r="AO33" s="111">
        <f>+AO26+(AO36*'PCR (M2)'!AO32/SUM('PCR (M2)'!AO28:AO32))</f>
        <v>62277.891788111709</v>
      </c>
      <c r="AP33" s="111">
        <f>+AP26+(AP36*'PCR (M2)'!AP32/SUM('PCR (M2)'!AP28:AP32))</f>
        <v>61090.351080169654</v>
      </c>
      <c r="AQ33" s="111">
        <f>+AQ26+(AQ36*'PCR (M2)'!AQ32/SUM('PCR (M2)'!AQ28:AQ32))</f>
        <v>77031.361873120681</v>
      </c>
      <c r="AR33" s="111">
        <f>+AR26+(AR36*'PCR (M2)'!AR32/SUM('PCR (M2)'!AR28:AR32))</f>
        <v>71605.590509478847</v>
      </c>
      <c r="AS33" s="111">
        <f>+AS26+(AS36*'PCR (M2)'!AS32/SUM('PCR (M2)'!AS28:AS32))</f>
        <v>79252.326006964737</v>
      </c>
      <c r="AT33" s="111">
        <f>+AT26+(AT36*'PCR (M2)'!AT32/SUM('PCR (M2)'!AT28:AT32))</f>
        <v>80418.423982704393</v>
      </c>
      <c r="AU33" s="111">
        <f>+AU26+(AU36*'PCR (M2)'!AU32/SUM('PCR (M2)'!AU28:AU32))</f>
        <v>75914.605849404077</v>
      </c>
      <c r="AV33" s="110">
        <f>+AV26+(AV36*'PCR (M2)'!AV32/SUM('PCR (M2)'!AV28:AV32))</f>
        <v>71459.629205464866</v>
      </c>
      <c r="AW33" s="114">
        <f>+AW26+(AW36*'PCR (M2)'!AW32/SUM('PCR (M2)'!AW28:AW32))</f>
        <v>70203.869783645336</v>
      </c>
      <c r="AX33" s="115">
        <f>+AX26+(AX36*'PCR (M2)'!AX32/SUM('PCR (M2)'!AX28:AX32))</f>
        <v>70995.836258517869</v>
      </c>
    </row>
    <row r="34" spans="1:52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98"/>
      <c r="AW34" s="99"/>
      <c r="AX34" s="102"/>
    </row>
    <row r="35" spans="1:52" s="165" customFormat="1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8"/>
      <c r="AW35" s="99"/>
      <c r="AX35" s="102"/>
    </row>
    <row r="36" spans="1:52" s="165" customFormat="1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-32811.980000000003</v>
      </c>
      <c r="R36" s="95">
        <v>-27741.819999999996</v>
      </c>
      <c r="S36" s="95">
        <v>-33591.72</v>
      </c>
      <c r="T36" s="95">
        <v>-43701.210000000006</v>
      </c>
      <c r="U36" s="95">
        <v>-44913.150000000016</v>
      </c>
      <c r="V36" s="95">
        <v>-37075.26</v>
      </c>
      <c r="W36" s="104">
        <v>-33337.619999999995</v>
      </c>
      <c r="X36" s="104">
        <v>-34636.379999999997</v>
      </c>
      <c r="Y36" s="104">
        <v>-46816.780000000006</v>
      </c>
      <c r="Z36" s="104">
        <v>-74379.199999999997</v>
      </c>
      <c r="AA36" s="104">
        <v>-53026.439999999981</v>
      </c>
      <c r="AB36" s="104">
        <v>-42925.730000000018</v>
      </c>
      <c r="AC36" s="104">
        <v>-42106.7</v>
      </c>
      <c r="AD36" s="104">
        <v>-28791.749999999996</v>
      </c>
      <c r="AE36" s="104">
        <v>-35930.130000000005</v>
      </c>
      <c r="AF36" s="104">
        <v>-41963.429999999993</v>
      </c>
      <c r="AG36" s="104">
        <v>-36995.590000000011</v>
      </c>
      <c r="AH36" s="104">
        <v>-35204.390000000014</v>
      </c>
      <c r="AI36" s="104">
        <v>-30748.660000000003</v>
      </c>
      <c r="AJ36" s="104">
        <v>-34618.679999999993</v>
      </c>
      <c r="AK36" s="104">
        <v>-50285.73</v>
      </c>
      <c r="AL36" s="104">
        <v>-55873.150000000009</v>
      </c>
      <c r="AM36" s="104">
        <v>-60492.49</v>
      </c>
      <c r="AN36" s="104">
        <v>-55114.33</v>
      </c>
      <c r="AO36" s="104">
        <v>-36035.890000000007</v>
      </c>
      <c r="AP36" s="104">
        <v>-27170.16</v>
      </c>
      <c r="AQ36" s="104">
        <v>-31591.29</v>
      </c>
      <c r="AR36" s="104">
        <v>-38703.740000000005</v>
      </c>
      <c r="AS36" s="104">
        <v>-41224.720000000001</v>
      </c>
      <c r="AT36" s="104">
        <v>-37524.060000000005</v>
      </c>
      <c r="AU36" s="104">
        <v>-31789.249999999996</v>
      </c>
      <c r="AV36" s="110">
        <f>-('PCR (M2)'!AV28*'TDR (M2)'!$AY$22*PPC!$B$14)</f>
        <v>-30510.505659290033</v>
      </c>
      <c r="AW36" s="114">
        <f>-('PCR (M2)'!AW28*'TDR (M2)'!$AY$22*PPC!$B$14)</f>
        <v>-43910.687021790742</v>
      </c>
      <c r="AX36" s="115">
        <f>-('PCR (M2)'!AX28*'TDR (M2)'!$AY$22*PPC!$B$14)</f>
        <v>-57406.597344857924</v>
      </c>
    </row>
    <row r="37" spans="1:52" s="165" customFormat="1" x14ac:dyDescent="0.25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7"/>
      <c r="AW37" s="108"/>
      <c r="AX37" s="102"/>
      <c r="AZ37" s="4"/>
    </row>
    <row r="38" spans="1:52" x14ac:dyDescent="0.25">
      <c r="B38" s="107"/>
      <c r="C38" s="108"/>
      <c r="D38" s="103" t="s">
        <v>68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7"/>
      <c r="AW38" s="108"/>
      <c r="AX38" s="112"/>
      <c r="AY38" s="4"/>
    </row>
    <row r="39" spans="1:52" ht="15.75" thickBot="1" x14ac:dyDescent="0.3">
      <c r="A39" s="116" t="s">
        <v>88</v>
      </c>
      <c r="B39" s="117">
        <v>0</v>
      </c>
      <c r="C39" s="118">
        <v>0</v>
      </c>
      <c r="D39" s="118">
        <v>0</v>
      </c>
      <c r="E39" s="118">
        <v>0.83</v>
      </c>
      <c r="F39" s="118">
        <v>-4.12</v>
      </c>
      <c r="G39" s="118">
        <v>-72.86</v>
      </c>
      <c r="H39" s="118">
        <v>-100.31</v>
      </c>
      <c r="I39" s="118">
        <v>-72.75</v>
      </c>
      <c r="J39" s="118">
        <v>200.51</v>
      </c>
      <c r="K39" s="118">
        <v>172.02</v>
      </c>
      <c r="L39" s="118">
        <v>217.02</v>
      </c>
      <c r="M39" s="118">
        <v>395.25</v>
      </c>
      <c r="N39" s="118">
        <v>349.23</v>
      </c>
      <c r="O39" s="118">
        <v>9085.07</v>
      </c>
      <c r="P39" s="118">
        <v>10214.99</v>
      </c>
      <c r="Q39" s="118">
        <v>8736.59</v>
      </c>
      <c r="R39" s="118">
        <v>7362.86</v>
      </c>
      <c r="S39" s="118">
        <v>7923.4</v>
      </c>
      <c r="T39" s="118">
        <v>6924.77</v>
      </c>
      <c r="U39" s="118">
        <v>6462.66</v>
      </c>
      <c r="V39" s="118">
        <v>5489.98</v>
      </c>
      <c r="W39" s="118">
        <v>3758.58</v>
      </c>
      <c r="X39" s="118">
        <v>2383.46</v>
      </c>
      <c r="Y39" s="118">
        <v>1195.4000000000001</v>
      </c>
      <c r="Z39" s="118">
        <v>-1558.24</v>
      </c>
      <c r="AA39" s="118">
        <v>-4135.4799999999996</v>
      </c>
      <c r="AB39" s="118">
        <v>-6601.54</v>
      </c>
      <c r="AC39" s="118">
        <v>-9814.07</v>
      </c>
      <c r="AD39" s="118">
        <v>-10424.57</v>
      </c>
      <c r="AE39" s="118">
        <v>-8592.41</v>
      </c>
      <c r="AF39" s="118">
        <v>-4589.53</v>
      </c>
      <c r="AG39" s="118">
        <v>-680.13</v>
      </c>
      <c r="AH39" s="118">
        <v>1145.49</v>
      </c>
      <c r="AI39" s="118">
        <v>131.71</v>
      </c>
      <c r="AJ39" s="118">
        <v>-872.83</v>
      </c>
      <c r="AK39" s="118">
        <v>-2378.1799999999998</v>
      </c>
      <c r="AL39" s="118">
        <v>-4152.67</v>
      </c>
      <c r="AM39" s="118">
        <v>-8693.64</v>
      </c>
      <c r="AN39" s="118">
        <v>-11321.04</v>
      </c>
      <c r="AO39" s="118">
        <v>-12444.34</v>
      </c>
      <c r="AP39" s="118">
        <v>-14340.93</v>
      </c>
      <c r="AQ39" s="118">
        <v>-7824.47</v>
      </c>
      <c r="AR39" s="118">
        <v>-9334.36</v>
      </c>
      <c r="AS39" s="118">
        <v>6436.46</v>
      </c>
      <c r="AT39" s="118">
        <v>8716.57</v>
      </c>
      <c r="AU39" s="118">
        <v>6493.08</v>
      </c>
      <c r="AV39" s="317">
        <v>5078.9154162657851</v>
      </c>
      <c r="AW39" s="318">
        <v>3111.6334151262863</v>
      </c>
      <c r="AX39" s="322">
        <v>74.953039003420145</v>
      </c>
    </row>
    <row r="40" spans="1:52" x14ac:dyDescent="0.25">
      <c r="B40" s="167"/>
      <c r="C40" s="120"/>
      <c r="D40" s="120"/>
      <c r="E40" s="120"/>
      <c r="F40" s="120"/>
      <c r="G40" s="191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67"/>
      <c r="AW40" s="120"/>
      <c r="AX40" s="121"/>
    </row>
    <row r="41" spans="1:52" x14ac:dyDescent="0.25">
      <c r="A41" s="72" t="s">
        <v>69</v>
      </c>
      <c r="B41" s="122"/>
      <c r="C41" s="50"/>
      <c r="D41" s="50"/>
      <c r="E41" s="50"/>
      <c r="F41" s="50"/>
      <c r="G41" s="192"/>
      <c r="H41" s="50"/>
      <c r="I41" s="50"/>
      <c r="J41" s="50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98"/>
      <c r="AW41" s="99"/>
      <c r="AX41" s="102"/>
    </row>
    <row r="42" spans="1:52" x14ac:dyDescent="0.25">
      <c r="A42" s="72" t="s">
        <v>0</v>
      </c>
      <c r="B42" s="110">
        <f>B15-B29</f>
        <v>0</v>
      </c>
      <c r="C42" s="114">
        <f t="shared" ref="C42:AX46" si="44">C15-C29</f>
        <v>0</v>
      </c>
      <c r="D42" s="114">
        <f t="shared" si="44"/>
        <v>0</v>
      </c>
      <c r="E42" s="114">
        <f t="shared" si="44"/>
        <v>1328.78</v>
      </c>
      <c r="F42" s="114">
        <f t="shared" si="44"/>
        <v>-2928.2299999999996</v>
      </c>
      <c r="G42" s="114">
        <f t="shared" si="44"/>
        <v>-71289.570000000007</v>
      </c>
      <c r="H42" s="114">
        <f t="shared" si="44"/>
        <v>-1844.4099999999744</v>
      </c>
      <c r="I42" s="114">
        <f t="shared" si="44"/>
        <v>114544.92435846673</v>
      </c>
      <c r="J42" s="114">
        <f t="shared" si="44"/>
        <v>437611.03363575385</v>
      </c>
      <c r="K42" s="114">
        <f t="shared" si="44"/>
        <v>-46108.639999999985</v>
      </c>
      <c r="L42" s="114">
        <f t="shared" si="44"/>
        <v>48251.358816492691</v>
      </c>
      <c r="M42" s="114">
        <f t="shared" si="44"/>
        <v>92791.644528529549</v>
      </c>
      <c r="N42" s="114">
        <f t="shared" si="44"/>
        <v>-76541.62899647688</v>
      </c>
      <c r="O42" s="114">
        <f t="shared" si="44"/>
        <v>-1050300.6538526569</v>
      </c>
      <c r="P42" s="114">
        <f t="shared" si="44"/>
        <v>-795612.54377562623</v>
      </c>
      <c r="Q42" s="114">
        <f t="shared" si="44"/>
        <v>-781966.80801192264</v>
      </c>
      <c r="R42" s="114">
        <f t="shared" si="44"/>
        <v>-734608.66210439603</v>
      </c>
      <c r="S42" s="114">
        <f t="shared" si="44"/>
        <v>-370689.72777560423</v>
      </c>
      <c r="T42" s="114">
        <f t="shared" si="44"/>
        <v>-384119.88133799564</v>
      </c>
      <c r="U42" s="114">
        <f t="shared" si="44"/>
        <v>-275107.38358755549</v>
      </c>
      <c r="V42" s="114">
        <f t="shared" si="44"/>
        <v>-424940.93852856522</v>
      </c>
      <c r="W42" s="114">
        <f t="shared" si="44"/>
        <v>-895008.88456685981</v>
      </c>
      <c r="X42" s="114">
        <f t="shared" ref="X42:AH42" si="45">X15-X29</f>
        <v>-652093.16687273735</v>
      </c>
      <c r="Y42" s="114">
        <f t="shared" si="45"/>
        <v>-761185.28928755154</v>
      </c>
      <c r="Z42" s="114">
        <f t="shared" si="45"/>
        <v>-1423446.7136634206</v>
      </c>
      <c r="AA42" s="114">
        <f t="shared" si="45"/>
        <v>-872933.81364122406</v>
      </c>
      <c r="AB42" s="114">
        <f t="shared" si="45"/>
        <v>-647504.14396264404</v>
      </c>
      <c r="AC42" s="114">
        <f t="shared" si="45"/>
        <v>-811719.89299649675</v>
      </c>
      <c r="AD42" s="114">
        <f t="shared" si="45"/>
        <v>-388655.70517212211</v>
      </c>
      <c r="AE42" s="114">
        <f t="shared" si="45"/>
        <v>723672.47680510976</v>
      </c>
      <c r="AF42" s="114">
        <f t="shared" si="45"/>
        <v>1229078.5787427053</v>
      </c>
      <c r="AG42" s="114">
        <f t="shared" si="45"/>
        <v>1288463.5757057199</v>
      </c>
      <c r="AH42" s="114">
        <f t="shared" si="45"/>
        <v>271065.67566829198</v>
      </c>
      <c r="AI42" s="114">
        <f t="shared" ref="AI42:AU42" si="46">AI15-AI29</f>
        <v>-464314.22299920814</v>
      </c>
      <c r="AJ42" s="114">
        <f t="shared" si="46"/>
        <v>-436737.34684611688</v>
      </c>
      <c r="AK42" s="114">
        <f t="shared" si="46"/>
        <v>-617572.08405505202</v>
      </c>
      <c r="AL42" s="114">
        <f t="shared" si="46"/>
        <v>-757166.54526625574</v>
      </c>
      <c r="AM42" s="114">
        <f t="shared" si="46"/>
        <v>-902323.78320456308</v>
      </c>
      <c r="AN42" s="114">
        <f t="shared" si="46"/>
        <v>-644984.27791673772</v>
      </c>
      <c r="AO42" s="114">
        <f t="shared" si="46"/>
        <v>-371208.95703957358</v>
      </c>
      <c r="AP42" s="114">
        <f t="shared" si="46"/>
        <v>-436712.1860460249</v>
      </c>
      <c r="AQ42" s="114">
        <f t="shared" si="46"/>
        <v>1651426.2498654767</v>
      </c>
      <c r="AR42" s="114">
        <f t="shared" si="46"/>
        <v>1729212.3236625164</v>
      </c>
      <c r="AS42" s="114">
        <f t="shared" si="46"/>
        <v>1886501.8465768229</v>
      </c>
      <c r="AT42" s="114">
        <f t="shared" si="46"/>
        <v>550244.65205842978</v>
      </c>
      <c r="AU42" s="114">
        <f t="shared" si="46"/>
        <v>-619226.02641074557</v>
      </c>
      <c r="AV42" s="110">
        <f>AV15-AV29</f>
        <v>-336171.28675905673</v>
      </c>
      <c r="AW42" s="114">
        <f t="shared" si="44"/>
        <v>-546415.61582489219</v>
      </c>
      <c r="AX42" s="115">
        <f t="shared" si="44"/>
        <v>-953577.29380311328</v>
      </c>
    </row>
    <row r="43" spans="1:52" x14ac:dyDescent="0.25">
      <c r="A43" s="72" t="s">
        <v>4</v>
      </c>
      <c r="B43" s="110">
        <f t="shared" ref="B43:Q46" si="47">B16-B30</f>
        <v>0</v>
      </c>
      <c r="C43" s="114">
        <f t="shared" si="47"/>
        <v>0</v>
      </c>
      <c r="D43" s="114">
        <f t="shared" si="47"/>
        <v>0</v>
      </c>
      <c r="E43" s="114">
        <f t="shared" si="47"/>
        <v>0</v>
      </c>
      <c r="F43" s="114">
        <f t="shared" si="47"/>
        <v>-856.28</v>
      </c>
      <c r="G43" s="114">
        <f t="shared" si="47"/>
        <v>-8251.3300000000017</v>
      </c>
      <c r="H43" s="114">
        <f t="shared" si="47"/>
        <v>-1402.1099999999969</v>
      </c>
      <c r="I43" s="114">
        <f t="shared" si="47"/>
        <v>-65.264761224685572</v>
      </c>
      <c r="J43" s="114">
        <f t="shared" si="47"/>
        <v>8427.9456749210331</v>
      </c>
      <c r="K43" s="114">
        <f t="shared" si="47"/>
        <v>11617.59</v>
      </c>
      <c r="L43" s="114">
        <f t="shared" si="47"/>
        <v>17046.048601536655</v>
      </c>
      <c r="M43" s="114">
        <f t="shared" si="47"/>
        <v>24826.995758638252</v>
      </c>
      <c r="N43" s="114">
        <f t="shared" si="47"/>
        <v>20240.432188278435</v>
      </c>
      <c r="O43" s="114">
        <f t="shared" si="47"/>
        <v>-101815.23827073371</v>
      </c>
      <c r="P43" s="114">
        <f t="shared" si="47"/>
        <v>-75662.968837742344</v>
      </c>
      <c r="Q43" s="114">
        <f t="shared" si="47"/>
        <v>-91804.560030101668</v>
      </c>
      <c r="R43" s="114">
        <f t="shared" si="44"/>
        <v>-68128.224455245159</v>
      </c>
      <c r="S43" s="114">
        <f t="shared" si="44"/>
        <v>-48589.637835607791</v>
      </c>
      <c r="T43" s="114">
        <f t="shared" si="44"/>
        <v>-21968.569927616802</v>
      </c>
      <c r="U43" s="114">
        <f t="shared" si="44"/>
        <v>-28715.458669831074</v>
      </c>
      <c r="V43" s="114">
        <f t="shared" si="44"/>
        <v>6276.6530995404464</v>
      </c>
      <c r="W43" s="114">
        <f t="shared" si="44"/>
        <v>-21029.362806484423</v>
      </c>
      <c r="X43" s="114">
        <f t="shared" ref="X43:AH43" si="48">X16-X30</f>
        <v>-34538.080526789403</v>
      </c>
      <c r="Y43" s="114">
        <f t="shared" si="48"/>
        <v>-7659.090907654303</v>
      </c>
      <c r="Z43" s="114">
        <f t="shared" si="48"/>
        <v>-42593.533596648835</v>
      </c>
      <c r="AA43" s="114">
        <f t="shared" si="48"/>
        <v>-206001.8335522181</v>
      </c>
      <c r="AB43" s="114">
        <f t="shared" si="48"/>
        <v>-133723.8395783462</v>
      </c>
      <c r="AC43" s="114">
        <f t="shared" si="48"/>
        <v>-104521.60706289703</v>
      </c>
      <c r="AD43" s="114">
        <f t="shared" si="48"/>
        <v>-4214.1796664728899</v>
      </c>
      <c r="AE43" s="114">
        <f t="shared" si="48"/>
        <v>60618.685361135169</v>
      </c>
      <c r="AF43" s="114">
        <f t="shared" si="48"/>
        <v>149648.72067955992</v>
      </c>
      <c r="AG43" s="114">
        <f t="shared" si="48"/>
        <v>112641.30665656802</v>
      </c>
      <c r="AH43" s="114">
        <f t="shared" si="48"/>
        <v>157250.8063429466</v>
      </c>
      <c r="AI43" s="114">
        <f t="shared" ref="AI43:AU43" si="49">AI16-AI30</f>
        <v>50394.117705575947</v>
      </c>
      <c r="AJ43" s="114">
        <f t="shared" si="49"/>
        <v>47785.738240385894</v>
      </c>
      <c r="AK43" s="114">
        <f t="shared" si="49"/>
        <v>26812.776423145784</v>
      </c>
      <c r="AL43" s="114">
        <f t="shared" si="49"/>
        <v>5329.6397879027063</v>
      </c>
      <c r="AM43" s="114">
        <f t="shared" si="49"/>
        <v>-385470.08172739437</v>
      </c>
      <c r="AN43" s="114">
        <f t="shared" si="49"/>
        <v>-234131.02815485816</v>
      </c>
      <c r="AO43" s="114">
        <f t="shared" si="49"/>
        <v>-106451.00316548307</v>
      </c>
      <c r="AP43" s="114">
        <f t="shared" si="49"/>
        <v>-80796.707221269025</v>
      </c>
      <c r="AQ43" s="114">
        <f t="shared" si="49"/>
        <v>119748.6338400637</v>
      </c>
      <c r="AR43" s="114">
        <f t="shared" si="49"/>
        <v>230591.13180803775</v>
      </c>
      <c r="AS43" s="114">
        <f t="shared" si="49"/>
        <v>40607.117085032864</v>
      </c>
      <c r="AT43" s="114">
        <f t="shared" si="49"/>
        <v>94805.055079190759</v>
      </c>
      <c r="AU43" s="114">
        <f t="shared" si="49"/>
        <v>-81991.941769096185</v>
      </c>
      <c r="AV43" s="110">
        <f t="shared" si="44"/>
        <v>-106787.2854085078</v>
      </c>
      <c r="AW43" s="114">
        <f t="shared" si="44"/>
        <v>-191361.85623482923</v>
      </c>
      <c r="AX43" s="115">
        <f t="shared" si="44"/>
        <v>-306224.85478014091</v>
      </c>
    </row>
    <row r="44" spans="1:52" x14ac:dyDescent="0.25">
      <c r="A44" s="72" t="s">
        <v>5</v>
      </c>
      <c r="B44" s="110">
        <f t="shared" si="47"/>
        <v>0</v>
      </c>
      <c r="C44" s="114">
        <f t="shared" si="44"/>
        <v>0</v>
      </c>
      <c r="D44" s="114">
        <f t="shared" si="44"/>
        <v>0</v>
      </c>
      <c r="E44" s="114">
        <f t="shared" si="44"/>
        <v>0</v>
      </c>
      <c r="F44" s="114">
        <f t="shared" si="44"/>
        <v>-2460.2199999999998</v>
      </c>
      <c r="G44" s="114">
        <f t="shared" si="44"/>
        <v>-33758.050000000003</v>
      </c>
      <c r="H44" s="114">
        <f t="shared" si="44"/>
        <v>-21639.839999999997</v>
      </c>
      <c r="I44" s="114">
        <f t="shared" si="44"/>
        <v>-12324.613120248869</v>
      </c>
      <c r="J44" s="114">
        <f t="shared" si="44"/>
        <v>10707.581306139036</v>
      </c>
      <c r="K44" s="114">
        <f t="shared" si="44"/>
        <v>7716.2699999999968</v>
      </c>
      <c r="L44" s="114">
        <f t="shared" si="44"/>
        <v>19152.98271623841</v>
      </c>
      <c r="M44" s="114">
        <f t="shared" si="44"/>
        <v>37688.57344597984</v>
      </c>
      <c r="N44" s="114">
        <f t="shared" si="44"/>
        <v>34655.832713338357</v>
      </c>
      <c r="O44" s="114">
        <f t="shared" si="44"/>
        <v>-242092.50256055058</v>
      </c>
      <c r="P44" s="114">
        <f t="shared" si="44"/>
        <v>-195981.13140874798</v>
      </c>
      <c r="Q44" s="114">
        <f t="shared" si="44"/>
        <v>-232888.91236901932</v>
      </c>
      <c r="R44" s="114">
        <f t="shared" si="44"/>
        <v>-203991.54845207804</v>
      </c>
      <c r="S44" s="114">
        <f t="shared" si="44"/>
        <v>-122904.71343148759</v>
      </c>
      <c r="T44" s="114">
        <f t="shared" si="44"/>
        <v>-45595.367444124771</v>
      </c>
      <c r="U44" s="114">
        <f t="shared" si="44"/>
        <v>-58272.669394945318</v>
      </c>
      <c r="V44" s="114">
        <f t="shared" si="44"/>
        <v>-6175.1120859243674</v>
      </c>
      <c r="W44" s="114">
        <f t="shared" si="44"/>
        <v>-115986.35542651551</v>
      </c>
      <c r="X44" s="114">
        <f t="shared" ref="X44:AH44" si="50">X17-X31</f>
        <v>-69294.433327207837</v>
      </c>
      <c r="Y44" s="114">
        <f t="shared" si="50"/>
        <v>-54669.383200100274</v>
      </c>
      <c r="Z44" s="114">
        <f t="shared" si="50"/>
        <v>-70407.882028048742</v>
      </c>
      <c r="AA44" s="114">
        <f t="shared" si="50"/>
        <v>-278199.91199827904</v>
      </c>
      <c r="AB44" s="114">
        <f t="shared" si="50"/>
        <v>-194553.80264377588</v>
      </c>
      <c r="AC44" s="114">
        <f t="shared" si="50"/>
        <v>-181165.27958706097</v>
      </c>
      <c r="AD44" s="114">
        <f t="shared" si="50"/>
        <v>-65612.444639366528</v>
      </c>
      <c r="AE44" s="114">
        <f t="shared" si="50"/>
        <v>263200.71750933642</v>
      </c>
      <c r="AF44" s="114">
        <f t="shared" si="50"/>
        <v>535792.77625822683</v>
      </c>
      <c r="AG44" s="114">
        <f t="shared" si="50"/>
        <v>403517.90316562622</v>
      </c>
      <c r="AH44" s="114">
        <f t="shared" si="50"/>
        <v>395778.97101029358</v>
      </c>
      <c r="AI44" s="114">
        <f t="shared" ref="AI44:AU44" si="51">AI17-AI31</f>
        <v>-14353.052894642577</v>
      </c>
      <c r="AJ44" s="114">
        <f t="shared" si="51"/>
        <v>1744.6990926700528</v>
      </c>
      <c r="AK44" s="114">
        <f t="shared" si="51"/>
        <v>43164.493867260288</v>
      </c>
      <c r="AL44" s="114">
        <f t="shared" si="51"/>
        <v>69032.617636874435</v>
      </c>
      <c r="AM44" s="114">
        <f t="shared" si="51"/>
        <v>-516448.80428918765</v>
      </c>
      <c r="AN44" s="114">
        <f t="shared" si="51"/>
        <v>-265389.93410872563</v>
      </c>
      <c r="AO44" s="114">
        <f t="shared" si="51"/>
        <v>-186671.6012031635</v>
      </c>
      <c r="AP44" s="114">
        <f t="shared" si="51"/>
        <v>-249695.80261101574</v>
      </c>
      <c r="AQ44" s="114">
        <f t="shared" si="51"/>
        <v>610138.74075894407</v>
      </c>
      <c r="AR44" s="114">
        <f t="shared" si="51"/>
        <v>964983.89764747978</v>
      </c>
      <c r="AS44" s="114">
        <f t="shared" si="51"/>
        <v>607446.53375909547</v>
      </c>
      <c r="AT44" s="114">
        <f t="shared" si="51"/>
        <v>438365.52108722716</v>
      </c>
      <c r="AU44" s="114">
        <f t="shared" si="51"/>
        <v>-267302.80112048553</v>
      </c>
      <c r="AV44" s="110">
        <f t="shared" si="44"/>
        <v>-266133.10118227184</v>
      </c>
      <c r="AW44" s="114">
        <f t="shared" si="44"/>
        <v>-297512.83063312666</v>
      </c>
      <c r="AX44" s="115">
        <f t="shared" si="44"/>
        <v>-368403.4835120358</v>
      </c>
    </row>
    <row r="45" spans="1:52" x14ac:dyDescent="0.25">
      <c r="A45" s="72" t="s">
        <v>6</v>
      </c>
      <c r="B45" s="110">
        <f t="shared" si="47"/>
        <v>0</v>
      </c>
      <c r="C45" s="114">
        <f t="shared" si="44"/>
        <v>0</v>
      </c>
      <c r="D45" s="114">
        <f t="shared" si="44"/>
        <v>0</v>
      </c>
      <c r="E45" s="114">
        <f t="shared" si="44"/>
        <v>0</v>
      </c>
      <c r="F45" s="114">
        <f t="shared" si="44"/>
        <v>-1621.85</v>
      </c>
      <c r="G45" s="114">
        <f t="shared" si="44"/>
        <v>-14886.83</v>
      </c>
      <c r="H45" s="114">
        <f t="shared" si="44"/>
        <v>-17626.32</v>
      </c>
      <c r="I45" s="114">
        <f t="shared" si="44"/>
        <v>-16627.989274539053</v>
      </c>
      <c r="J45" s="114">
        <f t="shared" si="44"/>
        <v>-15673.941858251583</v>
      </c>
      <c r="K45" s="114">
        <f t="shared" si="44"/>
        <v>-12991.86</v>
      </c>
      <c r="L45" s="114">
        <f t="shared" si="44"/>
        <v>-9215.8170176639032</v>
      </c>
      <c r="M45" s="114">
        <f t="shared" si="44"/>
        <v>1372.297784318449</v>
      </c>
      <c r="N45" s="114">
        <f t="shared" si="44"/>
        <v>-3995.0892387392923</v>
      </c>
      <c r="O45" s="114">
        <f t="shared" si="44"/>
        <v>-304000.85004735005</v>
      </c>
      <c r="P45" s="114">
        <f t="shared" si="44"/>
        <v>-237560.18932731223</v>
      </c>
      <c r="Q45" s="114">
        <f t="shared" si="44"/>
        <v>-270969.97217664868</v>
      </c>
      <c r="R45" s="114">
        <f t="shared" si="44"/>
        <v>-259352.7289176824</v>
      </c>
      <c r="S45" s="114">
        <f t="shared" si="44"/>
        <v>-202261.62434077309</v>
      </c>
      <c r="T45" s="114">
        <f t="shared" si="44"/>
        <v>-147511.63525993662</v>
      </c>
      <c r="U45" s="114">
        <f t="shared" si="44"/>
        <v>-122541.67894562634</v>
      </c>
      <c r="V45" s="114">
        <f t="shared" si="44"/>
        <v>-123221.18931087491</v>
      </c>
      <c r="W45" s="114">
        <f t="shared" si="44"/>
        <v>-220265.81874101982</v>
      </c>
      <c r="X45" s="114">
        <f t="shared" ref="X45:AH45" si="52">X18-X32</f>
        <v>-191005.21786957013</v>
      </c>
      <c r="Y45" s="114">
        <f t="shared" si="52"/>
        <v>-188005.20883714195</v>
      </c>
      <c r="Z45" s="114">
        <f t="shared" si="52"/>
        <v>-200503.50323993355</v>
      </c>
      <c r="AA45" s="114">
        <f t="shared" si="52"/>
        <v>-186338.57353980344</v>
      </c>
      <c r="AB45" s="114">
        <f t="shared" si="52"/>
        <v>-169875.44483674748</v>
      </c>
      <c r="AC45" s="114">
        <f t="shared" si="52"/>
        <v>-145378.61898659961</v>
      </c>
      <c r="AD45" s="114">
        <f t="shared" si="52"/>
        <v>-142266.06809872741</v>
      </c>
      <c r="AE45" s="114">
        <f t="shared" si="52"/>
        <v>73240.586517746502</v>
      </c>
      <c r="AF45" s="114">
        <f t="shared" si="52"/>
        <v>181633.88145182672</v>
      </c>
      <c r="AG45" s="114">
        <f t="shared" si="52"/>
        <v>130230.35779464053</v>
      </c>
      <c r="AH45" s="114">
        <f t="shared" si="52"/>
        <v>67502.841347931884</v>
      </c>
      <c r="AI45" s="114">
        <f t="shared" ref="AI45:AU45" si="53">AI18-AI32</f>
        <v>-117748.44529398013</v>
      </c>
      <c r="AJ45" s="114">
        <f t="shared" si="53"/>
        <v>-110277.67032792341</v>
      </c>
      <c r="AK45" s="114">
        <f t="shared" si="53"/>
        <v>-99577.289493904042</v>
      </c>
      <c r="AL45" s="114">
        <f t="shared" si="53"/>
        <v>-45030.541968987585</v>
      </c>
      <c r="AM45" s="114">
        <f t="shared" si="53"/>
        <v>-134825.6919202162</v>
      </c>
      <c r="AN45" s="114">
        <f t="shared" si="53"/>
        <v>-46651.286517600529</v>
      </c>
      <c r="AO45" s="114">
        <f t="shared" si="53"/>
        <v>-54338.200422683032</v>
      </c>
      <c r="AP45" s="114">
        <f t="shared" si="53"/>
        <v>-43825.839606522641</v>
      </c>
      <c r="AQ45" s="114">
        <f t="shared" si="53"/>
        <v>398285.62603206246</v>
      </c>
      <c r="AR45" s="114">
        <f t="shared" si="53"/>
        <v>582992.76012694114</v>
      </c>
      <c r="AS45" s="114">
        <f t="shared" si="53"/>
        <v>459822.81218621496</v>
      </c>
      <c r="AT45" s="114">
        <f t="shared" si="53"/>
        <v>274139.20776520291</v>
      </c>
      <c r="AU45" s="114">
        <f t="shared" si="53"/>
        <v>-60697.38078627811</v>
      </c>
      <c r="AV45" s="110">
        <f t="shared" si="44"/>
        <v>-84174.063526692626</v>
      </c>
      <c r="AW45" s="114">
        <f t="shared" si="44"/>
        <v>-75765.507710848062</v>
      </c>
      <c r="AX45" s="115">
        <f t="shared" si="44"/>
        <v>-88839.511430520914</v>
      </c>
    </row>
    <row r="46" spans="1:52" x14ac:dyDescent="0.25">
      <c r="A46" s="72" t="s">
        <v>7</v>
      </c>
      <c r="B46" s="110">
        <f t="shared" si="47"/>
        <v>0</v>
      </c>
      <c r="C46" s="114">
        <f t="shared" si="44"/>
        <v>0</v>
      </c>
      <c r="D46" s="114">
        <f t="shared" si="44"/>
        <v>0</v>
      </c>
      <c r="E46" s="114">
        <f t="shared" si="44"/>
        <v>0</v>
      </c>
      <c r="F46" s="114">
        <f t="shared" si="44"/>
        <v>0</v>
      </c>
      <c r="G46" s="114">
        <f t="shared" si="44"/>
        <v>-4867.8</v>
      </c>
      <c r="H46" s="114">
        <f t="shared" si="44"/>
        <v>-9168.5600000000013</v>
      </c>
      <c r="I46" s="114">
        <f t="shared" si="44"/>
        <v>-8265.5672024542127</v>
      </c>
      <c r="J46" s="114">
        <f t="shared" si="44"/>
        <v>-8316.2787585622791</v>
      </c>
      <c r="K46" s="114">
        <f t="shared" si="44"/>
        <v>-7378.56</v>
      </c>
      <c r="L46" s="114">
        <f t="shared" si="44"/>
        <v>-6146.6731166039754</v>
      </c>
      <c r="M46" s="114">
        <f t="shared" si="44"/>
        <v>-4777.3815174660513</v>
      </c>
      <c r="N46" s="114">
        <f t="shared" si="44"/>
        <v>-2049.3166664006667</v>
      </c>
      <c r="O46" s="114">
        <f t="shared" si="44"/>
        <v>-196274.45526870835</v>
      </c>
      <c r="P46" s="114">
        <f t="shared" si="44"/>
        <v>-158572.54665057128</v>
      </c>
      <c r="Q46" s="114">
        <f t="shared" si="44"/>
        <v>-175260.29741230787</v>
      </c>
      <c r="R46" s="114">
        <f t="shared" si="44"/>
        <v>-176113.52607059845</v>
      </c>
      <c r="S46" s="114">
        <f t="shared" si="44"/>
        <v>-202586.48661652688</v>
      </c>
      <c r="T46" s="114">
        <f t="shared" si="44"/>
        <v>-181774.18603032624</v>
      </c>
      <c r="U46" s="114">
        <f t="shared" si="44"/>
        <v>-206040.28940204179</v>
      </c>
      <c r="V46" s="114">
        <f t="shared" si="44"/>
        <v>-196080.56317417626</v>
      </c>
      <c r="W46" s="114">
        <f t="shared" si="44"/>
        <v>-193270.44845911989</v>
      </c>
      <c r="X46" s="114">
        <f t="shared" ref="X46:AH46" si="54">X19-X33</f>
        <v>-183327.18140369625</v>
      </c>
      <c r="Y46" s="114">
        <f t="shared" si="54"/>
        <v>-164307.36776755113</v>
      </c>
      <c r="Z46" s="114">
        <f t="shared" si="54"/>
        <v>-163134.57747194907</v>
      </c>
      <c r="AA46" s="114">
        <f t="shared" si="54"/>
        <v>-80306.607268475083</v>
      </c>
      <c r="AB46" s="114">
        <f t="shared" si="54"/>
        <v>8305.2410215153686</v>
      </c>
      <c r="AC46" s="114">
        <f t="shared" si="54"/>
        <v>10698.258633053718</v>
      </c>
      <c r="AD46" s="114">
        <f t="shared" si="54"/>
        <v>16900.587576688344</v>
      </c>
      <c r="AE46" s="114">
        <f t="shared" si="54"/>
        <v>55743.863806674082</v>
      </c>
      <c r="AF46" s="114">
        <f t="shared" si="54"/>
        <v>89211.152867682249</v>
      </c>
      <c r="AG46" s="114">
        <f t="shared" si="54"/>
        <v>65185.736677447916</v>
      </c>
      <c r="AH46" s="114">
        <f t="shared" si="54"/>
        <v>50265.565630534838</v>
      </c>
      <c r="AI46" s="114">
        <f t="shared" ref="AI46:AU46" si="55">AI19-AI33</f>
        <v>18978.573482252643</v>
      </c>
      <c r="AJ46" s="114">
        <f t="shared" si="55"/>
        <v>18573.189840982588</v>
      </c>
      <c r="AK46" s="114">
        <f t="shared" si="55"/>
        <v>26480.473258549871</v>
      </c>
      <c r="AL46" s="114">
        <f t="shared" si="55"/>
        <v>29746.95981046333</v>
      </c>
      <c r="AM46" s="114">
        <f t="shared" si="55"/>
        <v>6849.3911413641254</v>
      </c>
      <c r="AN46" s="114">
        <f t="shared" si="55"/>
        <v>-368.31330207322753</v>
      </c>
      <c r="AO46" s="114">
        <f t="shared" si="55"/>
        <v>-6118.5681690972779</v>
      </c>
      <c r="AP46" s="114">
        <f t="shared" si="55"/>
        <v>5025.7454848302732</v>
      </c>
      <c r="AQ46" s="114">
        <f t="shared" si="55"/>
        <v>119304.81950345435</v>
      </c>
      <c r="AR46" s="114">
        <f t="shared" si="55"/>
        <v>190161.95675502185</v>
      </c>
      <c r="AS46" s="114">
        <f t="shared" si="55"/>
        <v>152954.66039283545</v>
      </c>
      <c r="AT46" s="114">
        <f t="shared" si="55"/>
        <v>69283.064009947717</v>
      </c>
      <c r="AU46" s="114">
        <f t="shared" si="55"/>
        <v>-11932.929913396387</v>
      </c>
      <c r="AV46" s="110">
        <f t="shared" si="44"/>
        <v>-15994.620887628873</v>
      </c>
      <c r="AW46" s="114">
        <f t="shared" si="44"/>
        <v>-10775.394758597547</v>
      </c>
      <c r="AX46" s="115">
        <f t="shared" si="44"/>
        <v>-9876.1731466003257</v>
      </c>
    </row>
    <row r="47" spans="1:52" x14ac:dyDescent="0.25">
      <c r="B47" s="98"/>
      <c r="C47" s="99"/>
      <c r="D47" s="99"/>
      <c r="E47" s="99"/>
      <c r="F47" s="101"/>
      <c r="G47" s="101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8"/>
      <c r="AW47" s="99"/>
      <c r="AX47" s="102"/>
    </row>
    <row r="48" spans="1:52" x14ac:dyDescent="0.25">
      <c r="A48" s="72" t="s">
        <v>70</v>
      </c>
      <c r="B48" s="98"/>
      <c r="C48" s="99"/>
      <c r="D48" s="99"/>
      <c r="E48" s="99"/>
      <c r="F48" s="101"/>
      <c r="G48" s="101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8"/>
      <c r="AW48" s="99"/>
      <c r="AX48" s="102"/>
    </row>
    <row r="49" spans="1:50" x14ac:dyDescent="0.25">
      <c r="A49" s="72" t="s">
        <v>0</v>
      </c>
      <c r="B49" s="110">
        <f>B42</f>
        <v>0</v>
      </c>
      <c r="C49" s="114">
        <f>B49+C42+B56</f>
        <v>0</v>
      </c>
      <c r="D49" s="114">
        <f t="shared" ref="D49:J49" si="56">C49+D42+C56</f>
        <v>0</v>
      </c>
      <c r="E49" s="114">
        <f t="shared" si="56"/>
        <v>1328.78</v>
      </c>
      <c r="F49" s="114">
        <f>E49+F42+E56</f>
        <v>-1598.6244190201496</v>
      </c>
      <c r="G49" s="114">
        <f t="shared" si="56"/>
        <v>-72889.201277973625</v>
      </c>
      <c r="H49" s="114">
        <f t="shared" si="56"/>
        <v>-74771.654703242617</v>
      </c>
      <c r="I49" s="114">
        <f t="shared" si="56"/>
        <v>39734.074166899532</v>
      </c>
      <c r="J49" s="114">
        <f t="shared" si="56"/>
        <v>477370.42390444461</v>
      </c>
      <c r="K49" s="114">
        <f>J49+K42+J56</f>
        <v>431562.31245481368</v>
      </c>
      <c r="L49" s="114">
        <f t="shared" ref="L49:T53" si="57">K49+L42+K56</f>
        <v>480087.05520718865</v>
      </c>
      <c r="M49" s="114">
        <f t="shared" si="57"/>
        <v>573184.413171386</v>
      </c>
      <c r="N49" s="114">
        <f t="shared" si="57"/>
        <v>497102.38445415173</v>
      </c>
      <c r="O49" s="114">
        <f>N49+O42+N56+N66</f>
        <v>7059079.5573898349</v>
      </c>
      <c r="P49" s="114">
        <f t="shared" si="57"/>
        <v>6268761.3232822511</v>
      </c>
      <c r="Q49" s="114">
        <f t="shared" si="57"/>
        <v>5492802.0782051403</v>
      </c>
      <c r="R49" s="114">
        <f t="shared" si="57"/>
        <v>4763457.3514256906</v>
      </c>
      <c r="S49" s="114">
        <f t="shared" si="57"/>
        <v>4397332.6036118688</v>
      </c>
      <c r="T49" s="114">
        <f t="shared" si="57"/>
        <v>4018379.5880831173</v>
      </c>
      <c r="U49" s="114">
        <f t="shared" ref="U49:W49" si="58">T49+U42+T56</f>
        <v>3747933.0225202898</v>
      </c>
      <c r="V49" s="114">
        <f t="shared" si="58"/>
        <v>3327573.8571530953</v>
      </c>
      <c r="W49" s="114">
        <f t="shared" si="58"/>
        <v>2436581.0103825205</v>
      </c>
      <c r="X49" s="114">
        <f t="shared" ref="X49:X53" si="59">W49+X42+W56</f>
        <v>1787433.7308658608</v>
      </c>
      <c r="Y49" s="114">
        <f t="shared" ref="Y49:Y53" si="60">X49+Y42+X56</f>
        <v>1028397.6353625404</v>
      </c>
      <c r="Z49" s="114">
        <f t="shared" ref="Z49:Z53" si="61">Y49+Z42+Y56</f>
        <v>-393529.15715869819</v>
      </c>
      <c r="AA49" s="114">
        <f t="shared" ref="AA49:AA53" si="62">Z49+AA42+Z56</f>
        <v>-1267025.5161389071</v>
      </c>
      <c r="AB49" s="114">
        <f t="shared" ref="AB49:AB53" si="63">AA49+AB42+AA56</f>
        <v>-1916459.3040635744</v>
      </c>
      <c r="AC49" s="114">
        <f t="shared" ref="AC49:AC53" si="64">AB49+AC42+AB56</f>
        <v>-2731459.4503281913</v>
      </c>
      <c r="AD49" s="114">
        <f t="shared" ref="AD49:AD53" si="65">AC49+AD42+AC56</f>
        <v>-3125375.9372967808</v>
      </c>
      <c r="AE49" s="114">
        <f t="shared" ref="AE49:AE53" si="66">AD49+AE42+AD56</f>
        <v>-2407430.1779783783</v>
      </c>
      <c r="AF49" s="114">
        <f t="shared" ref="AF49:AF53" si="67">AE49+AF42+AE56</f>
        <v>-1182924.8358556251</v>
      </c>
      <c r="AG49" s="114">
        <f t="shared" ref="AG49:AG53" si="68">AF49+AG42+AF56</f>
        <v>103224.96943005276</v>
      </c>
      <c r="AH49" s="114">
        <f t="shared" ref="AH49:AH53" si="69">AG49+AH42+AG56</f>
        <v>374490.6818418958</v>
      </c>
      <c r="AI49" s="114">
        <f t="shared" ref="AI49:AI53" si="70">AH49+AI42+AH56</f>
        <v>-89096.729017842459</v>
      </c>
      <c r="AJ49" s="114">
        <f t="shared" ref="AJ49:AJ53" si="71">AI49+AJ42+AI56</f>
        <v>-526016.53208074765</v>
      </c>
      <c r="AK49" s="114">
        <f t="shared" ref="AK49:AK53" si="72">AJ49+AK42+AJ56</f>
        <v>-1144696.3701312046</v>
      </c>
      <c r="AL49" s="114">
        <f t="shared" ref="AL49:AL53" si="73">AK49+AL42+AK56</f>
        <v>-1904490.54588291</v>
      </c>
      <c r="AM49" s="114">
        <f t="shared" ref="AM49:AM53" si="74">AL49+AM42+AL56</f>
        <v>-2811368.7515850291</v>
      </c>
      <c r="AN49" s="114">
        <f t="shared" ref="AN49:AN53" si="75">AM49+AN42+AM56</f>
        <v>-3463007.5182515029</v>
      </c>
      <c r="AO49" s="114">
        <f t="shared" ref="AO49:AO53" si="76">AN49+AO42+AN56</f>
        <v>-3842261.6622114885</v>
      </c>
      <c r="AP49" s="114">
        <f t="shared" ref="AP49:AP53" si="77">AO49+AP42+AO56</f>
        <v>-4287498.142694599</v>
      </c>
      <c r="AQ49" s="114">
        <f t="shared" ref="AQ49:AQ53" si="78">AP49+AQ42+AP56</f>
        <v>-2645637.8764248076</v>
      </c>
      <c r="AR49" s="114">
        <f t="shared" ref="AR49:AR53" si="79">AQ49+AR42+AQ56</f>
        <v>-922268.12874052837</v>
      </c>
      <c r="AS49" s="114">
        <f t="shared" ref="AS49:AS53" si="80">AR49+AS42+AR56</f>
        <v>952587.0936888305</v>
      </c>
      <c r="AT49" s="114">
        <f t="shared" ref="AT49:AT53" si="81">AS49+AT42+AS56</f>
        <v>1504698.1734546022</v>
      </c>
      <c r="AU49" s="114">
        <f t="shared" ref="AU49:AU53" si="82">AT49+AU42+AT56</f>
        <v>888251.91391034529</v>
      </c>
      <c r="AV49" s="110">
        <f>AU49+AV42+AU56</f>
        <v>553645.38060535211</v>
      </c>
      <c r="AW49" s="114">
        <f t="shared" ref="AW49:AX53" si="83">AV49+AW42+AV56</f>
        <v>8205.0720193881207</v>
      </c>
      <c r="AX49" s="115">
        <f>AW49+AX42+AW56</f>
        <v>-945357.76764680515</v>
      </c>
    </row>
    <row r="50" spans="1:50" x14ac:dyDescent="0.25">
      <c r="A50" s="72" t="s">
        <v>4</v>
      </c>
      <c r="B50" s="110">
        <f>B43</f>
        <v>0</v>
      </c>
      <c r="C50" s="114">
        <f t="shared" ref="C50:K53" si="84">B50+C43+B57</f>
        <v>0</v>
      </c>
      <c r="D50" s="114">
        <f t="shared" si="84"/>
        <v>0</v>
      </c>
      <c r="E50" s="114">
        <f t="shared" si="84"/>
        <v>0</v>
      </c>
      <c r="F50" s="114">
        <f t="shared" si="84"/>
        <v>-856.28</v>
      </c>
      <c r="G50" s="114">
        <f t="shared" si="84"/>
        <v>-9108.1493094052694</v>
      </c>
      <c r="H50" s="114">
        <f t="shared" si="84"/>
        <v>-10515.013171315071</v>
      </c>
      <c r="I50" s="114">
        <f t="shared" si="84"/>
        <v>-10585.789928731692</v>
      </c>
      <c r="J50" s="114">
        <f t="shared" si="84"/>
        <v>-2164.588866362868</v>
      </c>
      <c r="K50" s="114">
        <f t="shared" si="84"/>
        <v>9451.6384167163123</v>
      </c>
      <c r="L50" s="114">
        <f t="shared" si="57"/>
        <v>26503.674394898997</v>
      </c>
      <c r="M50" s="114">
        <f t="shared" si="57"/>
        <v>51347.547362095989</v>
      </c>
      <c r="N50" s="114">
        <f t="shared" si="57"/>
        <v>71629.151896592753</v>
      </c>
      <c r="O50" s="114">
        <f t="shared" ref="O50:O53" si="85">N50+O43+N57+N67</f>
        <v>638255.6354897815</v>
      </c>
      <c r="P50" s="114">
        <f t="shared" si="57"/>
        <v>563071.35837865644</v>
      </c>
      <c r="Q50" s="114">
        <f t="shared" si="57"/>
        <v>471806.4084003343</v>
      </c>
      <c r="R50" s="114">
        <f t="shared" si="57"/>
        <v>404130.33175313944</v>
      </c>
      <c r="S50" s="114">
        <f t="shared" si="57"/>
        <v>355927.98548546172</v>
      </c>
      <c r="T50" s="114">
        <f t="shared" si="57"/>
        <v>334377.63094079035</v>
      </c>
      <c r="U50" s="114">
        <f t="shared" ref="U50:W50" si="86">T50+U43+T57</f>
        <v>306050.0085256467</v>
      </c>
      <c r="V50" s="114">
        <f t="shared" si="86"/>
        <v>312700.80163960956</v>
      </c>
      <c r="W50" s="114">
        <f t="shared" si="86"/>
        <v>292048.83638828801</v>
      </c>
      <c r="X50" s="114">
        <f t="shared" si="59"/>
        <v>257863.85020591295</v>
      </c>
      <c r="Y50" s="114">
        <f t="shared" si="60"/>
        <v>250514.8124065056</v>
      </c>
      <c r="Z50" s="114">
        <f t="shared" si="61"/>
        <v>208291.52738561531</v>
      </c>
      <c r="AA50" s="114">
        <f t="shared" si="62"/>
        <v>2587.4441417271241</v>
      </c>
      <c r="AB50" s="114">
        <f t="shared" si="63"/>
        <v>-131132.45483250215</v>
      </c>
      <c r="AC50" s="114">
        <f t="shared" si="64"/>
        <v>-235878.51104629369</v>
      </c>
      <c r="AD50" s="114">
        <f t="shared" si="65"/>
        <v>-240546.99193878003</v>
      </c>
      <c r="AE50" s="114">
        <f t="shared" si="66"/>
        <v>-180369.06784692823</v>
      </c>
      <c r="AF50" s="114">
        <f t="shared" si="67"/>
        <v>-31062.982411260153</v>
      </c>
      <c r="AG50" s="114">
        <f t="shared" si="68"/>
        <v>81517.565854171829</v>
      </c>
      <c r="AH50" s="114">
        <f t="shared" si="69"/>
        <v>238926.34277832284</v>
      </c>
      <c r="AI50" s="114">
        <f t="shared" si="70"/>
        <v>289784.1691281735</v>
      </c>
      <c r="AJ50" s="114">
        <f t="shared" si="71"/>
        <v>338163.34018890088</v>
      </c>
      <c r="AK50" s="114">
        <f t="shared" si="72"/>
        <v>365688.26493505068</v>
      </c>
      <c r="AL50" s="114">
        <f t="shared" si="73"/>
        <v>371857.33573556715</v>
      </c>
      <c r="AM50" s="114">
        <f t="shared" si="74"/>
        <v>-12723.48171093249</v>
      </c>
      <c r="AN50" s="114">
        <f t="shared" si="75"/>
        <v>-246884.62625157429</v>
      </c>
      <c r="AO50" s="114">
        <f t="shared" si="76"/>
        <v>-353909.18663733534</v>
      </c>
      <c r="AP50" s="114">
        <f t="shared" si="77"/>
        <v>-435491.06321355916</v>
      </c>
      <c r="AQ50" s="114">
        <f t="shared" si="78"/>
        <v>-316714.0683639092</v>
      </c>
      <c r="AR50" s="114">
        <f t="shared" si="79"/>
        <v>-86822.361834093332</v>
      </c>
      <c r="AS50" s="114">
        <f t="shared" si="80"/>
        <v>-46402.988628418861</v>
      </c>
      <c r="AT50" s="114">
        <f t="shared" si="81"/>
        <v>48311.147915077519</v>
      </c>
      <c r="AU50" s="114">
        <f t="shared" si="82"/>
        <v>-33591.544241953248</v>
      </c>
      <c r="AV50" s="110">
        <f t="shared" ref="AV50:AV53" si="87">AU50+AV43+AU57</f>
        <v>-140438.0048507131</v>
      </c>
      <c r="AW50" s="114">
        <f t="shared" si="83"/>
        <v>-332047.2580792674</v>
      </c>
      <c r="AX50" s="115">
        <f t="shared" si="83"/>
        <v>-638857.05062971334</v>
      </c>
    </row>
    <row r="51" spans="1:50" x14ac:dyDescent="0.25">
      <c r="A51" s="72" t="s">
        <v>5</v>
      </c>
      <c r="B51" s="110">
        <f>B44</f>
        <v>0</v>
      </c>
      <c r="C51" s="114">
        <f t="shared" si="84"/>
        <v>0</v>
      </c>
      <c r="D51" s="114">
        <f t="shared" si="84"/>
        <v>0</v>
      </c>
      <c r="E51" s="114">
        <f t="shared" si="84"/>
        <v>0</v>
      </c>
      <c r="F51" s="114">
        <f t="shared" si="84"/>
        <v>-2460.2199999999998</v>
      </c>
      <c r="G51" s="114">
        <f t="shared" si="84"/>
        <v>-36219.819516262236</v>
      </c>
      <c r="H51" s="114">
        <f t="shared" si="84"/>
        <v>-57878.563907761454</v>
      </c>
      <c r="I51" s="114">
        <f t="shared" si="84"/>
        <v>-70233.517115907176</v>
      </c>
      <c r="J51" s="114">
        <f t="shared" si="84"/>
        <v>-59570.684275807507</v>
      </c>
      <c r="K51" s="114">
        <f t="shared" si="84"/>
        <v>-51891.917000093345</v>
      </c>
      <c r="L51" s="114">
        <f t="shared" si="57"/>
        <v>-32771.806515976568</v>
      </c>
      <c r="M51" s="114">
        <f t="shared" si="57"/>
        <v>4895.89825326148</v>
      </c>
      <c r="N51" s="114">
        <f t="shared" si="57"/>
        <v>39555.656677335573</v>
      </c>
      <c r="O51" s="114">
        <f t="shared" si="85"/>
        <v>703373.82085929299</v>
      </c>
      <c r="P51" s="114">
        <f t="shared" si="57"/>
        <v>507920.21981618949</v>
      </c>
      <c r="Q51" s="114">
        <f t="shared" si="57"/>
        <v>275518.06432449399</v>
      </c>
      <c r="R51" s="114">
        <f t="shared" si="57"/>
        <v>71790.554017393588</v>
      </c>
      <c r="S51" s="114">
        <f t="shared" si="57"/>
        <v>-51045.360133160662</v>
      </c>
      <c r="T51" s="114">
        <f t="shared" si="57"/>
        <v>-96700.705875441898</v>
      </c>
      <c r="U51" s="114">
        <f t="shared" ref="U51:W51" si="88">T51+U44+T58</f>
        <v>-155085.5360016145</v>
      </c>
      <c r="V51" s="114">
        <f t="shared" si="88"/>
        <v>-161450.23705359013</v>
      </c>
      <c r="W51" s="114">
        <f t="shared" si="88"/>
        <v>-277631.44623303815</v>
      </c>
      <c r="X51" s="114">
        <f t="shared" si="59"/>
        <v>-347261.54291952791</v>
      </c>
      <c r="Y51" s="114">
        <f t="shared" si="60"/>
        <v>-402348.47018666536</v>
      </c>
      <c r="Z51" s="114">
        <f t="shared" si="61"/>
        <v>-473351.00347151689</v>
      </c>
      <c r="AA51" s="114">
        <f t="shared" si="62"/>
        <v>-752227.56520683004</v>
      </c>
      <c r="AB51" s="114">
        <f t="shared" si="63"/>
        <v>-947926.98911930155</v>
      </c>
      <c r="AC51" s="114">
        <f t="shared" si="64"/>
        <v>-1130714.7610793572</v>
      </c>
      <c r="AD51" s="114">
        <f t="shared" si="65"/>
        <v>-1198504.9585795135</v>
      </c>
      <c r="AE51" s="114">
        <f t="shared" si="66"/>
        <v>-937500.29666217696</v>
      </c>
      <c r="AF51" s="114">
        <f t="shared" si="67"/>
        <v>-403488.42799874971</v>
      </c>
      <c r="AG51" s="114">
        <f t="shared" si="68"/>
        <v>-759.73777483798847</v>
      </c>
      <c r="AH51" s="114">
        <f t="shared" si="69"/>
        <v>395017.76096114761</v>
      </c>
      <c r="AI51" s="114">
        <f t="shared" si="70"/>
        <v>381431.35919534136</v>
      </c>
      <c r="AJ51" s="114">
        <f t="shared" si="71"/>
        <v>383957.1702719233</v>
      </c>
      <c r="AK51" s="114">
        <f t="shared" si="72"/>
        <v>427930.25106277433</v>
      </c>
      <c r="AL51" s="114">
        <f t="shared" si="73"/>
        <v>497945.17510218394</v>
      </c>
      <c r="AM51" s="114">
        <f t="shared" si="74"/>
        <v>-17312.836870949657</v>
      </c>
      <c r="AN51" s="114">
        <f t="shared" si="75"/>
        <v>-282743.75033470255</v>
      </c>
      <c r="AO51" s="114">
        <f t="shared" si="76"/>
        <v>-470072.21592814883</v>
      </c>
      <c r="AP51" s="114">
        <f t="shared" si="77"/>
        <v>-720810.90273798781</v>
      </c>
      <c r="AQ51" s="114">
        <f t="shared" si="78"/>
        <v>-112280.38781184831</v>
      </c>
      <c r="AR51" s="114">
        <f t="shared" si="79"/>
        <v>852455.5519792285</v>
      </c>
      <c r="AS51" s="114">
        <f t="shared" si="80"/>
        <v>1461745.4278097481</v>
      </c>
      <c r="AT51" s="114">
        <f t="shared" si="81"/>
        <v>1902974.9832573186</v>
      </c>
      <c r="AU51" s="114">
        <f t="shared" si="82"/>
        <v>1639187.7222627779</v>
      </c>
      <c r="AV51" s="110">
        <f t="shared" si="87"/>
        <v>1375942.2305639214</v>
      </c>
      <c r="AW51" s="114">
        <f t="shared" si="83"/>
        <v>1080853.2735235784</v>
      </c>
      <c r="AX51" s="115">
        <f t="shared" si="83"/>
        <v>714353.83194671443</v>
      </c>
    </row>
    <row r="52" spans="1:50" x14ac:dyDescent="0.25">
      <c r="A52" s="72" t="s">
        <v>6</v>
      </c>
      <c r="B52" s="110">
        <f>B45</f>
        <v>0</v>
      </c>
      <c r="C52" s="114">
        <f t="shared" si="84"/>
        <v>0</v>
      </c>
      <c r="D52" s="114">
        <f t="shared" si="84"/>
        <v>0</v>
      </c>
      <c r="E52" s="114">
        <f t="shared" si="84"/>
        <v>0</v>
      </c>
      <c r="F52" s="114">
        <f t="shared" si="84"/>
        <v>-1621.85</v>
      </c>
      <c r="G52" s="114">
        <f t="shared" si="84"/>
        <v>-16509.701487082417</v>
      </c>
      <c r="H52" s="114">
        <f t="shared" si="84"/>
        <v>-34144.638478128072</v>
      </c>
      <c r="I52" s="114">
        <f t="shared" si="84"/>
        <v>-50790.526457518958</v>
      </c>
      <c r="J52" s="114">
        <f t="shared" si="84"/>
        <v>-66496.828907146817</v>
      </c>
      <c r="K52" s="114">
        <f t="shared" si="84"/>
        <v>-79530.551985785307</v>
      </c>
      <c r="L52" s="114">
        <f t="shared" si="57"/>
        <v>-88796.749619868409</v>
      </c>
      <c r="M52" s="114">
        <f t="shared" si="57"/>
        <v>-87480.996495748521</v>
      </c>
      <c r="N52" s="114">
        <f t="shared" si="57"/>
        <v>-91546.231205114644</v>
      </c>
      <c r="O52" s="114">
        <f t="shared" si="85"/>
        <v>2081846.2590741315</v>
      </c>
      <c r="P52" s="114">
        <f t="shared" si="57"/>
        <v>1845847.454441125</v>
      </c>
      <c r="Q52" s="114">
        <f t="shared" si="57"/>
        <v>1576646.4194083158</v>
      </c>
      <c r="R52" s="114">
        <f t="shared" si="57"/>
        <v>1318804.643309233</v>
      </c>
      <c r="S52" s="114">
        <f t="shared" si="57"/>
        <v>1117806.8734182979</v>
      </c>
      <c r="T52" s="114">
        <f t="shared" si="57"/>
        <v>971608.66123462783</v>
      </c>
      <c r="U52" s="114">
        <f t="shared" ref="U52:W52" si="89">T52+U45+T59</f>
        <v>850193.92688495095</v>
      </c>
      <c r="V52" s="114">
        <f t="shared" si="89"/>
        <v>728012.0826458144</v>
      </c>
      <c r="W52" s="114">
        <f t="shared" si="89"/>
        <v>508624.89926063287</v>
      </c>
      <c r="X52" s="114">
        <f t="shared" si="59"/>
        <v>318234.6216098913</v>
      </c>
      <c r="Y52" s="114">
        <f t="shared" si="60"/>
        <v>130612.05513810283</v>
      </c>
      <c r="Z52" s="114">
        <f t="shared" si="61"/>
        <v>-69698.409906095971</v>
      </c>
      <c r="AA52" s="114">
        <f t="shared" si="62"/>
        <v>-256136.61650971207</v>
      </c>
      <c r="AB52" s="114">
        <f t="shared" si="63"/>
        <v>-426402.1501561997</v>
      </c>
      <c r="AC52" s="114">
        <f t="shared" si="64"/>
        <v>-572510.60830171988</v>
      </c>
      <c r="AD52" s="114">
        <f t="shared" si="65"/>
        <v>-715879.32992366771</v>
      </c>
      <c r="AE52" s="114">
        <f t="shared" si="66"/>
        <v>-643950.46998195408</v>
      </c>
      <c r="AF52" s="114">
        <f t="shared" si="67"/>
        <v>-463539.85884454614</v>
      </c>
      <c r="AG52" s="114">
        <f t="shared" si="68"/>
        <v>-334216.17303902586</v>
      </c>
      <c r="AH52" s="114">
        <f t="shared" si="69"/>
        <v>-267360.99974336807</v>
      </c>
      <c r="AI52" s="114">
        <f t="shared" si="70"/>
        <v>-385628.33971125179</v>
      </c>
      <c r="AJ52" s="114">
        <f t="shared" si="71"/>
        <v>-496695.71678515419</v>
      </c>
      <c r="AK52" s="114">
        <f t="shared" si="72"/>
        <v>-597319.01268990769</v>
      </c>
      <c r="AL52" s="114">
        <f t="shared" si="73"/>
        <v>-643720.6899994422</v>
      </c>
      <c r="AM52" s="114">
        <f t="shared" si="74"/>
        <v>-780085.7836242317</v>
      </c>
      <c r="AN52" s="114">
        <f t="shared" si="75"/>
        <v>-828583.52734102739</v>
      </c>
      <c r="AO52" s="114">
        <f t="shared" si="76"/>
        <v>-884846.67575227225</v>
      </c>
      <c r="AP52" s="114">
        <f t="shared" si="77"/>
        <v>-930635.60227449634</v>
      </c>
      <c r="AQ52" s="114">
        <f t="shared" si="78"/>
        <v>-534426.34913138498</v>
      </c>
      <c r="AR52" s="114">
        <f t="shared" si="79"/>
        <v>47386.194089306096</v>
      </c>
      <c r="AS52" s="114">
        <f t="shared" si="80"/>
        <v>507311.47374724632</v>
      </c>
      <c r="AT52" s="114">
        <f t="shared" si="81"/>
        <v>782444.66956574901</v>
      </c>
      <c r="AU52" s="114">
        <f t="shared" si="82"/>
        <v>723192.77054165432</v>
      </c>
      <c r="AV52" s="110">
        <f t="shared" si="87"/>
        <v>640292.69063147553</v>
      </c>
      <c r="AW52" s="114">
        <f t="shared" si="83"/>
        <v>565655.12892737088</v>
      </c>
      <c r="AX52" s="115">
        <f t="shared" si="83"/>
        <v>477812.08122851973</v>
      </c>
    </row>
    <row r="53" spans="1:50" x14ac:dyDescent="0.25">
      <c r="A53" s="72" t="s">
        <v>7</v>
      </c>
      <c r="B53" s="110">
        <f>B46</f>
        <v>0</v>
      </c>
      <c r="C53" s="114">
        <f t="shared" si="84"/>
        <v>0</v>
      </c>
      <c r="D53" s="114">
        <f t="shared" si="84"/>
        <v>0</v>
      </c>
      <c r="E53" s="114">
        <f t="shared" si="84"/>
        <v>0</v>
      </c>
      <c r="F53" s="114">
        <f t="shared" si="84"/>
        <v>0</v>
      </c>
      <c r="G53" s="114">
        <f t="shared" si="84"/>
        <v>-4867.8</v>
      </c>
      <c r="H53" s="114">
        <f t="shared" si="84"/>
        <v>-14038.900675193001</v>
      </c>
      <c r="I53" s="114">
        <f t="shared" si="84"/>
        <v>-22311.827104478401</v>
      </c>
      <c r="J53" s="114">
        <f t="shared" si="84"/>
        <v>-30642.321583375648</v>
      </c>
      <c r="K53" s="114">
        <f t="shared" si="84"/>
        <v>-38040.172456928456</v>
      </c>
      <c r="L53" s="114">
        <f t="shared" si="57"/>
        <v>-44210.943071779584</v>
      </c>
      <c r="M53" s="114">
        <f t="shared" si="57"/>
        <v>-49016.477565156951</v>
      </c>
      <c r="N53" s="114">
        <f t="shared" si="57"/>
        <v>-51105.097440540201</v>
      </c>
      <c r="O53" s="114">
        <f t="shared" si="85"/>
        <v>1630868.1184676711</v>
      </c>
      <c r="P53" s="114">
        <f t="shared" si="57"/>
        <v>1473518.7229059506</v>
      </c>
      <c r="Q53" s="114">
        <f t="shared" si="57"/>
        <v>1299670.5476030943</v>
      </c>
      <c r="R53" s="114">
        <f t="shared" si="57"/>
        <v>1124802.5391406154</v>
      </c>
      <c r="S53" s="114">
        <f t="shared" si="57"/>
        <v>923293.98829076497</v>
      </c>
      <c r="T53" s="114">
        <f t="shared" si="57"/>
        <v>742604.6726966803</v>
      </c>
      <c r="U53" s="114">
        <f t="shared" ref="U53:W53" si="90">T53+U46+T60</f>
        <v>537425.71188938257</v>
      </c>
      <c r="V53" s="114">
        <f t="shared" si="90"/>
        <v>342002.14089947683</v>
      </c>
      <c r="W53" s="114">
        <f t="shared" si="90"/>
        <v>149144.45368420138</v>
      </c>
      <c r="X53" s="114">
        <f t="shared" si="59"/>
        <v>-34002.408346379329</v>
      </c>
      <c r="Y53" s="114">
        <f t="shared" si="60"/>
        <v>-198350.66029520385</v>
      </c>
      <c r="Z53" s="114">
        <f t="shared" si="61"/>
        <v>-361778.39029082848</v>
      </c>
      <c r="AA53" s="114">
        <f t="shared" si="62"/>
        <v>-442602.15554747637</v>
      </c>
      <c r="AB53" s="114">
        <f t="shared" si="63"/>
        <v>-434970.98506846535</v>
      </c>
      <c r="AC53" s="114">
        <f t="shared" si="64"/>
        <v>-425017.23219782615</v>
      </c>
      <c r="AD53" s="114">
        <f t="shared" si="65"/>
        <v>-408935.22639362671</v>
      </c>
      <c r="AE53" s="114">
        <f t="shared" si="66"/>
        <v>-353940.66652955109</v>
      </c>
      <c r="AF53" s="114">
        <f t="shared" si="67"/>
        <v>-265401.8714449812</v>
      </c>
      <c r="AG53" s="114">
        <f t="shared" si="68"/>
        <v>-200735.25397186464</v>
      </c>
      <c r="AH53" s="114">
        <f t="shared" si="69"/>
        <v>-150858.68750250302</v>
      </c>
      <c r="AI53" s="114">
        <f t="shared" si="70"/>
        <v>-132172.90081238639</v>
      </c>
      <c r="AJ53" s="114">
        <f t="shared" si="71"/>
        <v>-113870.38047532387</v>
      </c>
      <c r="AK53" s="114">
        <f t="shared" si="72"/>
        <v>-87629.710267128394</v>
      </c>
      <c r="AL53" s="114">
        <f t="shared" si="73"/>
        <v>-58083.902923063324</v>
      </c>
      <c r="AM53" s="114">
        <f t="shared" si="74"/>
        <v>-51373.414353198197</v>
      </c>
      <c r="AN53" s="114">
        <f t="shared" si="75"/>
        <v>-51863.328141744838</v>
      </c>
      <c r="AO53" s="114">
        <f t="shared" si="76"/>
        <v>-58102.384114295011</v>
      </c>
      <c r="AP53" s="114">
        <f t="shared" si="77"/>
        <v>-53205.542351602657</v>
      </c>
      <c r="AQ53" s="114">
        <f t="shared" si="78"/>
        <v>65980.568448454986</v>
      </c>
      <c r="AR53" s="114">
        <f t="shared" si="79"/>
        <v>256288.23542621083</v>
      </c>
      <c r="AS53" s="114">
        <f t="shared" si="80"/>
        <v>409797.0911500231</v>
      </c>
      <c r="AT53" s="114">
        <f t="shared" si="81"/>
        <v>479883.08084558829</v>
      </c>
      <c r="AU53" s="114">
        <f t="shared" si="82"/>
        <v>468836.68293672038</v>
      </c>
      <c r="AV53" s="110">
        <f t="shared" si="87"/>
        <v>453667.96943811968</v>
      </c>
      <c r="AW53" s="114">
        <f t="shared" si="83"/>
        <v>443691.76071116404</v>
      </c>
      <c r="AX53" s="115">
        <f t="shared" si="83"/>
        <v>434597.1994071501</v>
      </c>
    </row>
    <row r="54" spans="1:50" x14ac:dyDescent="0.25">
      <c r="B54" s="98"/>
      <c r="C54" s="99"/>
      <c r="D54" s="99"/>
      <c r="E54" s="99"/>
      <c r="F54" s="101"/>
      <c r="G54" s="101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8"/>
      <c r="AW54" s="99"/>
      <c r="AX54" s="102"/>
    </row>
    <row r="55" spans="1:50" x14ac:dyDescent="0.25">
      <c r="A55" s="72" t="s">
        <v>65</v>
      </c>
      <c r="B55" s="123">
        <f>'PCR (M2)'!B67</f>
        <v>0</v>
      </c>
      <c r="C55" s="124">
        <f>'PCR (M2)'!C67</f>
        <v>0</v>
      </c>
      <c r="D55" s="124">
        <f>'PCR (M2)'!D67</f>
        <v>6.0997666666666656E-4</v>
      </c>
      <c r="E55" s="124">
        <f>'PCR (M2)'!E67</f>
        <v>6.2130750000000004E-4</v>
      </c>
      <c r="F55" s="124">
        <f>'PCR (M2)'!F67</f>
        <v>6.2982833333333329E-4</v>
      </c>
      <c r="G55" s="217">
        <f>'PCR (M2)'!G67</f>
        <v>5.2193500000000006E-4</v>
      </c>
      <c r="H55" s="124">
        <f>'PCR (M2)'!H67</f>
        <v>5.2420250000000004E-4</v>
      </c>
      <c r="I55" s="124">
        <f>'PCR (M2)'!I67</f>
        <v>6.3713833333333325E-4</v>
      </c>
      <c r="J55" s="124">
        <f>'PCR (M2)'!J67</f>
        <v>6.2954999999999999E-4</v>
      </c>
      <c r="K55" s="125">
        <f>'PCR (M2)'!K67</f>
        <v>6.3347499999999999E-4</v>
      </c>
      <c r="L55" s="125">
        <f>'PCR (M2)'!L67</f>
        <v>6.3678749999999994E-4</v>
      </c>
      <c r="M55" s="125">
        <f>'PCR (M2)'!M67</f>
        <v>8.0183666666666664E-4</v>
      </c>
      <c r="N55" s="125">
        <f>'PCR (M2)'!N67</f>
        <v>7.5000000000000012E-4</v>
      </c>
      <c r="O55" s="125">
        <f>'PCR (M2)'!O67</f>
        <v>7.5000000000000012E-4</v>
      </c>
      <c r="P55" s="125">
        <f>'PCR (M2)'!P67</f>
        <v>9.5833333333333328E-4</v>
      </c>
      <c r="Q55" s="125">
        <f>'PCR (M2)'!Q67</f>
        <v>9.5833333333333328E-4</v>
      </c>
      <c r="R55" s="125">
        <f>'PCR (M2)'!R67</f>
        <v>9.5833333333333328E-4</v>
      </c>
      <c r="S55" s="125">
        <f>'PCR (M2)'!S67</f>
        <v>1.175E-3</v>
      </c>
      <c r="T55" s="125">
        <f>'PCR (M2)'!T67</f>
        <v>1.1598750000000001E-3</v>
      </c>
      <c r="U55" s="125">
        <f>'PCR (M2)'!U67</f>
        <v>1.22248E-3</v>
      </c>
      <c r="V55" s="125">
        <f>'PCR (M2)'!V67</f>
        <v>1.2068966666666666E-3</v>
      </c>
      <c r="W55" s="125">
        <f>'PCR (M2)'!W67</f>
        <v>1.2090250000000001E-3</v>
      </c>
      <c r="X55" s="125">
        <f>'PCR (M2)'!X67</f>
        <v>1.2023907500000001E-3</v>
      </c>
      <c r="Y55" s="125">
        <f>'PCR (M2)'!Y67</f>
        <v>1.4779508333333333E-3</v>
      </c>
      <c r="Z55" s="125">
        <f>'PCR (M2)'!Z67</f>
        <v>1.4294883333333334E-3</v>
      </c>
      <c r="AA55" s="125">
        <f>'PCR (M2)'!AA67</f>
        <v>1.5229716666666667E-3</v>
      </c>
      <c r="AB55" s="125">
        <f>'PCR (M2)'!AB67</f>
        <v>1.7116216666666665E-3</v>
      </c>
      <c r="AC55" s="125">
        <f>'PCR (M2)'!AC67</f>
        <v>1.9259966666666664E-3</v>
      </c>
      <c r="AD55" s="125">
        <f>'PCR (M2)'!AD67</f>
        <v>1.8323291666666665E-3</v>
      </c>
      <c r="AE55" s="125">
        <f>'PCR (M2)'!AE67</f>
        <v>1.8996341666666667E-3</v>
      </c>
      <c r="AF55" s="125">
        <f>'PCR (M2)'!AF67</f>
        <v>1.9559741666666667E-3</v>
      </c>
      <c r="AG55" s="125">
        <f>'PCR (M2)'!AG67</f>
        <v>1.9378716666666664E-3</v>
      </c>
      <c r="AH55" s="125">
        <f>'PCR (M2)'!AH67</f>
        <v>1.9408016666666668E-3</v>
      </c>
      <c r="AI55" s="125">
        <f>'PCR (M2)'!AI67</f>
        <v>2.0478441666666666E-3</v>
      </c>
      <c r="AJ55" s="125">
        <f>'PCR (M2)'!AJ67</f>
        <v>2.1059300000000002E-3</v>
      </c>
      <c r="AK55" s="125">
        <f>'PCR (M2)'!AK67</f>
        <v>2.2954824999999999E-3</v>
      </c>
      <c r="AL55" s="125">
        <f>'PCR (M2)'!AL67</f>
        <v>2.3914125E-3</v>
      </c>
      <c r="AM55" s="125">
        <f>'PCR (M2)'!AM67</f>
        <v>2.3669924999999998E-3</v>
      </c>
      <c r="AN55" s="125">
        <f>'PCR (M2)'!AN67</f>
        <v>2.3231791666666669E-3</v>
      </c>
      <c r="AO55" s="125">
        <f>'PCR (M2)'!AO67</f>
        <v>2.2185616666666667E-3</v>
      </c>
      <c r="AP55" s="125">
        <f>'PCR (M2)'!AP67</f>
        <v>2.2311341666666666E-3</v>
      </c>
      <c r="AQ55" s="125">
        <f>'PCR (M2)'!AQ67</f>
        <v>2.2083808333333331E-3</v>
      </c>
      <c r="AR55" s="125">
        <f>'PCR (M2)'!AR67</f>
        <v>2.1623908333333335E-3</v>
      </c>
      <c r="AS55" s="125">
        <f>'PCR (M2)'!AS67</f>
        <v>1.959325E-3</v>
      </c>
      <c r="AT55" s="125">
        <f>'PCR (M2)'!AT67</f>
        <v>1.8473916666666666E-3</v>
      </c>
      <c r="AU55" s="125">
        <f>'PCR (M2)'!AU67</f>
        <v>1.7616100000000003E-3</v>
      </c>
      <c r="AV55" s="188">
        <f>'PCR (M2)'!AV67</f>
        <v>1.7616100000000003E-3</v>
      </c>
      <c r="AW55" s="189">
        <f>'PCR (M2)'!AW67</f>
        <v>1.7616100000000003E-3</v>
      </c>
      <c r="AX55" s="190">
        <f>'PCR (M2)'!AX67</f>
        <v>1.7616100000000003E-3</v>
      </c>
    </row>
    <row r="56" spans="1:50" x14ac:dyDescent="0.25">
      <c r="A56" s="72" t="s">
        <v>0</v>
      </c>
      <c r="B56" s="110">
        <f t="shared" ref="B56:K56" si="91">B49*B$55</f>
        <v>0</v>
      </c>
      <c r="C56" s="114">
        <f t="shared" si="91"/>
        <v>0</v>
      </c>
      <c r="D56" s="114">
        <f t="shared" si="91"/>
        <v>0</v>
      </c>
      <c r="E56" s="114">
        <f t="shared" si="91"/>
        <v>0.82558097985000001</v>
      </c>
      <c r="F56" s="114">
        <f t="shared" si="91"/>
        <v>-1.006858953457429</v>
      </c>
      <c r="G56" s="114">
        <f t="shared" si="91"/>
        <v>-38.043425269019167</v>
      </c>
      <c r="H56" s="114">
        <f t="shared" si="91"/>
        <v>-39.195488324576544</v>
      </c>
      <c r="I56" s="114">
        <f t="shared" si="91"/>
        <v>25.316101791241419</v>
      </c>
      <c r="J56" s="114">
        <f t="shared" si="91"/>
        <v>300.5285503690431</v>
      </c>
      <c r="K56" s="114">
        <f t="shared" si="91"/>
        <v>273.3839358823131</v>
      </c>
      <c r="L56" s="114">
        <f t="shared" ref="L56:T56" si="92">L49*L$55</f>
        <v>305.7134356677476</v>
      </c>
      <c r="M56" s="114">
        <f t="shared" si="92"/>
        <v>459.60027924263358</v>
      </c>
      <c r="N56" s="114">
        <f t="shared" si="92"/>
        <v>372.82678834061386</v>
      </c>
      <c r="O56" s="114">
        <f t="shared" si="92"/>
        <v>5294.3096680423769</v>
      </c>
      <c r="P56" s="114">
        <f t="shared" si="92"/>
        <v>6007.5629348121574</v>
      </c>
      <c r="Q56" s="114">
        <f t="shared" si="92"/>
        <v>5263.9353249465921</v>
      </c>
      <c r="R56" s="114">
        <f t="shared" si="92"/>
        <v>4564.9799617829531</v>
      </c>
      <c r="S56" s="114">
        <f t="shared" si="92"/>
        <v>5166.8658092439464</v>
      </c>
      <c r="T56" s="114">
        <f t="shared" si="92"/>
        <v>4660.818024727906</v>
      </c>
      <c r="U56" s="114">
        <f t="shared" ref="U56:W56" si="93">U49*U$55</f>
        <v>4581.7731613706037</v>
      </c>
      <c r="V56" s="114">
        <f t="shared" si="93"/>
        <v>4016.0377962852131</v>
      </c>
      <c r="W56" s="114">
        <f t="shared" si="93"/>
        <v>2945.887356077727</v>
      </c>
      <c r="X56" s="114">
        <f t="shared" ref="X56:AH56" si="94">X49*X$55</f>
        <v>2149.1937842311008</v>
      </c>
      <c r="Y56" s="114">
        <f t="shared" si="94"/>
        <v>1519.921142182096</v>
      </c>
      <c r="Z56" s="114">
        <f t="shared" si="94"/>
        <v>-562.54533898485886</v>
      </c>
      <c r="AA56" s="114">
        <f t="shared" si="94"/>
        <v>-1929.6439620232647</v>
      </c>
      <c r="AB56" s="114">
        <f t="shared" si="94"/>
        <v>-3280.2532681201351</v>
      </c>
      <c r="AC56" s="114">
        <f t="shared" si="94"/>
        <v>-5260.7817964672613</v>
      </c>
      <c r="AD56" s="114">
        <f t="shared" si="94"/>
        <v>-5726.7174867070617</v>
      </c>
      <c r="AE56" s="114">
        <f t="shared" si="94"/>
        <v>-4573.2366199521412</v>
      </c>
      <c r="AF56" s="114">
        <f t="shared" si="94"/>
        <v>-2313.7704200420098</v>
      </c>
      <c r="AG56" s="114">
        <f t="shared" si="94"/>
        <v>200.03674355103203</v>
      </c>
      <c r="AH56" s="114">
        <f t="shared" si="94"/>
        <v>726.81213946988782</v>
      </c>
      <c r="AI56" s="114">
        <f t="shared" ref="AI56" si="95">AI49*AI$55</f>
        <v>-182.45621678826942</v>
      </c>
      <c r="AJ56" s="114">
        <f t="shared" ref="AJ56:AU56" si="96">AJ49*AJ$55</f>
        <v>-1107.7539954048091</v>
      </c>
      <c r="AK56" s="114">
        <f t="shared" si="96"/>
        <v>-2627.630485449703</v>
      </c>
      <c r="AL56" s="114">
        <f t="shared" si="96"/>
        <v>-4554.4224975562147</v>
      </c>
      <c r="AM56" s="114">
        <f t="shared" si="96"/>
        <v>-6654.488749736126</v>
      </c>
      <c r="AN56" s="114">
        <f t="shared" si="96"/>
        <v>-8045.1869204119284</v>
      </c>
      <c r="AO56" s="114">
        <f t="shared" si="96"/>
        <v>-8524.2944370853565</v>
      </c>
      <c r="AP56" s="114">
        <f t="shared" si="96"/>
        <v>-9565.9835956857951</v>
      </c>
      <c r="AQ56" s="114">
        <f t="shared" si="96"/>
        <v>-5842.5759782372461</v>
      </c>
      <c r="AR56" s="114">
        <f>AR49*AR$55-9652.32</f>
        <v>-11646.624147464005</v>
      </c>
      <c r="AS56" s="114">
        <f t="shared" si="96"/>
        <v>1866.427707341868</v>
      </c>
      <c r="AT56" s="114">
        <f t="shared" si="96"/>
        <v>2779.7668664885869</v>
      </c>
      <c r="AU56" s="114">
        <f t="shared" si="96"/>
        <v>1564.7534540636036</v>
      </c>
      <c r="AV56" s="110">
        <f>AV49*AV$55</f>
        <v>975.30723892819447</v>
      </c>
      <c r="AW56" s="114">
        <f t="shared" ref="AV56:AX60" si="97">AW49*AW$55</f>
        <v>14.45413692007431</v>
      </c>
      <c r="AX56" s="115">
        <f t="shared" si="97"/>
        <v>-1665.3516970642886</v>
      </c>
    </row>
    <row r="57" spans="1:50" x14ac:dyDescent="0.25">
      <c r="A57" s="72" t="s">
        <v>4</v>
      </c>
      <c r="B57" s="110">
        <f t="shared" ref="B57:K57" si="98">B50*B$55</f>
        <v>0</v>
      </c>
      <c r="C57" s="114">
        <f t="shared" si="98"/>
        <v>0</v>
      </c>
      <c r="D57" s="114">
        <f t="shared" si="98"/>
        <v>0</v>
      </c>
      <c r="E57" s="114">
        <f t="shared" si="98"/>
        <v>0</v>
      </c>
      <c r="F57" s="114">
        <f t="shared" si="98"/>
        <v>-0.5393094052666666</v>
      </c>
      <c r="G57" s="114">
        <f t="shared" si="98"/>
        <v>-4.7538619098044395</v>
      </c>
      <c r="H57" s="114">
        <f t="shared" si="98"/>
        <v>-5.511996191936289</v>
      </c>
      <c r="I57" s="114">
        <f t="shared" si="98"/>
        <v>-6.7446125522088947</v>
      </c>
      <c r="J57" s="114">
        <f t="shared" si="98"/>
        <v>-1.3627169208187435</v>
      </c>
      <c r="K57" s="114">
        <f t="shared" si="98"/>
        <v>5.9873766460293663</v>
      </c>
      <c r="L57" s="114">
        <f t="shared" ref="L57:T57" si="99">L50*L$55</f>
        <v>16.877208558741742</v>
      </c>
      <c r="M57" s="114">
        <f t="shared" si="99"/>
        <v>41.172346218331839</v>
      </c>
      <c r="N57" s="114">
        <f t="shared" si="99"/>
        <v>53.721863922444577</v>
      </c>
      <c r="O57" s="114">
        <f t="shared" si="99"/>
        <v>478.6917266173362</v>
      </c>
      <c r="P57" s="114">
        <f t="shared" si="99"/>
        <v>539.61005177954576</v>
      </c>
      <c r="Q57" s="114">
        <f t="shared" si="99"/>
        <v>452.14780805032035</v>
      </c>
      <c r="R57" s="114">
        <f t="shared" si="99"/>
        <v>387.29156793009196</v>
      </c>
      <c r="S57" s="114">
        <f t="shared" si="99"/>
        <v>418.21538294541756</v>
      </c>
      <c r="T57" s="114">
        <f t="shared" si="99"/>
        <v>387.83625468744924</v>
      </c>
      <c r="U57" s="114">
        <f t="shared" ref="U57:W57" si="100">U50*U$55</f>
        <v>374.14001442243256</v>
      </c>
      <c r="V57" s="114">
        <f t="shared" si="100"/>
        <v>377.3975551628393</v>
      </c>
      <c r="W57" s="114">
        <f t="shared" si="100"/>
        <v>353.09434441434991</v>
      </c>
      <c r="X57" s="114">
        <f t="shared" ref="X57:AH57" si="101">X50*X$55</f>
        <v>310.05310824697534</v>
      </c>
      <c r="Y57" s="114">
        <f t="shared" si="101"/>
        <v>370.24857575853861</v>
      </c>
      <c r="Z57" s="114">
        <f t="shared" si="101"/>
        <v>297.75030832991757</v>
      </c>
      <c r="AA57" s="114">
        <f t="shared" si="101"/>
        <v>3.940604116933061</v>
      </c>
      <c r="AB57" s="114">
        <f t="shared" si="101"/>
        <v>-224.4491508944987</v>
      </c>
      <c r="AC57" s="114">
        <f t="shared" si="101"/>
        <v>-454.30122601345812</v>
      </c>
      <c r="AD57" s="114">
        <f t="shared" si="101"/>
        <v>-440.76126928335816</v>
      </c>
      <c r="AE57" s="114">
        <f t="shared" si="101"/>
        <v>-342.63524389184295</v>
      </c>
      <c r="AF57" s="114">
        <f t="shared" si="101"/>
        <v>-60.758391136045901</v>
      </c>
      <c r="AG57" s="114">
        <f t="shared" si="101"/>
        <v>157.9705812044337</v>
      </c>
      <c r="AH57" s="114">
        <f t="shared" si="101"/>
        <v>463.70864427474027</v>
      </c>
      <c r="AI57" s="114">
        <f t="shared" ref="AI57" si="102">AI50*AI$55</f>
        <v>593.43282034147683</v>
      </c>
      <c r="AJ57" s="114">
        <f t="shared" ref="AJ57:AU57" si="103">AJ50*AJ$55</f>
        <v>712.14832300401213</v>
      </c>
      <c r="AK57" s="114">
        <f t="shared" si="103"/>
        <v>839.4310126137724</v>
      </c>
      <c r="AL57" s="114">
        <f t="shared" si="103"/>
        <v>889.264280894732</v>
      </c>
      <c r="AM57" s="114">
        <f t="shared" si="103"/>
        <v>-30.11638578366437</v>
      </c>
      <c r="AN57" s="114">
        <f t="shared" si="103"/>
        <v>-573.55722027794388</v>
      </c>
      <c r="AO57" s="114">
        <f t="shared" si="103"/>
        <v>-785.16935495477105</v>
      </c>
      <c r="AP57" s="114">
        <f t="shared" si="103"/>
        <v>-971.63899041376499</v>
      </c>
      <c r="AQ57" s="114">
        <f t="shared" si="103"/>
        <v>-699.42527822188003</v>
      </c>
      <c r="AR57" s="114">
        <f>AR50*AR$55</f>
        <v>-187.74387935839329</v>
      </c>
      <c r="AS57" s="114">
        <f t="shared" si="103"/>
        <v>-90.918535694376786</v>
      </c>
      <c r="AT57" s="114">
        <f t="shared" si="103"/>
        <v>89.249612065414908</v>
      </c>
      <c r="AU57" s="114">
        <f t="shared" si="103"/>
        <v>-59.17520025206727</v>
      </c>
      <c r="AV57" s="110">
        <f t="shared" si="97"/>
        <v>-247.39699372506473</v>
      </c>
      <c r="AW57" s="114">
        <f t="shared" si="97"/>
        <v>-584.93777030501838</v>
      </c>
      <c r="AX57" s="115">
        <f t="shared" si="97"/>
        <v>-1125.4169689598095</v>
      </c>
    </row>
    <row r="58" spans="1:50" x14ac:dyDescent="0.25">
      <c r="A58" s="72" t="s">
        <v>5</v>
      </c>
      <c r="B58" s="110">
        <f t="shared" ref="B58:K58" si="104">B51*B$55</f>
        <v>0</v>
      </c>
      <c r="C58" s="114">
        <f t="shared" si="104"/>
        <v>0</v>
      </c>
      <c r="D58" s="114">
        <f t="shared" si="104"/>
        <v>0</v>
      </c>
      <c r="E58" s="114">
        <f t="shared" si="104"/>
        <v>0</v>
      </c>
      <c r="F58" s="114">
        <f t="shared" si="104"/>
        <v>-1.5495162622333332</v>
      </c>
      <c r="G58" s="114">
        <f t="shared" si="104"/>
        <v>-18.904391499220331</v>
      </c>
      <c r="H58" s="114">
        <f t="shared" si="104"/>
        <v>-30.340087896858325</v>
      </c>
      <c r="I58" s="114">
        <f t="shared" si="104"/>
        <v>-44.74846603936723</v>
      </c>
      <c r="J58" s="114">
        <f t="shared" si="104"/>
        <v>-37.502724285834617</v>
      </c>
      <c r="K58" s="114">
        <f t="shared" si="104"/>
        <v>-32.872232121634134</v>
      </c>
      <c r="L58" s="114">
        <f t="shared" ref="L58:T58" si="105">L51*L$55</f>
        <v>-20.868676741792427</v>
      </c>
      <c r="M58" s="114">
        <f t="shared" si="105"/>
        <v>3.9257107357343406</v>
      </c>
      <c r="N58" s="114">
        <f t="shared" si="105"/>
        <v>29.666742508001686</v>
      </c>
      <c r="O58" s="114">
        <f t="shared" si="105"/>
        <v>527.53036564446984</v>
      </c>
      <c r="P58" s="114">
        <f t="shared" si="105"/>
        <v>486.75687732384824</v>
      </c>
      <c r="Q58" s="114">
        <f t="shared" si="105"/>
        <v>264.03814497764006</v>
      </c>
      <c r="R58" s="114">
        <f t="shared" si="105"/>
        <v>68.799280933335524</v>
      </c>
      <c r="S58" s="114">
        <f t="shared" si="105"/>
        <v>-59.978298156463779</v>
      </c>
      <c r="T58" s="114">
        <f t="shared" si="105"/>
        <v>-112.16073122727818</v>
      </c>
      <c r="U58" s="114">
        <f t="shared" ref="U58:W58" si="106">U51*U$55</f>
        <v>-189.58896605125369</v>
      </c>
      <c r="V58" s="114">
        <f t="shared" si="106"/>
        <v>-194.85375293252108</v>
      </c>
      <c r="W58" s="114">
        <f t="shared" si="106"/>
        <v>-335.66335928189898</v>
      </c>
      <c r="X58" s="114">
        <f t="shared" ref="X58:AH58" si="107">X51*X$55</f>
        <v>-417.54406703716836</v>
      </c>
      <c r="Y58" s="114">
        <f t="shared" si="107"/>
        <v>-594.6512568027739</v>
      </c>
      <c r="Z58" s="114">
        <f t="shared" si="107"/>
        <v>-676.64973703415956</v>
      </c>
      <c r="AA58" s="114">
        <f t="shared" si="107"/>
        <v>-1145.6212686956546</v>
      </c>
      <c r="AB58" s="114">
        <f t="shared" si="107"/>
        <v>-1622.4923729946941</v>
      </c>
      <c r="AC58" s="114">
        <f t="shared" si="107"/>
        <v>-2177.7528607896384</v>
      </c>
      <c r="AD58" s="114">
        <f t="shared" si="107"/>
        <v>-2196.0555919998678</v>
      </c>
      <c r="AE58" s="114">
        <f t="shared" si="107"/>
        <v>-1780.9075947996073</v>
      </c>
      <c r="AF58" s="114">
        <f t="shared" si="107"/>
        <v>-789.21294171449779</v>
      </c>
      <c r="AG58" s="114">
        <f t="shared" si="107"/>
        <v>-1.4722743079549172</v>
      </c>
      <c r="AH58" s="114">
        <f t="shared" si="107"/>
        <v>766.65112883633026</v>
      </c>
      <c r="AI58" s="114">
        <f t="shared" ref="AI58" si="108">AI51*AI$55</f>
        <v>781.11198391191783</v>
      </c>
      <c r="AJ58" s="114">
        <f t="shared" ref="AJ58:AU58" si="109">AJ51*AJ$55</f>
        <v>808.58692359075155</v>
      </c>
      <c r="AK58" s="114">
        <f t="shared" si="109"/>
        <v>982.30640253520482</v>
      </c>
      <c r="AL58" s="114">
        <f t="shared" si="109"/>
        <v>1190.7923160540515</v>
      </c>
      <c r="AM58" s="114">
        <f t="shared" si="109"/>
        <v>-40.979355027261306</v>
      </c>
      <c r="AN58" s="114">
        <f t="shared" si="109"/>
        <v>-656.86439028278244</v>
      </c>
      <c r="AO58" s="114">
        <f t="shared" si="109"/>
        <v>-1042.8841988232471</v>
      </c>
      <c r="AP58" s="114">
        <f t="shared" si="109"/>
        <v>-1608.2258328045682</v>
      </c>
      <c r="AQ58" s="114">
        <f t="shared" si="109"/>
        <v>-247.95785640291939</v>
      </c>
      <c r="AR58" s="114">
        <f t="shared" si="109"/>
        <v>1843.3420714239908</v>
      </c>
      <c r="AS58" s="114">
        <f t="shared" si="109"/>
        <v>2864.0343603433348</v>
      </c>
      <c r="AT58" s="114">
        <f t="shared" si="109"/>
        <v>3515.5401259447099</v>
      </c>
      <c r="AU58" s="114">
        <f t="shared" si="109"/>
        <v>2887.6094834153323</v>
      </c>
      <c r="AV58" s="110">
        <f t="shared" si="97"/>
        <v>2423.8735927837101</v>
      </c>
      <c r="AW58" s="114">
        <f t="shared" si="97"/>
        <v>1904.0419351718713</v>
      </c>
      <c r="AX58" s="115">
        <f t="shared" si="97"/>
        <v>1258.4128538956518</v>
      </c>
    </row>
    <row r="59" spans="1:50" x14ac:dyDescent="0.25">
      <c r="A59" s="72" t="s">
        <v>6</v>
      </c>
      <c r="B59" s="110">
        <f t="shared" ref="B59:K59" si="110">B52*B$55</f>
        <v>0</v>
      </c>
      <c r="C59" s="114">
        <f t="shared" si="110"/>
        <v>0</v>
      </c>
      <c r="D59" s="114">
        <f t="shared" si="110"/>
        <v>0</v>
      </c>
      <c r="E59" s="114">
        <f t="shared" si="110"/>
        <v>0</v>
      </c>
      <c r="F59" s="114">
        <f t="shared" si="110"/>
        <v>-1.0214870824166666</v>
      </c>
      <c r="G59" s="114">
        <f t="shared" si="110"/>
        <v>-8.6169910456603631</v>
      </c>
      <c r="H59" s="114">
        <f t="shared" si="110"/>
        <v>-17.898704851830932</v>
      </c>
      <c r="I59" s="114">
        <f t="shared" si="110"/>
        <v>-32.360591376266193</v>
      </c>
      <c r="J59" s="114">
        <f>J52*J$55</f>
        <v>-41.863078638494279</v>
      </c>
      <c r="K59" s="114">
        <f t="shared" si="110"/>
        <v>-50.380616419195348</v>
      </c>
      <c r="L59" s="114">
        <f t="shared" ref="L59:T59" si="111">L52*L$55</f>
        <v>-56.544660198561949</v>
      </c>
      <c r="M59" s="114">
        <f t="shared" si="111"/>
        <v>-70.145470626829336</v>
      </c>
      <c r="N59" s="114">
        <f t="shared" si="111"/>
        <v>-68.659673403835995</v>
      </c>
      <c r="O59" s="114">
        <f t="shared" si="111"/>
        <v>1561.3846943055989</v>
      </c>
      <c r="P59" s="114">
        <f t="shared" si="111"/>
        <v>1768.9371438394114</v>
      </c>
      <c r="Q59" s="114">
        <f t="shared" si="111"/>
        <v>1510.952818599636</v>
      </c>
      <c r="R59" s="114">
        <f t="shared" si="111"/>
        <v>1263.8544498380149</v>
      </c>
      <c r="S59" s="114">
        <f t="shared" si="111"/>
        <v>1313.4230762664999</v>
      </c>
      <c r="T59" s="114">
        <f t="shared" si="111"/>
        <v>1126.944595949514</v>
      </c>
      <c r="U59" s="114">
        <f t="shared" ref="U59:W59" si="112">U52*U$55</f>
        <v>1039.3450717383148</v>
      </c>
      <c r="V59" s="114">
        <f t="shared" si="112"/>
        <v>878.63535583829116</v>
      </c>
      <c r="W59" s="114">
        <f t="shared" si="112"/>
        <v>614.94021882858669</v>
      </c>
      <c r="X59" s="114">
        <f t="shared" ref="X59:AH59" si="113">X52*X$55</f>
        <v>382.6423653534834</v>
      </c>
      <c r="Y59" s="114">
        <f t="shared" si="113"/>
        <v>193.03819573473837</v>
      </c>
      <c r="Z59" s="114">
        <f t="shared" si="113"/>
        <v>-99.633063812648629</v>
      </c>
      <c r="AA59" s="114">
        <f t="shared" si="113"/>
        <v>-390.08880974015705</v>
      </c>
      <c r="AB59" s="114">
        <f t="shared" si="113"/>
        <v>-729.83915892060475</v>
      </c>
      <c r="AC59" s="114">
        <f t="shared" si="113"/>
        <v>-1102.653523220418</v>
      </c>
      <c r="AD59" s="114">
        <f t="shared" si="113"/>
        <v>-1311.7265760329258</v>
      </c>
      <c r="AE59" s="114">
        <f t="shared" si="113"/>
        <v>-1223.2703144187776</v>
      </c>
      <c r="AF59" s="114">
        <f t="shared" si="113"/>
        <v>-906.67198912024537</v>
      </c>
      <c r="AG59" s="114">
        <f t="shared" si="113"/>
        <v>-647.66805227409202</v>
      </c>
      <c r="AH59" s="114">
        <f t="shared" si="113"/>
        <v>-518.89467390359505</v>
      </c>
      <c r="AI59" s="114">
        <f t="shared" ref="AI59" si="114">AI52*AI$55</f>
        <v>-789.7067459790386</v>
      </c>
      <c r="AJ59" s="114">
        <f t="shared" ref="AJ59:AU59" si="115">AJ52*AJ$55</f>
        <v>-1046.0064108493598</v>
      </c>
      <c r="AK59" s="114">
        <f t="shared" si="115"/>
        <v>-1371.1353405469611</v>
      </c>
      <c r="AL59" s="114">
        <f t="shared" si="115"/>
        <v>-1539.401704573291</v>
      </c>
      <c r="AM59" s="114">
        <f t="shared" si="115"/>
        <v>-1846.4571991951791</v>
      </c>
      <c r="AN59" s="114">
        <f t="shared" si="115"/>
        <v>-1924.9479885618555</v>
      </c>
      <c r="AO59" s="114">
        <f t="shared" si="115"/>
        <v>-1963.0869157014208</v>
      </c>
      <c r="AP59" s="114">
        <f t="shared" si="115"/>
        <v>-2076.3728889510398</v>
      </c>
      <c r="AQ59" s="114">
        <f t="shared" si="115"/>
        <v>-1180.2169062500589</v>
      </c>
      <c r="AR59" s="114">
        <f t="shared" si="115"/>
        <v>102.46747172526969</v>
      </c>
      <c r="AS59" s="114">
        <f t="shared" si="115"/>
        <v>993.98805329982338</v>
      </c>
      <c r="AT59" s="114">
        <f t="shared" si="115"/>
        <v>1445.4817621835184</v>
      </c>
      <c r="AU59" s="114">
        <f t="shared" si="115"/>
        <v>1273.9836165138838</v>
      </c>
      <c r="AV59" s="110">
        <f t="shared" si="97"/>
        <v>1127.9460067433138</v>
      </c>
      <c r="AW59" s="114">
        <f t="shared" si="97"/>
        <v>996.46373166974593</v>
      </c>
      <c r="AX59" s="115">
        <f t="shared" si="97"/>
        <v>841.71854041297274</v>
      </c>
    </row>
    <row r="60" spans="1:50" ht="15.75" thickBot="1" x14ac:dyDescent="0.3">
      <c r="A60" s="72" t="s">
        <v>7</v>
      </c>
      <c r="B60" s="110">
        <f t="shared" ref="B60:K60" si="116">B53*B$55</f>
        <v>0</v>
      </c>
      <c r="C60" s="114">
        <f t="shared" si="116"/>
        <v>0</v>
      </c>
      <c r="D60" s="114">
        <f t="shared" si="116"/>
        <v>0</v>
      </c>
      <c r="E60" s="114">
        <f t="shared" si="116"/>
        <v>0</v>
      </c>
      <c r="F60" s="114">
        <f t="shared" si="116"/>
        <v>0</v>
      </c>
      <c r="G60" s="114">
        <f t="shared" si="116"/>
        <v>-2.5406751930000002</v>
      </c>
      <c r="H60" s="114">
        <f t="shared" si="116"/>
        <v>-7.3592268311878595</v>
      </c>
      <c r="I60" s="114">
        <f t="shared" si="116"/>
        <v>-14.215720334968859</v>
      </c>
      <c r="J60" s="114">
        <f t="shared" si="116"/>
        <v>-19.290873552814137</v>
      </c>
      <c r="K60" s="114">
        <f t="shared" si="116"/>
        <v>-24.097498247152753</v>
      </c>
      <c r="L60" s="114">
        <f t="shared" ref="L60:T60" si="117">L53*L$55</f>
        <v>-28.152975911320841</v>
      </c>
      <c r="M60" s="114">
        <f t="shared" si="117"/>
        <v>-39.303208982586895</v>
      </c>
      <c r="N60" s="114">
        <f t="shared" si="117"/>
        <v>-38.328823080405158</v>
      </c>
      <c r="O60" s="114">
        <f t="shared" si="117"/>
        <v>1223.1510888507535</v>
      </c>
      <c r="P60" s="114">
        <f t="shared" si="117"/>
        <v>1412.1221094515358</v>
      </c>
      <c r="Q60" s="114">
        <f t="shared" si="117"/>
        <v>1245.5176081196319</v>
      </c>
      <c r="R60" s="114">
        <f t="shared" si="117"/>
        <v>1077.9357666764231</v>
      </c>
      <c r="S60" s="114">
        <f t="shared" si="117"/>
        <v>1084.8704362416488</v>
      </c>
      <c r="T60" s="114">
        <f t="shared" si="117"/>
        <v>861.32859474406212</v>
      </c>
      <c r="U60" s="114">
        <f t="shared" ref="U60:W60" si="118">U53*U$55</f>
        <v>656.99218427053233</v>
      </c>
      <c r="V60" s="114">
        <f t="shared" si="118"/>
        <v>412.76124384444222</v>
      </c>
      <c r="W60" s="114">
        <f t="shared" si="118"/>
        <v>180.31937311554159</v>
      </c>
      <c r="X60" s="114">
        <f t="shared" ref="X60:AH60" si="119">X53*X$55</f>
        <v>-40.884181273409304</v>
      </c>
      <c r="Y60" s="114">
        <f t="shared" si="119"/>
        <v>-293.15252367551346</v>
      </c>
      <c r="Z60" s="114">
        <f t="shared" si="119"/>
        <v>-517.15798817285258</v>
      </c>
      <c r="AA60" s="114">
        <f t="shared" si="119"/>
        <v>-674.07054250439933</v>
      </c>
      <c r="AB60" s="114">
        <f t="shared" si="119"/>
        <v>-744.50576241452836</v>
      </c>
      <c r="AC60" s="114">
        <f t="shared" si="119"/>
        <v>-818.5817724889057</v>
      </c>
      <c r="AD60" s="114">
        <f t="shared" si="119"/>
        <v>-749.30394259847867</v>
      </c>
      <c r="AE60" s="114">
        <f t="shared" si="119"/>
        <v>-672.35778311230831</v>
      </c>
      <c r="AF60" s="114">
        <f t="shared" si="119"/>
        <v>-519.11920433137084</v>
      </c>
      <c r="AG60" s="114">
        <f t="shared" si="119"/>
        <v>-388.99916117321391</v>
      </c>
      <c r="AH60" s="114">
        <f t="shared" si="119"/>
        <v>-292.78679213600373</v>
      </c>
      <c r="AI60" s="114">
        <f t="shared" ref="AI60" si="120">AI53*AI$55</f>
        <v>-270.66950392005737</v>
      </c>
      <c r="AJ60" s="114">
        <f t="shared" ref="AJ60:AU60" si="121">AJ53*AJ$55</f>
        <v>-239.80305035439881</v>
      </c>
      <c r="AK60" s="114">
        <f t="shared" si="121"/>
        <v>-201.15246639826356</v>
      </c>
      <c r="AL60" s="114">
        <f t="shared" si="121"/>
        <v>-138.90257149900017</v>
      </c>
      <c r="AM60" s="114">
        <f t="shared" si="121"/>
        <v>-121.60048647341247</v>
      </c>
      <c r="AN60" s="114">
        <f t="shared" si="121"/>
        <v>-120.48780345289866</v>
      </c>
      <c r="AO60" s="114">
        <f t="shared" si="121"/>
        <v>-128.90372213791721</v>
      </c>
      <c r="AP60" s="114">
        <f t="shared" si="121"/>
        <v>-118.70870339669104</v>
      </c>
      <c r="AQ60" s="114">
        <f t="shared" si="121"/>
        <v>145.71022273400604</v>
      </c>
      <c r="AR60" s="114">
        <f t="shared" si="121"/>
        <v>554.19533097681358</v>
      </c>
      <c r="AS60" s="114">
        <f t="shared" si="121"/>
        <v>802.92568561751898</v>
      </c>
      <c r="AT60" s="114">
        <f t="shared" si="121"/>
        <v>886.53200452846613</v>
      </c>
      <c r="AU60" s="114">
        <f t="shared" si="121"/>
        <v>825.9073890281561</v>
      </c>
      <c r="AV60" s="110">
        <f t="shared" si="97"/>
        <v>799.18603164188607</v>
      </c>
      <c r="AW60" s="114">
        <f t="shared" si="97"/>
        <v>781.61184258639378</v>
      </c>
      <c r="AX60" s="115">
        <f t="shared" si="97"/>
        <v>765.59077244762977</v>
      </c>
    </row>
    <row r="61" spans="1:50" ht="16.5" thickTop="1" thickBot="1" x14ac:dyDescent="0.3">
      <c r="A61" s="126" t="s">
        <v>71</v>
      </c>
      <c r="B61" s="127">
        <f>SUM(B56:B60)+SUM(B49:B53)-B64</f>
        <v>0</v>
      </c>
      <c r="C61" s="128">
        <f>SUM(C56:C60)+SUM(C49:C53)-C64</f>
        <v>0</v>
      </c>
      <c r="D61" s="128">
        <f t="shared" ref="D61:J61" si="122">SUM(D56:D60)+SUM(D49:D53)-D64</f>
        <v>0</v>
      </c>
      <c r="E61" s="128">
        <f t="shared" si="122"/>
        <v>0</v>
      </c>
      <c r="F61" s="128">
        <f>SUM(F56:F60)+SUM(F49:F53)-F64</f>
        <v>0</v>
      </c>
      <c r="G61" s="131">
        <f>SUM(G56:G60)+SUM(G49:G53)-G64</f>
        <v>0</v>
      </c>
      <c r="H61" s="128">
        <f t="shared" si="122"/>
        <v>0</v>
      </c>
      <c r="I61" s="128">
        <f t="shared" si="122"/>
        <v>0</v>
      </c>
      <c r="J61" s="128">
        <f t="shared" si="122"/>
        <v>0</v>
      </c>
      <c r="K61" s="128">
        <f>SUM(K56:K60)+SUM(K49:K53)-K64</f>
        <v>0</v>
      </c>
      <c r="L61" s="128">
        <f t="shared" ref="L61:T61" si="123">SUM(L56:L60)+SUM(L49:L53)-L64</f>
        <v>0</v>
      </c>
      <c r="M61" s="128">
        <f t="shared" si="123"/>
        <v>0</v>
      </c>
      <c r="N61" s="128">
        <f t="shared" si="123"/>
        <v>0</v>
      </c>
      <c r="O61" s="131">
        <f>SUM(O56:O60)+SUM(O49:O53)-O64</f>
        <v>0</v>
      </c>
      <c r="P61" s="131">
        <f t="shared" si="123"/>
        <v>0</v>
      </c>
      <c r="Q61" s="131">
        <f t="shared" si="123"/>
        <v>0</v>
      </c>
      <c r="R61" s="131">
        <f t="shared" si="123"/>
        <v>0</v>
      </c>
      <c r="S61" s="131">
        <f t="shared" si="123"/>
        <v>0</v>
      </c>
      <c r="T61" s="131">
        <f t="shared" si="123"/>
        <v>0</v>
      </c>
      <c r="U61" s="131">
        <f t="shared" ref="U61" si="124">SUM(U56:U60)+SUM(U49:U53)-U64</f>
        <v>0</v>
      </c>
      <c r="V61" s="131">
        <f t="shared" ref="V61" si="125">SUM(V56:V60)+SUM(V49:V53)-V64</f>
        <v>0</v>
      </c>
      <c r="W61" s="131">
        <f t="shared" ref="W61:AH61" si="126">SUM(W56:W60)+SUM(W49:W53)-W64</f>
        <v>0</v>
      </c>
      <c r="X61" s="131">
        <f t="shared" si="126"/>
        <v>0</v>
      </c>
      <c r="Y61" s="131">
        <f t="shared" si="126"/>
        <v>0</v>
      </c>
      <c r="Z61" s="131">
        <f t="shared" si="126"/>
        <v>0</v>
      </c>
      <c r="AA61" s="131">
        <f t="shared" si="126"/>
        <v>0</v>
      </c>
      <c r="AB61" s="131">
        <f t="shared" si="126"/>
        <v>0</v>
      </c>
      <c r="AC61" s="131">
        <f t="shared" si="126"/>
        <v>0</v>
      </c>
      <c r="AD61" s="131">
        <f t="shared" si="126"/>
        <v>0</v>
      </c>
      <c r="AE61" s="131">
        <f t="shared" si="126"/>
        <v>0</v>
      </c>
      <c r="AF61" s="131">
        <f t="shared" si="126"/>
        <v>0</v>
      </c>
      <c r="AG61" s="131">
        <f t="shared" si="126"/>
        <v>-8.7311491370201111E-10</v>
      </c>
      <c r="AH61" s="131">
        <f t="shared" si="126"/>
        <v>-1.5133991837501526E-9</v>
      </c>
      <c r="AI61" s="131">
        <f t="shared" ref="AI61" si="127">SUM(AI56:AI60)+SUM(AI49:AI53)-AI64</f>
        <v>-1.178705133497715E-9</v>
      </c>
      <c r="AJ61" s="131">
        <f t="shared" ref="AJ61:AX61" si="128">SUM(AJ56:AJ60)+SUM(AJ49:AJ53)-AJ64</f>
        <v>-1.2223608791828156E-9</v>
      </c>
      <c r="AK61" s="131">
        <f t="shared" si="128"/>
        <v>-1.5133991837501526E-9</v>
      </c>
      <c r="AL61" s="131">
        <f t="shared" si="128"/>
        <v>0</v>
      </c>
      <c r="AM61" s="131">
        <f t="shared" si="128"/>
        <v>0</v>
      </c>
      <c r="AN61" s="131">
        <f t="shared" si="128"/>
        <v>0</v>
      </c>
      <c r="AO61" s="131">
        <f t="shared" si="128"/>
        <v>0</v>
      </c>
      <c r="AP61" s="131">
        <f t="shared" si="128"/>
        <v>0</v>
      </c>
      <c r="AQ61" s="131">
        <f t="shared" si="128"/>
        <v>0</v>
      </c>
      <c r="AR61" s="131">
        <f t="shared" si="128"/>
        <v>-1.3678800314664841E-9</v>
      </c>
      <c r="AS61" s="131">
        <f t="shared" si="128"/>
        <v>0</v>
      </c>
      <c r="AT61" s="131">
        <f t="shared" si="128"/>
        <v>0</v>
      </c>
      <c r="AU61" s="131">
        <f t="shared" si="128"/>
        <v>0</v>
      </c>
      <c r="AV61" s="130">
        <f>SUM(AV56:AV60)+SUM(AV49:AV53)-AV64</f>
        <v>0</v>
      </c>
      <c r="AW61" s="131">
        <f t="shared" si="128"/>
        <v>-2.7939677238464355E-9</v>
      </c>
      <c r="AX61" s="132">
        <f t="shared" si="128"/>
        <v>-2.8376234695315361E-9</v>
      </c>
    </row>
    <row r="62" spans="1:50" ht="16.5" thickTop="1" thickBot="1" x14ac:dyDescent="0.3">
      <c r="A62" s="126" t="s">
        <v>72</v>
      </c>
      <c r="B62" s="130">
        <f>SUM(B56:B60)-B39</f>
        <v>0</v>
      </c>
      <c r="C62" s="131">
        <f t="shared" ref="C62:I62" si="129">SUM(C56:C60)-C39</f>
        <v>0</v>
      </c>
      <c r="D62" s="131">
        <f t="shared" si="129"/>
        <v>0</v>
      </c>
      <c r="E62" s="131">
        <f t="shared" si="129"/>
        <v>-4.4190201499999526E-3</v>
      </c>
      <c r="F62" s="131">
        <f t="shared" si="129"/>
        <v>2.8282966259043363E-3</v>
      </c>
      <c r="G62" s="131">
        <f>SUM(G56:G60)-G39</f>
        <v>6.5508329569752277E-4</v>
      </c>
      <c r="H62" s="131">
        <f t="shared" si="129"/>
        <v>4.4959036100635785E-3</v>
      </c>
      <c r="I62" s="131">
        <f t="shared" si="129"/>
        <v>-3.2885115697638412E-3</v>
      </c>
      <c r="J62" s="131">
        <f>SUM(J56:J60)-J39</f>
        <v>-8.430289186662776E-4</v>
      </c>
      <c r="K62" s="131">
        <f>SUM(K56:K60)-K39</f>
        <v>9.6574036021479515E-4</v>
      </c>
      <c r="L62" s="131">
        <f>SUM(L56:L60)-L39</f>
        <v>4.3313748141429187E-3</v>
      </c>
      <c r="M62" s="131">
        <f t="shared" ref="M62:T62" si="130">SUM(M56:M60)-M39</f>
        <v>-3.4341271651783245E-4</v>
      </c>
      <c r="N62" s="131">
        <f t="shared" si="130"/>
        <v>-3.1017131810813225E-3</v>
      </c>
      <c r="O62" s="131">
        <f>SUM(O56:O60)-O39</f>
        <v>-2.4565394651290262E-3</v>
      </c>
      <c r="P62" s="131">
        <f t="shared" si="130"/>
        <v>-8.8279349984077271E-4</v>
      </c>
      <c r="Q62" s="131">
        <f t="shared" si="130"/>
        <v>1.7046938210114604E-3</v>
      </c>
      <c r="R62" s="131">
        <f t="shared" si="130"/>
        <v>1.0271608198308968E-3</v>
      </c>
      <c r="S62" s="131">
        <f t="shared" si="130"/>
        <v>-3.5934589504904579E-3</v>
      </c>
      <c r="T62" s="131">
        <f t="shared" si="130"/>
        <v>-3.2611183469271054E-3</v>
      </c>
      <c r="U62" s="131">
        <f t="shared" ref="U62:W62" si="131">SUM(U56:U60)-U39</f>
        <v>1.4657506299045053E-3</v>
      </c>
      <c r="V62" s="131">
        <f t="shared" si="131"/>
        <v>-1.8018017353824689E-3</v>
      </c>
      <c r="W62" s="131">
        <f t="shared" si="131"/>
        <v>-2.0668456936618895E-3</v>
      </c>
      <c r="X62" s="131">
        <f>SUM(X56:X60)-X39</f>
        <v>1.0095209813698602E-3</v>
      </c>
      <c r="Y62" s="131">
        <f t="shared" ref="Y62:AH62" si="132">SUM(Y56:Y60)-Y39</f>
        <v>4.1331970855935651E-3</v>
      </c>
      <c r="Z62" s="131">
        <f t="shared" si="132"/>
        <v>4.1803253977832355E-3</v>
      </c>
      <c r="AA62" s="131">
        <f t="shared" si="132"/>
        <v>-3.9788465428500785E-3</v>
      </c>
      <c r="AB62" s="131">
        <f t="shared" si="132"/>
        <v>2.8665553872997407E-4</v>
      </c>
      <c r="AC62" s="131">
        <f t="shared" si="132"/>
        <v>-1.1789796826633392E-3</v>
      </c>
      <c r="AD62" s="131">
        <f t="shared" si="132"/>
        <v>5.1333783067093464E-3</v>
      </c>
      <c r="AE62" s="131">
        <f t="shared" si="132"/>
        <v>2.4438253240077756E-3</v>
      </c>
      <c r="AF62" s="131">
        <f t="shared" si="132"/>
        <v>-2.9463441705956939E-3</v>
      </c>
      <c r="AG62" s="131">
        <f t="shared" si="132"/>
        <v>-2.1629997951322366E-3</v>
      </c>
      <c r="AH62" s="131">
        <f t="shared" si="132"/>
        <v>4.4654135945165763E-4</v>
      </c>
      <c r="AI62" s="131">
        <f t="shared" ref="AI62" si="133">SUM(AI56:AI60)-AI39</f>
        <v>2.3375660293538658E-3</v>
      </c>
      <c r="AJ62" s="131">
        <f t="shared" ref="AJ62:AU62" si="134">SUM(AJ56:AJ60)-AJ39</f>
        <v>1.789986196058635E-3</v>
      </c>
      <c r="AK62" s="131">
        <f t="shared" si="134"/>
        <v>-8.7724595050531207E-4</v>
      </c>
      <c r="AL62" s="131">
        <f t="shared" si="134"/>
        <v>-1.7667972224444384E-4</v>
      </c>
      <c r="AM62" s="131">
        <f t="shared" si="134"/>
        <v>-2.1762156447948655E-3</v>
      </c>
      <c r="AN62" s="131">
        <f t="shared" si="134"/>
        <v>-4.3229874081589514E-3</v>
      </c>
      <c r="AO62" s="131">
        <f t="shared" si="134"/>
        <v>1.3712972886423813E-3</v>
      </c>
      <c r="AP62" s="131">
        <f t="shared" si="134"/>
        <v>-1.125185917771887E-5</v>
      </c>
      <c r="AQ62" s="131">
        <f t="shared" si="134"/>
        <v>4.2036219010697096E-3</v>
      </c>
      <c r="AR62" s="131">
        <f>SUM(AR56:AR60)-AR39</f>
        <v>-3.1526963230135152E-3</v>
      </c>
      <c r="AS62" s="131">
        <f t="shared" si="134"/>
        <v>-2.7290918314974988E-3</v>
      </c>
      <c r="AT62" s="131">
        <f t="shared" si="134"/>
        <v>3.712106954480987E-4</v>
      </c>
      <c r="AU62" s="131">
        <f t="shared" si="134"/>
        <v>-1.2572310915857088E-3</v>
      </c>
      <c r="AV62" s="130">
        <f>SUM(AV56:AV60)-AV39</f>
        <v>4.6010625464987243E-4</v>
      </c>
      <c r="AW62" s="131">
        <f>SUM(AW56:AW60)-AW39</f>
        <v>4.6091678041193518E-4</v>
      </c>
      <c r="AX62" s="132">
        <f>SUM(AX56:AX60)-AX39</f>
        <v>4.6172873624072963E-4</v>
      </c>
    </row>
    <row r="63" spans="1:50" ht="15.75" thickTop="1" x14ac:dyDescent="0.25">
      <c r="B63" s="98"/>
      <c r="C63" s="99"/>
      <c r="D63" s="99"/>
      <c r="E63" s="99"/>
      <c r="F63" s="99"/>
      <c r="G63" s="101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8"/>
      <c r="AW63" s="99"/>
      <c r="AX63" s="102"/>
    </row>
    <row r="64" spans="1:50" x14ac:dyDescent="0.25">
      <c r="A64" s="72" t="s">
        <v>73</v>
      </c>
      <c r="B64" s="110">
        <f>(B15-SUM(B22:B26))+SUM(B56:B60)</f>
        <v>0</v>
      </c>
      <c r="C64" s="114">
        <f t="shared" ref="C64:AX64" si="135">(SUM(C15:C19)-SUM(C22:C26))+SUM(C56:C60)+B64</f>
        <v>0</v>
      </c>
      <c r="D64" s="114">
        <f t="shared" si="135"/>
        <v>0</v>
      </c>
      <c r="E64" s="114">
        <f>(SUM(E15:E19)-SUM(E22:E26))+SUM(E56:E60)+D64</f>
        <v>1329.6055809798499</v>
      </c>
      <c r="F64" s="114">
        <f t="shared" si="135"/>
        <v>-6541.091590723524</v>
      </c>
      <c r="G64" s="114">
        <f>(SUM(G15:G19)-SUM(G22:G26))+SUM(G56:G60)+F64</f>
        <v>-139667.53093564021</v>
      </c>
      <c r="H64" s="114">
        <f t="shared" si="135"/>
        <v>-191449.07643973659</v>
      </c>
      <c r="I64" s="114">
        <f t="shared" si="135"/>
        <v>-114260.33972824828</v>
      </c>
      <c r="J64" s="114">
        <f t="shared" si="135"/>
        <v>318696.50942872278</v>
      </c>
      <c r="K64" s="111">
        <f t="shared" si="135"/>
        <v>271723.33039446315</v>
      </c>
      <c r="L64" s="111">
        <f t="shared" ref="L64" si="136">(SUM(L15:L19)-SUM(L22:L26))+SUM(L56:L60)+K64</f>
        <v>341028.25472583779</v>
      </c>
      <c r="M64" s="111">
        <f t="shared" ref="M64" si="137">(SUM(M15:M19)-SUM(M22:M26))+SUM(M56:M60)+L64</f>
        <v>493325.63438242511</v>
      </c>
      <c r="N64" s="111">
        <f t="shared" ref="N64" si="138">(SUM(N15:N19)-SUM(N22:N26))+SUM(N56:N60)+M64</f>
        <v>465985.09128071187</v>
      </c>
      <c r="O64" s="111">
        <f>(SUM(O15:O19)-SUM(O22:O26))+SUM(O56:O60)+N64+N65</f>
        <v>12122508.458824173</v>
      </c>
      <c r="P64" s="111">
        <f t="shared" ref="P64" si="139">(SUM(P15:P19)-SUM(P22:P26))+SUM(P56:P60)+O64</f>
        <v>10669334.067941379</v>
      </c>
      <c r="Q64" s="111">
        <f t="shared" ref="Q64" si="140">(SUM(Q15:Q19)-SUM(Q22:Q26))+SUM(Q56:Q60)+P64</f>
        <v>9125180.1096460726</v>
      </c>
      <c r="R64" s="111">
        <f t="shared" ref="R64" si="141">(SUM(R15:R19)-SUM(R22:R26))+SUM(R56:R60)+Q64</f>
        <v>7690348.2806732329</v>
      </c>
      <c r="S64" s="111">
        <f t="shared" ref="S64" si="142">(SUM(S15:S19)-SUM(S22:S26))+SUM(S56:S60)+R64</f>
        <v>6751239.487079774</v>
      </c>
      <c r="T64" s="111">
        <f t="shared" ref="T64" si="143">(SUM(T15:T19)-SUM(T22:T26))+SUM(T56:T60)+S64</f>
        <v>5977194.6138186557</v>
      </c>
      <c r="U64" s="111">
        <f t="shared" ref="U64" si="144">(SUM(U15:U19)-SUM(U22:U26))+SUM(U56:U60)+T64</f>
        <v>5292979.7952844063</v>
      </c>
      <c r="V64" s="111">
        <f t="shared" ref="V64" si="145">(SUM(V15:V19)-SUM(V22:V26))+SUM(V56:V60)+U64</f>
        <v>4554328.6234826045</v>
      </c>
      <c r="W64" s="111">
        <f t="shared" ref="W64" si="146">(SUM(W15:W19)-SUM(W22:W26))+SUM(W56:W60)+V64</f>
        <v>3112526.3314157594</v>
      </c>
      <c r="X64" s="111">
        <f t="shared" ref="X64" si="147">(SUM(X15:X19)-SUM(X22:X26))+SUM(X56:X60)+W64</f>
        <v>1984651.7124252794</v>
      </c>
      <c r="Y64" s="111">
        <f t="shared" ref="Y64" si="148">(SUM(Y15:Y19)-SUM(Y22:Y26))+SUM(Y56:Y60)+X64</f>
        <v>810020.77655847743</v>
      </c>
      <c r="Z64" s="111">
        <f t="shared" ref="Z64" si="149">(SUM(Z15:Z19)-SUM(Z22:Z26))+SUM(Z56:Z60)+Y64</f>
        <v>-1091623.669261198</v>
      </c>
      <c r="AA64" s="111">
        <f t="shared" ref="AA64" si="150">(SUM(AA15:AA19)-SUM(AA22:AA26))+SUM(AA56:AA60)+Z64</f>
        <v>-2719539.8932400444</v>
      </c>
      <c r="AB64" s="111">
        <f t="shared" ref="AB64" si="151">(SUM(AB15:AB19)-SUM(AB22:AB26))+SUM(AB56:AB60)+AA64</f>
        <v>-3863493.4229533877</v>
      </c>
      <c r="AC64" s="111">
        <f t="shared" ref="AC64" si="152">(SUM(AC15:AC19)-SUM(AC22:AC26))+SUM(AC56:AC60)+AB64</f>
        <v>-5105394.6341323685</v>
      </c>
      <c r="AD64" s="111">
        <f t="shared" ref="AD64" si="153">(SUM(AD15:AD19)-SUM(AD22:AD26))+SUM(AD56:AD60)+AC64</f>
        <v>-5699667.008998991</v>
      </c>
      <c r="AE64" s="111">
        <f t="shared" ref="AE64" si="154">(SUM(AE15:AE19)-SUM(AE22:AE26))+SUM(AE56:AE60)+AD64</f>
        <v>-4531783.0865551634</v>
      </c>
      <c r="AF64" s="111">
        <f t="shared" ref="AF64" si="155">(SUM(AF15:AF19)-SUM(AF22:AF26))+SUM(AF56:AF60)+AE64</f>
        <v>-2351007.5095015061</v>
      </c>
      <c r="AG64" s="111">
        <f t="shared" ref="AG64" si="156">(SUM(AG15:AG19)-SUM(AG22:AG26))+SUM(AG56:AG60)+AF64</f>
        <v>-351648.76166450279</v>
      </c>
      <c r="AH64" s="111">
        <f t="shared" ref="AH64:AI64" si="157">(SUM(AH15:AH19)-SUM(AH22:AH26))+SUM(AH56:AH60)+AG64</f>
        <v>591360.58878203796</v>
      </c>
      <c r="AI64" s="111">
        <f t="shared" si="157"/>
        <v>64449.271119601442</v>
      </c>
      <c r="AJ64" s="111">
        <f t="shared" ref="AJ64" si="158">(SUM(AJ15:AJ19)-SUM(AJ22:AJ26))+SUM(AJ56:AJ60)+AI64</f>
        <v>-415334.94709041412</v>
      </c>
      <c r="AK64" s="111">
        <f t="shared" ref="AK64" si="159">(SUM(AK15:AK19)-SUM(AK22:AK26))+SUM(AK56:AK60)+AJ64</f>
        <v>-1038404.7579676602</v>
      </c>
      <c r="AL64" s="111">
        <f t="shared" ref="AL64" si="160">(SUM(AL15:AL19)-SUM(AL22:AL26))+SUM(AL56:AL60)+AK64</f>
        <v>-1740645.2981443428</v>
      </c>
      <c r="AM64" s="111">
        <f t="shared" ref="AM64" si="161">(SUM(AM15:AM19)-SUM(AM22:AM26))+SUM(AM56:AM60)+AL64</f>
        <v>-3681557.9103205558</v>
      </c>
      <c r="AN64" s="111">
        <f t="shared" ref="AN64" si="162">(SUM(AN15:AN19)-SUM(AN22:AN26))+SUM(AN56:AN60)+AM64</f>
        <v>-4884403.7946435381</v>
      </c>
      <c r="AO64" s="111">
        <f t="shared" ref="AO64" si="163">(SUM(AO15:AO19)-SUM(AO22:AO26))+SUM(AO56:AO60)+AN64</f>
        <v>-5621636.4632722409</v>
      </c>
      <c r="AP64" s="111">
        <f t="shared" ref="AP64" si="164">(SUM(AP15:AP19)-SUM(AP22:AP26))+SUM(AP56:AP60)+AO64</f>
        <v>-6441982.1832834948</v>
      </c>
      <c r="AQ64" s="111">
        <f t="shared" ref="AQ64" si="165">(SUM(AQ15:AQ19)-SUM(AQ22:AQ26))+SUM(AQ56:AQ60)+AP64</f>
        <v>-3550902.5790798725</v>
      </c>
      <c r="AR64" s="111">
        <f t="shared" ref="AR64" si="166">(SUM(AR15:AR19)-SUM(AR22:AR26))+SUM(AR56:AR60)+AQ64</f>
        <v>137705.12776742876</v>
      </c>
      <c r="AS64" s="111">
        <f t="shared" ref="AS64" si="167">(SUM(AS15:AS19)-SUM(AS22:AS26))+SUM(AS56:AS60)+AR64</f>
        <v>3291474.5550383395</v>
      </c>
      <c r="AT64" s="111">
        <f t="shared" ref="AT64" si="168">(SUM(AT15:AT19)-SUM(AT22:AT26))+SUM(AT56:AT60)+AS64</f>
        <v>4727028.6254095482</v>
      </c>
      <c r="AU64" s="111">
        <f>(SUM(AU15:AU19)-SUM(AU22:AU26))+SUM(AU56:AU60)+AT64</f>
        <v>3692370.6241523158</v>
      </c>
      <c r="AV64" s="110">
        <f>(SUM(AV15:AV19)-SUM(AV22:AV26))+SUM(AV56:AV60)+AU64</f>
        <v>2888189.1822645301</v>
      </c>
      <c r="AW64" s="114">
        <f t="shared" si="135"/>
        <v>1769469.61097828</v>
      </c>
      <c r="AX64" s="115">
        <f t="shared" si="135"/>
        <v>42623.247806600761</v>
      </c>
    </row>
    <row r="65" spans="1:50" x14ac:dyDescent="0.25">
      <c r="A65" s="165" t="s">
        <v>105</v>
      </c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213">
        <v>13541922</v>
      </c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8"/>
      <c r="AW65" s="99"/>
      <c r="AX65" s="102"/>
    </row>
    <row r="66" spans="1:50" x14ac:dyDescent="0.25">
      <c r="A66" s="202" t="s">
        <v>0</v>
      </c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196">
        <v>7611905</v>
      </c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8"/>
      <c r="AW66" s="99"/>
      <c r="AX66" s="102"/>
    </row>
    <row r="67" spans="1:50" x14ac:dyDescent="0.25">
      <c r="A67" s="202" t="s">
        <v>4</v>
      </c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196">
        <v>668388</v>
      </c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8"/>
      <c r="AW67" s="99"/>
      <c r="AX67" s="102"/>
    </row>
    <row r="68" spans="1:50" x14ac:dyDescent="0.25">
      <c r="A68" s="202" t="s">
        <v>5</v>
      </c>
      <c r="B68" s="98"/>
      <c r="C68" s="99"/>
      <c r="D68" s="99"/>
      <c r="E68" s="215"/>
      <c r="F68" s="215"/>
      <c r="G68" s="215"/>
      <c r="H68" s="215"/>
      <c r="I68" s="215"/>
      <c r="J68" s="215"/>
      <c r="K68" s="215"/>
      <c r="L68" s="215"/>
      <c r="M68" s="215"/>
      <c r="N68" s="196">
        <v>905881</v>
      </c>
      <c r="O68" s="99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98"/>
      <c r="AW68" s="99"/>
      <c r="AX68" s="102"/>
    </row>
    <row r="69" spans="1:50" x14ac:dyDescent="0.25">
      <c r="A69" s="202" t="s">
        <v>6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196">
        <v>2477462</v>
      </c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8"/>
      <c r="AW69" s="99"/>
      <c r="AX69" s="102"/>
    </row>
    <row r="70" spans="1:50" ht="15.75" thickBot="1" x14ac:dyDescent="0.3">
      <c r="A70" s="202" t="s">
        <v>7</v>
      </c>
      <c r="B70" s="133"/>
      <c r="C70" s="134"/>
      <c r="D70" s="134"/>
      <c r="E70" s="216"/>
      <c r="F70" s="216"/>
      <c r="G70" s="216"/>
      <c r="H70" s="216"/>
      <c r="I70" s="216"/>
      <c r="J70" s="216"/>
      <c r="K70" s="216"/>
      <c r="L70" s="216"/>
      <c r="M70" s="216"/>
      <c r="N70" s="214">
        <v>1878286</v>
      </c>
      <c r="O70" s="134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133"/>
      <c r="AW70" s="134"/>
      <c r="AX70" s="135"/>
    </row>
    <row r="71" spans="1:50" x14ac:dyDescent="0.25">
      <c r="B71" s="55"/>
      <c r="C71" s="55"/>
      <c r="D71" s="55"/>
      <c r="E71" s="55"/>
      <c r="F71" s="55"/>
      <c r="G71" s="55"/>
      <c r="H71" s="55"/>
    </row>
    <row r="75" spans="1:50" x14ac:dyDescent="0.25">
      <c r="C75" s="55"/>
      <c r="D75" s="55"/>
      <c r="E75" s="55"/>
      <c r="F75" s="55"/>
      <c r="G75" s="55"/>
      <c r="H75" s="55"/>
    </row>
  </sheetData>
  <mergeCells count="1">
    <mergeCell ref="AV13:AX1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L24"/>
  <sheetViews>
    <sheetView workbookViewId="0">
      <selection activeCell="E26" sqref="E26"/>
    </sheetView>
  </sheetViews>
  <sheetFormatPr defaultColWidth="9.140625" defaultRowHeight="15" x14ac:dyDescent="0.25"/>
  <cols>
    <col min="1" max="1" width="13.85546875" style="72" customWidth="1"/>
    <col min="2" max="2" width="25" style="72" customWidth="1"/>
    <col min="3" max="3" width="17.28515625" style="72" customWidth="1"/>
    <col min="4" max="4" width="17.28515625" style="165" customWidth="1"/>
    <col min="5" max="5" width="9.28515625" style="72" customWidth="1"/>
    <col min="6" max="6" width="25.5703125" style="72" bestFit="1" customWidth="1"/>
    <col min="7" max="7" width="12" style="72" customWidth="1"/>
    <col min="8" max="8" width="17.5703125" style="72" customWidth="1"/>
    <col min="9" max="9" width="16.85546875" style="72" bestFit="1" customWidth="1"/>
    <col min="10" max="10" width="14" style="72" customWidth="1"/>
    <col min="11" max="11" width="9.140625" style="72" customWidth="1"/>
    <col min="12" max="16384" width="9.140625" style="72"/>
  </cols>
  <sheetData>
    <row r="1" spans="1:12" x14ac:dyDescent="0.25">
      <c r="A1" s="8" t="s">
        <v>148</v>
      </c>
      <c r="E1" s="49"/>
    </row>
    <row r="2" spans="1:12" ht="15.75" thickBot="1" x14ac:dyDescent="0.3">
      <c r="A2" s="49"/>
      <c r="B2" s="291" t="s">
        <v>161</v>
      </c>
      <c r="C2" s="291"/>
      <c r="D2" s="240"/>
      <c r="E2" s="165"/>
      <c r="F2" s="165"/>
      <c r="G2" s="165"/>
      <c r="H2" s="165"/>
      <c r="I2" s="165"/>
    </row>
    <row r="3" spans="1:12" ht="15.75" thickBot="1" x14ac:dyDescent="0.3">
      <c r="A3" s="165"/>
      <c r="B3" s="165"/>
      <c r="C3" s="165"/>
      <c r="E3" s="346" t="s">
        <v>8</v>
      </c>
      <c r="F3" s="347"/>
      <c r="G3" s="347"/>
      <c r="H3" s="348"/>
      <c r="I3" s="165"/>
      <c r="L3" s="57"/>
    </row>
    <row r="4" spans="1:12" x14ac:dyDescent="0.25">
      <c r="A4" s="168" t="s">
        <v>169</v>
      </c>
      <c r="B4" s="320">
        <v>43584506.113913044</v>
      </c>
      <c r="C4" s="165" t="s">
        <v>9</v>
      </c>
      <c r="E4" s="323"/>
      <c r="F4" s="324" t="s">
        <v>171</v>
      </c>
      <c r="G4" s="324" t="s">
        <v>172</v>
      </c>
      <c r="H4" s="325" t="s">
        <v>173</v>
      </c>
      <c r="I4" s="311"/>
      <c r="L4" s="57" t="s">
        <v>26</v>
      </c>
    </row>
    <row r="5" spans="1:12" x14ac:dyDescent="0.25">
      <c r="A5" s="59"/>
      <c r="B5" s="297"/>
      <c r="C5" s="4"/>
      <c r="D5" s="4"/>
      <c r="E5" s="307" t="s">
        <v>0</v>
      </c>
      <c r="F5" s="157">
        <v>37247557295</v>
      </c>
      <c r="G5" s="171">
        <f>+F5/$F$10</f>
        <v>0.44613328474833974</v>
      </c>
      <c r="H5" s="30">
        <f>+$B$6*G5</f>
        <v>10144955.935687367</v>
      </c>
      <c r="I5" s="310"/>
      <c r="L5" s="57" t="s">
        <v>170</v>
      </c>
    </row>
    <row r="6" spans="1:12" x14ac:dyDescent="0.25">
      <c r="A6" s="59"/>
      <c r="B6" s="45">
        <f>+B4*12/23</f>
        <v>22739742.320302457</v>
      </c>
      <c r="C6" s="165" t="s">
        <v>141</v>
      </c>
      <c r="E6" s="169" t="s">
        <v>4</v>
      </c>
      <c r="F6" s="157">
        <v>9498245542</v>
      </c>
      <c r="G6" s="171">
        <f>+F6/$F$10</f>
        <v>0.11376540612953326</v>
      </c>
      <c r="H6" s="30">
        <f t="shared" ref="H6:H9" si="0">+$B$6*G6</f>
        <v>2586996.0203501438</v>
      </c>
      <c r="I6" s="205"/>
      <c r="L6" s="57" t="s">
        <v>175</v>
      </c>
    </row>
    <row r="7" spans="1:12" x14ac:dyDescent="0.25">
      <c r="A7" s="59"/>
      <c r="B7" s="45">
        <f>+B4*11/23</f>
        <v>20844763.793610584</v>
      </c>
      <c r="C7" s="165" t="s">
        <v>164</v>
      </c>
      <c r="E7" s="169" t="s">
        <v>5</v>
      </c>
      <c r="F7" s="157">
        <v>22108342220</v>
      </c>
      <c r="G7" s="171">
        <f>+F7/$F$10</f>
        <v>0.264803064985768</v>
      </c>
      <c r="H7" s="30">
        <f t="shared" si="0"/>
        <v>6021553.4634026699</v>
      </c>
      <c r="I7" s="205"/>
      <c r="L7" s="57" t="s">
        <v>174</v>
      </c>
    </row>
    <row r="8" spans="1:12" x14ac:dyDescent="0.25">
      <c r="A8" s="59"/>
      <c r="B8" s="51"/>
      <c r="C8" s="165"/>
      <c r="E8" s="169" t="s">
        <v>6</v>
      </c>
      <c r="F8" s="157">
        <v>9762768324</v>
      </c>
      <c r="G8" s="171">
        <f>+F8/$F$10</f>
        <v>0.116933732489562</v>
      </c>
      <c r="H8" s="30">
        <f t="shared" si="0"/>
        <v>2659042.9453638191</v>
      </c>
      <c r="I8" s="205"/>
    </row>
    <row r="9" spans="1:12" ht="15.75" thickBot="1" x14ac:dyDescent="0.3">
      <c r="A9" s="59"/>
      <c r="B9" s="4"/>
      <c r="C9" s="165"/>
      <c r="E9" s="169" t="s">
        <v>7</v>
      </c>
      <c r="F9" s="157">
        <v>4872838602</v>
      </c>
      <c r="G9" s="171">
        <f>+F9/$F$10</f>
        <v>5.836451164679704E-2</v>
      </c>
      <c r="H9" s="30">
        <f t="shared" si="0"/>
        <v>1327193.9554984563</v>
      </c>
      <c r="I9" s="205"/>
    </row>
    <row r="10" spans="1:12" ht="16.5" thickTop="1" thickBot="1" x14ac:dyDescent="0.3">
      <c r="A10" s="165"/>
      <c r="B10" s="227" t="s">
        <v>127</v>
      </c>
      <c r="C10" s="227" t="s">
        <v>165</v>
      </c>
      <c r="D10" s="298"/>
      <c r="E10" s="133"/>
      <c r="F10" s="308">
        <f>SUM(F5:F9)</f>
        <v>83489751983</v>
      </c>
      <c r="G10" s="316">
        <f>SUM(G5:G9)</f>
        <v>1</v>
      </c>
      <c r="H10" s="158">
        <f>SUM(H5:H9)</f>
        <v>22739742.320302457</v>
      </c>
      <c r="I10" s="205"/>
    </row>
    <row r="11" spans="1:12" x14ac:dyDescent="0.25">
      <c r="A11" s="59" t="s">
        <v>0</v>
      </c>
      <c r="B11" s="40">
        <f>+PPC!B5</f>
        <v>12811195859.280928</v>
      </c>
      <c r="C11" s="45">
        <f>+H5</f>
        <v>10144955.935687367</v>
      </c>
      <c r="D11" s="162"/>
      <c r="E11" s="275"/>
      <c r="F11" s="185"/>
      <c r="G11" s="312"/>
      <c r="H11" s="185"/>
      <c r="I11" s="205"/>
    </row>
    <row r="12" spans="1:12" x14ac:dyDescent="0.25">
      <c r="A12" s="168" t="s">
        <v>4</v>
      </c>
      <c r="B12" s="40">
        <f>+PPC!B6</f>
        <v>3224121769.9824286</v>
      </c>
      <c r="C12" s="45">
        <f t="shared" ref="C12:C15" si="1">+H6</f>
        <v>2586996.0203501438</v>
      </c>
      <c r="D12" s="162"/>
      <c r="E12" s="275"/>
      <c r="F12" s="185"/>
      <c r="G12" s="185"/>
      <c r="H12" s="185"/>
      <c r="I12" s="205"/>
    </row>
    <row r="13" spans="1:12" x14ac:dyDescent="0.25">
      <c r="A13" s="168" t="s">
        <v>5</v>
      </c>
      <c r="B13" s="40">
        <f>+PPC!B7</f>
        <v>7320471775.8032055</v>
      </c>
      <c r="C13" s="45">
        <f t="shared" si="1"/>
        <v>6021553.4634026699</v>
      </c>
      <c r="D13" s="162"/>
      <c r="E13" s="275"/>
      <c r="F13" s="185"/>
      <c r="G13" s="313"/>
      <c r="H13" s="185"/>
      <c r="I13" s="205"/>
    </row>
    <row r="14" spans="1:12" x14ac:dyDescent="0.25">
      <c r="A14" s="168" t="s">
        <v>6</v>
      </c>
      <c r="B14" s="40">
        <f>+PPC!B8</f>
        <v>3139203317.2336435</v>
      </c>
      <c r="C14" s="45">
        <f t="shared" si="1"/>
        <v>2659042.9453638191</v>
      </c>
      <c r="D14" s="162"/>
      <c r="E14" s="275"/>
      <c r="F14" s="185"/>
      <c r="G14" s="313"/>
      <c r="H14" s="185"/>
      <c r="I14" s="205"/>
    </row>
    <row r="15" spans="1:12" x14ac:dyDescent="0.25">
      <c r="A15" s="168" t="s">
        <v>7</v>
      </c>
      <c r="B15" s="40">
        <f>+PPC!B9</f>
        <v>1407077853.181653</v>
      </c>
      <c r="C15" s="45">
        <f t="shared" si="1"/>
        <v>1327193.9554984563</v>
      </c>
      <c r="D15" s="162"/>
      <c r="E15" s="275"/>
      <c r="F15" s="185"/>
      <c r="G15" s="313"/>
      <c r="H15" s="185"/>
      <c r="I15" s="205"/>
    </row>
    <row r="16" spans="1:12" ht="15.75" thickBot="1" x14ac:dyDescent="0.3">
      <c r="A16" s="168" t="s">
        <v>9</v>
      </c>
      <c r="B16" s="41">
        <f>SUM(B11:B15)</f>
        <v>27902070575.481853</v>
      </c>
      <c r="C16" s="24">
        <f>SUM(C11:C15)</f>
        <v>22739742.320302457</v>
      </c>
      <c r="E16" s="275"/>
      <c r="F16" s="185"/>
      <c r="G16" s="313"/>
      <c r="H16" s="185"/>
      <c r="I16" s="205"/>
    </row>
    <row r="17" spans="1:9" ht="16.5" thickTop="1" thickBot="1" x14ac:dyDescent="0.3">
      <c r="A17" s="165"/>
      <c r="B17" s="165"/>
      <c r="C17" s="21">
        <f>B6-C16</f>
        <v>0</v>
      </c>
      <c r="E17" s="276"/>
      <c r="F17" s="309"/>
      <c r="G17" s="310"/>
      <c r="H17" s="309"/>
      <c r="I17" s="205"/>
    </row>
    <row r="18" spans="1:9" ht="15.75" thickTop="1" x14ac:dyDescent="0.25">
      <c r="A18" s="165"/>
      <c r="B18" s="165"/>
      <c r="C18" s="165"/>
      <c r="E18" s="276"/>
      <c r="F18" s="309"/>
      <c r="G18" s="310"/>
      <c r="H18" s="309"/>
      <c r="I18" s="205"/>
    </row>
    <row r="19" spans="1:9" x14ac:dyDescent="0.25">
      <c r="A19" s="165"/>
      <c r="B19" s="165"/>
      <c r="C19" s="165"/>
      <c r="E19" s="275"/>
      <c r="F19" s="314"/>
      <c r="G19" s="314"/>
      <c r="H19" s="314"/>
      <c r="I19" s="205"/>
    </row>
    <row r="20" spans="1:9" x14ac:dyDescent="0.25">
      <c r="A20" s="165"/>
      <c r="B20" s="165"/>
      <c r="C20" s="165"/>
      <c r="E20" s="275"/>
      <c r="F20" s="315"/>
      <c r="G20" s="315"/>
      <c r="H20" s="315"/>
      <c r="I20" s="205"/>
    </row>
    <row r="21" spans="1:9" x14ac:dyDescent="0.25">
      <c r="A21" s="165"/>
      <c r="B21" s="165"/>
      <c r="C21" s="165"/>
      <c r="E21" s="275"/>
      <c r="F21" s="315"/>
      <c r="G21" s="315"/>
      <c r="H21" s="315"/>
      <c r="I21" s="205"/>
    </row>
    <row r="22" spans="1:9" x14ac:dyDescent="0.25">
      <c r="A22" s="165"/>
      <c r="B22" s="165"/>
      <c r="C22" s="165"/>
      <c r="E22" s="275"/>
      <c r="F22" s="315"/>
      <c r="G22" s="315"/>
      <c r="H22" s="315"/>
      <c r="I22" s="205"/>
    </row>
    <row r="23" spans="1:9" x14ac:dyDescent="0.25">
      <c r="A23" s="165"/>
      <c r="B23" s="165"/>
      <c r="C23" s="165"/>
      <c r="E23" s="275"/>
      <c r="F23" s="315"/>
      <c r="G23" s="315"/>
      <c r="H23" s="315"/>
      <c r="I23" s="205"/>
    </row>
    <row r="24" spans="1:9" x14ac:dyDescent="0.25">
      <c r="A24" s="165"/>
      <c r="B24" s="165"/>
      <c r="C24" s="165"/>
      <c r="E24" s="275"/>
      <c r="F24" s="315"/>
      <c r="G24" s="315"/>
      <c r="H24" s="315"/>
      <c r="I24" s="205"/>
    </row>
  </sheetData>
  <mergeCells count="1">
    <mergeCell ref="E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2:AK69"/>
  <sheetViews>
    <sheetView zoomScaleNormal="100" workbookViewId="0">
      <pane xSplit="1" ySplit="14" topLeftCell="B47" activePane="bottomRight" state="frozen"/>
      <selection activeCell="AC68" sqref="AC68"/>
      <selection pane="topRight" activeCell="AC68" sqref="AC68"/>
      <selection pane="bottomLeft" activeCell="AC68" sqref="AC68"/>
      <selection pane="bottomRight" activeCell="G65" sqref="G65"/>
    </sheetView>
  </sheetViews>
  <sheetFormatPr defaultColWidth="9.140625" defaultRowHeight="15" x14ac:dyDescent="0.25"/>
  <cols>
    <col min="1" max="1" width="26.42578125" style="165" customWidth="1"/>
    <col min="2" max="2" width="18" style="165" customWidth="1"/>
    <col min="3" max="3" width="16.4257812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1" width="16" style="165" bestFit="1" customWidth="1"/>
    <col min="12" max="35" width="16" style="165" customWidth="1"/>
    <col min="36" max="36" width="16.42578125" style="165" customWidth="1"/>
    <col min="37" max="37" width="17.28515625" style="165" customWidth="1"/>
    <col min="38" max="38" width="16.85546875" style="165" customWidth="1"/>
    <col min="39" max="39" width="13.85546875" style="165" bestFit="1" customWidth="1"/>
    <col min="40" max="40" width="10.85546875" style="165" bestFit="1" customWidth="1"/>
    <col min="41" max="41" width="9.140625" style="165"/>
    <col min="42" max="42" width="12.7109375" style="165" bestFit="1" customWidth="1"/>
    <col min="43" max="16384" width="9.140625" style="165"/>
  </cols>
  <sheetData>
    <row r="2" spans="1:37" x14ac:dyDescent="0.25">
      <c r="B2" s="184" t="s">
        <v>151</v>
      </c>
      <c r="I2" s="57" t="s">
        <v>26</v>
      </c>
      <c r="J2" s="49"/>
      <c r="K2" s="49"/>
      <c r="L2" s="49"/>
      <c r="M2" s="49"/>
      <c r="N2" s="49"/>
    </row>
    <row r="3" spans="1:37" x14ac:dyDescent="0.25">
      <c r="B3" s="227" t="s">
        <v>124</v>
      </c>
      <c r="C3" s="227" t="s">
        <v>64</v>
      </c>
      <c r="D3" s="227" t="s">
        <v>152</v>
      </c>
      <c r="E3" s="227" t="s">
        <v>91</v>
      </c>
      <c r="F3" s="227" t="s">
        <v>65</v>
      </c>
      <c r="G3" s="227" t="s">
        <v>153</v>
      </c>
      <c r="I3" s="57" t="s">
        <v>156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x14ac:dyDescent="0.25">
      <c r="A4" s="165" t="s">
        <v>0</v>
      </c>
      <c r="B4" s="24">
        <f>+B65</f>
        <v>-462683.00379415316</v>
      </c>
      <c r="C4" s="24">
        <f>SUM(B29:E29)</f>
        <v>137384.26136189059</v>
      </c>
      <c r="D4" s="24">
        <f>SUM(B15:E15)</f>
        <v>638713.79076805944</v>
      </c>
      <c r="E4" s="24">
        <f>B4+D4-C4</f>
        <v>38646.525612015685</v>
      </c>
      <c r="F4" s="24">
        <f>SUM(B55:E55)</f>
        <v>-631.85378227969909</v>
      </c>
      <c r="G4" s="42">
        <f>E4+F4</f>
        <v>38014.671829735984</v>
      </c>
      <c r="I4" s="57" t="s">
        <v>157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x14ac:dyDescent="0.25">
      <c r="A5" s="165" t="s">
        <v>4</v>
      </c>
      <c r="B5" s="24">
        <f t="shared" ref="B5:B8" si="0">+B66</f>
        <v>-10108.99213094723</v>
      </c>
      <c r="C5" s="24">
        <f>SUM(B30:E30)</f>
        <v>45653.655360234385</v>
      </c>
      <c r="D5" s="24">
        <f>SUM(B16:E16)</f>
        <v>65884.027004687916</v>
      </c>
      <c r="E5" s="24">
        <f t="shared" ref="E5:E8" si="1">B5+D5-C5</f>
        <v>10121.379513506305</v>
      </c>
      <c r="F5" s="24">
        <f>SUM(B56:E56)</f>
        <v>27.523622390787949</v>
      </c>
      <c r="G5" s="42">
        <f>E5+F5</f>
        <v>10148.903135897093</v>
      </c>
      <c r="I5" s="57" t="s">
        <v>158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x14ac:dyDescent="0.25">
      <c r="A6" s="165" t="s">
        <v>5</v>
      </c>
      <c r="B6" s="24">
        <f t="shared" si="0"/>
        <v>3604.9193919342115</v>
      </c>
      <c r="C6" s="24">
        <f>SUM(B31:E31)</f>
        <v>203167.12695319421</v>
      </c>
      <c r="D6" s="24">
        <f>SUM(B17:E17)</f>
        <v>278484.58473410102</v>
      </c>
      <c r="E6" s="24">
        <f t="shared" si="1"/>
        <v>78922.37717284105</v>
      </c>
      <c r="F6" s="24">
        <f>SUM(B57:E57)</f>
        <v>306.72056560435306</v>
      </c>
      <c r="G6" s="42">
        <f>E6+F6</f>
        <v>79229.097738445402</v>
      </c>
      <c r="I6" s="57" t="s">
        <v>114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x14ac:dyDescent="0.25">
      <c r="A7" s="165" t="s">
        <v>6</v>
      </c>
      <c r="B7" s="24">
        <f t="shared" si="0"/>
        <v>-6178.5070069833</v>
      </c>
      <c r="C7" s="24">
        <f>SUM(B32:E32)</f>
        <v>70503.646869544871</v>
      </c>
      <c r="D7" s="24">
        <f>SUM(B18:E18)</f>
        <v>124016.99200882431</v>
      </c>
      <c r="E7" s="24">
        <f t="shared" si="1"/>
        <v>47334.838132296136</v>
      </c>
      <c r="F7" s="24">
        <f>SUM(B58:E58)</f>
        <v>159.97241627087948</v>
      </c>
      <c r="G7" s="42">
        <f>E7+F7</f>
        <v>47494.810548567017</v>
      </c>
      <c r="I7" s="57" t="s">
        <v>159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ht="15.75" thickBot="1" x14ac:dyDescent="0.3">
      <c r="A8" s="165" t="s">
        <v>7</v>
      </c>
      <c r="B8" s="24">
        <f t="shared" si="0"/>
        <v>48966.060998976864</v>
      </c>
      <c r="C8" s="24">
        <f>SUM(B33:E33)</f>
        <v>61873.626586683444</v>
      </c>
      <c r="D8" s="24">
        <f>SUM(B19:E19)</f>
        <v>85261.682006066723</v>
      </c>
      <c r="E8" s="24">
        <f t="shared" si="1"/>
        <v>72354.11641836015</v>
      </c>
      <c r="F8" s="24">
        <f>SUM(B59:E59)</f>
        <v>341.61644566466993</v>
      </c>
      <c r="G8" s="42">
        <f>E8+F8</f>
        <v>72695.732864024816</v>
      </c>
      <c r="I8" s="57" t="s">
        <v>82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ht="16.5" thickTop="1" thickBot="1" x14ac:dyDescent="0.3">
      <c r="B9" s="87">
        <f t="shared" ref="B9" si="2">SUM(B4:B8)</f>
        <v>-426399.52254117257</v>
      </c>
      <c r="C9" s="87">
        <f t="shared" ref="C9:G9" si="3">SUM(C4:C8)</f>
        <v>518582.31713154749</v>
      </c>
      <c r="D9" s="87">
        <f t="shared" si="3"/>
        <v>1192361.0765217394</v>
      </c>
      <c r="E9" s="87">
        <f>SUM(E4:E8)</f>
        <v>247379.23684901933</v>
      </c>
      <c r="F9" s="87">
        <f>SUM(F4:F8)</f>
        <v>203.97926765099135</v>
      </c>
      <c r="G9" s="87">
        <f t="shared" si="3"/>
        <v>247583.21611667032</v>
      </c>
      <c r="I9" s="57" t="s">
        <v>96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t="16.5" thickTop="1" thickBot="1" x14ac:dyDescent="0.3">
      <c r="E10" s="39" t="s">
        <v>25</v>
      </c>
      <c r="F10" s="288">
        <f>F9-SUM(B38:E38)</f>
        <v>4.603436536854133E-6</v>
      </c>
      <c r="I10" s="57" t="s">
        <v>160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t="15.75" thickTop="1" x14ac:dyDescent="0.25">
      <c r="F11" s="4"/>
      <c r="H11" s="3"/>
    </row>
    <row r="12" spans="1:37" ht="15.75" thickBot="1" x14ac:dyDescent="0.3">
      <c r="B12" s="52"/>
      <c r="C12" s="48"/>
      <c r="D12" s="48"/>
    </row>
    <row r="13" spans="1:37" ht="15.75" thickBot="1" x14ac:dyDescent="0.3">
      <c r="B13" s="242"/>
      <c r="C13" s="349" t="s">
        <v>67</v>
      </c>
      <c r="D13" s="350"/>
      <c r="E13" s="351"/>
    </row>
    <row r="14" spans="1:37" x14ac:dyDescent="0.25">
      <c r="A14" s="165" t="s">
        <v>154</v>
      </c>
      <c r="B14" s="243">
        <v>43739</v>
      </c>
      <c r="C14" s="91">
        <f>EDATE(B14,1)</f>
        <v>43770</v>
      </c>
      <c r="D14" s="92">
        <f>EDATE(C14,1)</f>
        <v>43800</v>
      </c>
      <c r="E14" s="93">
        <f>EDATE(D14,1)</f>
        <v>43831</v>
      </c>
      <c r="F14" s="1"/>
      <c r="G14" s="1"/>
      <c r="H14" s="1"/>
      <c r="I14" s="1"/>
      <c r="J14" s="1"/>
      <c r="K14" s="1"/>
      <c r="L14" s="1"/>
    </row>
    <row r="15" spans="1:37" x14ac:dyDescent="0.25">
      <c r="A15" s="49" t="s">
        <v>0</v>
      </c>
      <c r="B15" s="244">
        <v>0</v>
      </c>
      <c r="C15" s="139">
        <v>212904.59692268647</v>
      </c>
      <c r="D15" s="140">
        <v>212904.59692268647</v>
      </c>
      <c r="E15" s="141">
        <v>212904.59692268647</v>
      </c>
      <c r="F15" s="49"/>
    </row>
    <row r="16" spans="1:37" x14ac:dyDescent="0.25">
      <c r="A16" s="49" t="s">
        <v>4</v>
      </c>
      <c r="B16" s="244">
        <v>0</v>
      </c>
      <c r="C16" s="139">
        <v>21961.342334895973</v>
      </c>
      <c r="D16" s="140">
        <v>21961.342334895973</v>
      </c>
      <c r="E16" s="141">
        <v>21961.342334895973</v>
      </c>
      <c r="F16" s="49"/>
    </row>
    <row r="17" spans="1:7" x14ac:dyDescent="0.25">
      <c r="A17" s="49" t="s">
        <v>5</v>
      </c>
      <c r="B17" s="244">
        <v>0</v>
      </c>
      <c r="C17" s="139">
        <v>92828.194911367013</v>
      </c>
      <c r="D17" s="140">
        <v>92828.194911367013</v>
      </c>
      <c r="E17" s="141">
        <v>92828.194911367013</v>
      </c>
      <c r="F17" s="49"/>
    </row>
    <row r="18" spans="1:7" x14ac:dyDescent="0.25">
      <c r="A18" s="49" t="s">
        <v>6</v>
      </c>
      <c r="B18" s="244">
        <v>0</v>
      </c>
      <c r="C18" s="139">
        <v>41338.99733627477</v>
      </c>
      <c r="D18" s="140">
        <v>41338.99733627477</v>
      </c>
      <c r="E18" s="141">
        <v>41338.99733627477</v>
      </c>
      <c r="F18" s="49"/>
    </row>
    <row r="19" spans="1:7" x14ac:dyDescent="0.25">
      <c r="A19" s="49" t="s">
        <v>7</v>
      </c>
      <c r="B19" s="244">
        <v>0</v>
      </c>
      <c r="C19" s="139">
        <v>28420.560668688908</v>
      </c>
      <c r="D19" s="140">
        <v>28420.560668688908</v>
      </c>
      <c r="E19" s="141">
        <v>28420.560668688908</v>
      </c>
      <c r="F19" s="49"/>
    </row>
    <row r="20" spans="1:7" x14ac:dyDescent="0.25">
      <c r="B20" s="245"/>
      <c r="C20" s="98"/>
      <c r="D20" s="99"/>
      <c r="E20" s="102"/>
    </row>
    <row r="21" spans="1:7" x14ac:dyDescent="0.25">
      <c r="A21" s="165" t="s">
        <v>155</v>
      </c>
      <c r="B21" s="245"/>
      <c r="C21" s="98"/>
      <c r="D21" s="99"/>
      <c r="E21" s="102"/>
      <c r="F21" s="116" t="s">
        <v>110</v>
      </c>
      <c r="G21" s="49"/>
    </row>
    <row r="22" spans="1:7" x14ac:dyDescent="0.25">
      <c r="A22" s="49" t="s">
        <v>0</v>
      </c>
      <c r="B22" s="244">
        <v>0</v>
      </c>
      <c r="C22" s="110">
        <f>'PCR (M3)'!M28*F22+C36</f>
        <v>31006.024459143144</v>
      </c>
      <c r="D22" s="114">
        <f>'PCR (M3)'!N28*F22+D36</f>
        <v>44623.837147086626</v>
      </c>
      <c r="E22" s="115">
        <f>'PCR (M3)'!O28*F22+E36</f>
        <v>58338.933522357926</v>
      </c>
      <c r="F22" s="105">
        <v>3.8999999999999999E-5</v>
      </c>
      <c r="G22" s="49"/>
    </row>
    <row r="23" spans="1:7" x14ac:dyDescent="0.25">
      <c r="A23" s="49" t="s">
        <v>4</v>
      </c>
      <c r="B23" s="244">
        <v>0</v>
      </c>
      <c r="C23" s="110">
        <f>'PCR (M3)'!M29*F23</f>
        <v>12686.588694273194</v>
      </c>
      <c r="D23" s="114">
        <f>'PCR (M3)'!N29*F23</f>
        <v>15116.656345619582</v>
      </c>
      <c r="E23" s="115">
        <f>'PCR (M3)'!O29*F23</f>
        <v>18264.20821955039</v>
      </c>
      <c r="F23" s="105">
        <v>5.5000000000000002E-5</v>
      </c>
      <c r="G23" s="49"/>
    </row>
    <row r="24" spans="1:7" x14ac:dyDescent="0.25">
      <c r="A24" s="49" t="s">
        <v>5</v>
      </c>
      <c r="B24" s="244">
        <v>0</v>
      </c>
      <c r="C24" s="110">
        <f>'PCR (M3)'!M30*F24</f>
        <v>62293.123900730527</v>
      </c>
      <c r="D24" s="114">
        <f>'PCR (M3)'!N30*F24</f>
        <v>67648.121483515104</v>
      </c>
      <c r="E24" s="115">
        <f>'PCR (M3)'!O30*F24</f>
        <v>75048.94374937813</v>
      </c>
      <c r="F24" s="105">
        <v>1.12E-4</v>
      </c>
      <c r="G24" s="49"/>
    </row>
    <row r="25" spans="1:7" x14ac:dyDescent="0.25">
      <c r="A25" s="49" t="s">
        <v>6</v>
      </c>
      <c r="B25" s="244">
        <v>0</v>
      </c>
      <c r="C25" s="110">
        <f>'PCR (M3)'!M31*F25</f>
        <v>22724.657309745649</v>
      </c>
      <c r="D25" s="114">
        <f>'PCR (M3)'!N31*F25</f>
        <v>23370.320468318023</v>
      </c>
      <c r="E25" s="115">
        <f>'PCR (M3)'!O31*F25</f>
        <v>25038.033794027786</v>
      </c>
      <c r="F25" s="105">
        <v>9.3999999999999994E-5</v>
      </c>
      <c r="G25" s="49"/>
    </row>
    <row r="26" spans="1:7" x14ac:dyDescent="0.25">
      <c r="A26" s="49" t="s">
        <v>7</v>
      </c>
      <c r="B26" s="244">
        <v>0</v>
      </c>
      <c r="C26" s="110">
        <f>'PCR (M3)'!M32*F26</f>
        <v>20902.354352215356</v>
      </c>
      <c r="D26" s="114">
        <f>'PCR (M3)'!N32*F26</f>
        <v>20619.4976366767</v>
      </c>
      <c r="E26" s="115">
        <f>'PCR (M3)'!O32*F26</f>
        <v>20901.016048909376</v>
      </c>
      <c r="F26" s="105">
        <v>1.85E-4</v>
      </c>
      <c r="G26" s="49"/>
    </row>
    <row r="27" spans="1:7" x14ac:dyDescent="0.25">
      <c r="A27" s="49"/>
      <c r="B27" s="246"/>
      <c r="C27" s="100"/>
      <c r="D27" s="99"/>
      <c r="E27" s="102"/>
    </row>
    <row r="28" spans="1:7" x14ac:dyDescent="0.25">
      <c r="A28" s="49" t="s">
        <v>102</v>
      </c>
      <c r="B28" s="245"/>
      <c r="C28" s="98"/>
      <c r="D28" s="99"/>
      <c r="E28" s="102"/>
    </row>
    <row r="29" spans="1:7" x14ac:dyDescent="0.25">
      <c r="A29" s="165" t="s">
        <v>0</v>
      </c>
      <c r="B29" s="247">
        <v>0</v>
      </c>
      <c r="C29" s="110">
        <f>+(C22-C36)+(C36*C22/SUM(C22:C26))</f>
        <v>31856.620145240628</v>
      </c>
      <c r="D29" s="114">
        <f t="shared" ref="D29:E29" si="4">+(D22-D36)+(D36*D22/SUM(D22:D26))</f>
        <v>45765.954790031145</v>
      </c>
      <c r="E29" s="115">
        <f t="shared" si="4"/>
        <v>59761.68642661882</v>
      </c>
    </row>
    <row r="30" spans="1:7" x14ac:dyDescent="0.25">
      <c r="A30" s="165" t="s">
        <v>4</v>
      </c>
      <c r="B30" s="247">
        <v>0</v>
      </c>
      <c r="C30" s="110">
        <f t="shared" ref="C30:E30" si="5">+C23+(C36*C23/SUM(C22:C26))</f>
        <v>12595.606014477886</v>
      </c>
      <c r="D30" s="114">
        <f t="shared" si="5"/>
        <v>14980.448267423873</v>
      </c>
      <c r="E30" s="115">
        <f t="shared" si="5"/>
        <v>18077.601078332627</v>
      </c>
    </row>
    <row r="31" spans="1:7" x14ac:dyDescent="0.25">
      <c r="A31" s="165" t="s">
        <v>5</v>
      </c>
      <c r="B31" s="247">
        <v>0</v>
      </c>
      <c r="C31" s="110">
        <f t="shared" ref="C31:E31" si="6">+C24+(C36*C24/SUM(C22:C26))</f>
        <v>61846.384790486649</v>
      </c>
      <c r="D31" s="114">
        <f t="shared" si="6"/>
        <v>67038.580563211697</v>
      </c>
      <c r="E31" s="115">
        <f t="shared" si="6"/>
        <v>74282.16159949587</v>
      </c>
    </row>
    <row r="32" spans="1:7" x14ac:dyDescent="0.25">
      <c r="A32" s="165" t="s">
        <v>6</v>
      </c>
      <c r="B32" s="247">
        <v>0</v>
      </c>
      <c r="C32" s="110">
        <f t="shared" ref="C32:E32" si="7">+C25+(C36*C25/SUM(C22:C26))</f>
        <v>22561.685980785958</v>
      </c>
      <c r="D32" s="114">
        <f t="shared" si="7"/>
        <v>23159.743051921982</v>
      </c>
      <c r="E32" s="115">
        <f t="shared" si="7"/>
        <v>24782.217836836939</v>
      </c>
    </row>
    <row r="33" spans="1:7" x14ac:dyDescent="0.25">
      <c r="A33" s="165" t="s">
        <v>7</v>
      </c>
      <c r="B33" s="247">
        <v>0</v>
      </c>
      <c r="C33" s="110">
        <f t="shared" ref="C33:E33" si="8">+C26+(C36*C26/SUM(C22:C26))</f>
        <v>20752.451785116751</v>
      </c>
      <c r="D33" s="114">
        <f t="shared" si="8"/>
        <v>20433.706408627349</v>
      </c>
      <c r="E33" s="115">
        <f t="shared" si="8"/>
        <v>20687.468392939347</v>
      </c>
    </row>
    <row r="34" spans="1:7" s="49" customFormat="1" x14ac:dyDescent="0.25">
      <c r="B34" s="248"/>
      <c r="C34" s="100"/>
      <c r="D34" s="99"/>
      <c r="E34" s="102"/>
    </row>
    <row r="35" spans="1:7" x14ac:dyDescent="0.25">
      <c r="A35" s="49" t="s">
        <v>109</v>
      </c>
      <c r="B35" s="245"/>
      <c r="C35" s="98"/>
      <c r="D35" s="99"/>
      <c r="E35" s="102"/>
      <c r="F35" s="194"/>
      <c r="G35" s="49"/>
    </row>
    <row r="36" spans="1:7" x14ac:dyDescent="0.25">
      <c r="A36" s="49" t="str">
        <f>A22</f>
        <v>RES</v>
      </c>
      <c r="B36" s="244">
        <v>0</v>
      </c>
      <c r="C36" s="110">
        <f>-('PCR (M2)'!AV28*$F$22*PPC!$B$14)</f>
        <v>-1072.9573676395953</v>
      </c>
      <c r="D36" s="114">
        <f>-('PCR (M2)'!AW28*$F$22*PPC!$B$14)</f>
        <v>-1544.1990927410634</v>
      </c>
      <c r="E36" s="115">
        <f>-('PCR (M2)'!AX28*$F$22*PPC!$B$14)</f>
        <v>-2018.807300675797</v>
      </c>
      <c r="F36" s="207"/>
      <c r="G36" s="49"/>
    </row>
    <row r="37" spans="1:7" x14ac:dyDescent="0.25">
      <c r="A37" s="49"/>
      <c r="B37" s="246"/>
      <c r="C37" s="107"/>
      <c r="D37" s="108"/>
      <c r="E37" s="102"/>
    </row>
    <row r="38" spans="1:7" ht="15.75" thickBot="1" x14ac:dyDescent="0.3">
      <c r="A38" s="49" t="s">
        <v>88</v>
      </c>
      <c r="B38" s="249">
        <v>0</v>
      </c>
      <c r="C38" s="231">
        <v>-314.55058003082962</v>
      </c>
      <c r="D38" s="232">
        <v>83.151741692168329</v>
      </c>
      <c r="E38" s="152">
        <v>435.37810138621609</v>
      </c>
      <c r="F38" s="49"/>
    </row>
    <row r="39" spans="1:7" x14ac:dyDescent="0.25">
      <c r="B39" s="250"/>
      <c r="C39" s="228"/>
      <c r="D39" s="153"/>
      <c r="E39" s="229"/>
    </row>
    <row r="40" spans="1:7" x14ac:dyDescent="0.25">
      <c r="A40" s="165" t="s">
        <v>69</v>
      </c>
      <c r="B40" s="245"/>
      <c r="C40" s="98"/>
      <c r="D40" s="99"/>
      <c r="E40" s="102"/>
    </row>
    <row r="41" spans="1:7" x14ac:dyDescent="0.25">
      <c r="A41" s="165" t="s">
        <v>0</v>
      </c>
      <c r="B41" s="247">
        <f t="shared" ref="B41:B45" si="9">B15-B29</f>
        <v>0</v>
      </c>
      <c r="C41" s="110">
        <f>C15-C29</f>
        <v>181047.97677744585</v>
      </c>
      <c r="D41" s="114">
        <f t="shared" ref="D41:E41" si="10">D15-D29</f>
        <v>167138.64213265531</v>
      </c>
      <c r="E41" s="115">
        <f t="shared" si="10"/>
        <v>153142.91049606766</v>
      </c>
    </row>
    <row r="42" spans="1:7" x14ac:dyDescent="0.25">
      <c r="A42" s="165" t="s">
        <v>4</v>
      </c>
      <c r="B42" s="247">
        <f t="shared" si="9"/>
        <v>0</v>
      </c>
      <c r="C42" s="110">
        <f t="shared" ref="C42:E45" si="11">C16-C30</f>
        <v>9365.7363204180874</v>
      </c>
      <c r="D42" s="114">
        <f t="shared" si="11"/>
        <v>6980.8940674720998</v>
      </c>
      <c r="E42" s="115">
        <f t="shared" si="11"/>
        <v>3883.7412565633458</v>
      </c>
    </row>
    <row r="43" spans="1:7" x14ac:dyDescent="0.25">
      <c r="A43" s="165" t="s">
        <v>5</v>
      </c>
      <c r="B43" s="247">
        <f t="shared" si="9"/>
        <v>0</v>
      </c>
      <c r="C43" s="110">
        <f t="shared" si="11"/>
        <v>30981.810120880364</v>
      </c>
      <c r="D43" s="114">
        <f t="shared" si="11"/>
        <v>25789.614348155315</v>
      </c>
      <c r="E43" s="115">
        <f t="shared" si="11"/>
        <v>18546.033311871142</v>
      </c>
    </row>
    <row r="44" spans="1:7" x14ac:dyDescent="0.25">
      <c r="A44" s="165" t="s">
        <v>6</v>
      </c>
      <c r="B44" s="247">
        <f t="shared" si="9"/>
        <v>0</v>
      </c>
      <c r="C44" s="110">
        <f t="shared" si="11"/>
        <v>18777.311355488811</v>
      </c>
      <c r="D44" s="114">
        <f t="shared" si="11"/>
        <v>18179.254284352788</v>
      </c>
      <c r="E44" s="115">
        <f t="shared" si="11"/>
        <v>16556.779499437831</v>
      </c>
    </row>
    <row r="45" spans="1:7" x14ac:dyDescent="0.25">
      <c r="A45" s="165" t="s">
        <v>7</v>
      </c>
      <c r="B45" s="247">
        <f t="shared" si="9"/>
        <v>0</v>
      </c>
      <c r="C45" s="110">
        <f t="shared" si="11"/>
        <v>7668.1088835721566</v>
      </c>
      <c r="D45" s="114">
        <f t="shared" si="11"/>
        <v>7986.8542600615583</v>
      </c>
      <c r="E45" s="115">
        <f t="shared" si="11"/>
        <v>7733.0922757495609</v>
      </c>
    </row>
    <row r="46" spans="1:7" x14ac:dyDescent="0.25">
      <c r="B46" s="245"/>
      <c r="C46" s="98"/>
      <c r="D46" s="99"/>
      <c r="E46" s="102"/>
    </row>
    <row r="47" spans="1:7" x14ac:dyDescent="0.25">
      <c r="A47" s="165" t="s">
        <v>70</v>
      </c>
      <c r="B47" s="245"/>
      <c r="C47" s="98"/>
      <c r="D47" s="99"/>
      <c r="E47" s="102"/>
    </row>
    <row r="48" spans="1:7" x14ac:dyDescent="0.25">
      <c r="A48" s="165" t="s">
        <v>0</v>
      </c>
      <c r="B48" s="247">
        <v>0</v>
      </c>
      <c r="C48" s="110">
        <f>B48+C41+B55+B65</f>
        <v>-281635.02701670735</v>
      </c>
      <c r="D48" s="114">
        <f t="shared" ref="D48:E52" si="12">C48+D41+C55</f>
        <v>-114992.51596399494</v>
      </c>
      <c r="E48" s="115">
        <f t="shared" si="12"/>
        <v>37947.822566025388</v>
      </c>
    </row>
    <row r="49" spans="1:5" x14ac:dyDescent="0.25">
      <c r="A49" s="165" t="s">
        <v>4</v>
      </c>
      <c r="B49" s="247">
        <v>0</v>
      </c>
      <c r="C49" s="110">
        <f t="shared" ref="C49:C52" si="13">B49+C42+B56+B66</f>
        <v>-743.25581052914276</v>
      </c>
      <c r="D49" s="114">
        <f t="shared" si="12"/>
        <v>6236.328930074571</v>
      </c>
      <c r="E49" s="115">
        <f t="shared" si="12"/>
        <v>10131.056166044425</v>
      </c>
    </row>
    <row r="50" spans="1:5" x14ac:dyDescent="0.25">
      <c r="A50" s="165" t="s">
        <v>5</v>
      </c>
      <c r="B50" s="247">
        <v>0</v>
      </c>
      <c r="C50" s="110">
        <f t="shared" si="13"/>
        <v>34586.729512814578</v>
      </c>
      <c r="D50" s="114">
        <f t="shared" si="12"/>
        <v>60437.272189546966</v>
      </c>
      <c r="E50" s="115">
        <f t="shared" si="12"/>
        <v>79089.772404479925</v>
      </c>
    </row>
    <row r="51" spans="1:5" x14ac:dyDescent="0.25">
      <c r="A51" s="165" t="s">
        <v>6</v>
      </c>
      <c r="B51" s="247">
        <v>0</v>
      </c>
      <c r="C51" s="110">
        <f t="shared" si="13"/>
        <v>12598.804348505511</v>
      </c>
      <c r="D51" s="114">
        <f t="shared" si="12"/>
        <v>30800.252812586674</v>
      </c>
      <c r="E51" s="115">
        <f t="shared" si="12"/>
        <v>47411.290345381683</v>
      </c>
    </row>
    <row r="52" spans="1:5" x14ac:dyDescent="0.25">
      <c r="A52" s="165" t="s">
        <v>7</v>
      </c>
      <c r="B52" s="247">
        <v>0</v>
      </c>
      <c r="C52" s="110">
        <f t="shared" si="13"/>
        <v>56634.169882549017</v>
      </c>
      <c r="D52" s="114">
        <f t="shared" si="12"/>
        <v>64720.791462617373</v>
      </c>
      <c r="E52" s="115">
        <f t="shared" si="12"/>
        <v>72567.896531815393</v>
      </c>
    </row>
    <row r="53" spans="1:5" x14ac:dyDescent="0.25">
      <c r="B53" s="245"/>
      <c r="C53" s="98"/>
      <c r="D53" s="99"/>
      <c r="E53" s="102"/>
    </row>
    <row r="54" spans="1:5" x14ac:dyDescent="0.25">
      <c r="A54" s="165" t="s">
        <v>65</v>
      </c>
      <c r="B54" s="251">
        <f>+'PCR (M2)'!AU67</f>
        <v>1.7616100000000003E-3</v>
      </c>
      <c r="C54" s="123">
        <f>+'PCR (M2)'!AV67</f>
        <v>1.7616100000000003E-3</v>
      </c>
      <c r="D54" s="124">
        <f>+'PCR (M2)'!AW67</f>
        <v>1.7616100000000003E-3</v>
      </c>
      <c r="E54" s="187">
        <f>+'PCR (M2)'!AX67</f>
        <v>1.7616100000000003E-3</v>
      </c>
    </row>
    <row r="55" spans="1:5" x14ac:dyDescent="0.25">
      <c r="A55" s="165" t="s">
        <v>0</v>
      </c>
      <c r="B55" s="247">
        <f t="shared" ref="B55:E59" si="14">B48*B$54</f>
        <v>0</v>
      </c>
      <c r="C55" s="110">
        <f>C48*C$54</f>
        <v>-496.13107994290192</v>
      </c>
      <c r="D55" s="114">
        <f t="shared" si="14"/>
        <v>-202.57196604733315</v>
      </c>
      <c r="E55" s="115">
        <f t="shared" si="14"/>
        <v>66.849263710535993</v>
      </c>
    </row>
    <row r="56" spans="1:5" x14ac:dyDescent="0.25">
      <c r="A56" s="165" t="s">
        <v>4</v>
      </c>
      <c r="B56" s="247">
        <f t="shared" si="14"/>
        <v>0</v>
      </c>
      <c r="C56" s="110">
        <f t="shared" si="14"/>
        <v>-1.3093268683862433</v>
      </c>
      <c r="D56" s="114">
        <f t="shared" si="14"/>
        <v>10.985979406508667</v>
      </c>
      <c r="E56" s="115">
        <f t="shared" si="14"/>
        <v>17.846969852665524</v>
      </c>
    </row>
    <row r="57" spans="1:5" x14ac:dyDescent="0.25">
      <c r="A57" s="165" t="s">
        <v>5</v>
      </c>
      <c r="B57" s="247">
        <f t="shared" si="14"/>
        <v>0</v>
      </c>
      <c r="C57" s="110">
        <f t="shared" si="14"/>
        <v>60.928328577069294</v>
      </c>
      <c r="D57" s="114">
        <f t="shared" si="14"/>
        <v>106.46690306182785</v>
      </c>
      <c r="E57" s="115">
        <f t="shared" si="14"/>
        <v>139.32533396545591</v>
      </c>
    </row>
    <row r="58" spans="1:5" x14ac:dyDescent="0.25">
      <c r="A58" s="165" t="s">
        <v>6</v>
      </c>
      <c r="B58" s="247">
        <f t="shared" si="14"/>
        <v>0</v>
      </c>
      <c r="C58" s="110">
        <f t="shared" si="14"/>
        <v>22.194179728370798</v>
      </c>
      <c r="D58" s="114">
        <f t="shared" si="14"/>
        <v>54.258033357180821</v>
      </c>
      <c r="E58" s="115">
        <f t="shared" si="14"/>
        <v>83.520203185327844</v>
      </c>
    </row>
    <row r="59" spans="1:5" ht="15.75" thickBot="1" x14ac:dyDescent="0.3">
      <c r="A59" s="165" t="s">
        <v>7</v>
      </c>
      <c r="B59" s="247">
        <f t="shared" si="14"/>
        <v>0</v>
      </c>
      <c r="C59" s="110">
        <f t="shared" si="14"/>
        <v>99.767320006797192</v>
      </c>
      <c r="D59" s="114">
        <f t="shared" si="14"/>
        <v>114.01279344846141</v>
      </c>
      <c r="E59" s="115">
        <f t="shared" si="14"/>
        <v>127.83633220941134</v>
      </c>
    </row>
    <row r="60" spans="1:5" ht="16.5" thickTop="1" thickBot="1" x14ac:dyDescent="0.3">
      <c r="A60" s="126" t="s">
        <v>71</v>
      </c>
      <c r="B60" s="252">
        <f>SUM(B55:B59)+SUM(B48:B52)-B63</f>
        <v>0</v>
      </c>
      <c r="C60" s="127">
        <f>SUM(C55:C59)+SUM(C48:C52)-C63</f>
        <v>0</v>
      </c>
      <c r="D60" s="131">
        <f t="shared" ref="D60:E60" si="15">SUM(D55:D59)+SUM(D48:D52)-D63</f>
        <v>-8.0035533756017685E-11</v>
      </c>
      <c r="E60" s="129">
        <f t="shared" si="15"/>
        <v>0</v>
      </c>
    </row>
    <row r="61" spans="1:5" ht="16.5" thickTop="1" thickBot="1" x14ac:dyDescent="0.3">
      <c r="A61" s="126" t="s">
        <v>72</v>
      </c>
      <c r="B61" s="252">
        <f t="shared" ref="B61" si="16">SUM(B55:B59)-B38</f>
        <v>0</v>
      </c>
      <c r="C61" s="130">
        <f>SUM(C55:C59)-C38</f>
        <v>1.5317787642743497E-6</v>
      </c>
      <c r="D61" s="131">
        <f>SUM(D55:D59)-D38</f>
        <v>1.5344772776870741E-6</v>
      </c>
      <c r="E61" s="132">
        <f>SUM(E55:E59)-E38</f>
        <v>1.5371805375252734E-6</v>
      </c>
    </row>
    <row r="62" spans="1:5" ht="15.75" thickTop="1" x14ac:dyDescent="0.25">
      <c r="B62" s="245"/>
      <c r="C62" s="98"/>
      <c r="D62" s="99"/>
      <c r="E62" s="102"/>
    </row>
    <row r="63" spans="1:5" x14ac:dyDescent="0.25">
      <c r="A63" s="165" t="s">
        <v>73</v>
      </c>
      <c r="B63" s="247">
        <f>(SUM(B15:B19)-SUM(B22:B26))+SUM(B55:B59)</f>
        <v>0</v>
      </c>
      <c r="C63" s="110">
        <f>(SUM(C15:C19)-SUM(C22:C26))+SUM(C55:C59)+B63+B64</f>
        <v>-178873.12966186635</v>
      </c>
      <c r="D63" s="114">
        <f t="shared" ref="D63:E63" si="17">(SUM(D15:D19)-SUM(D22:D26))+SUM(D55:D59)+C63</f>
        <v>47285.281174057367</v>
      </c>
      <c r="E63" s="115">
        <f t="shared" si="17"/>
        <v>247583.21611667029</v>
      </c>
    </row>
    <row r="64" spans="1:5" x14ac:dyDescent="0.25">
      <c r="A64" s="165" t="s">
        <v>105</v>
      </c>
      <c r="B64" s="257">
        <f>SUM(B65:B69)</f>
        <v>-426399.52254117257</v>
      </c>
      <c r="C64" s="253"/>
      <c r="D64" s="199"/>
      <c r="E64" s="201"/>
    </row>
    <row r="65" spans="1:35" x14ac:dyDescent="0.25">
      <c r="A65" s="202" t="s">
        <v>0</v>
      </c>
      <c r="B65" s="258">
        <f>+'PIR (M1 Final)'!AI48+'PIR (M1 Final)'!AI55</f>
        <v>-462683.00379415316</v>
      </c>
      <c r="C65" s="98"/>
      <c r="D65" s="99"/>
      <c r="E65" s="102"/>
    </row>
    <row r="66" spans="1:35" x14ac:dyDescent="0.25">
      <c r="A66" s="202" t="s">
        <v>4</v>
      </c>
      <c r="B66" s="258">
        <f>+'PIR (M1 Final)'!AI49+'PIR (M1 Final)'!AI56</f>
        <v>-10108.99213094723</v>
      </c>
      <c r="C66" s="254"/>
      <c r="D66" s="255"/>
      <c r="E66" s="2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1:35" x14ac:dyDescent="0.25">
      <c r="A67" s="202" t="s">
        <v>5</v>
      </c>
      <c r="B67" s="258">
        <f>+'PIR (M1 Final)'!AI50+'PIR (M1 Final)'!AI57</f>
        <v>3604.9193919342115</v>
      </c>
      <c r="C67" s="98"/>
      <c r="D67" s="99"/>
      <c r="E67" s="102"/>
    </row>
    <row r="68" spans="1:35" x14ac:dyDescent="0.25">
      <c r="A68" s="202" t="s">
        <v>6</v>
      </c>
      <c r="B68" s="258">
        <f>+'PIR (M1 Final)'!AI51+'PIR (M1 Final)'!AI58</f>
        <v>-6178.5070069833</v>
      </c>
      <c r="C68" s="98"/>
      <c r="D68" s="99"/>
      <c r="E68" s="102"/>
    </row>
    <row r="69" spans="1:35" ht="15.75" thickBot="1" x14ac:dyDescent="0.3">
      <c r="A69" s="202" t="s">
        <v>7</v>
      </c>
      <c r="B69" s="259">
        <f>+'PIR (M1 Final)'!AI52+'PIR (M1 Final)'!AI59</f>
        <v>48966.060998976864</v>
      </c>
      <c r="C69" s="133"/>
      <c r="D69" s="134"/>
      <c r="E69" s="135"/>
    </row>
  </sheetData>
  <mergeCells count="1">
    <mergeCell ref="C13:E13"/>
  </mergeCells>
  <pageMargins left="0.7" right="0.7" top="0.75" bottom="0.75" header="0.3" footer="0.3"/>
  <pageSetup scale="7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O66"/>
  <sheetViews>
    <sheetView zoomScaleNormal="100" workbookViewId="0">
      <pane xSplit="1" ySplit="14" topLeftCell="T15" activePane="bottomRight" state="frozen"/>
      <selection activeCell="AC68" sqref="AC68"/>
      <selection pane="topRight" activeCell="AC68" sqref="AC68"/>
      <selection pane="bottomLeft" activeCell="AC68" sqref="AC68"/>
      <selection pane="bottomRight" activeCell="C15" sqref="C15:Y15"/>
    </sheetView>
  </sheetViews>
  <sheetFormatPr defaultColWidth="9.140625" defaultRowHeight="15" x14ac:dyDescent="0.25"/>
  <cols>
    <col min="1" max="1" width="23.42578125" style="165" customWidth="1"/>
    <col min="2" max="2" width="18" style="165" customWidth="1"/>
    <col min="3" max="3" width="16.42578125" style="165" customWidth="1"/>
    <col min="4" max="4" width="15.140625" style="165" customWidth="1"/>
    <col min="5" max="5" width="16.140625" style="165" customWidth="1"/>
    <col min="6" max="6" width="15" style="165" bestFit="1" customWidth="1"/>
    <col min="7" max="7" width="16" style="165" customWidth="1"/>
    <col min="8" max="8" width="15" style="165" bestFit="1" customWidth="1"/>
    <col min="9" max="11" width="16" style="165" bestFit="1" customWidth="1"/>
    <col min="12" max="35" width="16" style="165" customWidth="1"/>
    <col min="36" max="36" width="10.85546875" style="165" bestFit="1" customWidth="1"/>
    <col min="37" max="37" width="9.140625" style="165"/>
    <col min="38" max="38" width="12.7109375" style="165" bestFit="1" customWidth="1"/>
    <col min="39" max="16384" width="9.140625" style="165"/>
  </cols>
  <sheetData>
    <row r="2" spans="1:41" x14ac:dyDescent="0.25">
      <c r="B2" s="184" t="s">
        <v>115</v>
      </c>
      <c r="I2" s="3" t="s">
        <v>26</v>
      </c>
    </row>
    <row r="3" spans="1:41" x14ac:dyDescent="0.25">
      <c r="B3" s="197" t="s">
        <v>64</v>
      </c>
      <c r="C3" s="197" t="s">
        <v>107</v>
      </c>
      <c r="D3" s="197" t="s">
        <v>91</v>
      </c>
      <c r="E3" s="197" t="s">
        <v>65</v>
      </c>
      <c r="F3" s="197" t="s">
        <v>118</v>
      </c>
      <c r="H3" s="57" t="s">
        <v>111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41" x14ac:dyDescent="0.25">
      <c r="A4" s="165" t="s">
        <v>0</v>
      </c>
      <c r="B4" s="24">
        <f>SUM(B29:AI29)</f>
        <v>17470010.88167575</v>
      </c>
      <c r="C4" s="24">
        <f>SUM(B15:AI15)</f>
        <v>17047027.258327302</v>
      </c>
      <c r="D4" s="24">
        <f>C4-B4</f>
        <v>-422983.62334844843</v>
      </c>
      <c r="E4" s="24">
        <f>SUM(B55:AI55)</f>
        <v>-39699.380445704985</v>
      </c>
      <c r="F4" s="42">
        <f>D4+E4</f>
        <v>-462683.0037941534</v>
      </c>
      <c r="H4" s="57" t="s">
        <v>112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41" x14ac:dyDescent="0.25">
      <c r="A5" s="165" t="s">
        <v>4</v>
      </c>
      <c r="B5" s="24">
        <f>SUM(B30:AI30)</f>
        <v>1768161.6362735385</v>
      </c>
      <c r="C5" s="24">
        <f>SUM(B16:AI16)</f>
        <v>1758419.5307364757</v>
      </c>
      <c r="D5" s="24">
        <f>C5-B5</f>
        <v>-9742.1055370627437</v>
      </c>
      <c r="E5" s="24">
        <f>SUM(B56:AI56)</f>
        <v>-366.886593886242</v>
      </c>
      <c r="F5" s="42">
        <f>D5+E5</f>
        <v>-10108.992130948986</v>
      </c>
      <c r="H5" s="57" t="s">
        <v>113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6" spans="1:41" x14ac:dyDescent="0.25">
      <c r="A6" s="165" t="s">
        <v>5</v>
      </c>
      <c r="B6" s="24">
        <f>SUM(B31:AI31)</f>
        <v>7429870.6609672494</v>
      </c>
      <c r="C6" s="24">
        <f>SUM(B17:AI17)</f>
        <v>7432647.2601718353</v>
      </c>
      <c r="D6" s="24">
        <f>C6-B6</f>
        <v>2776.5992045858875</v>
      </c>
      <c r="E6" s="24">
        <f>SUM(B57:AI57)</f>
        <v>828.32018734950043</v>
      </c>
      <c r="F6" s="42">
        <f>D6+E6</f>
        <v>3604.9193919353879</v>
      </c>
      <c r="H6" s="57" t="s">
        <v>114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41" x14ac:dyDescent="0.25">
      <c r="A7" s="165" t="s">
        <v>6</v>
      </c>
      <c r="B7" s="24">
        <f>SUM(B32:AI32)</f>
        <v>3313755.865133917</v>
      </c>
      <c r="C7" s="24">
        <f>SUM(B18:AI18)</f>
        <v>3309966.1755039608</v>
      </c>
      <c r="D7" s="24">
        <f>C7-B7</f>
        <v>-3789.6896299561486</v>
      </c>
      <c r="E7" s="24">
        <f>SUM(B58:AI58)</f>
        <v>-2388.8173770259582</v>
      </c>
      <c r="F7" s="42">
        <f>D7+E7</f>
        <v>-6178.5070069821068</v>
      </c>
      <c r="H7" s="57" t="s">
        <v>117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</row>
    <row r="8" spans="1:41" ht="15.75" thickBot="1" x14ac:dyDescent="0.3">
      <c r="A8" s="165" t="s">
        <v>7</v>
      </c>
      <c r="B8" s="24">
        <f>SUM(B33:AI33)</f>
        <v>2229604.1159495376</v>
      </c>
      <c r="C8" s="24">
        <f>SUM(B19:AI19)</f>
        <v>2275601.745658969</v>
      </c>
      <c r="D8" s="24">
        <f>C8-B8</f>
        <v>45997.629709431436</v>
      </c>
      <c r="E8" s="24">
        <f>SUM(B59:AI59)</f>
        <v>2968.4312895428534</v>
      </c>
      <c r="F8" s="42">
        <f>D8+E8</f>
        <v>48966.060998974288</v>
      </c>
      <c r="H8" s="57" t="s">
        <v>82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</row>
    <row r="9" spans="1:41" ht="16.5" thickTop="1" thickBot="1" x14ac:dyDescent="0.3">
      <c r="B9" s="87">
        <f t="shared" ref="B9:F9" si="0">SUM(B4:B8)</f>
        <v>32211403.159999993</v>
      </c>
      <c r="C9" s="87">
        <f t="shared" si="0"/>
        <v>31823661.970398542</v>
      </c>
      <c r="D9" s="87">
        <f>SUM(D4:D8)</f>
        <v>-387741.18960144999</v>
      </c>
      <c r="E9" s="87">
        <f>SUM(E4:E8)</f>
        <v>-38658.332939724838</v>
      </c>
      <c r="F9" s="87">
        <f t="shared" si="0"/>
        <v>-426399.52254117478</v>
      </c>
      <c r="H9" s="57" t="s">
        <v>96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41" ht="16.5" thickTop="1" thickBot="1" x14ac:dyDescent="0.3">
      <c r="D10" s="39" t="s">
        <v>25</v>
      </c>
      <c r="E10" s="21">
        <f>E9-SUM(B38:AI38)</f>
        <v>1.706027516775066E-2</v>
      </c>
      <c r="H10" s="57" t="s">
        <v>116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1:41" ht="15.75" thickTop="1" x14ac:dyDescent="0.25">
      <c r="E11" s="4"/>
      <c r="G11" s="3"/>
    </row>
    <row r="12" spans="1:41" ht="15.75" thickBot="1" x14ac:dyDescent="0.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spans="1:41" ht="15.75" thickBot="1" x14ac:dyDescent="0.3">
      <c r="B13" s="167"/>
      <c r="C13" s="120"/>
      <c r="D13" s="138" t="s">
        <v>119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</row>
    <row r="14" spans="1:41" x14ac:dyDescent="0.25">
      <c r="A14" s="165" t="s">
        <v>106</v>
      </c>
      <c r="B14" s="91">
        <v>42736</v>
      </c>
      <c r="C14" s="92">
        <f t="shared" ref="C14:K14" si="1">EDATE(B14,1)</f>
        <v>42767</v>
      </c>
      <c r="D14" s="92">
        <f t="shared" si="1"/>
        <v>42795</v>
      </c>
      <c r="E14" s="92">
        <f t="shared" si="1"/>
        <v>42826</v>
      </c>
      <c r="F14" s="92">
        <f t="shared" si="1"/>
        <v>42856</v>
      </c>
      <c r="G14" s="92">
        <f t="shared" si="1"/>
        <v>42887</v>
      </c>
      <c r="H14" s="92">
        <f t="shared" si="1"/>
        <v>42917</v>
      </c>
      <c r="I14" s="92">
        <f t="shared" si="1"/>
        <v>42948</v>
      </c>
      <c r="J14" s="92">
        <f t="shared" si="1"/>
        <v>42979</v>
      </c>
      <c r="K14" s="92">
        <f t="shared" si="1"/>
        <v>43009</v>
      </c>
      <c r="L14" s="92">
        <f t="shared" ref="L14" si="2">EDATE(K14,1)</f>
        <v>43040</v>
      </c>
      <c r="M14" s="92">
        <f t="shared" ref="M14" si="3">EDATE(L14,1)</f>
        <v>43070</v>
      </c>
      <c r="N14" s="92">
        <f t="shared" ref="N14" si="4">EDATE(M14,1)</f>
        <v>43101</v>
      </c>
      <c r="O14" s="92">
        <f t="shared" ref="O14" si="5">EDATE(N14,1)</f>
        <v>43132</v>
      </c>
      <c r="P14" s="92">
        <f t="shared" ref="P14" si="6">EDATE(O14,1)</f>
        <v>43160</v>
      </c>
      <c r="Q14" s="92">
        <f t="shared" ref="Q14" si="7">EDATE(P14,1)</f>
        <v>43191</v>
      </c>
      <c r="R14" s="92">
        <f t="shared" ref="R14" si="8">EDATE(Q14,1)</f>
        <v>43221</v>
      </c>
      <c r="S14" s="92">
        <f t="shared" ref="S14" si="9">EDATE(R14,1)</f>
        <v>43252</v>
      </c>
      <c r="T14" s="92">
        <f t="shared" ref="T14" si="10">EDATE(S14,1)</f>
        <v>43282</v>
      </c>
      <c r="U14" s="92">
        <f t="shared" ref="U14" si="11">EDATE(T14,1)</f>
        <v>43313</v>
      </c>
      <c r="V14" s="92">
        <f t="shared" ref="V14" si="12">EDATE(U14,1)</f>
        <v>43344</v>
      </c>
      <c r="W14" s="92">
        <f t="shared" ref="W14" si="13">EDATE(V14,1)</f>
        <v>43374</v>
      </c>
      <c r="X14" s="92">
        <f t="shared" ref="X14" si="14">EDATE(W14,1)</f>
        <v>43405</v>
      </c>
      <c r="Y14" s="92">
        <f t="shared" ref="Y14" si="15">EDATE(X14,1)</f>
        <v>43435</v>
      </c>
      <c r="Z14" s="92">
        <f t="shared" ref="Z14" si="16">EDATE(Y14,1)</f>
        <v>43466</v>
      </c>
      <c r="AA14" s="92">
        <f t="shared" ref="AA14" si="17">EDATE(Z14,1)</f>
        <v>43497</v>
      </c>
      <c r="AB14" s="92">
        <f t="shared" ref="AB14" si="18">EDATE(AA14,1)</f>
        <v>43525</v>
      </c>
      <c r="AC14" s="92">
        <f t="shared" ref="AC14" si="19">EDATE(AB14,1)</f>
        <v>43556</v>
      </c>
      <c r="AD14" s="92">
        <f t="shared" ref="AD14" si="20">EDATE(AC14,1)</f>
        <v>43586</v>
      </c>
      <c r="AE14" s="92">
        <f t="shared" ref="AE14" si="21">EDATE(AD14,1)</f>
        <v>43617</v>
      </c>
      <c r="AF14" s="92">
        <f t="shared" ref="AF14" si="22">EDATE(AE14,1)</f>
        <v>43647</v>
      </c>
      <c r="AG14" s="92">
        <f t="shared" ref="AG14" si="23">EDATE(AF14,1)</f>
        <v>43678</v>
      </c>
      <c r="AH14" s="92">
        <f t="shared" ref="AH14:AI14" si="24">EDATE(AG14,1)</f>
        <v>43709</v>
      </c>
      <c r="AI14" s="93">
        <f t="shared" si="24"/>
        <v>43739</v>
      </c>
      <c r="AJ14" s="1"/>
      <c r="AK14" s="1"/>
      <c r="AL14" s="1"/>
      <c r="AM14" s="1"/>
      <c r="AN14" s="1"/>
      <c r="AO14" s="1"/>
    </row>
    <row r="15" spans="1:41" x14ac:dyDescent="0.25">
      <c r="A15" s="49" t="s">
        <v>0</v>
      </c>
      <c r="B15" s="94">
        <v>0</v>
      </c>
      <c r="C15" s="95">
        <v>657864.60374013626</v>
      </c>
      <c r="D15" s="95">
        <v>657864.60374013626</v>
      </c>
      <c r="E15" s="95">
        <v>657864.60374013626</v>
      </c>
      <c r="F15" s="95">
        <v>657864.60374013626</v>
      </c>
      <c r="G15" s="95">
        <v>657864.60374013626</v>
      </c>
      <c r="H15" s="95">
        <v>657864.60374013626</v>
      </c>
      <c r="I15" s="95">
        <v>657864.60374013626</v>
      </c>
      <c r="J15" s="95">
        <v>657864.60374013626</v>
      </c>
      <c r="K15" s="104">
        <v>657864.60374013626</v>
      </c>
      <c r="L15" s="104">
        <v>657864.60374013626</v>
      </c>
      <c r="M15" s="104">
        <v>657864.60374013626</v>
      </c>
      <c r="N15" s="104">
        <v>657864.60374013626</v>
      </c>
      <c r="O15" s="104">
        <v>657864.60374013602</v>
      </c>
      <c r="P15" s="104">
        <v>657864.60374013602</v>
      </c>
      <c r="Q15" s="104">
        <v>657864.60374013602</v>
      </c>
      <c r="R15" s="104">
        <v>657864.60374013602</v>
      </c>
      <c r="S15" s="104">
        <v>657864.60374013602</v>
      </c>
      <c r="T15" s="104">
        <v>657864.60374013602</v>
      </c>
      <c r="U15" s="104">
        <v>657864.60374013602</v>
      </c>
      <c r="V15" s="104">
        <v>657864.60374013602</v>
      </c>
      <c r="W15" s="104">
        <v>657864.60374013602</v>
      </c>
      <c r="X15" s="104">
        <v>657864.60374013602</v>
      </c>
      <c r="Y15" s="104">
        <v>657864.60374013602</v>
      </c>
      <c r="Z15" s="104">
        <v>0</v>
      </c>
      <c r="AA15" s="104">
        <v>212904.59692268647</v>
      </c>
      <c r="AB15" s="104">
        <v>212904.59692268647</v>
      </c>
      <c r="AC15" s="104">
        <v>212904.59692268647</v>
      </c>
      <c r="AD15" s="104">
        <v>212904.59692268647</v>
      </c>
      <c r="AE15" s="104">
        <v>212904.59692268647</v>
      </c>
      <c r="AF15" s="104">
        <v>212904.59692268647</v>
      </c>
      <c r="AG15" s="104">
        <v>212904.59692268647</v>
      </c>
      <c r="AH15" s="104">
        <v>212904.59692268647</v>
      </c>
      <c r="AI15" s="260">
        <v>212904.59692268647</v>
      </c>
    </row>
    <row r="16" spans="1:41" x14ac:dyDescent="0.25">
      <c r="A16" s="49" t="s">
        <v>4</v>
      </c>
      <c r="B16" s="94">
        <v>0</v>
      </c>
      <c r="C16" s="95">
        <v>67859.454335757124</v>
      </c>
      <c r="D16" s="95">
        <v>67859.454335757124</v>
      </c>
      <c r="E16" s="95">
        <v>67859.454335757124</v>
      </c>
      <c r="F16" s="95">
        <v>67859.454335757124</v>
      </c>
      <c r="G16" s="95">
        <v>67859.454335757124</v>
      </c>
      <c r="H16" s="95">
        <v>67859.454335757124</v>
      </c>
      <c r="I16" s="95">
        <v>67859.454335757124</v>
      </c>
      <c r="J16" s="95">
        <v>67859.454335757124</v>
      </c>
      <c r="K16" s="104">
        <v>67859.454335757124</v>
      </c>
      <c r="L16" s="104">
        <v>67859.454335757124</v>
      </c>
      <c r="M16" s="104">
        <v>67859.454335757124</v>
      </c>
      <c r="N16" s="104">
        <v>67859.454335757124</v>
      </c>
      <c r="O16" s="104">
        <v>67859.454335757095</v>
      </c>
      <c r="P16" s="104">
        <v>67859.454335757095</v>
      </c>
      <c r="Q16" s="104">
        <v>67859.454335757095</v>
      </c>
      <c r="R16" s="104">
        <v>67859.454335757095</v>
      </c>
      <c r="S16" s="104">
        <v>67859.454335757095</v>
      </c>
      <c r="T16" s="104">
        <v>67859.454335757095</v>
      </c>
      <c r="U16" s="104">
        <v>67859.454335757095</v>
      </c>
      <c r="V16" s="104">
        <v>67859.454335757095</v>
      </c>
      <c r="W16" s="104">
        <v>67859.454335757095</v>
      </c>
      <c r="X16" s="104">
        <v>67859.454335757095</v>
      </c>
      <c r="Y16" s="104">
        <v>67859.454335757095</v>
      </c>
      <c r="Z16" s="104">
        <v>0</v>
      </c>
      <c r="AA16" s="104">
        <v>21961.342334895973</v>
      </c>
      <c r="AB16" s="104">
        <v>21961.342334895973</v>
      </c>
      <c r="AC16" s="104">
        <v>21961.342334895973</v>
      </c>
      <c r="AD16" s="104">
        <v>21961.342334895973</v>
      </c>
      <c r="AE16" s="104">
        <v>21961.342334895973</v>
      </c>
      <c r="AF16" s="104">
        <v>21961.342334895973</v>
      </c>
      <c r="AG16" s="104">
        <v>21961.342334895973</v>
      </c>
      <c r="AH16" s="104">
        <v>21961.342334895973</v>
      </c>
      <c r="AI16" s="260">
        <v>21961.342334895973</v>
      </c>
    </row>
    <row r="17" spans="1:36" x14ac:dyDescent="0.25">
      <c r="A17" s="49" t="s">
        <v>5</v>
      </c>
      <c r="B17" s="94">
        <v>0</v>
      </c>
      <c r="C17" s="95">
        <v>286834.50025954482</v>
      </c>
      <c r="D17" s="95">
        <v>286834.50025954482</v>
      </c>
      <c r="E17" s="95">
        <v>286834.50025954482</v>
      </c>
      <c r="F17" s="95">
        <v>286834.50025954482</v>
      </c>
      <c r="G17" s="95">
        <v>286834.50025954482</v>
      </c>
      <c r="H17" s="95">
        <v>286834.50025954482</v>
      </c>
      <c r="I17" s="95">
        <v>286834.50025954482</v>
      </c>
      <c r="J17" s="95">
        <v>286834.50025954482</v>
      </c>
      <c r="K17" s="104">
        <v>286834.50025954482</v>
      </c>
      <c r="L17" s="104">
        <v>286834.50025954482</v>
      </c>
      <c r="M17" s="104">
        <v>286834.50025954482</v>
      </c>
      <c r="N17" s="104">
        <v>286834.50025954482</v>
      </c>
      <c r="O17" s="104">
        <v>286834.50025954499</v>
      </c>
      <c r="P17" s="104">
        <v>286834.50025954499</v>
      </c>
      <c r="Q17" s="104">
        <v>286834.50025954499</v>
      </c>
      <c r="R17" s="104">
        <v>286834.50025954499</v>
      </c>
      <c r="S17" s="104">
        <v>286834.50025954499</v>
      </c>
      <c r="T17" s="104">
        <v>286834.50025954499</v>
      </c>
      <c r="U17" s="104">
        <v>286834.50025954499</v>
      </c>
      <c r="V17" s="104">
        <v>286834.50025954499</v>
      </c>
      <c r="W17" s="104">
        <v>286834.50025954499</v>
      </c>
      <c r="X17" s="104">
        <v>286834.50025954499</v>
      </c>
      <c r="Y17" s="104">
        <v>286834.50025954499</v>
      </c>
      <c r="Z17" s="104">
        <v>0</v>
      </c>
      <c r="AA17" s="104">
        <v>92828.194911367013</v>
      </c>
      <c r="AB17" s="104">
        <v>92828.194911367013</v>
      </c>
      <c r="AC17" s="104">
        <v>92828.194911367013</v>
      </c>
      <c r="AD17" s="104">
        <v>92828.194911367013</v>
      </c>
      <c r="AE17" s="104">
        <v>92828.194911367013</v>
      </c>
      <c r="AF17" s="104">
        <v>92828.194911367013</v>
      </c>
      <c r="AG17" s="104">
        <v>92828.194911367013</v>
      </c>
      <c r="AH17" s="104">
        <v>92828.194911367013</v>
      </c>
      <c r="AI17" s="260">
        <v>92828.194911367013</v>
      </c>
    </row>
    <row r="18" spans="1:36" x14ac:dyDescent="0.25">
      <c r="A18" s="49" t="s">
        <v>6</v>
      </c>
      <c r="B18" s="94">
        <v>0</v>
      </c>
      <c r="C18" s="95">
        <v>127735.44345554283</v>
      </c>
      <c r="D18" s="95">
        <v>127735.44345554283</v>
      </c>
      <c r="E18" s="95">
        <v>127735.44345554283</v>
      </c>
      <c r="F18" s="95">
        <v>127735.44345554283</v>
      </c>
      <c r="G18" s="95">
        <v>127735.44345554283</v>
      </c>
      <c r="H18" s="95">
        <v>127735.44345554283</v>
      </c>
      <c r="I18" s="95">
        <v>127735.44345554283</v>
      </c>
      <c r="J18" s="95">
        <v>127735.44345554283</v>
      </c>
      <c r="K18" s="104">
        <v>127735.44345554283</v>
      </c>
      <c r="L18" s="104">
        <v>127735.44345554283</v>
      </c>
      <c r="M18" s="104">
        <v>127735.44345554283</v>
      </c>
      <c r="N18" s="104">
        <v>127735.44345554283</v>
      </c>
      <c r="O18" s="104">
        <v>127735.44345554301</v>
      </c>
      <c r="P18" s="104">
        <v>127735.44345554301</v>
      </c>
      <c r="Q18" s="104">
        <v>127735.44345554301</v>
      </c>
      <c r="R18" s="104">
        <v>127735.44345554301</v>
      </c>
      <c r="S18" s="104">
        <v>127735.44345554301</v>
      </c>
      <c r="T18" s="104">
        <v>127735.44345554301</v>
      </c>
      <c r="U18" s="104">
        <v>127735.44345554301</v>
      </c>
      <c r="V18" s="104">
        <v>127735.44345554301</v>
      </c>
      <c r="W18" s="104">
        <v>127735.44345554301</v>
      </c>
      <c r="X18" s="104">
        <v>127735.44345554301</v>
      </c>
      <c r="Y18" s="104">
        <v>127735.44345554301</v>
      </c>
      <c r="Z18" s="104">
        <v>0</v>
      </c>
      <c r="AA18" s="104">
        <v>41338.99733627477</v>
      </c>
      <c r="AB18" s="104">
        <v>41338.99733627477</v>
      </c>
      <c r="AC18" s="104">
        <v>41338.99733627477</v>
      </c>
      <c r="AD18" s="104">
        <v>41338.99733627477</v>
      </c>
      <c r="AE18" s="104">
        <v>41338.99733627477</v>
      </c>
      <c r="AF18" s="104">
        <v>41338.99733627477</v>
      </c>
      <c r="AG18" s="104">
        <v>41338.99733627477</v>
      </c>
      <c r="AH18" s="104">
        <v>41338.99733627477</v>
      </c>
      <c r="AI18" s="260">
        <v>41338.99733627477</v>
      </c>
    </row>
    <row r="19" spans="1:36" x14ac:dyDescent="0.25">
      <c r="A19" s="49" t="s">
        <v>7</v>
      </c>
      <c r="B19" s="94">
        <v>0</v>
      </c>
      <c r="C19" s="95">
        <v>87818.117375685673</v>
      </c>
      <c r="D19" s="95">
        <v>87818.117375685673</v>
      </c>
      <c r="E19" s="95">
        <v>87818.117375685673</v>
      </c>
      <c r="F19" s="95">
        <v>87818.117375685673</v>
      </c>
      <c r="G19" s="95">
        <v>87818.117375685673</v>
      </c>
      <c r="H19" s="95">
        <v>87818.117375685673</v>
      </c>
      <c r="I19" s="95">
        <v>87818.117375685673</v>
      </c>
      <c r="J19" s="95">
        <v>87818.117375685673</v>
      </c>
      <c r="K19" s="104">
        <v>87818.117375685673</v>
      </c>
      <c r="L19" s="104">
        <v>87818.117375685673</v>
      </c>
      <c r="M19" s="104">
        <v>87818.117375685673</v>
      </c>
      <c r="N19" s="104">
        <v>87818.117375685673</v>
      </c>
      <c r="O19" s="104">
        <v>87818.117375685702</v>
      </c>
      <c r="P19" s="104">
        <v>87818.117375685702</v>
      </c>
      <c r="Q19" s="104">
        <v>87818.117375685702</v>
      </c>
      <c r="R19" s="104">
        <v>87818.117375685702</v>
      </c>
      <c r="S19" s="104">
        <v>87818.117375685702</v>
      </c>
      <c r="T19" s="104">
        <v>87818.117375685702</v>
      </c>
      <c r="U19" s="104">
        <v>87818.117375685702</v>
      </c>
      <c r="V19" s="104">
        <v>87818.117375685702</v>
      </c>
      <c r="W19" s="104">
        <v>87818.117375685702</v>
      </c>
      <c r="X19" s="104">
        <v>87818.117375685702</v>
      </c>
      <c r="Y19" s="104">
        <v>87818.117375685702</v>
      </c>
      <c r="Z19" s="104">
        <v>0</v>
      </c>
      <c r="AA19" s="104">
        <v>28420.560668688908</v>
      </c>
      <c r="AB19" s="104">
        <v>28420.560668688908</v>
      </c>
      <c r="AC19" s="104">
        <v>28420.560668688908</v>
      </c>
      <c r="AD19" s="104">
        <v>28420.560668688908</v>
      </c>
      <c r="AE19" s="104">
        <v>28420.560668688908</v>
      </c>
      <c r="AF19" s="104">
        <v>28420.560668688908</v>
      </c>
      <c r="AG19" s="104">
        <v>28420.560668688908</v>
      </c>
      <c r="AH19" s="104">
        <v>28420.560668688908</v>
      </c>
      <c r="AI19" s="260">
        <v>28420.560668688908</v>
      </c>
    </row>
    <row r="20" spans="1:36" x14ac:dyDescent="0.25"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2"/>
    </row>
    <row r="21" spans="1:36" x14ac:dyDescent="0.25">
      <c r="A21" s="165" t="s">
        <v>108</v>
      </c>
      <c r="B21" s="100"/>
      <c r="C21" s="99"/>
      <c r="D21" s="103" t="s">
        <v>68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2"/>
      <c r="AJ21" s="49"/>
    </row>
    <row r="22" spans="1:36" x14ac:dyDescent="0.25">
      <c r="A22" s="49" t="s">
        <v>0</v>
      </c>
      <c r="B22" s="94">
        <v>79764.7</v>
      </c>
      <c r="C22" s="95">
        <v>701548.7</v>
      </c>
      <c r="D22" s="95">
        <v>523520.3</v>
      </c>
      <c r="E22" s="95">
        <v>479086.45</v>
      </c>
      <c r="F22" s="95">
        <v>456597.99</v>
      </c>
      <c r="G22" s="95">
        <v>613779.62</v>
      </c>
      <c r="H22" s="95">
        <v>816678.49</v>
      </c>
      <c r="I22" s="95">
        <v>826747.91</v>
      </c>
      <c r="J22" s="95">
        <v>653714.42000000004</v>
      </c>
      <c r="K22" s="104">
        <v>573928.04</v>
      </c>
      <c r="L22" s="104">
        <v>501139.81</v>
      </c>
      <c r="M22" s="104">
        <v>646254.06000000006</v>
      </c>
      <c r="N22" s="104">
        <v>1012054.75</v>
      </c>
      <c r="O22" s="104">
        <v>852056.75</v>
      </c>
      <c r="P22" s="104">
        <v>686898.76</v>
      </c>
      <c r="Q22" s="104">
        <v>663187.07999999996</v>
      </c>
      <c r="R22" s="104">
        <v>540160.18999999994</v>
      </c>
      <c r="S22" s="104">
        <v>802300.61</v>
      </c>
      <c r="T22" s="104">
        <v>940753.69</v>
      </c>
      <c r="U22" s="104">
        <v>843086.91</v>
      </c>
      <c r="V22" s="104">
        <v>810883.91</v>
      </c>
      <c r="W22" s="104">
        <v>627489.93999999994</v>
      </c>
      <c r="X22" s="104">
        <v>582280.63</v>
      </c>
      <c r="Y22" s="104">
        <v>810208.07000000018</v>
      </c>
      <c r="Z22" s="104">
        <v>810739.19</v>
      </c>
      <c r="AA22" s="104">
        <v>53957.589999999989</v>
      </c>
      <c r="AB22" s="104">
        <v>47835.06</v>
      </c>
      <c r="AC22" s="104">
        <v>32688.980000000003</v>
      </c>
      <c r="AD22" s="104">
        <v>27840.650000000005</v>
      </c>
      <c r="AE22" s="104">
        <v>37083.01</v>
      </c>
      <c r="AF22" s="104">
        <v>47234.57</v>
      </c>
      <c r="AG22" s="104">
        <v>49656.44</v>
      </c>
      <c r="AH22" s="104">
        <v>45778.400000000009</v>
      </c>
      <c r="AI22" s="260">
        <v>37590.730000000003</v>
      </c>
      <c r="AJ22" s="49"/>
    </row>
    <row r="23" spans="1:36" x14ac:dyDescent="0.25">
      <c r="A23" s="49" t="s">
        <v>4</v>
      </c>
      <c r="B23" s="94">
        <v>6214.44</v>
      </c>
      <c r="C23" s="95">
        <v>66075.08</v>
      </c>
      <c r="D23" s="95">
        <v>58826.78</v>
      </c>
      <c r="E23" s="95">
        <v>55687.57</v>
      </c>
      <c r="F23" s="95">
        <v>54996.82</v>
      </c>
      <c r="G23" s="95">
        <v>65412.66</v>
      </c>
      <c r="H23" s="95">
        <v>75834.960000000006</v>
      </c>
      <c r="I23" s="95">
        <v>76572.27</v>
      </c>
      <c r="J23" s="95">
        <v>68505.55</v>
      </c>
      <c r="K23" s="104">
        <v>64830.76</v>
      </c>
      <c r="L23" s="104">
        <v>57985.36</v>
      </c>
      <c r="M23" s="104">
        <v>64005.11</v>
      </c>
      <c r="N23" s="104">
        <v>84879.19</v>
      </c>
      <c r="O23" s="104">
        <v>77122.679999999993</v>
      </c>
      <c r="P23" s="104">
        <v>67546.649999999994</v>
      </c>
      <c r="Q23" s="104">
        <v>66578.41</v>
      </c>
      <c r="R23" s="104">
        <v>60242.96</v>
      </c>
      <c r="S23" s="104">
        <v>75845.2</v>
      </c>
      <c r="T23" s="104">
        <v>83683.67</v>
      </c>
      <c r="U23" s="104">
        <v>78198.48</v>
      </c>
      <c r="V23" s="104">
        <v>76838.19</v>
      </c>
      <c r="W23" s="104">
        <v>67687.360000000001</v>
      </c>
      <c r="X23" s="104">
        <v>60995.100000000006</v>
      </c>
      <c r="Y23" s="104">
        <v>73728.02999999997</v>
      </c>
      <c r="Z23" s="104">
        <v>72606.52</v>
      </c>
      <c r="AA23" s="104">
        <v>16931.110000000004</v>
      </c>
      <c r="AB23" s="104">
        <v>15931.45</v>
      </c>
      <c r="AC23" s="104">
        <v>12853.16</v>
      </c>
      <c r="AD23" s="104">
        <v>12176.630000000003</v>
      </c>
      <c r="AE23" s="104">
        <v>14194.360000000002</v>
      </c>
      <c r="AF23" s="104">
        <v>16255.93</v>
      </c>
      <c r="AG23" s="104">
        <v>16677.009999999998</v>
      </c>
      <c r="AH23" s="104">
        <v>16093.879999999997</v>
      </c>
      <c r="AI23" s="260">
        <v>14567.95</v>
      </c>
      <c r="AJ23" s="49"/>
    </row>
    <row r="24" spans="1:36" x14ac:dyDescent="0.25">
      <c r="A24" s="49" t="s">
        <v>5</v>
      </c>
      <c r="B24" s="94">
        <v>18961.650000000001</v>
      </c>
      <c r="C24" s="95">
        <v>263599.78999999998</v>
      </c>
      <c r="D24" s="95">
        <v>251036.43</v>
      </c>
      <c r="E24" s="95">
        <v>247059.47</v>
      </c>
      <c r="F24" s="95">
        <v>253494.93</v>
      </c>
      <c r="G24" s="95">
        <v>287679.5</v>
      </c>
      <c r="H24" s="95">
        <v>313335.03000000003</v>
      </c>
      <c r="I24" s="95">
        <v>319148.59000000003</v>
      </c>
      <c r="J24" s="95">
        <v>300860.21999999997</v>
      </c>
      <c r="K24" s="104">
        <v>288890.48</v>
      </c>
      <c r="L24" s="104">
        <v>259313.6</v>
      </c>
      <c r="M24" s="104">
        <v>270067.72000000102</v>
      </c>
      <c r="N24" s="104">
        <v>314015.46000000002</v>
      </c>
      <c r="O24" s="104">
        <v>289889.45</v>
      </c>
      <c r="P24" s="104">
        <v>269198.32</v>
      </c>
      <c r="Q24" s="104">
        <v>271636.62</v>
      </c>
      <c r="R24" s="104">
        <v>269294.95</v>
      </c>
      <c r="S24" s="104">
        <v>321088.55</v>
      </c>
      <c r="T24" s="104">
        <v>340955.29</v>
      </c>
      <c r="U24" s="104">
        <v>322673.56</v>
      </c>
      <c r="V24" s="104">
        <v>328264.57</v>
      </c>
      <c r="W24" s="104">
        <v>298350.84000000003</v>
      </c>
      <c r="X24" s="104">
        <v>265324.07</v>
      </c>
      <c r="Y24" s="104">
        <v>288932.40999999997</v>
      </c>
      <c r="Z24" s="104">
        <v>277910.41000000003</v>
      </c>
      <c r="AA24" s="104">
        <v>70872.679999999993</v>
      </c>
      <c r="AB24" s="104">
        <v>64373.98</v>
      </c>
      <c r="AC24" s="104">
        <v>58048.500000000007</v>
      </c>
      <c r="AD24" s="104">
        <v>61460.33</v>
      </c>
      <c r="AE24" s="104">
        <v>67968.429999999993</v>
      </c>
      <c r="AF24" s="104">
        <v>73596.72</v>
      </c>
      <c r="AG24" s="104">
        <v>75195.09</v>
      </c>
      <c r="AH24" s="104">
        <v>75961.299999999988</v>
      </c>
      <c r="AI24" s="260">
        <v>69585.149999999994</v>
      </c>
      <c r="AJ24" s="49"/>
    </row>
    <row r="25" spans="1:36" x14ac:dyDescent="0.25">
      <c r="A25" s="49" t="s">
        <v>6</v>
      </c>
      <c r="B25" s="94">
        <v>6315.65</v>
      </c>
      <c r="C25" s="95">
        <v>117157.27</v>
      </c>
      <c r="D25" s="95">
        <v>112623.26</v>
      </c>
      <c r="E25" s="95">
        <v>121190.81</v>
      </c>
      <c r="F25" s="95">
        <v>122767.19</v>
      </c>
      <c r="G25" s="95">
        <v>141087.34</v>
      </c>
      <c r="H25" s="95">
        <v>138203.29999999999</v>
      </c>
      <c r="I25" s="95">
        <v>145798.85999999999</v>
      </c>
      <c r="J25" s="95">
        <v>140284.91</v>
      </c>
      <c r="K25" s="104">
        <v>137309.56</v>
      </c>
      <c r="L25" s="104">
        <v>123619.34</v>
      </c>
      <c r="M25" s="104">
        <v>129546.52</v>
      </c>
      <c r="N25" s="104">
        <v>142491.32999999999</v>
      </c>
      <c r="O25" s="104">
        <v>124482.94</v>
      </c>
      <c r="P25" s="104">
        <v>123384.68</v>
      </c>
      <c r="Q25" s="104">
        <v>113885.62</v>
      </c>
      <c r="R25" s="104">
        <v>131177.68</v>
      </c>
      <c r="S25" s="104">
        <v>142256.78</v>
      </c>
      <c r="T25" s="104">
        <v>147316.88</v>
      </c>
      <c r="U25" s="104">
        <v>144806.38</v>
      </c>
      <c r="V25" s="104">
        <v>140926.48000000001</v>
      </c>
      <c r="W25" s="104">
        <v>132151.20000000001</v>
      </c>
      <c r="X25" s="104">
        <v>122985.66999999998</v>
      </c>
      <c r="Y25" s="104">
        <v>132246.05000000002</v>
      </c>
      <c r="Z25" s="104">
        <v>107728.84000000004</v>
      </c>
      <c r="AA25" s="104">
        <v>32879.900000000009</v>
      </c>
      <c r="AB25" s="104">
        <v>22098.469999999998</v>
      </c>
      <c r="AC25" s="104">
        <v>21308.41</v>
      </c>
      <c r="AD25" s="104">
        <v>21547.26</v>
      </c>
      <c r="AE25" s="104">
        <v>25036.749999999996</v>
      </c>
      <c r="AF25" s="104">
        <v>25161.379999999997</v>
      </c>
      <c r="AG25" s="104">
        <v>26414.239999999998</v>
      </c>
      <c r="AH25" s="104">
        <v>26254.51</v>
      </c>
      <c r="AI25" s="260">
        <v>24327.83</v>
      </c>
      <c r="AJ25" s="49"/>
    </row>
    <row r="26" spans="1:36" x14ac:dyDescent="0.25">
      <c r="A26" s="49" t="s">
        <v>7</v>
      </c>
      <c r="B26" s="94"/>
      <c r="C26" s="95">
        <v>44182.76</v>
      </c>
      <c r="D26" s="95">
        <v>70918.23</v>
      </c>
      <c r="E26" s="95">
        <v>78593.759999999995</v>
      </c>
      <c r="F26" s="95">
        <v>79936.929999999993</v>
      </c>
      <c r="G26" s="95">
        <v>95446.99</v>
      </c>
      <c r="H26" s="95">
        <v>90277.27</v>
      </c>
      <c r="I26" s="95">
        <v>100053.77</v>
      </c>
      <c r="J26" s="95">
        <v>95339.18</v>
      </c>
      <c r="K26" s="104">
        <v>90899.74</v>
      </c>
      <c r="L26" s="104">
        <v>86607.24</v>
      </c>
      <c r="M26" s="104">
        <v>79416.100000000006</v>
      </c>
      <c r="N26" s="104">
        <v>83769.56</v>
      </c>
      <c r="O26" s="104">
        <v>80223.22</v>
      </c>
      <c r="P26" s="104">
        <v>83234.89</v>
      </c>
      <c r="Q26" s="104">
        <v>79179.509999999995</v>
      </c>
      <c r="R26" s="104">
        <v>90539.02</v>
      </c>
      <c r="S26" s="104">
        <v>100193.46</v>
      </c>
      <c r="T26" s="104">
        <v>85805.92</v>
      </c>
      <c r="U26" s="104">
        <v>103184.87</v>
      </c>
      <c r="V26" s="104">
        <v>96909.72</v>
      </c>
      <c r="W26" s="104">
        <v>95685.6</v>
      </c>
      <c r="X26" s="104">
        <v>89920.450000000026</v>
      </c>
      <c r="Y26" s="104">
        <v>87566.209999999992</v>
      </c>
      <c r="Z26" s="104">
        <v>73923.760000000009</v>
      </c>
      <c r="AA26" s="104">
        <v>36933.710000000006</v>
      </c>
      <c r="AB26" s="104">
        <v>18372.349999999995</v>
      </c>
      <c r="AC26" s="104">
        <v>18292.170000000002</v>
      </c>
      <c r="AD26" s="104">
        <v>17848.87</v>
      </c>
      <c r="AE26" s="104">
        <v>22482.31</v>
      </c>
      <c r="AF26" s="104">
        <v>20927.909999999996</v>
      </c>
      <c r="AG26" s="104">
        <v>23173.629999999997</v>
      </c>
      <c r="AH26" s="104">
        <v>23484.82</v>
      </c>
      <c r="AI26" s="260">
        <v>22154.17</v>
      </c>
      <c r="AJ26" s="49"/>
    </row>
    <row r="27" spans="1:36" x14ac:dyDescent="0.25">
      <c r="A27" s="49"/>
      <c r="B27" s="100"/>
      <c r="C27" s="108"/>
      <c r="D27" s="99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261"/>
    </row>
    <row r="28" spans="1:36" x14ac:dyDescent="0.25">
      <c r="A28" s="49" t="s">
        <v>102</v>
      </c>
      <c r="B28" s="211"/>
      <c r="C28" s="205"/>
      <c r="D28" s="10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102"/>
    </row>
    <row r="29" spans="1:36" x14ac:dyDescent="0.25">
      <c r="A29" s="165" t="s">
        <v>0</v>
      </c>
      <c r="B29" s="110">
        <f>+(B22-B36)+(B36*B22/SUM(B22:B26))</f>
        <v>79764.7</v>
      </c>
      <c r="C29" s="114">
        <f t="shared" ref="C29:G29" si="25">+(C22-C36)+(C36*C22/SUM(C22:C26))</f>
        <v>701548.7</v>
      </c>
      <c r="D29" s="114">
        <f t="shared" si="25"/>
        <v>523520.3</v>
      </c>
      <c r="E29" s="114">
        <f t="shared" si="25"/>
        <v>487431.71542392252</v>
      </c>
      <c r="F29" s="114">
        <f t="shared" si="25"/>
        <v>463877.2952890938</v>
      </c>
      <c r="G29" s="114">
        <f t="shared" si="25"/>
        <v>621956.97862574947</v>
      </c>
      <c r="H29" s="114">
        <f t="shared" ref="H29:K29" si="26">+(H22-H36)+(H36*H22/SUM(H22:H26))</f>
        <v>826028.70673931681</v>
      </c>
      <c r="I29" s="114">
        <f t="shared" si="26"/>
        <v>836498.48769383179</v>
      </c>
      <c r="J29" s="114">
        <f t="shared" si="26"/>
        <v>662568.38549295813</v>
      </c>
      <c r="K29" s="111">
        <f t="shared" si="26"/>
        <v>582266.60447345697</v>
      </c>
      <c r="L29" s="111">
        <f t="shared" ref="L29:W29" si="27">+(L22-L36)+(L36*L22/SUM(L22:L26))</f>
        <v>509967.68086724816</v>
      </c>
      <c r="M29" s="111">
        <f t="shared" si="27"/>
        <v>656875.18373738672</v>
      </c>
      <c r="N29" s="111">
        <f t="shared" si="27"/>
        <v>1026464.1356985964</v>
      </c>
      <c r="O29" s="111">
        <f t="shared" si="27"/>
        <v>865379.16812206933</v>
      </c>
      <c r="P29" s="111">
        <f t="shared" si="27"/>
        <v>698764.14535059885</v>
      </c>
      <c r="Q29" s="111">
        <f t="shared" si="27"/>
        <v>674908.36247204023</v>
      </c>
      <c r="R29" s="111">
        <f t="shared" si="27"/>
        <v>549262.43481397268</v>
      </c>
      <c r="S29" s="111">
        <f t="shared" si="27"/>
        <v>812275.00035043946</v>
      </c>
      <c r="T29" s="111">
        <f t="shared" si="27"/>
        <v>951561.24289078149</v>
      </c>
      <c r="U29" s="111">
        <f t="shared" si="27"/>
        <v>853157.84360081539</v>
      </c>
      <c r="V29" s="111">
        <f t="shared" si="27"/>
        <v>820629.28375338227</v>
      </c>
      <c r="W29" s="111">
        <f t="shared" si="27"/>
        <v>636848.09158571681</v>
      </c>
      <c r="X29" s="111">
        <f t="shared" ref="X29:AI29" si="28">+(X22-X36)+(X36*X22/SUM(X22:X26))</f>
        <v>592698.6672455786</v>
      </c>
      <c r="Y29" s="111">
        <f t="shared" si="28"/>
        <v>823372.86670296534</v>
      </c>
      <c r="Z29" s="111">
        <f t="shared" si="28"/>
        <v>823138.86560040689</v>
      </c>
      <c r="AA29" s="111">
        <f t="shared" si="28"/>
        <v>55576.354111996399</v>
      </c>
      <c r="AB29" s="111">
        <f t="shared" si="28"/>
        <v>49227.919314419647</v>
      </c>
      <c r="AC29" s="111">
        <f t="shared" si="28"/>
        <v>33669.4774147996</v>
      </c>
      <c r="AD29" s="111">
        <f t="shared" si="28"/>
        <v>28615.131175779112</v>
      </c>
      <c r="AE29" s="111">
        <f t="shared" si="28"/>
        <v>37946.283666529627</v>
      </c>
      <c r="AF29" s="111">
        <f t="shared" si="28"/>
        <v>48244.906956941697</v>
      </c>
      <c r="AG29" s="111">
        <f t="shared" si="28"/>
        <v>50731.354638846555</v>
      </c>
      <c r="AH29" s="111">
        <f t="shared" si="28"/>
        <v>46775.76153111663</v>
      </c>
      <c r="AI29" s="115">
        <f t="shared" si="28"/>
        <v>38458.846335000402</v>
      </c>
    </row>
    <row r="30" spans="1:36" x14ac:dyDescent="0.25">
      <c r="A30" s="165" t="s">
        <v>4</v>
      </c>
      <c r="B30" s="110">
        <f t="shared" ref="B30" si="29">+B23+(B36*B23/SUM(B22:B26))</f>
        <v>6214.44</v>
      </c>
      <c r="C30" s="114">
        <f t="shared" ref="C30" si="30">+C23+(C36*C23/SUM(C22:C26))</f>
        <v>66075.08</v>
      </c>
      <c r="D30" s="114">
        <f t="shared" ref="D30" si="31">+D23+(D36*D23/SUM(D22:D26))</f>
        <v>58826.78</v>
      </c>
      <c r="E30" s="114">
        <f t="shared" ref="E30" si="32">+E23+(E36*E23/SUM(E22:E26))</f>
        <v>54762.797223092959</v>
      </c>
      <c r="F30" s="114">
        <f t="shared" ref="F30:K30" si="33">+F23+(F36*F23/SUM(F22:F26))</f>
        <v>54213.678612904405</v>
      </c>
      <c r="G30" s="114">
        <f t="shared" si="33"/>
        <v>64505.470807254918</v>
      </c>
      <c r="H30" s="114">
        <f t="shared" si="33"/>
        <v>74686.943049416455</v>
      </c>
      <c r="I30" s="114">
        <f t="shared" si="33"/>
        <v>75408.531348909441</v>
      </c>
      <c r="J30" s="114">
        <f t="shared" si="33"/>
        <v>67502.978195282296</v>
      </c>
      <c r="K30" s="111">
        <f t="shared" si="33"/>
        <v>63901.790930730647</v>
      </c>
      <c r="L30" s="111">
        <f t="shared" ref="L30:W30" si="34">+L23+(L36*L23/SUM(L22:L26))</f>
        <v>57015.00457366198</v>
      </c>
      <c r="M30" s="111">
        <f t="shared" si="34"/>
        <v>62753.24662140281</v>
      </c>
      <c r="N30" s="111">
        <f t="shared" si="34"/>
        <v>82922.785700208551</v>
      </c>
      <c r="O30" s="111">
        <f t="shared" si="34"/>
        <v>75325.535134030157</v>
      </c>
      <c r="P30" s="111">
        <f t="shared" si="34"/>
        <v>66071.642022129323</v>
      </c>
      <c r="Q30" s="111">
        <f t="shared" si="34"/>
        <v>65109.534613896154</v>
      </c>
      <c r="R30" s="111">
        <f t="shared" si="34"/>
        <v>59248.236037077746</v>
      </c>
      <c r="S30" s="111">
        <f t="shared" si="34"/>
        <v>74662.014867373902</v>
      </c>
      <c r="T30" s="111">
        <f t="shared" si="34"/>
        <v>82308.680232246232</v>
      </c>
      <c r="U30" s="111">
        <f t="shared" si="34"/>
        <v>76984.770252659102</v>
      </c>
      <c r="V30" s="111">
        <f t="shared" si="34"/>
        <v>75673.511971959218</v>
      </c>
      <c r="W30" s="111">
        <f t="shared" si="34"/>
        <v>66620.757473682184</v>
      </c>
      <c r="X30" s="111">
        <f t="shared" ref="X30:AI30" si="35">+X23+(X36*X23/SUM(X22:X26))</f>
        <v>59816.651519592517</v>
      </c>
      <c r="Y30" s="111">
        <f t="shared" si="35"/>
        <v>72061.660870150416</v>
      </c>
      <c r="Z30" s="111">
        <f t="shared" si="35"/>
        <v>70914.770954400839</v>
      </c>
      <c r="AA30" s="111">
        <f t="shared" si="35"/>
        <v>16757.223911000543</v>
      </c>
      <c r="AB30" s="111">
        <f t="shared" si="35"/>
        <v>15747.719601641789</v>
      </c>
      <c r="AC30" s="111">
        <f t="shared" si="35"/>
        <v>12739.112627277007</v>
      </c>
      <c r="AD30" s="111">
        <f t="shared" si="35"/>
        <v>12093.198053483924</v>
      </c>
      <c r="AE30" s="111">
        <f t="shared" si="35"/>
        <v>14099.870160433082</v>
      </c>
      <c r="AF30" s="111">
        <f t="shared" si="35"/>
        <v>16135.113960090188</v>
      </c>
      <c r="AG30" s="111">
        <f t="shared" si="35"/>
        <v>16550.286078164088</v>
      </c>
      <c r="AH30" s="111">
        <f t="shared" si="35"/>
        <v>15980.678037537507</v>
      </c>
      <c r="AI30" s="115">
        <f t="shared" si="35"/>
        <v>14471.140831847881</v>
      </c>
    </row>
    <row r="31" spans="1:36" x14ac:dyDescent="0.25">
      <c r="A31" s="165" t="s">
        <v>5</v>
      </c>
      <c r="B31" s="110">
        <f t="shared" ref="B31" si="36">+B24+(B36*B24/SUM(B22:B26))</f>
        <v>18961.650000000001</v>
      </c>
      <c r="C31" s="114">
        <f t="shared" ref="C31" si="37">+C24+(C36*C24/SUM(C22:C26))</f>
        <v>263599.78999999998</v>
      </c>
      <c r="D31" s="114">
        <f t="shared" ref="D31" si="38">+D24+(D36*D24/SUM(D22:D26))</f>
        <v>251036.43</v>
      </c>
      <c r="E31" s="114">
        <f t="shared" ref="E31" si="39">+E24+(E36*E24/SUM(E22:E26))</f>
        <v>242956.68957461815</v>
      </c>
      <c r="F31" s="114">
        <f t="shared" ref="F31:K31" si="40">+F24+(F36*F24/SUM(F22:F26))</f>
        <v>249885.223636943</v>
      </c>
      <c r="G31" s="114">
        <f t="shared" si="40"/>
        <v>283689.75652565865</v>
      </c>
      <c r="H31" s="114">
        <f t="shared" si="40"/>
        <v>308591.65140981413</v>
      </c>
      <c r="I31" s="114">
        <f t="shared" si="40"/>
        <v>314298.19768925809</v>
      </c>
      <c r="J31" s="114">
        <f t="shared" si="40"/>
        <v>296457.16106925398</v>
      </c>
      <c r="K31" s="111">
        <f t="shared" si="40"/>
        <v>284750.92772070575</v>
      </c>
      <c r="L31" s="111">
        <f t="shared" ref="L31:W31" si="41">+L24+(L36*L24/SUM(L22:L26))</f>
        <v>254974.11915719335</v>
      </c>
      <c r="M31" s="111">
        <f t="shared" si="41"/>
        <v>264785.51849438308</v>
      </c>
      <c r="N31" s="111">
        <f t="shared" si="41"/>
        <v>306777.62942992756</v>
      </c>
      <c r="O31" s="111">
        <f t="shared" si="41"/>
        <v>283134.32509035838</v>
      </c>
      <c r="P31" s="111">
        <f t="shared" si="41"/>
        <v>263319.86903863651</v>
      </c>
      <c r="Q31" s="111">
        <f t="shared" si="41"/>
        <v>265643.68107156293</v>
      </c>
      <c r="R31" s="111">
        <f t="shared" si="41"/>
        <v>264848.3866196656</v>
      </c>
      <c r="S31" s="111">
        <f t="shared" si="41"/>
        <v>316079.56856654776</v>
      </c>
      <c r="T31" s="111">
        <f t="shared" si="41"/>
        <v>335353.12132107472</v>
      </c>
      <c r="U31" s="111">
        <f t="shared" si="41"/>
        <v>317665.38023766718</v>
      </c>
      <c r="V31" s="111">
        <f t="shared" si="41"/>
        <v>323288.88626690768</v>
      </c>
      <c r="W31" s="111">
        <f t="shared" si="41"/>
        <v>293649.49310638441</v>
      </c>
      <c r="X31" s="111">
        <f t="shared" ref="X31:AI31" si="42">+X24+(X36*X24/SUM(X22:X26))</f>
        <v>260197.90827377888</v>
      </c>
      <c r="Y31" s="111">
        <f t="shared" si="42"/>
        <v>282402.08430654212</v>
      </c>
      <c r="Z31" s="111">
        <f t="shared" si="42"/>
        <v>271435.0318813466</v>
      </c>
      <c r="AA31" s="111">
        <f t="shared" si="42"/>
        <v>70144.802551793095</v>
      </c>
      <c r="AB31" s="111">
        <f t="shared" si="42"/>
        <v>63631.583232015699</v>
      </c>
      <c r="AC31" s="111">
        <f t="shared" si="42"/>
        <v>57533.429860399272</v>
      </c>
      <c r="AD31" s="111">
        <f t="shared" si="42"/>
        <v>61039.215540135447</v>
      </c>
      <c r="AE31" s="111">
        <f t="shared" si="42"/>
        <v>67515.973809913543</v>
      </c>
      <c r="AF31" s="111">
        <f t="shared" si="42"/>
        <v>73049.740266404246</v>
      </c>
      <c r="AG31" s="111">
        <f t="shared" si="42"/>
        <v>74623.703599943605</v>
      </c>
      <c r="AH31" s="111">
        <f t="shared" si="42"/>
        <v>75426.99949377017</v>
      </c>
      <c r="AI31" s="115">
        <f t="shared" si="42"/>
        <v>69122.732124647562</v>
      </c>
    </row>
    <row r="32" spans="1:36" x14ac:dyDescent="0.25">
      <c r="A32" s="165" t="s">
        <v>6</v>
      </c>
      <c r="B32" s="110">
        <f t="shared" ref="B32" si="43">+B25+(B36*B25/SUM(B22:B26))</f>
        <v>6315.65</v>
      </c>
      <c r="C32" s="114">
        <f t="shared" ref="C32" si="44">+C25+(C36*C25/SUM(C22:C26))</f>
        <v>117157.27</v>
      </c>
      <c r="D32" s="114">
        <f t="shared" ref="D32" si="45">+D25+(D36*D25/SUM(D22:D26))</f>
        <v>112623.26</v>
      </c>
      <c r="E32" s="114">
        <f t="shared" ref="E32" si="46">+E25+(E36*E25/SUM(E22:E26))</f>
        <v>119178.26102543865</v>
      </c>
      <c r="F32" s="114">
        <f t="shared" ref="F32:K32" si="47">+F25+(F36*F25/SUM(F22:F26))</f>
        <v>121019.01496976319</v>
      </c>
      <c r="G32" s="114">
        <f t="shared" si="47"/>
        <v>139130.64063811576</v>
      </c>
      <c r="H32" s="114">
        <f t="shared" si="47"/>
        <v>136111.12864490753</v>
      </c>
      <c r="I32" s="114">
        <f t="shared" si="47"/>
        <v>143583.02169891604</v>
      </c>
      <c r="J32" s="114">
        <f t="shared" si="47"/>
        <v>138231.85451189196</v>
      </c>
      <c r="K32" s="111">
        <f t="shared" si="47"/>
        <v>135342.03202169179</v>
      </c>
      <c r="L32" s="111">
        <f t="shared" ref="L32:W32" si="48">+L25+(L36*L25/SUM(L22:L26))</f>
        <v>121550.63339251623</v>
      </c>
      <c r="M32" s="111">
        <f t="shared" si="48"/>
        <v>127012.74505276987</v>
      </c>
      <c r="N32" s="111">
        <f t="shared" si="48"/>
        <v>139207.0072974035</v>
      </c>
      <c r="O32" s="111">
        <f t="shared" si="48"/>
        <v>121582.18659617857</v>
      </c>
      <c r="P32" s="111">
        <f t="shared" si="48"/>
        <v>120690.34375464926</v>
      </c>
      <c r="Q32" s="111">
        <f t="shared" si="48"/>
        <v>111373.03695619981</v>
      </c>
      <c r="R32" s="111">
        <f t="shared" si="48"/>
        <v>129011.69111604497</v>
      </c>
      <c r="S32" s="111">
        <f t="shared" si="48"/>
        <v>140037.57420831823</v>
      </c>
      <c r="T32" s="111">
        <f t="shared" si="48"/>
        <v>144896.34559206344</v>
      </c>
      <c r="U32" s="111">
        <f t="shared" si="48"/>
        <v>142558.85658415931</v>
      </c>
      <c r="V32" s="111">
        <f t="shared" si="48"/>
        <v>138790.38107802995</v>
      </c>
      <c r="W32" s="111">
        <f t="shared" si="48"/>
        <v>130068.79046628604</v>
      </c>
      <c r="X32" s="111">
        <f t="shared" ref="X32:AI32" si="49">+X25+(X36*X25/SUM(X22:X26))</f>
        <v>120609.54018099162</v>
      </c>
      <c r="Y32" s="111">
        <f t="shared" si="49"/>
        <v>129257.08182514794</v>
      </c>
      <c r="Z32" s="111">
        <f t="shared" si="49"/>
        <v>105218.73261221303</v>
      </c>
      <c r="AA32" s="111">
        <f t="shared" si="49"/>
        <v>32542.216456647366</v>
      </c>
      <c r="AB32" s="111">
        <f t="shared" si="49"/>
        <v>21843.618075272054</v>
      </c>
      <c r="AC32" s="111">
        <f t="shared" si="49"/>
        <v>21119.338349339436</v>
      </c>
      <c r="AD32" s="111">
        <f t="shared" si="49"/>
        <v>21399.622283826637</v>
      </c>
      <c r="AE32" s="111">
        <f t="shared" si="49"/>
        <v>24870.083909328976</v>
      </c>
      <c r="AF32" s="111">
        <f t="shared" si="49"/>
        <v>24974.37757748305</v>
      </c>
      <c r="AG32" s="111">
        <f t="shared" si="49"/>
        <v>26213.525598250824</v>
      </c>
      <c r="AH32" s="111">
        <f t="shared" si="49"/>
        <v>26069.839674665705</v>
      </c>
      <c r="AI32" s="115">
        <f t="shared" si="49"/>
        <v>24166.162985406583</v>
      </c>
    </row>
    <row r="33" spans="1:36" x14ac:dyDescent="0.25">
      <c r="A33" s="165" t="s">
        <v>7</v>
      </c>
      <c r="B33" s="110">
        <f t="shared" ref="B33" si="50">+B26+(B36*B26/SUM(B22:B26))</f>
        <v>0</v>
      </c>
      <c r="C33" s="114">
        <f t="shared" ref="C33" si="51">+C26+(C36*C26/SUM(C22:C26))</f>
        <v>44182.76</v>
      </c>
      <c r="D33" s="114">
        <f t="shared" ref="D33" si="52">+D26+(D36*D26/SUM(D22:D26))</f>
        <v>70918.23</v>
      </c>
      <c r="E33" s="114">
        <f t="shared" ref="E33" si="53">+E26+(E36*E26/SUM(E22:E26))</f>
        <v>77288.596752927711</v>
      </c>
      <c r="F33" s="114">
        <f t="shared" ref="F33:K33" si="54">+F26+(F36*F26/SUM(F22:F26))</f>
        <v>78798.647491295604</v>
      </c>
      <c r="G33" s="114">
        <f t="shared" si="54"/>
        <v>94123.263403221223</v>
      </c>
      <c r="H33" s="114">
        <f t="shared" si="54"/>
        <v>88910.620156545119</v>
      </c>
      <c r="I33" s="114">
        <f t="shared" si="54"/>
        <v>98533.161569084681</v>
      </c>
      <c r="J33" s="114">
        <f t="shared" si="54"/>
        <v>93943.900730613706</v>
      </c>
      <c r="K33" s="111">
        <f t="shared" si="54"/>
        <v>89597.224853414853</v>
      </c>
      <c r="L33" s="111">
        <f t="shared" ref="L33:W33" si="55">+L26+(L36*L26/SUM(L22:L26))</f>
        <v>85157.912009380321</v>
      </c>
      <c r="M33" s="111">
        <f t="shared" si="55"/>
        <v>77862.816094058551</v>
      </c>
      <c r="N33" s="111">
        <f t="shared" si="55"/>
        <v>81838.731873864046</v>
      </c>
      <c r="O33" s="111">
        <f t="shared" si="55"/>
        <v>78353.82505736356</v>
      </c>
      <c r="P33" s="111">
        <f t="shared" si="55"/>
        <v>81417.299833986021</v>
      </c>
      <c r="Q33" s="111">
        <f t="shared" si="55"/>
        <v>77432.624886300764</v>
      </c>
      <c r="R33" s="111">
        <f t="shared" si="55"/>
        <v>89044.051413239038</v>
      </c>
      <c r="S33" s="111">
        <f t="shared" si="55"/>
        <v>98630.442007320613</v>
      </c>
      <c r="T33" s="111">
        <f t="shared" si="55"/>
        <v>84396.059963834065</v>
      </c>
      <c r="U33" s="111">
        <f t="shared" si="55"/>
        <v>101583.3493246991</v>
      </c>
      <c r="V33" s="111">
        <f t="shared" si="55"/>
        <v>95440.806929720959</v>
      </c>
      <c r="W33" s="111">
        <f t="shared" si="55"/>
        <v>94177.807367930509</v>
      </c>
      <c r="X33" s="111">
        <f t="shared" ref="X33:AI33" si="56">+X26+(X36*X26/SUM(X22:X26))</f>
        <v>88183.152780058474</v>
      </c>
      <c r="Y33" s="111">
        <f t="shared" si="56"/>
        <v>85587.076295194332</v>
      </c>
      <c r="Z33" s="111">
        <f t="shared" si="56"/>
        <v>72201.318951632697</v>
      </c>
      <c r="AA33" s="111">
        <f t="shared" si="56"/>
        <v>36554.392968562592</v>
      </c>
      <c r="AB33" s="111">
        <f t="shared" si="56"/>
        <v>18160.469776650803</v>
      </c>
      <c r="AC33" s="111">
        <f t="shared" si="56"/>
        <v>18129.861748184703</v>
      </c>
      <c r="AD33" s="111">
        <f t="shared" si="56"/>
        <v>17726.57294677489</v>
      </c>
      <c r="AE33" s="111">
        <f t="shared" si="56"/>
        <v>22332.648453794765</v>
      </c>
      <c r="AF33" s="111">
        <f t="shared" si="56"/>
        <v>20772.371239080814</v>
      </c>
      <c r="AG33" s="111">
        <f t="shared" si="56"/>
        <v>22997.540084794913</v>
      </c>
      <c r="AH33" s="111">
        <f t="shared" si="56"/>
        <v>23319.631262909981</v>
      </c>
      <c r="AI33" s="115">
        <f t="shared" si="56"/>
        <v>22006.947723097575</v>
      </c>
    </row>
    <row r="34" spans="1:36" s="49" customFormat="1" x14ac:dyDescent="0.25">
      <c r="B34" s="212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262"/>
    </row>
    <row r="35" spans="1:36" x14ac:dyDescent="0.25">
      <c r="A35" s="49" t="s">
        <v>109</v>
      </c>
      <c r="B35" s="211"/>
      <c r="C35" s="205"/>
      <c r="D35" s="103" t="s">
        <v>86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2"/>
      <c r="AJ35" s="49"/>
    </row>
    <row r="36" spans="1:36" x14ac:dyDescent="0.25">
      <c r="A36" s="49" t="str">
        <f>A22</f>
        <v>RES</v>
      </c>
      <c r="B36" s="94">
        <v>0</v>
      </c>
      <c r="C36" s="95">
        <v>0</v>
      </c>
      <c r="D36" s="95">
        <v>0</v>
      </c>
      <c r="E36" s="95">
        <v>-16301.190000000002</v>
      </c>
      <c r="F36" s="95">
        <v>-13781.149999999996</v>
      </c>
      <c r="G36" s="95">
        <v>-16689.690000000002</v>
      </c>
      <c r="H36" s="95">
        <v>-21713.389999999996</v>
      </c>
      <c r="I36" s="95">
        <v>-22315.42</v>
      </c>
      <c r="J36" s="95">
        <v>-18421.010000000002</v>
      </c>
      <c r="K36" s="104">
        <v>-16562.46</v>
      </c>
      <c r="L36" s="104">
        <v>-17214.189999999999</v>
      </c>
      <c r="M36" s="104">
        <v>-23261.080000000005</v>
      </c>
      <c r="N36" s="104">
        <v>-37736.519999999997</v>
      </c>
      <c r="O36" s="104">
        <v>-33177.399999999994</v>
      </c>
      <c r="P36" s="104">
        <v>-26865.11</v>
      </c>
      <c r="Q36" s="104">
        <v>-26352.74</v>
      </c>
      <c r="R36" s="104">
        <v>-18021.299999999992</v>
      </c>
      <c r="S36" s="104">
        <v>-22490.279999999995</v>
      </c>
      <c r="T36" s="104">
        <v>-26264.89</v>
      </c>
      <c r="U36" s="104">
        <v>-23156.390000000003</v>
      </c>
      <c r="V36" s="104">
        <v>-22036.379999999994</v>
      </c>
      <c r="W36" s="104">
        <v>-19246.000000000007</v>
      </c>
      <c r="X36" s="104">
        <v>-21667.920000000002</v>
      </c>
      <c r="Y36" s="104">
        <v>-31476.769999999997</v>
      </c>
      <c r="Z36" s="104">
        <v>-31290.09</v>
      </c>
      <c r="AA36" s="104">
        <v>-2172.92</v>
      </c>
      <c r="AB36" s="104">
        <v>-1944.52</v>
      </c>
      <c r="AC36" s="104">
        <v>-1270.5500000000002</v>
      </c>
      <c r="AD36" s="104">
        <v>-965.24</v>
      </c>
      <c r="AE36" s="104">
        <v>-1110.1299999999999</v>
      </c>
      <c r="AF36" s="104">
        <v>-1361.3899999999999</v>
      </c>
      <c r="AG36" s="104">
        <v>-1452.24</v>
      </c>
      <c r="AH36" s="104">
        <v>-1319.3600000000001</v>
      </c>
      <c r="AI36" s="260">
        <v>-1117.92</v>
      </c>
      <c r="AJ36" s="49"/>
    </row>
    <row r="37" spans="1:36" x14ac:dyDescent="0.25">
      <c r="A37" s="49"/>
      <c r="B37" s="100"/>
      <c r="C37" s="108"/>
      <c r="D37" s="103" t="s">
        <v>68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261"/>
    </row>
    <row r="38" spans="1:36" ht="15.75" thickBot="1" x14ac:dyDescent="0.3">
      <c r="A38" s="49" t="s">
        <v>88</v>
      </c>
      <c r="B38" s="117">
        <v>-83.44</v>
      </c>
      <c r="C38" s="118">
        <v>-56.84</v>
      </c>
      <c r="D38" s="118">
        <v>129.69999999999999</v>
      </c>
      <c r="E38" s="118">
        <v>366.05</v>
      </c>
      <c r="F38" s="118">
        <v>615.87</v>
      </c>
      <c r="G38" s="118">
        <v>784.86</v>
      </c>
      <c r="H38" s="118">
        <v>536.48</v>
      </c>
      <c r="I38" s="118">
        <v>272.45</v>
      </c>
      <c r="J38" s="118">
        <v>232.38</v>
      </c>
      <c r="K38" s="119">
        <v>320.43</v>
      </c>
      <c r="L38" s="119">
        <v>558.87</v>
      </c>
      <c r="M38" s="119">
        <v>745.15</v>
      </c>
      <c r="N38" s="119">
        <v>136.97999999999999</v>
      </c>
      <c r="O38" s="119">
        <v>-151.84</v>
      </c>
      <c r="P38" s="119">
        <v>-174.59</v>
      </c>
      <c r="Q38" s="119">
        <v>-131.99</v>
      </c>
      <c r="R38" s="119">
        <v>124.66</v>
      </c>
      <c r="S38" s="119">
        <v>-276.24</v>
      </c>
      <c r="T38" s="119">
        <v>-1009.47</v>
      </c>
      <c r="U38" s="119">
        <v>-1513.37</v>
      </c>
      <c r="V38" s="119">
        <v>-1956.65</v>
      </c>
      <c r="W38" s="119">
        <v>-2054.7600000000002</v>
      </c>
      <c r="X38" s="119">
        <v>-1892.86</v>
      </c>
      <c r="Y38" s="119">
        <v>-2445.35</v>
      </c>
      <c r="Z38" s="119">
        <v>-5764.84</v>
      </c>
      <c r="AA38" s="119">
        <v>-5279.64</v>
      </c>
      <c r="AB38" s="119">
        <v>-4662.54</v>
      </c>
      <c r="AC38" s="119">
        <v>-3898.82</v>
      </c>
      <c r="AD38" s="119">
        <v>-3357.15</v>
      </c>
      <c r="AE38" s="119">
        <v>-2820.88</v>
      </c>
      <c r="AF38" s="119">
        <v>-2304.88</v>
      </c>
      <c r="AG38" s="119">
        <v>-1688.67</v>
      </c>
      <c r="AH38" s="119">
        <v>-1207.58</v>
      </c>
      <c r="AI38" s="263">
        <v>-749.83</v>
      </c>
    </row>
    <row r="39" spans="1:36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264"/>
    </row>
    <row r="40" spans="1:36" x14ac:dyDescent="0.25">
      <c r="A40" s="165" t="s">
        <v>69</v>
      </c>
      <c r="B40" s="100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102"/>
    </row>
    <row r="41" spans="1:36" x14ac:dyDescent="0.25">
      <c r="A41" s="165" t="s">
        <v>0</v>
      </c>
      <c r="B41" s="110">
        <f>B15-B29</f>
        <v>-79764.7</v>
      </c>
      <c r="C41" s="114">
        <f t="shared" ref="C41:K41" si="57">C15-C29</f>
        <v>-43684.096259863698</v>
      </c>
      <c r="D41" s="114">
        <f t="shared" si="57"/>
        <v>134344.30374013627</v>
      </c>
      <c r="E41" s="114">
        <f t="shared" si="57"/>
        <v>170432.88831621374</v>
      </c>
      <c r="F41" s="114">
        <f t="shared" si="57"/>
        <v>193987.30845104245</v>
      </c>
      <c r="G41" s="114">
        <f t="shared" si="57"/>
        <v>35907.625114386785</v>
      </c>
      <c r="H41" s="114">
        <f t="shared" si="57"/>
        <v>-168164.10299918056</v>
      </c>
      <c r="I41" s="114">
        <f t="shared" si="57"/>
        <v>-178633.88395369553</v>
      </c>
      <c r="J41" s="114">
        <f t="shared" si="57"/>
        <v>-4703.7817528218729</v>
      </c>
      <c r="K41" s="111">
        <f t="shared" si="57"/>
        <v>75597.999266679282</v>
      </c>
      <c r="L41" s="111">
        <f t="shared" ref="L41:U41" si="58">L15-L29</f>
        <v>147896.9228728881</v>
      </c>
      <c r="M41" s="111">
        <f t="shared" si="58"/>
        <v>989.42000274953898</v>
      </c>
      <c r="N41" s="111">
        <f t="shared" si="58"/>
        <v>-368599.53195846011</v>
      </c>
      <c r="O41" s="111">
        <f t="shared" si="58"/>
        <v>-207514.56438193331</v>
      </c>
      <c r="P41" s="111">
        <f t="shared" si="58"/>
        <v>-40899.541610462824</v>
      </c>
      <c r="Q41" s="111">
        <f t="shared" si="58"/>
        <v>-17043.758731904207</v>
      </c>
      <c r="R41" s="111">
        <f t="shared" si="58"/>
        <v>108602.16892616334</v>
      </c>
      <c r="S41" s="111">
        <f t="shared" si="58"/>
        <v>-154410.39661030343</v>
      </c>
      <c r="T41" s="111">
        <f t="shared" si="58"/>
        <v>-293696.63915064547</v>
      </c>
      <c r="U41" s="111">
        <f t="shared" si="58"/>
        <v>-195293.23986067937</v>
      </c>
      <c r="V41" s="111">
        <f>V15-V29</f>
        <v>-162764.68001324625</v>
      </c>
      <c r="W41" s="111">
        <f t="shared" ref="W41:AI41" si="59">W15-W29</f>
        <v>21016.512154419208</v>
      </c>
      <c r="X41" s="111">
        <f t="shared" si="59"/>
        <v>65165.93649455742</v>
      </c>
      <c r="Y41" s="111">
        <f t="shared" si="59"/>
        <v>-165508.26296282932</v>
      </c>
      <c r="Z41" s="111">
        <f t="shared" si="59"/>
        <v>-823138.86560040689</v>
      </c>
      <c r="AA41" s="111">
        <f t="shared" si="59"/>
        <v>157328.24281069008</v>
      </c>
      <c r="AB41" s="111">
        <f t="shared" si="59"/>
        <v>163676.67760826682</v>
      </c>
      <c r="AC41" s="111">
        <f t="shared" si="59"/>
        <v>179235.11950788688</v>
      </c>
      <c r="AD41" s="111">
        <f t="shared" si="59"/>
        <v>184289.46574690734</v>
      </c>
      <c r="AE41" s="111">
        <f t="shared" si="59"/>
        <v>174958.31325615683</v>
      </c>
      <c r="AF41" s="111">
        <f t="shared" si="59"/>
        <v>164659.68996574476</v>
      </c>
      <c r="AG41" s="111">
        <f t="shared" si="59"/>
        <v>162173.24228383991</v>
      </c>
      <c r="AH41" s="111">
        <f t="shared" si="59"/>
        <v>166128.83539156982</v>
      </c>
      <c r="AI41" s="115">
        <f t="shared" si="59"/>
        <v>174445.75058768608</v>
      </c>
    </row>
    <row r="42" spans="1:36" x14ac:dyDescent="0.25">
      <c r="A42" s="165" t="s">
        <v>4</v>
      </c>
      <c r="B42" s="110">
        <f t="shared" ref="B42:K42" si="60">B16-B30</f>
        <v>-6214.44</v>
      </c>
      <c r="C42" s="114">
        <f t="shared" si="60"/>
        <v>1784.374335757122</v>
      </c>
      <c r="D42" s="114">
        <f t="shared" si="60"/>
        <v>9032.6743357571249</v>
      </c>
      <c r="E42" s="114">
        <f t="shared" si="60"/>
        <v>13096.657112664165</v>
      </c>
      <c r="F42" s="114">
        <f t="shared" si="60"/>
        <v>13645.775722852719</v>
      </c>
      <c r="G42" s="114">
        <f t="shared" si="60"/>
        <v>3353.9835285022054</v>
      </c>
      <c r="H42" s="114">
        <f t="shared" si="60"/>
        <v>-6827.4887136593316</v>
      </c>
      <c r="I42" s="114">
        <f t="shared" si="60"/>
        <v>-7549.0770131523168</v>
      </c>
      <c r="J42" s="114">
        <f t="shared" si="60"/>
        <v>356.47614047482784</v>
      </c>
      <c r="K42" s="111">
        <f t="shared" si="60"/>
        <v>3957.6634050264765</v>
      </c>
      <c r="L42" s="111">
        <f t="shared" ref="L42:V42" si="61">L16-L30</f>
        <v>10844.449762095144</v>
      </c>
      <c r="M42" s="111">
        <f t="shared" si="61"/>
        <v>5106.2077143543138</v>
      </c>
      <c r="N42" s="111">
        <f t="shared" si="61"/>
        <v>-15063.331364451427</v>
      </c>
      <c r="O42" s="111">
        <f t="shared" si="61"/>
        <v>-7466.0807982730621</v>
      </c>
      <c r="P42" s="111">
        <f t="shared" si="61"/>
        <v>1787.8123136277718</v>
      </c>
      <c r="Q42" s="111">
        <f t="shared" si="61"/>
        <v>2749.9197218609406</v>
      </c>
      <c r="R42" s="111">
        <f t="shared" si="61"/>
        <v>8611.2182986793487</v>
      </c>
      <c r="S42" s="111">
        <f t="shared" si="61"/>
        <v>-6802.5605316168076</v>
      </c>
      <c r="T42" s="111">
        <f t="shared" si="61"/>
        <v>-14449.225896489137</v>
      </c>
      <c r="U42" s="111">
        <f t="shared" si="61"/>
        <v>-9125.3159169020073</v>
      </c>
      <c r="V42" s="111">
        <f t="shared" si="61"/>
        <v>-7814.0576362021238</v>
      </c>
      <c r="W42" s="111">
        <f t="shared" ref="W42:AI42" si="62">W16-W30</f>
        <v>1238.6968620749103</v>
      </c>
      <c r="X42" s="111">
        <f t="shared" si="62"/>
        <v>8042.802816164578</v>
      </c>
      <c r="Y42" s="111">
        <f t="shared" si="62"/>
        <v>-4202.2065343933209</v>
      </c>
      <c r="Z42" s="111">
        <f t="shared" si="62"/>
        <v>-70914.770954400839</v>
      </c>
      <c r="AA42" s="111">
        <f t="shared" si="62"/>
        <v>5204.1184238954302</v>
      </c>
      <c r="AB42" s="111">
        <f t="shared" si="62"/>
        <v>6213.6227332541839</v>
      </c>
      <c r="AC42" s="111">
        <f t="shared" si="62"/>
        <v>9222.2297076189661</v>
      </c>
      <c r="AD42" s="111">
        <f t="shared" si="62"/>
        <v>9868.1442814120492</v>
      </c>
      <c r="AE42" s="111">
        <f t="shared" si="62"/>
        <v>7861.4721744628914</v>
      </c>
      <c r="AF42" s="111">
        <f t="shared" si="62"/>
        <v>5826.2283748057853</v>
      </c>
      <c r="AG42" s="111">
        <f t="shared" si="62"/>
        <v>5411.0562567318848</v>
      </c>
      <c r="AH42" s="111">
        <f t="shared" si="62"/>
        <v>5980.6642973584658</v>
      </c>
      <c r="AI42" s="115">
        <f t="shared" si="62"/>
        <v>7490.2015030480925</v>
      </c>
    </row>
    <row r="43" spans="1:36" x14ac:dyDescent="0.25">
      <c r="A43" s="165" t="s">
        <v>5</v>
      </c>
      <c r="B43" s="110">
        <f t="shared" ref="B43:K43" si="63">B17-B31</f>
        <v>-18961.650000000001</v>
      </c>
      <c r="C43" s="114">
        <f t="shared" si="63"/>
        <v>23234.710259544838</v>
      </c>
      <c r="D43" s="114">
        <f t="shared" si="63"/>
        <v>35798.070259544824</v>
      </c>
      <c r="E43" s="114">
        <f t="shared" si="63"/>
        <v>43877.810684926662</v>
      </c>
      <c r="F43" s="114">
        <f t="shared" si="63"/>
        <v>36949.276622601814</v>
      </c>
      <c r="G43" s="114">
        <f t="shared" si="63"/>
        <v>3144.7437338861637</v>
      </c>
      <c r="H43" s="114">
        <f t="shared" si="63"/>
        <v>-21757.151150269317</v>
      </c>
      <c r="I43" s="114">
        <f t="shared" si="63"/>
        <v>-27463.697429713269</v>
      </c>
      <c r="J43" s="114">
        <f t="shared" si="63"/>
        <v>-9622.6608097091666</v>
      </c>
      <c r="K43" s="111">
        <f t="shared" si="63"/>
        <v>2083.5725388390711</v>
      </c>
      <c r="L43" s="111">
        <f t="shared" ref="L43:V43" si="64">L17-L31</f>
        <v>31860.381102351472</v>
      </c>
      <c r="M43" s="111">
        <f t="shared" si="64"/>
        <v>22048.981765161734</v>
      </c>
      <c r="N43" s="111">
        <f t="shared" si="64"/>
        <v>-19943.129170382745</v>
      </c>
      <c r="O43" s="111">
        <f t="shared" si="64"/>
        <v>3700.1751691866084</v>
      </c>
      <c r="P43" s="111">
        <f t="shared" si="64"/>
        <v>23514.631220908486</v>
      </c>
      <c r="Q43" s="111">
        <f t="shared" si="64"/>
        <v>21190.819187982066</v>
      </c>
      <c r="R43" s="111">
        <f t="shared" si="64"/>
        <v>21986.11363987939</v>
      </c>
      <c r="S43" s="111">
        <f t="shared" si="64"/>
        <v>-29245.068307002774</v>
      </c>
      <c r="T43" s="111">
        <f t="shared" si="64"/>
        <v>-48518.621061529731</v>
      </c>
      <c r="U43" s="111">
        <f t="shared" si="64"/>
        <v>-30830.87997812219</v>
      </c>
      <c r="V43" s="111">
        <f t="shared" si="64"/>
        <v>-36454.386007362686</v>
      </c>
      <c r="W43" s="111">
        <f t="shared" ref="W43:AI43" si="65">W17-W31</f>
        <v>-6814.992846839421</v>
      </c>
      <c r="X43" s="111">
        <f t="shared" si="65"/>
        <v>26636.591985766107</v>
      </c>
      <c r="Y43" s="111">
        <f t="shared" si="65"/>
        <v>4432.4159530028701</v>
      </c>
      <c r="Z43" s="111">
        <f t="shared" si="65"/>
        <v>-271435.0318813466</v>
      </c>
      <c r="AA43" s="111">
        <f t="shared" si="65"/>
        <v>22683.392359573918</v>
      </c>
      <c r="AB43" s="111">
        <f t="shared" si="65"/>
        <v>29196.611679351314</v>
      </c>
      <c r="AC43" s="111">
        <f t="shared" si="65"/>
        <v>35294.765050967741</v>
      </c>
      <c r="AD43" s="111">
        <f t="shared" si="65"/>
        <v>31788.979371231566</v>
      </c>
      <c r="AE43" s="111">
        <f t="shared" si="65"/>
        <v>25312.22110145347</v>
      </c>
      <c r="AF43" s="111">
        <f t="shared" si="65"/>
        <v>19778.454644962767</v>
      </c>
      <c r="AG43" s="111">
        <f t="shared" si="65"/>
        <v>18204.491311423408</v>
      </c>
      <c r="AH43" s="111">
        <f t="shared" si="65"/>
        <v>17401.195417596842</v>
      </c>
      <c r="AI43" s="115">
        <f t="shared" si="65"/>
        <v>23705.46278671945</v>
      </c>
    </row>
    <row r="44" spans="1:36" x14ac:dyDescent="0.25">
      <c r="A44" s="165" t="s">
        <v>6</v>
      </c>
      <c r="B44" s="110">
        <f t="shared" ref="B44:K44" si="66">B18-B32</f>
        <v>-6315.65</v>
      </c>
      <c r="C44" s="114">
        <f t="shared" si="66"/>
        <v>10578.173455542827</v>
      </c>
      <c r="D44" s="114">
        <f t="shared" si="66"/>
        <v>15112.183455542836</v>
      </c>
      <c r="E44" s="114">
        <f t="shared" si="66"/>
        <v>8557.1824301041779</v>
      </c>
      <c r="F44" s="114">
        <f t="shared" si="66"/>
        <v>6716.4284857796447</v>
      </c>
      <c r="G44" s="114">
        <f t="shared" si="66"/>
        <v>-11395.197182572927</v>
      </c>
      <c r="H44" s="114">
        <f t="shared" si="66"/>
        <v>-8375.6851893646963</v>
      </c>
      <c r="I44" s="114">
        <f t="shared" si="66"/>
        <v>-15847.578243373209</v>
      </c>
      <c r="J44" s="114">
        <f t="shared" si="66"/>
        <v>-10496.411056349127</v>
      </c>
      <c r="K44" s="111">
        <f t="shared" si="66"/>
        <v>-7606.5885661489592</v>
      </c>
      <c r="L44" s="111">
        <f t="shared" ref="L44:V44" si="67">L18-L32</f>
        <v>6184.8100630265981</v>
      </c>
      <c r="M44" s="111">
        <f t="shared" si="67"/>
        <v>722.69840277296316</v>
      </c>
      <c r="N44" s="111">
        <f t="shared" si="67"/>
        <v>-11471.563841860669</v>
      </c>
      <c r="O44" s="111">
        <f t="shared" si="67"/>
        <v>6153.2568593644392</v>
      </c>
      <c r="P44" s="111">
        <f t="shared" si="67"/>
        <v>7045.0997008937411</v>
      </c>
      <c r="Q44" s="111">
        <f t="shared" si="67"/>
        <v>16362.406499343197</v>
      </c>
      <c r="R44" s="111">
        <f t="shared" si="67"/>
        <v>-1276.2476605019619</v>
      </c>
      <c r="S44" s="111">
        <f t="shared" si="67"/>
        <v>-12302.130752775221</v>
      </c>
      <c r="T44" s="111">
        <f t="shared" si="67"/>
        <v>-17160.902136520439</v>
      </c>
      <c r="U44" s="111">
        <f t="shared" si="67"/>
        <v>-14823.413128616303</v>
      </c>
      <c r="V44" s="111">
        <f t="shared" si="67"/>
        <v>-11054.937622486948</v>
      </c>
      <c r="W44" s="111">
        <f t="shared" ref="W44:AI44" si="68">W18-W32</f>
        <v>-2333.347010743033</v>
      </c>
      <c r="X44" s="111">
        <f t="shared" si="68"/>
        <v>7125.9032745513832</v>
      </c>
      <c r="Y44" s="111">
        <f t="shared" si="68"/>
        <v>-1521.6383696049306</v>
      </c>
      <c r="Z44" s="111">
        <f t="shared" si="68"/>
        <v>-105218.73261221303</v>
      </c>
      <c r="AA44" s="111">
        <f t="shared" si="68"/>
        <v>8796.7808796274039</v>
      </c>
      <c r="AB44" s="111">
        <f t="shared" si="68"/>
        <v>19495.379261002716</v>
      </c>
      <c r="AC44" s="111">
        <f t="shared" si="68"/>
        <v>20219.658986935334</v>
      </c>
      <c r="AD44" s="111">
        <f t="shared" si="68"/>
        <v>19939.375052448133</v>
      </c>
      <c r="AE44" s="111">
        <f t="shared" si="68"/>
        <v>16468.913426945794</v>
      </c>
      <c r="AF44" s="111">
        <f t="shared" si="68"/>
        <v>16364.61975879172</v>
      </c>
      <c r="AG44" s="111">
        <f t="shared" si="68"/>
        <v>15125.471738023945</v>
      </c>
      <c r="AH44" s="111">
        <f t="shared" si="68"/>
        <v>15269.157661609064</v>
      </c>
      <c r="AI44" s="115">
        <f t="shared" si="68"/>
        <v>17172.834350868186</v>
      </c>
    </row>
    <row r="45" spans="1:36" x14ac:dyDescent="0.25">
      <c r="A45" s="165" t="s">
        <v>7</v>
      </c>
      <c r="B45" s="110">
        <f t="shared" ref="B45:K45" si="69">B19-B33</f>
        <v>0</v>
      </c>
      <c r="C45" s="114">
        <f t="shared" si="69"/>
        <v>43635.357375685671</v>
      </c>
      <c r="D45" s="114">
        <f t="shared" si="69"/>
        <v>16899.887375685677</v>
      </c>
      <c r="E45" s="114">
        <f t="shared" si="69"/>
        <v>10529.520622757962</v>
      </c>
      <c r="F45" s="114">
        <f t="shared" si="69"/>
        <v>9019.4698843900696</v>
      </c>
      <c r="G45" s="114">
        <f t="shared" si="69"/>
        <v>-6305.1460275355494</v>
      </c>
      <c r="H45" s="114">
        <f t="shared" si="69"/>
        <v>-1092.5027808594459</v>
      </c>
      <c r="I45" s="114">
        <f t="shared" si="69"/>
        <v>-10715.044193399008</v>
      </c>
      <c r="J45" s="114">
        <f t="shared" si="69"/>
        <v>-6125.7833549280331</v>
      </c>
      <c r="K45" s="111">
        <f t="shared" si="69"/>
        <v>-1779.1074777291797</v>
      </c>
      <c r="L45" s="111">
        <f t="shared" ref="L45:V45" si="70">L19-L33</f>
        <v>2660.2053663053521</v>
      </c>
      <c r="M45" s="111">
        <f t="shared" si="70"/>
        <v>9955.3012816271221</v>
      </c>
      <c r="N45" s="111">
        <f t="shared" si="70"/>
        <v>5979.3855018216273</v>
      </c>
      <c r="O45" s="111">
        <f t="shared" si="70"/>
        <v>9464.2923183221428</v>
      </c>
      <c r="P45" s="111">
        <f t="shared" si="70"/>
        <v>6400.8175416996819</v>
      </c>
      <c r="Q45" s="111">
        <f t="shared" si="70"/>
        <v>10385.492489384938</v>
      </c>
      <c r="R45" s="111">
        <f t="shared" si="70"/>
        <v>-1225.9340375533357</v>
      </c>
      <c r="S45" s="111">
        <f t="shared" si="70"/>
        <v>-10812.32463163491</v>
      </c>
      <c r="T45" s="111">
        <f t="shared" si="70"/>
        <v>3422.0574118516379</v>
      </c>
      <c r="U45" s="111">
        <f t="shared" si="70"/>
        <v>-13765.231949013396</v>
      </c>
      <c r="V45" s="111">
        <f t="shared" si="70"/>
        <v>-7622.6895540352562</v>
      </c>
      <c r="W45" s="111">
        <f t="shared" ref="W45:AI45" si="71">W19-W33</f>
        <v>-6359.6899922448065</v>
      </c>
      <c r="X45" s="111">
        <f t="shared" si="71"/>
        <v>-365.03540437277115</v>
      </c>
      <c r="Y45" s="111">
        <f t="shared" si="71"/>
        <v>2231.0410804913699</v>
      </c>
      <c r="Z45" s="111">
        <f t="shared" si="71"/>
        <v>-72201.318951632697</v>
      </c>
      <c r="AA45" s="111">
        <f t="shared" si="71"/>
        <v>-8133.832299873684</v>
      </c>
      <c r="AB45" s="111">
        <f t="shared" si="71"/>
        <v>10260.090892038104</v>
      </c>
      <c r="AC45" s="111">
        <f t="shared" si="71"/>
        <v>10290.698920504205</v>
      </c>
      <c r="AD45" s="111">
        <f t="shared" si="71"/>
        <v>10693.987721914018</v>
      </c>
      <c r="AE45" s="111">
        <f t="shared" si="71"/>
        <v>6087.9122148941424</v>
      </c>
      <c r="AF45" s="111">
        <f t="shared" si="71"/>
        <v>7648.1894296080936</v>
      </c>
      <c r="AG45" s="111">
        <f t="shared" si="71"/>
        <v>5423.0205838939946</v>
      </c>
      <c r="AH45" s="111">
        <f t="shared" si="71"/>
        <v>5100.9294057789266</v>
      </c>
      <c r="AI45" s="115">
        <f t="shared" si="71"/>
        <v>6413.6129455913324</v>
      </c>
    </row>
    <row r="46" spans="1:36" x14ac:dyDescent="0.25"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2"/>
    </row>
    <row r="47" spans="1:36" x14ac:dyDescent="0.25">
      <c r="A47" s="165" t="s">
        <v>70</v>
      </c>
      <c r="B47" s="100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102"/>
    </row>
    <row r="48" spans="1:36" x14ac:dyDescent="0.25">
      <c r="A48" s="165" t="s">
        <v>0</v>
      </c>
      <c r="B48" s="110">
        <f>B41</f>
        <v>-79764.7</v>
      </c>
      <c r="C48" s="114">
        <f>B48+C41+B55</f>
        <v>-123508.61978486369</v>
      </c>
      <c r="D48" s="114">
        <f t="shared" ref="C48:K52" si="72">C48+D41+C55</f>
        <v>10743.052490433925</v>
      </c>
      <c r="E48" s="114">
        <f t="shared" si="72"/>
        <v>181186.23623195098</v>
      </c>
      <c r="F48" s="114">
        <f t="shared" si="72"/>
        <v>375347.18149271572</v>
      </c>
      <c r="G48" s="114">
        <f t="shared" si="72"/>
        <v>411614.51432269969</v>
      </c>
      <c r="H48" s="114">
        <f t="shared" si="72"/>
        <v>243934.0583778483</v>
      </c>
      <c r="I48" s="114">
        <f t="shared" si="72"/>
        <v>65583.107440113774</v>
      </c>
      <c r="J48" s="114">
        <f t="shared" si="72"/>
        <v>60959.499724475289</v>
      </c>
      <c r="K48" s="111">
        <f>J48+K41+J55</f>
        <v>136631.07080817371</v>
      </c>
      <c r="L48" s="111">
        <f t="shared" ref="L48:V52" si="73">K48+L41+K55</f>
        <v>284693.18406144565</v>
      </c>
      <c r="M48" s="111">
        <f t="shared" si="73"/>
        <v>286024.91651529871</v>
      </c>
      <c r="N48" s="111">
        <f t="shared" si="73"/>
        <v>-82151.884679443509</v>
      </c>
      <c r="O48" s="111">
        <f t="shared" si="73"/>
        <v>-289783.88422208739</v>
      </c>
      <c r="P48" s="111">
        <f t="shared" si="73"/>
        <v>-331124.75847767707</v>
      </c>
      <c r="Q48" s="111">
        <f t="shared" si="73"/>
        <v>-348735.27752056142</v>
      </c>
      <c r="R48" s="111">
        <f t="shared" si="73"/>
        <v>-240804.77157645175</v>
      </c>
      <c r="S48" s="111">
        <f t="shared" si="73"/>
        <v>-395656.40179318719</v>
      </c>
      <c r="T48" s="111">
        <f t="shared" si="73"/>
        <v>-690104.64336293936</v>
      </c>
      <c r="U48" s="111">
        <f t="shared" si="73"/>
        <v>-886747.71007833339</v>
      </c>
      <c r="V48" s="111">
        <f t="shared" si="73"/>
        <v>-1051230.7933544221</v>
      </c>
      <c r="W48" s="111">
        <f t="shared" ref="W48:W52" si="74">V48+W41+V55</f>
        <v>-1032254.5116757965</v>
      </c>
      <c r="X48" s="111">
        <f t="shared" ref="X48:X52" si="75">W48+X41+W55</f>
        <v>-969202.47156148963</v>
      </c>
      <c r="Y48" s="111">
        <f t="shared" ref="Y48:Y52" si="76">X48+Y41+X55</f>
        <v>-1136751.8070852545</v>
      </c>
      <c r="Z48" s="111">
        <f t="shared" ref="Z48:Z52" si="77">Y48+Z41+Y55</f>
        <v>-1962500.0665656689</v>
      </c>
      <c r="AA48" s="111">
        <f t="shared" ref="AA48:AA52" si="78">Z48+AA41+Z55</f>
        <v>-1809864.9709454149</v>
      </c>
      <c r="AB48" s="111">
        <f t="shared" ref="AB48:AB52" si="79">AA48+AB41+AA55</f>
        <v>-1650472.2301493888</v>
      </c>
      <c r="AC48" s="111">
        <f t="shared" ref="AC48:AC52" si="80">AB48+AC41+AB55</f>
        <v>-1475071.4533417467</v>
      </c>
      <c r="AD48" s="111">
        <f t="shared" ref="AD48:AD52" si="81">AC48+AD41+AC55</f>
        <v>-1294054.5245768176</v>
      </c>
      <c r="AE48" s="111">
        <f t="shared" ref="AE48:AE52" si="82">AD48+AE41+AD55</f>
        <v>-1121983.4205839736</v>
      </c>
      <c r="AF48" s="111">
        <f t="shared" ref="AF48:AF52" si="83">AE48+AF41+AE55</f>
        <v>-959801.4972995643</v>
      </c>
      <c r="AG48" s="111">
        <f t="shared" ref="AG48:AG52" si="84">AF48+AG41+AF55</f>
        <v>-799703.72097530449</v>
      </c>
      <c r="AH48" s="111">
        <f t="shared" ref="AH48:AH52" si="85">AG48+AH41+AG55</f>
        <v>-635141.76507683459</v>
      </c>
      <c r="AI48" s="115">
        <f t="shared" ref="AI48:AI52" si="86">AH48+AI41+AH55</f>
        <v>-461869.37009310344</v>
      </c>
    </row>
    <row r="49" spans="1:35" x14ac:dyDescent="0.25">
      <c r="A49" s="165" t="s">
        <v>4</v>
      </c>
      <c r="B49" s="110">
        <f>B42</f>
        <v>-6214.44</v>
      </c>
      <c r="C49" s="114">
        <f t="shared" si="72"/>
        <v>-4434.7264942428774</v>
      </c>
      <c r="D49" s="114">
        <f t="shared" si="72"/>
        <v>4594.6217966435652</v>
      </c>
      <c r="E49" s="114">
        <f t="shared" si="72"/>
        <v>17695.682088529513</v>
      </c>
      <c r="F49" s="114">
        <f t="shared" si="72"/>
        <v>31358.416173383739</v>
      </c>
      <c r="G49" s="114">
        <f t="shared" si="72"/>
        <v>34742.451517385438</v>
      </c>
      <c r="H49" s="114">
        <f t="shared" si="72"/>
        <v>27955.785184259035</v>
      </c>
      <c r="I49" s="114">
        <f t="shared" si="72"/>
        <v>20439.133387447309</v>
      </c>
      <c r="J49" s="114">
        <f t="shared" si="72"/>
        <v>20820.595959705624</v>
      </c>
      <c r="K49" s="111">
        <f t="shared" si="72"/>
        <v>24803.387672593883</v>
      </c>
      <c r="L49" s="111">
        <f t="shared" si="73"/>
        <v>35677.825350469888</v>
      </c>
      <c r="M49" s="111">
        <f t="shared" si="73"/>
        <v>40826.931752005723</v>
      </c>
      <c r="N49" s="111">
        <f t="shared" si="73"/>
        <v>25823.940585359614</v>
      </c>
      <c r="O49" s="111">
        <f t="shared" si="73"/>
        <v>18394.774808874015</v>
      </c>
      <c r="P49" s="111">
        <f t="shared" si="73"/>
        <v>20210.601843350418</v>
      </c>
      <c r="Q49" s="111">
        <f t="shared" si="73"/>
        <v>22995.114469222812</v>
      </c>
      <c r="R49" s="111">
        <f t="shared" si="73"/>
        <v>31650.621281719501</v>
      </c>
      <c r="S49" s="111">
        <f t="shared" si="73"/>
        <v>24906.055106620308</v>
      </c>
      <c r="T49" s="111">
        <f t="shared" si="73"/>
        <v>10504.141603368589</v>
      </c>
      <c r="U49" s="111">
        <f t="shared" si="73"/>
        <v>1399.3715160857794</v>
      </c>
      <c r="V49" s="111">
        <f t="shared" si="73"/>
        <v>-6411.9743177041819</v>
      </c>
      <c r="W49" s="111">
        <f t="shared" si="74"/>
        <v>-5185.7218260716954</v>
      </c>
      <c r="X49" s="111">
        <f t="shared" si="75"/>
        <v>2846.4614399014058</v>
      </c>
      <c r="Y49" s="111">
        <f t="shared" si="76"/>
        <v>-1349.7506459517836</v>
      </c>
      <c r="Z49" s="111">
        <f t="shared" si="77"/>
        <v>-72267.61992933978</v>
      </c>
      <c r="AA49" s="111">
        <f t="shared" si="78"/>
        <v>-67236.323195088626</v>
      </c>
      <c r="AB49" s="111">
        <f t="shared" si="79"/>
        <v>-61181.848334564791</v>
      </c>
      <c r="AC49" s="111">
        <f t="shared" si="80"/>
        <v>-52101.755022374848</v>
      </c>
      <c r="AD49" s="111">
        <f t="shared" si="81"/>
        <v>-42349.2016974215</v>
      </c>
      <c r="AE49" s="111">
        <f t="shared" si="82"/>
        <v>-34582.216273796781</v>
      </c>
      <c r="AF49" s="111">
        <f t="shared" si="83"/>
        <v>-28832.358602584238</v>
      </c>
      <c r="AG49" s="111">
        <f t="shared" si="84"/>
        <v>-23483.64917379796</v>
      </c>
      <c r="AH49" s="111">
        <f t="shared" si="85"/>
        <v>-17548.996977356943</v>
      </c>
      <c r="AI49" s="115">
        <f t="shared" si="86"/>
        <v>-10091.215345083177</v>
      </c>
    </row>
    <row r="50" spans="1:35" x14ac:dyDescent="0.25">
      <c r="A50" s="165" t="s">
        <v>5</v>
      </c>
      <c r="B50" s="110">
        <f>B43</f>
        <v>-18961.650000000001</v>
      </c>
      <c r="C50" s="114">
        <f t="shared" si="72"/>
        <v>4258.8390220448364</v>
      </c>
      <c r="D50" s="114">
        <f t="shared" si="72"/>
        <v>40060.103410856194</v>
      </c>
      <c r="E50" s="114">
        <f t="shared" si="72"/>
        <v>83976.305028218252</v>
      </c>
      <c r="F50" s="114">
        <f t="shared" si="72"/>
        <v>121006.05894313878</v>
      </c>
      <c r="G50" s="114">
        <f t="shared" si="72"/>
        <v>124266.76681684545</v>
      </c>
      <c r="H50" s="114">
        <f t="shared" si="72"/>
        <v>102655.62911758594</v>
      </c>
      <c r="I50" s="114">
        <f t="shared" si="72"/>
        <v>75310.999385695424</v>
      </c>
      <c r="J50" s="114">
        <f t="shared" si="72"/>
        <v>65780.404766515276</v>
      </c>
      <c r="K50" s="111">
        <f t="shared" si="72"/>
        <v>67943.367456599037</v>
      </c>
      <c r="L50" s="111">
        <f t="shared" si="73"/>
        <v>99885.893788789719</v>
      </c>
      <c r="M50" s="111">
        <f t="shared" si="73"/>
        <v>122054.97742869858</v>
      </c>
      <c r="N50" s="111">
        <f t="shared" si="73"/>
        <v>102292.23951391906</v>
      </c>
      <c r="O50" s="111">
        <f t="shared" si="73"/>
        <v>106138.64024608136</v>
      </c>
      <c r="P50" s="111">
        <f t="shared" si="73"/>
        <v>129814.91760882315</v>
      </c>
      <c r="Q50" s="111">
        <f t="shared" si="73"/>
        <v>151227.93082244103</v>
      </c>
      <c r="R50" s="111">
        <f t="shared" si="73"/>
        <v>173505.30895299136</v>
      </c>
      <c r="S50" s="111">
        <f t="shared" si="73"/>
        <v>144578.15948415466</v>
      </c>
      <c r="T50" s="111">
        <f t="shared" si="73"/>
        <v>96334.184034134814</v>
      </c>
      <c r="U50" s="111">
        <f t="shared" si="73"/>
        <v>65691.731231350306</v>
      </c>
      <c r="V50" s="111">
        <f t="shared" si="73"/>
        <v>29364.647368675138</v>
      </c>
      <c r="W50" s="111">
        <f t="shared" si="74"/>
        <v>22606.645478389921</v>
      </c>
      <c r="X50" s="111">
        <f t="shared" si="75"/>
        <v>49289.532351226851</v>
      </c>
      <c r="Y50" s="111">
        <f t="shared" si="76"/>
        <v>53825.748609094138</v>
      </c>
      <c r="Z50" s="111">
        <f t="shared" si="77"/>
        <v>-217485.7272082709</v>
      </c>
      <c r="AA50" s="111">
        <f t="shared" si="78"/>
        <v>-195322.43293531443</v>
      </c>
      <c r="AB50" s="111">
        <f t="shared" si="79"/>
        <v>-166588.14798980276</v>
      </c>
      <c r="AC50" s="111">
        <f t="shared" si="80"/>
        <v>-131680.3970536585</v>
      </c>
      <c r="AD50" s="111">
        <f t="shared" si="81"/>
        <v>-100183.55876358162</v>
      </c>
      <c r="AE50" s="111">
        <f t="shared" si="82"/>
        <v>-75094.860623023837</v>
      </c>
      <c r="AF50" s="111">
        <f t="shared" si="83"/>
        <v>-55482.24402894279</v>
      </c>
      <c r="AG50" s="111">
        <f t="shared" si="84"/>
        <v>-37397.727013420328</v>
      </c>
      <c r="AH50" s="111">
        <f t="shared" si="85"/>
        <v>-20069.805897304057</v>
      </c>
      <c r="AI50" s="115">
        <f t="shared" si="86"/>
        <v>3598.5800972490965</v>
      </c>
    </row>
    <row r="51" spans="1:35" x14ac:dyDescent="0.25">
      <c r="A51" s="165" t="s">
        <v>6</v>
      </c>
      <c r="B51" s="110">
        <f>B44</f>
        <v>-6315.65</v>
      </c>
      <c r="C51" s="114">
        <f t="shared" si="72"/>
        <v>4257.7867180428266</v>
      </c>
      <c r="D51" s="114">
        <f t="shared" si="72"/>
        <v>19373.163513624193</v>
      </c>
      <c r="E51" s="114">
        <f t="shared" si="72"/>
        <v>27948.911892095595</v>
      </c>
      <c r="F51" s="114">
        <f t="shared" si="72"/>
        <v>34692.124751771829</v>
      </c>
      <c r="G51" s="114">
        <f t="shared" si="72"/>
        <v>23330.174188752684</v>
      </c>
      <c r="H51" s="114">
        <f t="shared" si="72"/>
        <v>14981.901954059773</v>
      </c>
      <c r="I51" s="114">
        <f t="shared" si="72"/>
        <v>-848.2991557844714</v>
      </c>
      <c r="J51" s="114">
        <f t="shared" si="72"/>
        <v>-11345.747240885561</v>
      </c>
      <c r="K51" s="111">
        <f t="shared" si="72"/>
        <v>-18966.028951560387</v>
      </c>
      <c r="L51" s="111">
        <f t="shared" si="73"/>
        <v>-12804.14929168695</v>
      </c>
      <c r="M51" s="111">
        <f t="shared" si="73"/>
        <v>-12096.84647958393</v>
      </c>
      <c r="N51" s="111">
        <f t="shared" si="73"/>
        <v>-23586.288865779807</v>
      </c>
      <c r="O51" s="111">
        <f t="shared" si="73"/>
        <v>-17466.74833117563</v>
      </c>
      <c r="P51" s="111">
        <f t="shared" si="73"/>
        <v>-10448.249993099067</v>
      </c>
      <c r="Q51" s="111">
        <f t="shared" si="73"/>
        <v>5896.2730551771911</v>
      </c>
      <c r="R51" s="111">
        <f t="shared" si="73"/>
        <v>4631.3815969252564</v>
      </c>
      <c r="S51" s="111">
        <f t="shared" si="73"/>
        <v>-7662.2629402679559</v>
      </c>
      <c r="T51" s="111">
        <f t="shared" si="73"/>
        <v>-24837.720573263712</v>
      </c>
      <c r="U51" s="111">
        <f t="shared" si="73"/>
        <v>-39709.715641680203</v>
      </c>
      <c r="V51" s="111">
        <f t="shared" si="73"/>
        <v>-50841.605597000555</v>
      </c>
      <c r="W51" s="111">
        <f t="shared" si="74"/>
        <v>-53273.626080622256</v>
      </c>
      <c r="X51" s="111">
        <f t="shared" si="75"/>
        <v>-46256.818890477254</v>
      </c>
      <c r="Y51" s="111">
        <f t="shared" si="76"/>
        <v>-47875.870882688207</v>
      </c>
      <c r="Z51" s="111">
        <f t="shared" si="77"/>
        <v>-153204.50171868471</v>
      </c>
      <c r="AA51" s="111">
        <f t="shared" si="78"/>
        <v>-144774.09599952362</v>
      </c>
      <c r="AB51" s="111">
        <f t="shared" si="79"/>
        <v>-125621.39593794606</v>
      </c>
      <c r="AC51" s="111">
        <f t="shared" si="80"/>
        <v>-105693.57796094134</v>
      </c>
      <c r="AD51" s="111">
        <f t="shared" si="81"/>
        <v>-85988.690628970202</v>
      </c>
      <c r="AE51" s="111">
        <f t="shared" si="82"/>
        <v>-69711.629507633639</v>
      </c>
      <c r="AF51" s="111">
        <f t="shared" si="83"/>
        <v>-53500.95957530701</v>
      </c>
      <c r="AG51" s="111">
        <f t="shared" si="84"/>
        <v>-38491.177821843245</v>
      </c>
      <c r="AH51" s="111">
        <f t="shared" si="85"/>
        <v>-23297.436887219963</v>
      </c>
      <c r="AI51" s="115">
        <f t="shared" si="86"/>
        <v>-6167.6420271119196</v>
      </c>
    </row>
    <row r="52" spans="1:35" x14ac:dyDescent="0.25">
      <c r="A52" s="165" t="s">
        <v>7</v>
      </c>
      <c r="B52" s="110">
        <f>B45</f>
        <v>0</v>
      </c>
      <c r="C52" s="114">
        <f t="shared" si="72"/>
        <v>43635.357375685671</v>
      </c>
      <c r="D52" s="114">
        <f t="shared" si="72"/>
        <v>60567.971269403111</v>
      </c>
      <c r="E52" s="114">
        <f t="shared" si="72"/>
        <v>71155.53619796093</v>
      </c>
      <c r="F52" s="114">
        <f t="shared" si="72"/>
        <v>80243.196804540712</v>
      </c>
      <c r="G52" s="114">
        <f t="shared" si="72"/>
        <v>74014.950507276182</v>
      </c>
      <c r="H52" s="114">
        <f t="shared" si="72"/>
        <v>73009.415293262791</v>
      </c>
      <c r="I52" s="114">
        <f t="shared" si="72"/>
        <v>62379.052895427056</v>
      </c>
      <c r="J52" s="114">
        <f t="shared" si="72"/>
        <v>56329.526685082623</v>
      </c>
      <c r="K52" s="111">
        <f t="shared" si="72"/>
        <v>54618.403125344579</v>
      </c>
      <c r="L52" s="111">
        <f t="shared" si="73"/>
        <v>57344.643506488552</v>
      </c>
      <c r="M52" s="111">
        <f t="shared" si="73"/>
        <v>67368.895457029925</v>
      </c>
      <c r="N52" s="111">
        <f t="shared" si="73"/>
        <v>73447.848874033021</v>
      </c>
      <c r="O52" s="111">
        <f t="shared" si="73"/>
        <v>83017.13403542903</v>
      </c>
      <c r="P52" s="111">
        <f t="shared" si="73"/>
        <v>89544.384320112542</v>
      </c>
      <c r="Q52" s="111">
        <f t="shared" si="73"/>
        <v>100083.14291782811</v>
      </c>
      <c r="R52" s="111">
        <f t="shared" si="73"/>
        <v>99049.96867992403</v>
      </c>
      <c r="S52" s="111">
        <f t="shared" si="73"/>
        <v>88419.136194858758</v>
      </c>
      <c r="T52" s="111">
        <f t="shared" si="73"/>
        <v>92009.157618813304</v>
      </c>
      <c r="U52" s="111">
        <f t="shared" si="73"/>
        <v>78423.893205199071</v>
      </c>
      <c r="V52" s="111">
        <f t="shared" si="73"/>
        <v>70953.179091795857</v>
      </c>
      <c r="W52" s="111">
        <f t="shared" si="74"/>
        <v>64731.195147787708</v>
      </c>
      <c r="X52" s="111">
        <f t="shared" si="75"/>
        <v>64498.719143799695</v>
      </c>
      <c r="Y52" s="111">
        <f t="shared" si="76"/>
        <v>66865.59001189757</v>
      </c>
      <c r="Z52" s="111">
        <f t="shared" si="77"/>
        <v>-5182.240148010641</v>
      </c>
      <c r="AA52" s="111">
        <f t="shared" si="78"/>
        <v>-13328.465321752281</v>
      </c>
      <c r="AB52" s="111">
        <f t="shared" si="79"/>
        <v>-3099.9228071672742</v>
      </c>
      <c r="AC52" s="111">
        <f t="shared" si="80"/>
        <v>7183.5744372530444</v>
      </c>
      <c r="AD52" s="111">
        <f t="shared" si="81"/>
        <v>17893.4993620432</v>
      </c>
      <c r="AE52" s="111">
        <f t="shared" si="82"/>
        <v>24021.334374725226</v>
      </c>
      <c r="AF52" s="111">
        <f t="shared" si="83"/>
        <v>31722.572058757552</v>
      </c>
      <c r="AG52" s="111">
        <f t="shared" si="84"/>
        <v>37214.189241681161</v>
      </c>
      <c r="AH52" s="111">
        <f t="shared" si="85"/>
        <v>42388.033338796042</v>
      </c>
      <c r="AI52" s="115">
        <f t="shared" si="86"/>
        <v>48879.953583943854</v>
      </c>
    </row>
    <row r="53" spans="1:35" x14ac:dyDescent="0.25">
      <c r="B53" s="100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102"/>
    </row>
    <row r="54" spans="1:35" x14ac:dyDescent="0.25">
      <c r="A54" s="165" t="s">
        <v>65</v>
      </c>
      <c r="B54" s="123">
        <f>+'PCR (M2)'!N67</f>
        <v>7.5000000000000012E-4</v>
      </c>
      <c r="C54" s="124">
        <f>+'PCR (M2)'!O67</f>
        <v>7.5000000000000012E-4</v>
      </c>
      <c r="D54" s="124">
        <f>+'PCR (M2)'!P67</f>
        <v>9.5833333333333328E-4</v>
      </c>
      <c r="E54" s="124">
        <f>+'PCR (M2)'!Q67</f>
        <v>9.5833333333333328E-4</v>
      </c>
      <c r="F54" s="124">
        <f>+'PCR (M2)'!R67</f>
        <v>9.5833333333333328E-4</v>
      </c>
      <c r="G54" s="124">
        <f>+'PCR (M2)'!S67</f>
        <v>1.175E-3</v>
      </c>
      <c r="H54" s="124">
        <f>+'PCR (M2)'!T67</f>
        <v>1.1598750000000001E-3</v>
      </c>
      <c r="I54" s="124">
        <f>+'PCR (M2)'!U67</f>
        <v>1.22248E-3</v>
      </c>
      <c r="J54" s="124">
        <f>+'PCR (M2)'!V67</f>
        <v>1.2068966666666666E-3</v>
      </c>
      <c r="K54" s="186">
        <f>+'PCR (M2)'!W67</f>
        <v>1.2090250000000001E-3</v>
      </c>
      <c r="L54" s="186">
        <f>+'PCR (M2)'!X67</f>
        <v>1.2023907500000001E-3</v>
      </c>
      <c r="M54" s="186">
        <f>+'PCR (M2)'!Y67</f>
        <v>1.4779508333333333E-3</v>
      </c>
      <c r="N54" s="186">
        <f>+'PCR (M2)'!Z67</f>
        <v>1.4294883333333334E-3</v>
      </c>
      <c r="O54" s="186">
        <f>+'PCR (M2)'!AA67</f>
        <v>1.5229716666666667E-3</v>
      </c>
      <c r="P54" s="186">
        <f>+'PCR (M2)'!AB67</f>
        <v>1.7116216666666665E-3</v>
      </c>
      <c r="Q54" s="186">
        <f>+'PCR (M2)'!AC67</f>
        <v>1.9259966666666664E-3</v>
      </c>
      <c r="R54" s="186">
        <f>+'PCR (M2)'!AD67</f>
        <v>1.8323291666666665E-3</v>
      </c>
      <c r="S54" s="186">
        <f>+'PCR (M2)'!AE67</f>
        <v>1.8996341666666667E-3</v>
      </c>
      <c r="T54" s="186">
        <f>+'PCR (M2)'!AF67</f>
        <v>1.9559741666666667E-3</v>
      </c>
      <c r="U54" s="186">
        <f>+'PCR (M2)'!AG67</f>
        <v>1.9378716666666664E-3</v>
      </c>
      <c r="V54" s="186">
        <f>+'PCR (M2)'!AH67</f>
        <v>1.9408016666666668E-3</v>
      </c>
      <c r="W54" s="186">
        <f>+'PCR (M2)'!AI67</f>
        <v>2.0478441666666666E-3</v>
      </c>
      <c r="X54" s="186">
        <f>+'PCR (M2)'!AJ67</f>
        <v>2.1059300000000002E-3</v>
      </c>
      <c r="Y54" s="186">
        <f>+'PCR (M2)'!AK67</f>
        <v>2.2954824999999999E-3</v>
      </c>
      <c r="Z54" s="186">
        <f>+'PCR (M2)'!AL67</f>
        <v>2.3914125E-3</v>
      </c>
      <c r="AA54" s="186">
        <f>+'PCR (M2)'!AM67</f>
        <v>2.3669924999999998E-3</v>
      </c>
      <c r="AB54" s="186">
        <f>+'PCR (M2)'!AN67</f>
        <v>2.3231791666666669E-3</v>
      </c>
      <c r="AC54" s="186">
        <f>+'PCR (M2)'!AO67</f>
        <v>2.2185616666666667E-3</v>
      </c>
      <c r="AD54" s="186">
        <f>+'PCR (M2)'!AP67</f>
        <v>2.2311341666666666E-3</v>
      </c>
      <c r="AE54" s="186">
        <f>+'PCR (M2)'!AQ67</f>
        <v>2.2083808333333331E-3</v>
      </c>
      <c r="AF54" s="186">
        <f>+'PCR (M2)'!AR67</f>
        <v>2.1623908333333335E-3</v>
      </c>
      <c r="AG54" s="186">
        <f>+'PCR (M2)'!AS67</f>
        <v>1.959325E-3</v>
      </c>
      <c r="AH54" s="186">
        <f>+'PCR (M2)'!AT67</f>
        <v>1.8473916666666666E-3</v>
      </c>
      <c r="AI54" s="265">
        <f>+'PCR (M2)'!AU67</f>
        <v>1.7616100000000003E-3</v>
      </c>
    </row>
    <row r="55" spans="1:35" x14ac:dyDescent="0.25">
      <c r="A55" s="165" t="s">
        <v>0</v>
      </c>
      <c r="B55" s="110">
        <f t="shared" ref="B55:K55" si="87">B48*B$54</f>
        <v>-59.823525000000011</v>
      </c>
      <c r="C55" s="114">
        <f t="shared" si="87"/>
        <v>-92.631464838647787</v>
      </c>
      <c r="D55" s="114">
        <f t="shared" si="87"/>
        <v>10.295425303332511</v>
      </c>
      <c r="E55" s="114">
        <f t="shared" si="87"/>
        <v>173.63680972228636</v>
      </c>
      <c r="F55" s="114">
        <f t="shared" si="87"/>
        <v>359.70771559718588</v>
      </c>
      <c r="G55" s="114">
        <f t="shared" si="87"/>
        <v>483.64705432917214</v>
      </c>
      <c r="H55" s="114">
        <f t="shared" si="87"/>
        <v>282.93301596100684</v>
      </c>
      <c r="I55" s="114">
        <f t="shared" si="87"/>
        <v>80.174037183390283</v>
      </c>
      <c r="J55" s="114">
        <f t="shared" si="87"/>
        <v>73.571817019136802</v>
      </c>
      <c r="K55" s="111">
        <f t="shared" si="87"/>
        <v>165.19038038385224</v>
      </c>
      <c r="L55" s="111">
        <f t="shared" ref="L55:V55" si="88">L48*L$54</f>
        <v>342.31245110352967</v>
      </c>
      <c r="M55" s="111">
        <f t="shared" si="88"/>
        <v>422.73076371788284</v>
      </c>
      <c r="N55" s="111">
        <f t="shared" si="88"/>
        <v>-117.43516071060991</v>
      </c>
      <c r="O55" s="111">
        <f t="shared" si="88"/>
        <v>-441.33264512685281</v>
      </c>
      <c r="P55" s="111">
        <f t="shared" si="88"/>
        <v>-566.76031098015903</v>
      </c>
      <c r="Q55" s="111">
        <f t="shared" si="88"/>
        <v>-671.66298205367616</v>
      </c>
      <c r="R55" s="111">
        <f t="shared" si="88"/>
        <v>-441.23360643203682</v>
      </c>
      <c r="S55" s="111">
        <f t="shared" si="88"/>
        <v>-751.60241910673301</v>
      </c>
      <c r="T55" s="111">
        <f t="shared" si="88"/>
        <v>-1349.8268547146224</v>
      </c>
      <c r="U55" s="111">
        <f t="shared" si="88"/>
        <v>-1718.4032628423497</v>
      </c>
      <c r="V55" s="111">
        <f t="shared" si="88"/>
        <v>-2040.2304757935847</v>
      </c>
      <c r="W55" s="111">
        <f t="shared" ref="W55:AI55" si="89">W48*W$54</f>
        <v>-2113.8963802506282</v>
      </c>
      <c r="X55" s="111">
        <f t="shared" si="89"/>
        <v>-2041.0725609354881</v>
      </c>
      <c r="Y55" s="111">
        <f t="shared" si="89"/>
        <v>-2609.3938800075775</v>
      </c>
      <c r="Z55" s="111">
        <f t="shared" si="89"/>
        <v>-4693.1471904359732</v>
      </c>
      <c r="AA55" s="111">
        <f t="shared" si="89"/>
        <v>-4283.9368122405149</v>
      </c>
      <c r="AB55" s="111">
        <f t="shared" si="89"/>
        <v>-3834.3427002449321</v>
      </c>
      <c r="AC55" s="111">
        <f t="shared" si="89"/>
        <v>-3272.5369819782877</v>
      </c>
      <c r="AD55" s="111">
        <f t="shared" si="89"/>
        <v>-2887.2092633129273</v>
      </c>
      <c r="AE55" s="111">
        <f t="shared" si="89"/>
        <v>-2477.7666813354194</v>
      </c>
      <c r="AF55" s="111">
        <f t="shared" si="89"/>
        <v>-2075.4659595801859</v>
      </c>
      <c r="AG55" s="111">
        <f t="shared" si="89"/>
        <v>-1566.8794930999386</v>
      </c>
      <c r="AH55" s="111">
        <f t="shared" si="89"/>
        <v>-1173.3556039549019</v>
      </c>
      <c r="AI55" s="115">
        <f t="shared" si="89"/>
        <v>-813.63370104971204</v>
      </c>
    </row>
    <row r="56" spans="1:35" x14ac:dyDescent="0.25">
      <c r="A56" s="165" t="s">
        <v>4</v>
      </c>
      <c r="B56" s="110">
        <f t="shared" ref="B56:K56" si="90">B49*B$54</f>
        <v>-4.6608300000000007</v>
      </c>
      <c r="C56" s="114">
        <f t="shared" si="90"/>
        <v>-3.3260448706821584</v>
      </c>
      <c r="D56" s="114">
        <f t="shared" si="90"/>
        <v>4.4031792217834163</v>
      </c>
      <c r="E56" s="114">
        <f t="shared" si="90"/>
        <v>16.958362001507449</v>
      </c>
      <c r="F56" s="114">
        <f t="shared" si="90"/>
        <v>30.051815499492747</v>
      </c>
      <c r="G56" s="114">
        <f t="shared" si="90"/>
        <v>40.822380532927895</v>
      </c>
      <c r="H56" s="114">
        <f t="shared" si="90"/>
        <v>32.425216340592449</v>
      </c>
      <c r="I56" s="114">
        <f t="shared" si="90"/>
        <v>24.986431783486587</v>
      </c>
      <c r="J56" s="114">
        <f t="shared" si="90"/>
        <v>25.128307861782183</v>
      </c>
      <c r="K56" s="111">
        <f t="shared" si="90"/>
        <v>29.987915780857822</v>
      </c>
      <c r="L56" s="111">
        <f t="shared" ref="L56:V56" si="91">L49*L$54</f>
        <v>42.898687181520501</v>
      </c>
      <c r="M56" s="111">
        <f t="shared" si="91"/>
        <v>60.340197805319988</v>
      </c>
      <c r="N56" s="111">
        <f t="shared" si="91"/>
        <v>36.915021787464738</v>
      </c>
      <c r="O56" s="111">
        <f t="shared" si="91"/>
        <v>28.014720848628873</v>
      </c>
      <c r="P56" s="111">
        <f t="shared" si="91"/>
        <v>34.592904011451843</v>
      </c>
      <c r="Q56" s="111">
        <f t="shared" si="91"/>
        <v>44.288513817341567</v>
      </c>
      <c r="R56" s="111">
        <f t="shared" si="91"/>
        <v>57.994356517615351</v>
      </c>
      <c r="S56" s="111">
        <f t="shared" si="91"/>
        <v>47.312393237418746</v>
      </c>
      <c r="T56" s="111">
        <f t="shared" si="91"/>
        <v>20.545829619197541</v>
      </c>
      <c r="U56" s="111">
        <f t="shared" si="91"/>
        <v>2.7118024121630091</v>
      </c>
      <c r="V56" s="111">
        <f t="shared" si="91"/>
        <v>-12.444370442424139</v>
      </c>
      <c r="W56" s="111">
        <f t="shared" ref="W56:AI56" si="92">W49*W$54</f>
        <v>-10.619550191476936</v>
      </c>
      <c r="X56" s="111">
        <f t="shared" si="92"/>
        <v>5.9944485401315681</v>
      </c>
      <c r="Y56" s="111">
        <f t="shared" si="92"/>
        <v>-3.0983289871460147</v>
      </c>
      <c r="Z56" s="111">
        <f t="shared" si="92"/>
        <v>-172.82168964427228</v>
      </c>
      <c r="AA56" s="111">
        <f t="shared" si="92"/>
        <v>-159.1478727303508</v>
      </c>
      <c r="AB56" s="111">
        <f t="shared" si="92"/>
        <v>-142.13639542902064</v>
      </c>
      <c r="AC56" s="111">
        <f t="shared" si="92"/>
        <v>-115.59095645869832</v>
      </c>
      <c r="AD56" s="111">
        <f t="shared" si="92"/>
        <v>-94.486750838175098</v>
      </c>
      <c r="AE56" s="111">
        <f t="shared" si="92"/>
        <v>-76.37070359324089</v>
      </c>
      <c r="AF56" s="111">
        <f t="shared" si="92"/>
        <v>-62.346827945607636</v>
      </c>
      <c r="AG56" s="111">
        <f t="shared" si="92"/>
        <v>-46.01210091745169</v>
      </c>
      <c r="AH56" s="111">
        <f t="shared" si="92"/>
        <v>-32.419870774327741</v>
      </c>
      <c r="AI56" s="115">
        <f t="shared" si="92"/>
        <v>-17.77678586405198</v>
      </c>
    </row>
    <row r="57" spans="1:35" x14ac:dyDescent="0.25">
      <c r="A57" s="165" t="s">
        <v>5</v>
      </c>
      <c r="B57" s="110">
        <f t="shared" ref="B57:K57" si="93">B50*B$54</f>
        <v>-14.221237500000003</v>
      </c>
      <c r="C57" s="114">
        <f t="shared" si="93"/>
        <v>3.1941292665336278</v>
      </c>
      <c r="D57" s="114">
        <f t="shared" si="93"/>
        <v>38.390932435403847</v>
      </c>
      <c r="E57" s="114">
        <f t="shared" si="93"/>
        <v>80.477292318709161</v>
      </c>
      <c r="F57" s="114">
        <f t="shared" si="93"/>
        <v>115.964139820508</v>
      </c>
      <c r="G57" s="114">
        <f t="shared" si="93"/>
        <v>146.01345100979341</v>
      </c>
      <c r="H57" s="114">
        <f t="shared" si="93"/>
        <v>119.06769782276</v>
      </c>
      <c r="I57" s="114">
        <f t="shared" si="93"/>
        <v>92.066190529024936</v>
      </c>
      <c r="J57" s="114">
        <f t="shared" si="93"/>
        <v>79.390151244691396</v>
      </c>
      <c r="K57" s="111">
        <f t="shared" si="93"/>
        <v>82.14522983921465</v>
      </c>
      <c r="L57" s="111">
        <f t="shared" ref="L57:V57" si="94">L50*L$54</f>
        <v>120.10187474712322</v>
      </c>
      <c r="M57" s="111">
        <f t="shared" si="94"/>
        <v>180.39125560322626</v>
      </c>
      <c r="N57" s="111">
        <f t="shared" si="94"/>
        <v>146.2255629756863</v>
      </c>
      <c r="O57" s="111">
        <f t="shared" si="94"/>
        <v>161.64614183330826</v>
      </c>
      <c r="P57" s="111">
        <f t="shared" si="94"/>
        <v>222.19402563580988</v>
      </c>
      <c r="Q57" s="111">
        <f t="shared" si="94"/>
        <v>291.26449067091863</v>
      </c>
      <c r="R57" s="111">
        <f t="shared" si="94"/>
        <v>317.91883816607719</v>
      </c>
      <c r="S57" s="111">
        <f t="shared" si="94"/>
        <v>274.64561150988254</v>
      </c>
      <c r="T57" s="111">
        <f t="shared" si="94"/>
        <v>188.42717533768015</v>
      </c>
      <c r="U57" s="111">
        <f t="shared" si="94"/>
        <v>127.30214468751552</v>
      </c>
      <c r="V57" s="111">
        <f t="shared" si="94"/>
        <v>56.990956554203656</v>
      </c>
      <c r="W57" s="111">
        <f t="shared" ref="W57:AI57" si="95">W50*W$54</f>
        <v>46.294887070822178</v>
      </c>
      <c r="X57" s="111">
        <f t="shared" si="95"/>
        <v>103.80030486441918</v>
      </c>
      <c r="Y57" s="111">
        <f t="shared" si="95"/>
        <v>123.55606398157494</v>
      </c>
      <c r="Z57" s="111">
        <f t="shared" si="95"/>
        <v>-520.0980866174491</v>
      </c>
      <c r="AA57" s="111">
        <f t="shared" si="95"/>
        <v>-462.3267338396422</v>
      </c>
      <c r="AB57" s="111">
        <f t="shared" si="95"/>
        <v>-387.01411482349334</v>
      </c>
      <c r="AC57" s="111">
        <f t="shared" si="95"/>
        <v>-292.14108115469304</v>
      </c>
      <c r="AD57" s="111">
        <f t="shared" si="95"/>
        <v>-223.52296089568469</v>
      </c>
      <c r="AE57" s="111">
        <f t="shared" si="95"/>
        <v>-165.83805088172389</v>
      </c>
      <c r="AF57" s="111">
        <f t="shared" si="95"/>
        <v>-119.97429590094896</v>
      </c>
      <c r="AG57" s="111">
        <f t="shared" si="95"/>
        <v>-73.27430148056979</v>
      </c>
      <c r="AH57" s="111">
        <f t="shared" si="95"/>
        <v>-37.076792166297039</v>
      </c>
      <c r="AI57" s="115">
        <f t="shared" si="95"/>
        <v>6.3392946851149823</v>
      </c>
    </row>
    <row r="58" spans="1:35" x14ac:dyDescent="0.25">
      <c r="A58" s="165" t="s">
        <v>6</v>
      </c>
      <c r="B58" s="110">
        <f t="shared" ref="B58:K58" si="96">B51*B$54</f>
        <v>-4.7367375000000003</v>
      </c>
      <c r="C58" s="114">
        <f t="shared" si="96"/>
        <v>3.1933400385321207</v>
      </c>
      <c r="D58" s="114">
        <f t="shared" si="96"/>
        <v>18.565948367223182</v>
      </c>
      <c r="E58" s="114">
        <f t="shared" si="96"/>
        <v>26.78437389659161</v>
      </c>
      <c r="F58" s="114">
        <f t="shared" si="96"/>
        <v>33.246619553781336</v>
      </c>
      <c r="G58" s="114">
        <f t="shared" si="96"/>
        <v>27.412954671784405</v>
      </c>
      <c r="H58" s="114">
        <f t="shared" si="96"/>
        <v>17.377133528965082</v>
      </c>
      <c r="I58" s="114">
        <f t="shared" si="96"/>
        <v>-1.0370287519634005</v>
      </c>
      <c r="J58" s="114">
        <f t="shared" si="96"/>
        <v>-13.693144525867313</v>
      </c>
      <c r="K58" s="111">
        <f t="shared" si="96"/>
        <v>-22.930403153160299</v>
      </c>
      <c r="L58" s="111">
        <f t="shared" ref="L58:V58" si="97">L51*L$54</f>
        <v>-15.395590669943441</v>
      </c>
      <c r="M58" s="111">
        <f t="shared" si="97"/>
        <v>-17.87854433520647</v>
      </c>
      <c r="N58" s="111">
        <f t="shared" si="97"/>
        <v>-33.716324760262133</v>
      </c>
      <c r="O58" s="111">
        <f t="shared" si="97"/>
        <v>-26.601362817177769</v>
      </c>
      <c r="P58" s="111">
        <f t="shared" si="97"/>
        <v>-17.883451066938211</v>
      </c>
      <c r="Q58" s="111">
        <f t="shared" si="97"/>
        <v>11.356202250027751</v>
      </c>
      <c r="R58" s="111">
        <f t="shared" si="97"/>
        <v>8.4862155820093896</v>
      </c>
      <c r="S58" s="111">
        <f t="shared" si="97"/>
        <v>-14.555496475316801</v>
      </c>
      <c r="T58" s="111">
        <f t="shared" si="97"/>
        <v>-48.581939800189012</v>
      </c>
      <c r="U58" s="111">
        <f t="shared" si="97"/>
        <v>-76.95233283340221</v>
      </c>
      <c r="V58" s="111">
        <f t="shared" si="97"/>
        <v>-98.673472878668008</v>
      </c>
      <c r="W58" s="111">
        <f t="shared" ref="W58:AI58" si="98">W51*W$54</f>
        <v>-109.09608440638348</v>
      </c>
      <c r="X58" s="111">
        <f t="shared" si="98"/>
        <v>-97.41362260602277</v>
      </c>
      <c r="Y58" s="111">
        <f t="shared" si="98"/>
        <v>-109.89822378347033</v>
      </c>
      <c r="Z58" s="111">
        <f t="shared" si="98"/>
        <v>-366.37516046633414</v>
      </c>
      <c r="AA58" s="111">
        <f t="shared" si="98"/>
        <v>-342.67919942515238</v>
      </c>
      <c r="AB58" s="111">
        <f t="shared" si="98"/>
        <v>-291.84100993062094</v>
      </c>
      <c r="AC58" s="111">
        <f t="shared" si="98"/>
        <v>-234.4877204769893</v>
      </c>
      <c r="AD58" s="111">
        <f t="shared" si="98"/>
        <v>-191.85230560922523</v>
      </c>
      <c r="AE58" s="111">
        <f t="shared" si="98"/>
        <v>-153.94982646509254</v>
      </c>
      <c r="AF58" s="111">
        <f t="shared" si="98"/>
        <v>-115.68998456018112</v>
      </c>
      <c r="AG58" s="111">
        <f t="shared" si="98"/>
        <v>-75.416726985783015</v>
      </c>
      <c r="AH58" s="111">
        <f t="shared" si="98"/>
        <v>-43.039490760142762</v>
      </c>
      <c r="AI58" s="115">
        <f t="shared" si="98"/>
        <v>-10.86497987138063</v>
      </c>
    </row>
    <row r="59" spans="1:35" ht="15.75" thickBot="1" x14ac:dyDescent="0.3">
      <c r="A59" s="165" t="s">
        <v>7</v>
      </c>
      <c r="B59" s="110">
        <f t="shared" ref="B59:K59" si="99">B52*B$54</f>
        <v>0</v>
      </c>
      <c r="C59" s="114">
        <f t="shared" si="99"/>
        <v>32.726518031764257</v>
      </c>
      <c r="D59" s="114">
        <f t="shared" si="99"/>
        <v>58.044305799844643</v>
      </c>
      <c r="E59" s="114">
        <f t="shared" si="99"/>
        <v>68.190722189712559</v>
      </c>
      <c r="F59" s="114">
        <f t="shared" si="99"/>
        <v>76.899730271018171</v>
      </c>
      <c r="G59" s="114">
        <f t="shared" si="99"/>
        <v>86.967566846049522</v>
      </c>
      <c r="H59" s="114">
        <f t="shared" si="99"/>
        <v>84.681795563273184</v>
      </c>
      <c r="I59" s="114">
        <f t="shared" si="99"/>
        <v>76.257144583601658</v>
      </c>
      <c r="J59" s="114">
        <f t="shared" si="99"/>
        <v>67.983917991137261</v>
      </c>
      <c r="K59" s="111">
        <f t="shared" si="99"/>
        <v>66.03501483861973</v>
      </c>
      <c r="L59" s="111">
        <f t="shared" ref="L59:V59" si="100">L52*L$54</f>
        <v>68.950668914249405</v>
      </c>
      <c r="M59" s="111">
        <f t="shared" si="100"/>
        <v>99.56791518146359</v>
      </c>
      <c r="N59" s="111">
        <f t="shared" si="100"/>
        <v>104.99284307386002</v>
      </c>
      <c r="O59" s="111">
        <f t="shared" si="100"/>
        <v>126.43274298382741</v>
      </c>
      <c r="P59" s="111">
        <f t="shared" si="100"/>
        <v>153.26610833063154</v>
      </c>
      <c r="Q59" s="111">
        <f t="shared" si="100"/>
        <v>192.75979964926051</v>
      </c>
      <c r="R59" s="111">
        <f t="shared" si="100"/>
        <v>181.4921465696446</v>
      </c>
      <c r="S59" s="111">
        <f t="shared" si="100"/>
        <v>167.96401210290702</v>
      </c>
      <c r="T59" s="111">
        <f t="shared" si="100"/>
        <v>179.96753539916034</v>
      </c>
      <c r="U59" s="111">
        <f t="shared" si="100"/>
        <v>151.97544063204776</v>
      </c>
      <c r="V59" s="111">
        <f t="shared" si="100"/>
        <v>137.7060482366559</v>
      </c>
      <c r="W59" s="111">
        <f t="shared" ref="W59:AI59" si="101">W52*W$54</f>
        <v>132.5594003847587</v>
      </c>
      <c r="X59" s="111">
        <f t="shared" si="101"/>
        <v>135.82978760650209</v>
      </c>
      <c r="Y59" s="111">
        <f t="shared" si="101"/>
        <v>153.48879172448565</v>
      </c>
      <c r="Z59" s="111">
        <f t="shared" si="101"/>
        <v>-12.392873867954497</v>
      </c>
      <c r="AA59" s="111">
        <f t="shared" si="101"/>
        <v>-31.548377453097732</v>
      </c>
      <c r="AB59" s="111">
        <f t="shared" si="101"/>
        <v>-7.2016760838858627</v>
      </c>
      <c r="AC59" s="111">
        <f t="shared" si="101"/>
        <v>15.937202876136176</v>
      </c>
      <c r="AD59" s="111">
        <f t="shared" si="101"/>
        <v>39.922797787882786</v>
      </c>
      <c r="AE59" s="111">
        <f t="shared" si="101"/>
        <v>53.048254424234337</v>
      </c>
      <c r="AF59" s="111">
        <f t="shared" si="101"/>
        <v>68.596599029613458</v>
      </c>
      <c r="AG59" s="111">
        <f t="shared" si="101"/>
        <v>72.914691335956945</v>
      </c>
      <c r="AH59" s="111">
        <f t="shared" si="101"/>
        <v>78.307299556480643</v>
      </c>
      <c r="AI59" s="115">
        <f t="shared" si="101"/>
        <v>86.10741503301135</v>
      </c>
    </row>
    <row r="60" spans="1:35" ht="16.5" thickTop="1" thickBot="1" x14ac:dyDescent="0.3">
      <c r="A60" s="126" t="s">
        <v>71</v>
      </c>
      <c r="B60" s="130">
        <f>SUM(B55:B59)+SUM(B48:B52)-B63</f>
        <v>0</v>
      </c>
      <c r="C60" s="131">
        <f>SUM(C55:C59)+SUM(C48:C52)-C63</f>
        <v>0</v>
      </c>
      <c r="D60" s="131">
        <f>SUM(D55:D59)+SUM(D48:D52)-D63</f>
        <v>0</v>
      </c>
      <c r="E60" s="131">
        <f t="shared" ref="E60:K60" si="102">SUM(E55:E59)+SUM(E48:E52)-E63</f>
        <v>0</v>
      </c>
      <c r="F60" s="131">
        <f t="shared" si="102"/>
        <v>0</v>
      </c>
      <c r="G60" s="131">
        <f t="shared" si="102"/>
        <v>0</v>
      </c>
      <c r="H60" s="131">
        <f t="shared" si="102"/>
        <v>0</v>
      </c>
      <c r="I60" s="131">
        <f t="shared" si="102"/>
        <v>0</v>
      </c>
      <c r="J60" s="131">
        <f t="shared" si="102"/>
        <v>0</v>
      </c>
      <c r="K60" s="154">
        <f t="shared" si="102"/>
        <v>0</v>
      </c>
      <c r="L60" s="154">
        <f t="shared" ref="L60:V60" si="103">SUM(L55:L59)+SUM(L48:L52)-L63</f>
        <v>0</v>
      </c>
      <c r="M60" s="154">
        <f t="shared" si="103"/>
        <v>4.6566128730773926E-10</v>
      </c>
      <c r="N60" s="154">
        <f t="shared" si="103"/>
        <v>5.9662852436304092E-10</v>
      </c>
      <c r="O60" s="154">
        <f t="shared" si="103"/>
        <v>5.9662852436304092E-10</v>
      </c>
      <c r="P60" s="154">
        <f t="shared" si="103"/>
        <v>6.2573235481977463E-10</v>
      </c>
      <c r="Q60" s="154">
        <f t="shared" si="103"/>
        <v>9.1677065938711166E-10</v>
      </c>
      <c r="R60" s="154">
        <f t="shared" si="103"/>
        <v>9.3132257461547852E-10</v>
      </c>
      <c r="S60" s="154">
        <f t="shared" si="103"/>
        <v>1.0186340659856796E-9</v>
      </c>
      <c r="T60" s="154">
        <f t="shared" si="103"/>
        <v>9.8953023552894592E-10</v>
      </c>
      <c r="U60" s="154">
        <f t="shared" si="103"/>
        <v>1.280568540096283E-9</v>
      </c>
      <c r="V60" s="154">
        <f t="shared" si="103"/>
        <v>1.3969838619232178E-9</v>
      </c>
      <c r="W60" s="154">
        <f t="shared" ref="W60:AI60" si="104">SUM(W55:W59)+SUM(W48:W52)-W63</f>
        <v>1.3969838619232178E-9</v>
      </c>
      <c r="X60" s="154">
        <f t="shared" si="104"/>
        <v>1.6298145055770874E-9</v>
      </c>
      <c r="Y60" s="154">
        <f t="shared" si="104"/>
        <v>0</v>
      </c>
      <c r="Z60" s="154">
        <f t="shared" si="104"/>
        <v>0</v>
      </c>
      <c r="AA60" s="154">
        <f t="shared" si="104"/>
        <v>0</v>
      </c>
      <c r="AB60" s="154">
        <f t="shared" si="104"/>
        <v>0</v>
      </c>
      <c r="AC60" s="154">
        <f t="shared" si="104"/>
        <v>0</v>
      </c>
      <c r="AD60" s="154">
        <f t="shared" si="104"/>
        <v>0</v>
      </c>
      <c r="AE60" s="154">
        <f t="shared" si="104"/>
        <v>0</v>
      </c>
      <c r="AF60" s="154">
        <f t="shared" si="104"/>
        <v>0</v>
      </c>
      <c r="AG60" s="154">
        <f t="shared" si="104"/>
        <v>1.862645149230957E-9</v>
      </c>
      <c r="AH60" s="154">
        <f t="shared" si="104"/>
        <v>1.6298145055770874E-9</v>
      </c>
      <c r="AI60" s="132">
        <f t="shared" si="104"/>
        <v>1.8044374883174896E-9</v>
      </c>
    </row>
    <row r="61" spans="1:35" ht="16.5" thickTop="1" thickBot="1" x14ac:dyDescent="0.3">
      <c r="A61" s="126" t="s">
        <v>72</v>
      </c>
      <c r="B61" s="130">
        <f>SUM(B55:B59)-B38</f>
        <v>-2.3300000000148202E-3</v>
      </c>
      <c r="C61" s="131">
        <f>SUM(C55:C59)-C38</f>
        <v>-3.5223724999440265E-3</v>
      </c>
      <c r="D61" s="131">
        <f t="shared" ref="D61:J61" si="105">SUM(D55:D59)-D38</f>
        <v>-2.0887241240075127E-4</v>
      </c>
      <c r="E61" s="131">
        <f t="shared" si="105"/>
        <v>-2.4398711928483863E-3</v>
      </c>
      <c r="F61" s="131">
        <f t="shared" si="105"/>
        <v>2.0741986077155161E-5</v>
      </c>
      <c r="G61" s="131">
        <f>SUM(G55:G59)-G38</f>
        <v>3.4073897272719478E-3</v>
      </c>
      <c r="H61" s="131">
        <f t="shared" si="105"/>
        <v>4.8592165975378521E-3</v>
      </c>
      <c r="I61" s="131">
        <f t="shared" si="105"/>
        <v>-3.2246724599076515E-3</v>
      </c>
      <c r="J61" s="131">
        <f t="shared" si="105"/>
        <v>1.0495908803136444E-3</v>
      </c>
      <c r="K61" s="154">
        <f>SUM(K55:K59)-K38</f>
        <v>-1.8623106158770497E-3</v>
      </c>
      <c r="L61" s="154">
        <f t="shared" ref="L61:V61" si="106">SUM(L55:L59)-L38</f>
        <v>-1.9087235206143305E-3</v>
      </c>
      <c r="M61" s="154">
        <f t="shared" si="106"/>
        <v>1.5879726862522148E-3</v>
      </c>
      <c r="N61" s="154">
        <f t="shared" si="106"/>
        <v>1.9423661390192137E-3</v>
      </c>
      <c r="O61" s="154">
        <f t="shared" si="106"/>
        <v>-4.0227826599448235E-4</v>
      </c>
      <c r="P61" s="154">
        <f t="shared" si="106"/>
        <v>-7.2406920392609209E-4</v>
      </c>
      <c r="Q61" s="154">
        <f t="shared" si="106"/>
        <v>-3.9756661276442173E-3</v>
      </c>
      <c r="R61" s="154">
        <f t="shared" si="106"/>
        <v>-2.0495966902700502E-3</v>
      </c>
      <c r="S61" s="154">
        <f t="shared" si="106"/>
        <v>4.1012681585357313E-3</v>
      </c>
      <c r="T61" s="154">
        <f t="shared" si="106"/>
        <v>1.745841226693301E-3</v>
      </c>
      <c r="U61" s="154">
        <f t="shared" si="106"/>
        <v>3.792055974372488E-3</v>
      </c>
      <c r="V61" s="154">
        <f t="shared" si="106"/>
        <v>-1.3143238170414406E-3</v>
      </c>
      <c r="W61" s="154">
        <f t="shared" ref="W61:AI61" si="107">SUM(W55:W59)-W38</f>
        <v>2.2726070928911213E-3</v>
      </c>
      <c r="X61" s="154">
        <f t="shared" si="107"/>
        <v>-1.6425304581844102E-3</v>
      </c>
      <c r="Y61" s="154">
        <f t="shared" si="107"/>
        <v>4.4229278664715821E-3</v>
      </c>
      <c r="Z61" s="154">
        <f t="shared" si="107"/>
        <v>4.9989680182989105E-3</v>
      </c>
      <c r="AA61" s="154">
        <f t="shared" si="107"/>
        <v>1.004311241558753E-3</v>
      </c>
      <c r="AB61" s="154">
        <f t="shared" si="107"/>
        <v>4.1034880468941992E-3</v>
      </c>
      <c r="AC61" s="154">
        <f t="shared" si="107"/>
        <v>4.6280746846605325E-4</v>
      </c>
      <c r="AD61" s="154">
        <f t="shared" si="107"/>
        <v>1.5171318705142767E-3</v>
      </c>
      <c r="AE61" s="154">
        <f t="shared" si="107"/>
        <v>2.9921487580395478E-3</v>
      </c>
      <c r="AF61" s="154">
        <f t="shared" si="107"/>
        <v>-4.6895731020413223E-4</v>
      </c>
      <c r="AG61" s="154">
        <f t="shared" si="107"/>
        <v>2.0688522135969833E-3</v>
      </c>
      <c r="AH61" s="154">
        <f t="shared" si="107"/>
        <v>-4.4580991889233701E-3</v>
      </c>
      <c r="AI61" s="132">
        <f t="shared" si="107"/>
        <v>1.2429329816541212E-3</v>
      </c>
    </row>
    <row r="62" spans="1:35" ht="15.75" thickTop="1" x14ac:dyDescent="0.25">
      <c r="B62" s="100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102"/>
    </row>
    <row r="63" spans="1:35" x14ac:dyDescent="0.25">
      <c r="A63" s="165" t="s">
        <v>73</v>
      </c>
      <c r="B63" s="110">
        <f>(SUM(B15:B19)-SUM(B22:B26))+SUM(B55:B59)</f>
        <v>-111339.88233000001</v>
      </c>
      <c r="C63" s="114">
        <f>(SUM(C15:C19)-SUM(C22:C26))+SUM(C55:C59)+B63</f>
        <v>-75848.206685705722</v>
      </c>
      <c r="D63" s="114">
        <f t="shared" ref="D63:K63" si="108">(SUM(D15:D19)-SUM(D22:D26))+SUM(D55:D59)+C63</f>
        <v>135468.6122720885</v>
      </c>
      <c r="E63" s="114">
        <f t="shared" si="108"/>
        <v>382328.71899888391</v>
      </c>
      <c r="F63" s="114">
        <f t="shared" si="108"/>
        <v>643262.84818629269</v>
      </c>
      <c r="G63" s="114">
        <f t="shared" si="108"/>
        <v>668753.72076034895</v>
      </c>
      <c r="H63" s="114">
        <f t="shared" si="108"/>
        <v>463073.27478623216</v>
      </c>
      <c r="I63" s="114">
        <f t="shared" si="108"/>
        <v>223136.44072822644</v>
      </c>
      <c r="J63" s="114">
        <f t="shared" si="108"/>
        <v>192776.66094448394</v>
      </c>
      <c r="K63" s="111">
        <f t="shared" si="108"/>
        <v>265350.62824883987</v>
      </c>
      <c r="L63" s="111">
        <f t="shared" ref="L63" si="109">(SUM(L15:L19)-SUM(L22:L26))+SUM(L55:L59)+K63</f>
        <v>465356.26550678303</v>
      </c>
      <c r="M63" s="111">
        <f t="shared" ref="M63" si="110">(SUM(M15:M19)-SUM(M22:M26))+SUM(M55:M59)+L63</f>
        <v>504924.02626142121</v>
      </c>
      <c r="N63" s="111">
        <f t="shared" ref="N63" si="111">(SUM(N15:N19)-SUM(N22:N26))+SUM(N55:N59)+M63</f>
        <v>95962.837370453926</v>
      </c>
      <c r="O63" s="111">
        <f t="shared" ref="O63" si="112">(SUM(O15:O19)-SUM(O22:O26))+SUM(O55:O59)+N63</f>
        <v>-99851.9238651575</v>
      </c>
      <c r="P63" s="111">
        <f t="shared" ref="P63" si="113">(SUM(P15:P19)-SUM(P22:P26))+SUM(P55:P59)+O63</f>
        <v>-102177.69542255987</v>
      </c>
      <c r="Q63" s="111">
        <f t="shared" ref="Q63" si="114">(SUM(Q15:Q19)-SUM(Q22:Q26))+SUM(Q55:Q59)+P63</f>
        <v>-68664.810231559357</v>
      </c>
      <c r="R63" s="111">
        <f t="shared" ref="R63" si="115">(SUM(R15:R19)-SUM(R22:R26))+SUM(R55:R59)+Q63</f>
        <v>68157.166885510786</v>
      </c>
      <c r="S63" s="111">
        <f t="shared" ref="S63" si="116">(SUM(S15:S19)-SUM(S22:S26))+SUM(S55:S59)+R63</f>
        <v>-145691.54984655426</v>
      </c>
      <c r="T63" s="111">
        <f t="shared" ref="T63" si="117">(SUM(T15:T19)-SUM(T22:T26))+SUM(T55:T59)+S63</f>
        <v>-517104.34893404611</v>
      </c>
      <c r="U63" s="111">
        <f t="shared" ref="U63" si="118">(SUM(U15:U19)-SUM(U22:U26))+SUM(U55:U59)+T63</f>
        <v>-782455.79597532365</v>
      </c>
      <c r="V63" s="111">
        <f t="shared" ref="V63" si="119">(SUM(V15:V19)-SUM(V22:V26))+SUM(V55:V59)+U63</f>
        <v>-1010123.198122981</v>
      </c>
      <c r="W63" s="111">
        <f t="shared" ref="W63" si="120">(SUM(W15:W19)-SUM(W22:W26))+SUM(W55:W59)+V63</f>
        <v>-1005430.7766837073</v>
      </c>
      <c r="X63" s="111">
        <f t="shared" ref="X63" si="121">(SUM(X15:X19)-SUM(X22:X26))+SUM(X55:X59)+W63</f>
        <v>-900717.43915957096</v>
      </c>
      <c r="Y63" s="111">
        <f t="shared" ref="Y63" si="122">(SUM(Y15:Y19)-SUM(Y22:Y26))+SUM(Y55:Y59)+X63</f>
        <v>-1067731.4355699765</v>
      </c>
      <c r="Z63" s="111">
        <f t="shared" ref="Z63" si="123">(SUM(Z15:Z19)-SUM(Z22:Z26))+SUM(Z55:Z59)+Y63</f>
        <v>-2416404.9905710085</v>
      </c>
      <c r="AA63" s="111">
        <f t="shared" ref="AA63" si="124">(SUM(AA15:AA19)-SUM(AA22:AA26))+SUM(AA55:AA59)+Z63</f>
        <v>-2235805.927392784</v>
      </c>
      <c r="AB63" s="111">
        <f t="shared" ref="AB63" si="125">(SUM(AB15:AB19)-SUM(AB22:AB26))+SUM(AB55:AB59)+AA63</f>
        <v>-2011626.081115383</v>
      </c>
      <c r="AC63" s="111">
        <f t="shared" ref="AC63" si="126">(SUM(AC15:AC19)-SUM(AC22:AC26))+SUM(AC55:AC59)+AB63</f>
        <v>-1761262.4284786624</v>
      </c>
      <c r="AD63" s="111">
        <f t="shared" ref="AD63" si="127">(SUM(AD15:AD19)-SUM(AD22:AD26))+SUM(AD55:AD59)+AC63</f>
        <v>-1508039.6247876175</v>
      </c>
      <c r="AE63" s="111">
        <f t="shared" ref="AE63" si="128">(SUM(AE15:AE19)-SUM(AE22:AE26))+SUM(AE55:AE59)+AD63</f>
        <v>-1280171.6696215556</v>
      </c>
      <c r="AF63" s="111">
        <f t="shared" ref="AF63" si="129">(SUM(AF15:AF19)-SUM(AF22:AF26))+SUM(AF55:AF59)+AE63</f>
        <v>-1068199.3679165998</v>
      </c>
      <c r="AG63" s="111">
        <f t="shared" ref="AG63" si="130">(SUM(AG15:AG19)-SUM(AG22:AG26))+SUM(AG55:AG59)+AF63</f>
        <v>-863550.75367383449</v>
      </c>
      <c r="AH63" s="111">
        <f t="shared" ref="AH63" si="131">(SUM(AH15:AH19)-SUM(AH22:AH26))+SUM(AH55:AH59)+AG63</f>
        <v>-654877.5559580205</v>
      </c>
      <c r="AI63" s="115">
        <f t="shared" ref="AI63" si="132">(SUM(AI15:AI19)-SUM(AI22:AI26))+SUM(AI55:AI59)+AH63</f>
        <v>-426399.52254117443</v>
      </c>
    </row>
    <row r="64" spans="1:35" ht="15.75" thickBot="1" x14ac:dyDescent="0.3">
      <c r="B64" s="208"/>
      <c r="C64" s="208"/>
      <c r="D64" s="209"/>
      <c r="E64" s="210"/>
      <c r="F64" s="210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66"/>
    </row>
    <row r="66" spans="3:35" x14ac:dyDescent="0.25"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</sheetData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$ListId:Library;">IN LEGAL CONTROL - DO NOT EDIT</Commen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680F6-EEBC-41A4-AEB5-0B773B5EACA2}">
  <ds:schemaRefs>
    <ds:schemaRef ds:uri="$ListId:Library;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C34A9-022B-46F5-863A-69B00BA86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PPC</vt:lpstr>
      <vt:lpstr>PCR (M3)</vt:lpstr>
      <vt:lpstr>PCR (M2)</vt:lpstr>
      <vt:lpstr>PTD</vt:lpstr>
      <vt:lpstr>TDR (M3)</vt:lpstr>
      <vt:lpstr>TDR (M2)</vt:lpstr>
      <vt:lpstr>EO</vt:lpstr>
      <vt:lpstr>EOR (M2)</vt:lpstr>
      <vt:lpstr>PIR (M1 Final)</vt:lpstr>
      <vt:lpstr>OA</vt:lpstr>
      <vt:lpstr>OAR</vt:lpstr>
      <vt:lpstr>tariff tables (M3)</vt:lpstr>
      <vt:lpstr>tariff tables (M2)</vt:lpstr>
      <vt:lpstr>Sheet 91.23</vt:lpstr>
      <vt:lpstr>'EOR (M2)'!Print_Area</vt:lpstr>
      <vt:lpstr>OAR!Print_Area</vt:lpstr>
      <vt:lpstr>'PCR (M2)'!Print_Area</vt:lpstr>
      <vt:lpstr>'PCR (M3)'!Print_Area</vt:lpstr>
      <vt:lpstr>'PIR (M1 Final)'!Print_Area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Johnson, Paula</cp:lastModifiedBy>
  <cp:lastPrinted>2019-10-22T17:23:33Z</cp:lastPrinted>
  <dcterms:created xsi:type="dcterms:W3CDTF">2013-08-12T19:20:10Z</dcterms:created>
  <dcterms:modified xsi:type="dcterms:W3CDTF">2020-01-06T16:55:11Z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Order">
    <vt:r8>3300</vt:r8>
  </property>
  <property fmtid="{D5CDD505-2E9C-101B-9397-08002B2CF9AE}" pid="5" name="SV_HIDDEN_GRID_QUERY_LIST_4F35BF76-6C0D-4D9B-82B2-816C12CF3733">
    <vt:lpwstr>empty_477D106A-C0D6-4607-AEBD-E2C9D60EA279</vt:lpwstr>
  </property>
</Properties>
</file>