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645" windowWidth="20595" windowHeight="94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0" i="1"/>
  <c r="L38"/>
  <c r="K38"/>
  <c r="J38"/>
  <c r="I38"/>
  <c r="I28" l="1"/>
  <c r="C38"/>
  <c r="M19"/>
  <c r="L30"/>
  <c r="K30"/>
  <c r="J30"/>
  <c r="H16"/>
  <c r="H15"/>
  <c r="H14"/>
  <c r="H13"/>
  <c r="H12"/>
  <c r="H11"/>
  <c r="H10"/>
  <c r="H9"/>
  <c r="H8"/>
  <c r="O18"/>
  <c r="H18"/>
  <c r="J10"/>
  <c r="J11" s="1"/>
  <c r="J12" s="1"/>
  <c r="J13" s="1"/>
  <c r="J14" s="1"/>
  <c r="J9"/>
  <c r="J8"/>
  <c r="L27"/>
  <c r="L26"/>
  <c r="L25"/>
  <c r="L24"/>
  <c r="L23"/>
  <c r="L22"/>
  <c r="L21"/>
  <c r="L20"/>
  <c r="L19"/>
  <c r="L18"/>
  <c r="L17"/>
  <c r="L16"/>
  <c r="L15"/>
  <c r="L14"/>
  <c r="L13"/>
  <c r="L12"/>
  <c r="E18"/>
  <c r="E17"/>
  <c r="E16"/>
  <c r="E15"/>
  <c r="E14"/>
  <c r="E13"/>
  <c r="E12"/>
  <c r="E11"/>
  <c r="E10"/>
  <c r="E9"/>
  <c r="E8"/>
  <c r="L11"/>
  <c r="L10"/>
  <c r="L9"/>
  <c r="L8"/>
  <c r="F15"/>
  <c r="F16" s="1"/>
  <c r="F11"/>
  <c r="F12" s="1"/>
  <c r="F9"/>
  <c r="F10" s="1"/>
  <c r="I10" s="1"/>
  <c r="F8"/>
  <c r="K11"/>
  <c r="K12" s="1"/>
  <c r="K13" s="1"/>
  <c r="K14" s="1"/>
  <c r="I27"/>
  <c r="I26"/>
  <c r="I25"/>
  <c r="I24"/>
  <c r="I23"/>
  <c r="I22"/>
  <c r="I21"/>
  <c r="I20"/>
  <c r="I19"/>
  <c r="I9"/>
  <c r="H17"/>
  <c r="G8"/>
  <c r="G12"/>
  <c r="G13" s="1"/>
  <c r="G14" s="1"/>
  <c r="G15" s="1"/>
  <c r="G16" s="1"/>
  <c r="G17" s="1"/>
  <c r="I8"/>
  <c r="C10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9"/>
  <c r="I16" l="1"/>
  <c r="F17"/>
  <c r="I17" s="1"/>
  <c r="F13"/>
  <c r="I12"/>
  <c r="L29"/>
  <c r="J18"/>
  <c r="J19" s="1"/>
  <c r="J20" s="1"/>
  <c r="J21" s="1"/>
  <c r="J22" s="1"/>
  <c r="J23" s="1"/>
  <c r="J24" s="1"/>
  <c r="J25" s="1"/>
  <c r="J26" s="1"/>
  <c r="J27" s="1"/>
  <c r="J15"/>
  <c r="J16" s="1"/>
  <c r="J17" s="1"/>
  <c r="I15"/>
  <c r="I18"/>
  <c r="I11"/>
  <c r="K18"/>
  <c r="K19" s="1"/>
  <c r="K20" s="1"/>
  <c r="K21" s="1"/>
  <c r="K22" s="1"/>
  <c r="K23" s="1"/>
  <c r="K24" s="1"/>
  <c r="K25" s="1"/>
  <c r="K26" s="1"/>
  <c r="K27" s="1"/>
  <c r="K15"/>
  <c r="K16" s="1"/>
  <c r="K17" s="1"/>
  <c r="K29" l="1"/>
  <c r="J29"/>
  <c r="F14"/>
  <c r="I14" s="1"/>
  <c r="I13"/>
</calcChain>
</file>

<file path=xl/sharedStrings.xml><?xml version="1.0" encoding="utf-8"?>
<sst xmlns="http://schemas.openxmlformats.org/spreadsheetml/2006/main" count="27" uniqueCount="27">
  <si>
    <t>Year</t>
  </si>
  <si>
    <t>Taxes</t>
  </si>
  <si>
    <t>Total Local Jobs</t>
  </si>
  <si>
    <t>New  MW Required</t>
  </si>
  <si>
    <t>Average Construction Jobs</t>
  </si>
  <si>
    <t>Approximate Property</t>
  </si>
  <si>
    <t>Approximate Land Lease Payments</t>
  </si>
  <si>
    <t>Avg Annual Local Construction Spending</t>
  </si>
  <si>
    <t>All numbers from JEDI Model (DOE's National Renewable Energy Lab)</t>
  </si>
  <si>
    <t xml:space="preserve">30 Year Projection  of Local Economic Impacts if 100% Missouri Wind Used for RES Compliance </t>
  </si>
  <si>
    <t>Induced Local Jobs</t>
  </si>
  <si>
    <t>Direct On-site and Local  Jobs</t>
  </si>
  <si>
    <t>Notes : Numbers averaged over construction periods where appropriate; not inflation adjusted; capacity estimates are approximate;</t>
  </si>
  <si>
    <t xml:space="preserve">                       totals: </t>
  </si>
  <si>
    <t>20-year average:</t>
  </si>
  <si>
    <t xml:space="preserve">during construction </t>
  </si>
  <si>
    <t>years =</t>
  </si>
  <si>
    <t xml:space="preserve">average spending </t>
  </si>
  <si>
    <t>MWH annual output per 100MW plant</t>
  </si>
  <si>
    <t>Cost per MWh estimate:</t>
  </si>
  <si>
    <t>annual output</t>
  </si>
  <si>
    <t>annual op expense</t>
  </si>
  <si>
    <t>cost/MWh</t>
  </si>
  <si>
    <t>approx cost after PTC*</t>
  </si>
  <si>
    <t>*note that the credit of about $21 would be grossed up for taxes</t>
  </si>
  <si>
    <t xml:space="preserve">Also note that it is too late to get new facilities built for 2011 compliance; the initial numbers will be compressed into a shorter timeframe; </t>
  </si>
  <si>
    <t>Total Annual Local Spending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</si>
</sst>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9" formatCode="&quot;$&quot;#,##0"/>
    <numFmt numFmtId="171" formatCode="_([$$-409]* #,##0_);_([$$-409]* \(#,##0\);_([$$-409]* &quot;-&quot;_);_(@_)"/>
    <numFmt numFmtId="172" formatCode="&quot;$&quot;#,##0.00"/>
    <numFmt numFmtId="175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9" fontId="0" fillId="0" borderId="4" xfId="0" applyNumberForma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171" fontId="0" fillId="0" borderId="4" xfId="0" applyNumberForma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71" fontId="0" fillId="0" borderId="5" xfId="0" applyNumberFormat="1" applyBorder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171" fontId="0" fillId="0" borderId="8" xfId="0" applyNumberFormat="1" applyBorder="1"/>
    <xf numFmtId="171" fontId="0" fillId="0" borderId="9" xfId="0" applyNumberFormat="1" applyBorder="1"/>
    <xf numFmtId="1" fontId="0" fillId="0" borderId="4" xfId="0" applyNumberFormat="1" applyBorder="1" applyAlignment="1">
      <alignment horizontal="center" vertical="top" wrapText="1"/>
    </xf>
    <xf numFmtId="1" fontId="0" fillId="0" borderId="5" xfId="0" applyNumberFormat="1" applyBorder="1" applyAlignment="1">
      <alignment horizontal="center" vertical="top" wrapText="1"/>
    </xf>
    <xf numFmtId="0" fontId="0" fillId="0" borderId="0" xfId="0" applyBorder="1" applyAlignment="1"/>
    <xf numFmtId="171" fontId="0" fillId="0" borderId="0" xfId="0" applyNumberFormat="1" applyBorder="1"/>
    <xf numFmtId="169" fontId="0" fillId="0" borderId="0" xfId="0" applyNumberFormat="1"/>
    <xf numFmtId="1" fontId="0" fillId="0" borderId="0" xfId="0" applyNumberFormat="1" applyBorder="1" applyAlignment="1"/>
    <xf numFmtId="172" fontId="0" fillId="0" borderId="0" xfId="0" applyNumberFormat="1"/>
    <xf numFmtId="44" fontId="0" fillId="0" borderId="0" xfId="1" applyFont="1"/>
    <xf numFmtId="175" fontId="0" fillId="0" borderId="0" xfId="1" applyNumberFormat="1" applyFont="1"/>
    <xf numFmtId="1" fontId="0" fillId="0" borderId="6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O40"/>
  <sheetViews>
    <sheetView tabSelected="1" workbookViewId="0">
      <selection activeCell="E8" sqref="E8"/>
    </sheetView>
  </sheetViews>
  <sheetFormatPr defaultRowHeight="15"/>
  <cols>
    <col min="5" max="5" width="18.5703125" customWidth="1"/>
    <col min="6" max="6" width="13.42578125" customWidth="1"/>
    <col min="7" max="7" width="14.5703125" customWidth="1"/>
    <col min="8" max="8" width="11.5703125" bestFit="1" customWidth="1"/>
    <col min="9" max="9" width="17.42578125" bestFit="1" customWidth="1"/>
    <col min="10" max="10" width="13.85546875" bestFit="1" customWidth="1"/>
    <col min="11" max="11" width="13.7109375" bestFit="1" customWidth="1"/>
    <col min="12" max="12" width="19" customWidth="1"/>
    <col min="13" max="13" width="12.140625" bestFit="1" customWidth="1"/>
  </cols>
  <sheetData>
    <row r="3" spans="3:13" ht="18.75">
      <c r="C3" s="11" t="s">
        <v>9</v>
      </c>
      <c r="D3" s="11"/>
      <c r="E3" s="11"/>
      <c r="F3" s="11"/>
      <c r="G3" s="11"/>
      <c r="H3" s="11"/>
      <c r="I3" s="11"/>
      <c r="J3" s="11"/>
      <c r="K3" s="11"/>
      <c r="L3" s="11"/>
    </row>
    <row r="4" spans="3:13">
      <c r="C4" s="12" t="s">
        <v>8</v>
      </c>
      <c r="D4" s="12"/>
      <c r="E4" s="12"/>
      <c r="F4" s="12"/>
      <c r="G4" s="12"/>
      <c r="H4" s="12"/>
      <c r="I4" s="12"/>
      <c r="J4" s="12"/>
      <c r="K4" s="12"/>
      <c r="L4" s="12"/>
    </row>
    <row r="5" spans="3:13" ht="15.75" thickBot="1"/>
    <row r="6" spans="3:13" ht="30">
      <c r="C6" s="5" t="s">
        <v>0</v>
      </c>
      <c r="D6" s="5" t="s">
        <v>3</v>
      </c>
      <c r="E6" s="5" t="s">
        <v>7</v>
      </c>
      <c r="F6" s="5" t="s">
        <v>4</v>
      </c>
      <c r="G6" s="5" t="s">
        <v>11</v>
      </c>
      <c r="H6" s="5" t="s">
        <v>10</v>
      </c>
      <c r="I6" s="5" t="s">
        <v>2</v>
      </c>
      <c r="J6" s="1" t="s">
        <v>5</v>
      </c>
      <c r="K6" s="5" t="s">
        <v>6</v>
      </c>
      <c r="L6" s="5" t="s">
        <v>26</v>
      </c>
    </row>
    <row r="7" spans="3:13" ht="15.75" thickBot="1">
      <c r="C7" s="6"/>
      <c r="D7" s="6"/>
      <c r="E7" s="6"/>
      <c r="F7" s="6"/>
      <c r="G7" s="6"/>
      <c r="H7" s="6"/>
      <c r="I7" s="6"/>
      <c r="J7" s="2" t="s">
        <v>1</v>
      </c>
      <c r="K7" s="6"/>
      <c r="L7" s="6"/>
    </row>
    <row r="8" spans="3:13" ht="15.75" thickBot="1">
      <c r="C8" s="3">
        <v>2011</v>
      </c>
      <c r="D8" s="4">
        <v>400</v>
      </c>
      <c r="E8" s="7">
        <f>35337623*4/3</f>
        <v>47116830.666666664</v>
      </c>
      <c r="F8" s="8">
        <f>264/3</f>
        <v>88</v>
      </c>
      <c r="G8" s="4">
        <f>14*4</f>
        <v>56</v>
      </c>
      <c r="H8" s="18">
        <f>(5*4)+(91/3)</f>
        <v>50.333333333333329</v>
      </c>
      <c r="I8" s="18">
        <f>+F8+G8+H8</f>
        <v>194.33333333333331</v>
      </c>
      <c r="J8" s="9">
        <f>566688*4</f>
        <v>2266752</v>
      </c>
      <c r="K8" s="9">
        <v>1200000</v>
      </c>
      <c r="L8" s="9">
        <f>+(35337623/3)*4+(627434+866688)*4</f>
        <v>53093318.666666664</v>
      </c>
    </row>
    <row r="9" spans="3:13" ht="15.75" thickBot="1">
      <c r="C9" s="3">
        <f>+C8+1</f>
        <v>2012</v>
      </c>
      <c r="D9" s="4"/>
      <c r="E9" s="7">
        <f t="shared" ref="E9:E10" si="0">35337623*4/3</f>
        <v>47116830.666666664</v>
      </c>
      <c r="F9" s="8">
        <f>+F8</f>
        <v>88</v>
      </c>
      <c r="G9" s="4">
        <v>56</v>
      </c>
      <c r="H9" s="18">
        <f t="shared" ref="H9:H10" si="1">(5*4)+(91/3)</f>
        <v>50.333333333333329</v>
      </c>
      <c r="I9" s="18">
        <f t="shared" ref="I9:I27" si="2">+F9+G9+H9</f>
        <v>194.33333333333331</v>
      </c>
      <c r="J9" s="9">
        <f t="shared" ref="J9:J10" si="3">566688*4</f>
        <v>2266752</v>
      </c>
      <c r="K9" s="9">
        <v>1200000</v>
      </c>
      <c r="L9" s="9">
        <f>+(35337623/3)*4+(627434+866688)*4</f>
        <v>53093318.666666664</v>
      </c>
    </row>
    <row r="10" spans="3:13" ht="15.75" thickBot="1">
      <c r="C10" s="3">
        <f t="shared" ref="C10:C27" si="4">+C9+1</f>
        <v>2013</v>
      </c>
      <c r="D10" s="4"/>
      <c r="E10" s="7">
        <f t="shared" si="0"/>
        <v>47116830.666666664</v>
      </c>
      <c r="F10" s="8">
        <f>+F9</f>
        <v>88</v>
      </c>
      <c r="G10" s="4">
        <v>56</v>
      </c>
      <c r="H10" s="18">
        <f t="shared" si="1"/>
        <v>50.333333333333329</v>
      </c>
      <c r="I10" s="18">
        <f t="shared" si="2"/>
        <v>194.33333333333331</v>
      </c>
      <c r="J10" s="9">
        <f t="shared" si="3"/>
        <v>2266752</v>
      </c>
      <c r="K10" s="9">
        <v>1200000</v>
      </c>
      <c r="L10" s="9">
        <f>+(35337623/3)*4+(627434+866688)*4</f>
        <v>53093318.666666664</v>
      </c>
    </row>
    <row r="11" spans="3:13" ht="15.75" thickBot="1">
      <c r="C11" s="3">
        <f t="shared" si="4"/>
        <v>2014</v>
      </c>
      <c r="D11" s="4">
        <v>600</v>
      </c>
      <c r="E11" s="7">
        <f>35337623*6/4</f>
        <v>53006434.5</v>
      </c>
      <c r="F11" s="8">
        <f>396/4</f>
        <v>99</v>
      </c>
      <c r="G11" s="4">
        <v>140</v>
      </c>
      <c r="H11" s="18">
        <f>(5*10)+6*(91/4)</f>
        <v>186.5</v>
      </c>
      <c r="I11" s="18">
        <f t="shared" si="2"/>
        <v>425.5</v>
      </c>
      <c r="J11" s="9">
        <f>+J10*2.5</f>
        <v>5666880</v>
      </c>
      <c r="K11" s="9">
        <f>+K10*2.5</f>
        <v>3000000</v>
      </c>
      <c r="L11" s="9">
        <f>+(35337623/4)*6+(627434+866688)*10</f>
        <v>67947654.5</v>
      </c>
    </row>
    <row r="12" spans="3:13" ht="15.75" thickBot="1">
      <c r="C12" s="3">
        <f t="shared" si="4"/>
        <v>2015</v>
      </c>
      <c r="D12" s="4"/>
      <c r="E12" s="7">
        <f t="shared" ref="E12:E14" si="5">35337623*6/4</f>
        <v>53006434.5</v>
      </c>
      <c r="F12" s="8">
        <f>+F11</f>
        <v>99</v>
      </c>
      <c r="G12" s="4">
        <f>+G11</f>
        <v>140</v>
      </c>
      <c r="H12" s="18">
        <f t="shared" ref="H12:H14" si="6">(5*10)+6*(91/4)</f>
        <v>186.5</v>
      </c>
      <c r="I12" s="18">
        <f t="shared" si="2"/>
        <v>425.5</v>
      </c>
      <c r="J12" s="9">
        <f>+J11</f>
        <v>5666880</v>
      </c>
      <c r="K12" s="9">
        <f>+K11</f>
        <v>3000000</v>
      </c>
      <c r="L12" s="9">
        <f t="shared" ref="L12:L14" si="7">+(35337623/4)*6+(627434+866688)*10</f>
        <v>67947654.5</v>
      </c>
    </row>
    <row r="13" spans="3:13" ht="15.75" thickBot="1">
      <c r="C13" s="3">
        <f t="shared" si="4"/>
        <v>2016</v>
      </c>
      <c r="D13" s="4"/>
      <c r="E13" s="7">
        <f t="shared" si="5"/>
        <v>53006434.5</v>
      </c>
      <c r="F13" s="8">
        <f>+F12</f>
        <v>99</v>
      </c>
      <c r="G13" s="4">
        <f t="shared" ref="G13:G14" si="8">+G12</f>
        <v>140</v>
      </c>
      <c r="H13" s="18">
        <f t="shared" si="6"/>
        <v>186.5</v>
      </c>
      <c r="I13" s="18">
        <f t="shared" si="2"/>
        <v>425.5</v>
      </c>
      <c r="J13" s="9">
        <f>+J12</f>
        <v>5666880</v>
      </c>
      <c r="K13" s="9">
        <f>+K12</f>
        <v>3000000</v>
      </c>
      <c r="L13" s="9">
        <f t="shared" si="7"/>
        <v>67947654.5</v>
      </c>
    </row>
    <row r="14" spans="3:13" ht="15.75" thickBot="1">
      <c r="C14" s="3">
        <f t="shared" si="4"/>
        <v>2017</v>
      </c>
      <c r="D14" s="4"/>
      <c r="E14" s="7">
        <f t="shared" si="5"/>
        <v>53006434.5</v>
      </c>
      <c r="F14" s="8">
        <f>+F13</f>
        <v>99</v>
      </c>
      <c r="G14" s="4">
        <f t="shared" si="8"/>
        <v>140</v>
      </c>
      <c r="H14" s="18">
        <f t="shared" si="6"/>
        <v>186.5</v>
      </c>
      <c r="I14" s="18">
        <f t="shared" si="2"/>
        <v>425.5</v>
      </c>
      <c r="J14" s="9">
        <f>+J13</f>
        <v>5666880</v>
      </c>
      <c r="K14" s="9">
        <f>+K13</f>
        <v>3000000</v>
      </c>
      <c r="L14" s="9">
        <f t="shared" si="7"/>
        <v>67947654.5</v>
      </c>
    </row>
    <row r="15" spans="3:13" ht="15.75" thickBot="1">
      <c r="C15" s="3">
        <f t="shared" si="4"/>
        <v>2018</v>
      </c>
      <c r="D15" s="4">
        <v>1000</v>
      </c>
      <c r="E15" s="7">
        <f>35337623*10/3</f>
        <v>117792076.66666667</v>
      </c>
      <c r="F15" s="8">
        <f>660/3</f>
        <v>220</v>
      </c>
      <c r="G15" s="4">
        <f>+G14*2</f>
        <v>280</v>
      </c>
      <c r="H15" s="18">
        <f>(5*20)+(91*10/3)</f>
        <v>403.33333333333331</v>
      </c>
      <c r="I15" s="18">
        <f t="shared" si="2"/>
        <v>903.33333333333326</v>
      </c>
      <c r="J15" s="9">
        <f>+J14*2</f>
        <v>11333760</v>
      </c>
      <c r="K15" s="9">
        <f>+K14*2</f>
        <v>6000000</v>
      </c>
      <c r="L15" s="9">
        <f>+(35337623/3)*10+(627434+866688)*20</f>
        <v>147674516.66666666</v>
      </c>
    </row>
    <row r="16" spans="3:13" ht="15.75" thickBot="1">
      <c r="C16" s="3">
        <f t="shared" si="4"/>
        <v>2019</v>
      </c>
      <c r="D16" s="4"/>
      <c r="E16" s="7">
        <f t="shared" ref="E16:E17" si="9">35337623*10/3</f>
        <v>117792076.66666667</v>
      </c>
      <c r="F16" s="8">
        <f>+F15</f>
        <v>220</v>
      </c>
      <c r="G16" s="4">
        <f>+G15</f>
        <v>280</v>
      </c>
      <c r="H16" s="18">
        <f>(5*20)+(91*10/3)</f>
        <v>403.33333333333331</v>
      </c>
      <c r="I16" s="18">
        <f t="shared" si="2"/>
        <v>903.33333333333326</v>
      </c>
      <c r="J16" s="9">
        <f>+J15</f>
        <v>11333760</v>
      </c>
      <c r="K16" s="9">
        <f>+K15</f>
        <v>6000000</v>
      </c>
      <c r="L16" s="9">
        <f t="shared" ref="L16:L17" si="10">+(35337623/3)*10+(627434+866688)*20</f>
        <v>147674516.66666666</v>
      </c>
      <c r="M16" t="s">
        <v>17</v>
      </c>
    </row>
    <row r="17" spans="3:15" ht="15.75" thickBot="1">
      <c r="C17" s="3">
        <f t="shared" si="4"/>
        <v>2020</v>
      </c>
      <c r="D17" s="4"/>
      <c r="E17" s="7">
        <f t="shared" si="9"/>
        <v>117792076.66666667</v>
      </c>
      <c r="F17" s="8">
        <f>+F16</f>
        <v>220</v>
      </c>
      <c r="G17" s="4">
        <f>+G16</f>
        <v>280</v>
      </c>
      <c r="H17" s="18">
        <f>+H16</f>
        <v>403.33333333333331</v>
      </c>
      <c r="I17" s="18">
        <f t="shared" si="2"/>
        <v>903.33333333333326</v>
      </c>
      <c r="J17" s="9">
        <f>+J16</f>
        <v>11333760</v>
      </c>
      <c r="K17" s="9">
        <f>+K16</f>
        <v>6000000</v>
      </c>
      <c r="L17" s="9">
        <f t="shared" si="10"/>
        <v>147674516.66666666</v>
      </c>
      <c r="M17" t="s">
        <v>15</v>
      </c>
    </row>
    <row r="18" spans="3:15" ht="15.75" thickBot="1">
      <c r="C18" s="3">
        <f t="shared" si="4"/>
        <v>2021</v>
      </c>
      <c r="D18" s="4">
        <v>1000</v>
      </c>
      <c r="E18" s="7">
        <f>35337623*10</f>
        <v>353376230</v>
      </c>
      <c r="F18" s="8">
        <v>660</v>
      </c>
      <c r="G18" s="4">
        <v>420</v>
      </c>
      <c r="H18" s="18">
        <f>(5*30)+(91*(66/378)*10)</f>
        <v>308.88888888888891</v>
      </c>
      <c r="I18" s="18">
        <f t="shared" si="2"/>
        <v>1388.8888888888889</v>
      </c>
      <c r="J18" s="9">
        <f>+J14*3</f>
        <v>17000640</v>
      </c>
      <c r="K18" s="9">
        <f>+K14*3</f>
        <v>9000000</v>
      </c>
      <c r="L18" s="9">
        <f>+(35337623*10)+(627434+866688)*30</f>
        <v>398199890</v>
      </c>
      <c r="M18" t="s">
        <v>16</v>
      </c>
      <c r="O18">
        <f>66/378</f>
        <v>0.17460317460317459</v>
      </c>
    </row>
    <row r="19" spans="3:15" ht="15.75" thickBot="1">
      <c r="C19" s="3">
        <f t="shared" si="4"/>
        <v>2022</v>
      </c>
      <c r="D19" s="4"/>
      <c r="E19" s="7"/>
      <c r="F19" s="8"/>
      <c r="G19" s="4">
        <v>420</v>
      </c>
      <c r="H19" s="18">
        <v>150</v>
      </c>
      <c r="I19" s="18">
        <f t="shared" si="2"/>
        <v>570</v>
      </c>
      <c r="J19" s="9">
        <f>+J18</f>
        <v>17000640</v>
      </c>
      <c r="K19" s="9">
        <f>+K18</f>
        <v>9000000</v>
      </c>
      <c r="L19" s="9">
        <f>+(627434+866688)*30</f>
        <v>44823660</v>
      </c>
      <c r="M19" s="22">
        <f>+AVERAGE(L8:L18)</f>
        <v>115663092.18181819</v>
      </c>
    </row>
    <row r="20" spans="3:15" ht="15.75" thickBot="1">
      <c r="C20" s="3">
        <f t="shared" si="4"/>
        <v>2023</v>
      </c>
      <c r="D20" s="4"/>
      <c r="E20" s="7"/>
      <c r="F20" s="8"/>
      <c r="G20" s="4">
        <v>420</v>
      </c>
      <c r="H20" s="18">
        <v>150</v>
      </c>
      <c r="I20" s="18">
        <f t="shared" si="2"/>
        <v>570</v>
      </c>
      <c r="J20" s="9">
        <f>+J19</f>
        <v>17000640</v>
      </c>
      <c r="K20" s="9">
        <f>+K19</f>
        <v>9000000</v>
      </c>
      <c r="L20" s="9">
        <f t="shared" ref="L20:L27" si="11">+(627434+866688)*30</f>
        <v>44823660</v>
      </c>
    </row>
    <row r="21" spans="3:15" ht="15.75" thickBot="1">
      <c r="C21" s="3">
        <f t="shared" si="4"/>
        <v>2024</v>
      </c>
      <c r="D21" s="4"/>
      <c r="E21" s="7"/>
      <c r="F21" s="8"/>
      <c r="G21" s="4">
        <v>420</v>
      </c>
      <c r="H21" s="18">
        <v>150</v>
      </c>
      <c r="I21" s="18">
        <f t="shared" si="2"/>
        <v>570</v>
      </c>
      <c r="J21" s="9">
        <f t="shared" ref="J21:K27" si="12">+J20</f>
        <v>17000640</v>
      </c>
      <c r="K21" s="9">
        <f t="shared" si="12"/>
        <v>9000000</v>
      </c>
      <c r="L21" s="9">
        <f t="shared" si="11"/>
        <v>44823660</v>
      </c>
    </row>
    <row r="22" spans="3:15" ht="15.75" thickBot="1">
      <c r="C22" s="3">
        <f t="shared" si="4"/>
        <v>2025</v>
      </c>
      <c r="D22" s="4"/>
      <c r="E22" s="7"/>
      <c r="F22" s="8"/>
      <c r="G22" s="4">
        <v>420</v>
      </c>
      <c r="H22" s="18">
        <v>150</v>
      </c>
      <c r="I22" s="18">
        <f t="shared" si="2"/>
        <v>570</v>
      </c>
      <c r="J22" s="9">
        <f t="shared" si="12"/>
        <v>17000640</v>
      </c>
      <c r="K22" s="9">
        <f t="shared" si="12"/>
        <v>9000000</v>
      </c>
      <c r="L22" s="9">
        <f t="shared" si="11"/>
        <v>44823660</v>
      </c>
    </row>
    <row r="23" spans="3:15" ht="15.75" thickBot="1">
      <c r="C23" s="3">
        <f t="shared" si="4"/>
        <v>2026</v>
      </c>
      <c r="D23" s="4"/>
      <c r="E23" s="7"/>
      <c r="F23" s="8"/>
      <c r="G23" s="4">
        <v>420</v>
      </c>
      <c r="H23" s="18">
        <v>150</v>
      </c>
      <c r="I23" s="18">
        <f t="shared" si="2"/>
        <v>570</v>
      </c>
      <c r="J23" s="9">
        <f t="shared" si="12"/>
        <v>17000640</v>
      </c>
      <c r="K23" s="9">
        <f t="shared" si="12"/>
        <v>9000000</v>
      </c>
      <c r="L23" s="9">
        <f t="shared" si="11"/>
        <v>44823660</v>
      </c>
    </row>
    <row r="24" spans="3:15" ht="15.75" thickBot="1">
      <c r="C24" s="3">
        <f t="shared" si="4"/>
        <v>2027</v>
      </c>
      <c r="D24" s="4"/>
      <c r="E24" s="7"/>
      <c r="F24" s="8"/>
      <c r="G24" s="4">
        <v>420</v>
      </c>
      <c r="H24" s="18">
        <v>150</v>
      </c>
      <c r="I24" s="18">
        <f t="shared" si="2"/>
        <v>570</v>
      </c>
      <c r="J24" s="9">
        <f t="shared" si="12"/>
        <v>17000640</v>
      </c>
      <c r="K24" s="9">
        <f t="shared" si="12"/>
        <v>9000000</v>
      </c>
      <c r="L24" s="9">
        <f t="shared" si="11"/>
        <v>44823660</v>
      </c>
    </row>
    <row r="25" spans="3:15" ht="15.75" thickBot="1">
      <c r="C25" s="3">
        <f t="shared" si="4"/>
        <v>2028</v>
      </c>
      <c r="D25" s="4"/>
      <c r="E25" s="7"/>
      <c r="F25" s="8"/>
      <c r="G25" s="4">
        <v>420</v>
      </c>
      <c r="H25" s="18">
        <v>150</v>
      </c>
      <c r="I25" s="18">
        <f t="shared" si="2"/>
        <v>570</v>
      </c>
      <c r="J25" s="9">
        <f t="shared" si="12"/>
        <v>17000640</v>
      </c>
      <c r="K25" s="9">
        <f t="shared" si="12"/>
        <v>9000000</v>
      </c>
      <c r="L25" s="9">
        <f t="shared" si="11"/>
        <v>44823660</v>
      </c>
    </row>
    <row r="26" spans="3:15" ht="15.75" thickBot="1">
      <c r="C26" s="3">
        <f t="shared" si="4"/>
        <v>2029</v>
      </c>
      <c r="D26" s="4"/>
      <c r="E26" s="4"/>
      <c r="F26" s="8"/>
      <c r="G26" s="4">
        <v>420</v>
      </c>
      <c r="H26" s="18">
        <v>150</v>
      </c>
      <c r="I26" s="18">
        <f t="shared" si="2"/>
        <v>570</v>
      </c>
      <c r="J26" s="9">
        <f t="shared" si="12"/>
        <v>17000640</v>
      </c>
      <c r="K26" s="9">
        <f t="shared" si="12"/>
        <v>9000000</v>
      </c>
      <c r="L26" s="9">
        <f t="shared" si="11"/>
        <v>44823660</v>
      </c>
    </row>
    <row r="27" spans="3:15" ht="15.75" thickBot="1">
      <c r="C27" s="3">
        <f t="shared" si="4"/>
        <v>2030</v>
      </c>
      <c r="D27" s="4"/>
      <c r="E27" s="4"/>
      <c r="F27" s="8"/>
      <c r="G27" s="4">
        <v>420</v>
      </c>
      <c r="H27" s="19">
        <v>150</v>
      </c>
      <c r="I27" s="19">
        <f t="shared" si="2"/>
        <v>570</v>
      </c>
      <c r="J27" s="13">
        <f t="shared" si="12"/>
        <v>17000640</v>
      </c>
      <c r="K27" s="13">
        <f t="shared" si="12"/>
        <v>9000000</v>
      </c>
      <c r="L27" s="13">
        <f t="shared" si="11"/>
        <v>44823660</v>
      </c>
    </row>
    <row r="28" spans="3:15">
      <c r="F28" s="12" t="s">
        <v>13</v>
      </c>
      <c r="G28" s="12"/>
      <c r="H28" s="12"/>
      <c r="I28" s="27">
        <f>SUM(I8:I27)</f>
        <v>11513.888888888887</v>
      </c>
      <c r="J28" s="14"/>
      <c r="K28" s="14"/>
      <c r="L28" s="15"/>
    </row>
    <row r="29" spans="3:15" ht="15.75" thickBot="1">
      <c r="F29" s="12"/>
      <c r="G29" s="12"/>
      <c r="H29" s="12"/>
      <c r="I29" s="10"/>
      <c r="J29" s="16">
        <f>SUM(J8:J28)</f>
        <v>233475456</v>
      </c>
      <c r="K29" s="16">
        <f>SUM(K8:K28)</f>
        <v>123600000</v>
      </c>
      <c r="L29" s="17">
        <f>SUM(L8:L28)</f>
        <v>1675706954</v>
      </c>
    </row>
    <row r="30" spans="3:15" ht="16.5" thickTop="1" thickBot="1">
      <c r="G30" s="20" t="s">
        <v>14</v>
      </c>
      <c r="H30" s="20"/>
      <c r="I30" s="28">
        <f>AVERAGE(I8:I27)</f>
        <v>575.69444444444434</v>
      </c>
      <c r="J30" s="21">
        <f>+J29/20</f>
        <v>11673772.800000001</v>
      </c>
      <c r="K30" s="21">
        <f t="shared" ref="K30:L30" si="13">+K29/20</f>
        <v>6180000</v>
      </c>
      <c r="L30" s="21">
        <f t="shared" si="13"/>
        <v>83785347.700000003</v>
      </c>
    </row>
    <row r="31" spans="3:15" ht="15.75" thickTop="1">
      <c r="G31" s="20"/>
      <c r="H31" s="20"/>
      <c r="I31" s="23"/>
      <c r="J31" s="21"/>
      <c r="K31" s="21"/>
      <c r="L31" s="21"/>
    </row>
    <row r="32" spans="3:15">
      <c r="G32" s="20"/>
      <c r="H32" s="20"/>
      <c r="I32" s="23"/>
      <c r="J32" s="21"/>
      <c r="K32" s="21"/>
      <c r="L32" s="21"/>
    </row>
    <row r="33" spans="3:12">
      <c r="H33" s="20"/>
      <c r="I33" s="20"/>
      <c r="J33" s="21"/>
      <c r="K33" s="21"/>
      <c r="L33" s="21"/>
    </row>
    <row r="34" spans="3:12">
      <c r="C34" t="s">
        <v>12</v>
      </c>
    </row>
    <row r="35" spans="3:12">
      <c r="C35" t="s">
        <v>25</v>
      </c>
    </row>
    <row r="37" spans="3:12">
      <c r="I37" t="s">
        <v>21</v>
      </c>
      <c r="J37" t="s">
        <v>20</v>
      </c>
      <c r="K37" t="s">
        <v>22</v>
      </c>
      <c r="L37" t="s">
        <v>23</v>
      </c>
    </row>
    <row r="38" spans="3:12">
      <c r="C38">
        <f>8760*0.33*100</f>
        <v>289080</v>
      </c>
      <c r="D38" t="s">
        <v>18</v>
      </c>
      <c r="G38" t="s">
        <v>19</v>
      </c>
      <c r="I38" s="26">
        <f>22367447*30</f>
        <v>671023410</v>
      </c>
      <c r="J38">
        <f>+C38*30</f>
        <v>8672400</v>
      </c>
      <c r="K38">
        <f>+I38/J38</f>
        <v>77.374591808495921</v>
      </c>
      <c r="L38" s="25">
        <f>+K38-27</f>
        <v>50.374591808495921</v>
      </c>
    </row>
    <row r="39" spans="3:12">
      <c r="C39" s="24"/>
    </row>
    <row r="40" spans="3:12">
      <c r="I40" t="s">
        <v>24</v>
      </c>
    </row>
  </sheetData>
  <mergeCells count="12">
    <mergeCell ref="C3:L3"/>
    <mergeCell ref="C4:L4"/>
    <mergeCell ref="G6:G7"/>
    <mergeCell ref="H6:H7"/>
    <mergeCell ref="F28:H29"/>
    <mergeCell ref="C6:C7"/>
    <mergeCell ref="D6:D7"/>
    <mergeCell ref="E6:E7"/>
    <mergeCell ref="F6:F7"/>
    <mergeCell ref="K6:K7"/>
    <mergeCell ref="L6:L7"/>
    <mergeCell ref="I6:I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MRC</dc:creator>
  <cp:lastModifiedBy>MRC</cp:lastModifiedBy>
  <dcterms:created xsi:type="dcterms:W3CDTF">2010-09-26T20:20:52Z</dcterms:created>
  <dcterms:modified xsi:type="dcterms:W3CDTF">2010-09-29T22:00:38Z</dcterms:modified>
</cp:coreProperties>
</file>