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5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760"/>
  </bookViews>
  <sheets>
    <sheet name="Sheet1" sheetId="1" r:id="rId1"/>
  </sheets>
  <calcPr calcId="145621" iterate="1"/>
  <customWorkbookViews>
    <customWorkbookView name="Diana Carter - Personal View" guid="{2A3BCFD0-E350-4519-B8C3-324DFC809E51}" mergeInterval="0" personalView="1" maximized="1" windowWidth="1362" windowHeight="542" activeSheetId="1"/>
    <customWorkbookView name="Leigha Palumbo - Personal View" guid="{C96BC93B-158D-437C-951A-CED81B85B092}" mergeInterval="0" personalView="1" maximized="1" xWindow="1358" yWindow="-233" windowWidth="1936" windowHeight="1056" activeSheetId="1"/>
    <customWorkbookView name="Taylor McDaniel - Personal View" guid="{E073387C-3EF6-46F4-9499-2A178D1A72D1}" mergeInterval="0" personalView="1" maximized="1" xWindow="-8" yWindow="-8" windowWidth="1382" windowHeight="744" activeSheetId="1"/>
    <customWorkbookView name="Bolin, Kim - Personal View" guid="{BC5A5313-5C56-4E92-A81D-09349870A97E}" mergeInterval="0" personalView="1" maximized="1" xWindow="-9" yWindow="-9" windowWidth="1938" windowHeight="1048" activeSheetId="1"/>
    <customWorkbookView name="Charlotte Emery - Personal View" guid="{442A35D1-0C9A-404E-ACB1-C761E918A55D}" mergeInterval="0" personalView="1" maximized="1" xWindow="-8" yWindow="-8" windowWidth="1936" windowHeight="106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9" i="1" l="1"/>
  <c r="F67" i="1" l="1"/>
  <c r="F66" i="1"/>
  <c r="F65" i="1"/>
  <c r="D220" i="1" l="1"/>
  <c r="E216" i="1" l="1"/>
  <c r="E196" i="1"/>
  <c r="E204" i="1" l="1"/>
  <c r="D204" i="1"/>
  <c r="E212" i="1" l="1"/>
  <c r="E220" i="1" l="1"/>
  <c r="D216" i="1" l="1"/>
  <c r="D172" i="1" l="1"/>
  <c r="D164" i="1"/>
  <c r="D160" i="1"/>
  <c r="D152" i="1"/>
  <c r="E135" i="1" l="1"/>
  <c r="E230" i="1" l="1"/>
  <c r="F51" i="1" l="1"/>
  <c r="C146" i="1" l="1"/>
  <c r="D147" i="1" s="1"/>
  <c r="E146" i="1"/>
  <c r="D212" i="1" l="1"/>
  <c r="E208" i="1" l="1"/>
  <c r="F33" i="1" l="1"/>
  <c r="D196" i="1" l="1"/>
  <c r="D192" i="1" l="1"/>
  <c r="E188" i="1" l="1"/>
  <c r="E185" i="1"/>
  <c r="E182" i="1"/>
  <c r="D182" i="1"/>
  <c r="D175" i="1" l="1"/>
  <c r="D169" i="1"/>
  <c r="C177" i="1" l="1"/>
  <c r="D178" i="1" s="1"/>
  <c r="E174" i="1" l="1"/>
  <c r="E171" i="1"/>
  <c r="E168" i="1"/>
  <c r="D157" i="1" l="1"/>
  <c r="C143" i="1" l="1"/>
  <c r="C138" i="1"/>
  <c r="D138" i="1"/>
  <c r="D139" i="1" s="1"/>
  <c r="E138" i="1"/>
  <c r="E139" i="1" s="1"/>
  <c r="D127" i="1"/>
  <c r="D130" i="1"/>
  <c r="D122" i="1"/>
  <c r="D117" i="1"/>
  <c r="D112" i="1"/>
  <c r="D101" i="1"/>
  <c r="D104" i="1"/>
  <c r="D107" i="1"/>
  <c r="F96" i="1" l="1"/>
  <c r="E92" i="1"/>
  <c r="D92" i="1"/>
  <c r="E89" i="1" l="1"/>
  <c r="E85" i="1"/>
  <c r="E81" i="1"/>
  <c r="D75" i="1" l="1"/>
  <c r="F71" i="1" l="1"/>
  <c r="E71" i="1"/>
  <c r="F56" i="1" l="1"/>
  <c r="F59" i="1"/>
  <c r="D59" i="1"/>
  <c r="D51" i="1"/>
  <c r="E47" i="1" l="1"/>
  <c r="D44" i="1"/>
  <c r="D41" i="1"/>
  <c r="F38" i="1" l="1"/>
  <c r="E33" i="1" l="1"/>
  <c r="D33" i="1"/>
  <c r="F29" i="1"/>
  <c r="D29" i="1"/>
  <c r="F25" i="1" l="1"/>
  <c r="D25" i="1"/>
  <c r="E17" i="1" l="1"/>
  <c r="E14" i="1"/>
</calcChain>
</file>

<file path=xl/comments1.xml><?xml version="1.0" encoding="utf-8"?>
<comments xmlns="http://schemas.openxmlformats.org/spreadsheetml/2006/main">
  <authors>
    <author>Charlotte Emery</author>
    <author>Bolin, Kim</author>
  </authors>
  <commentList>
    <comment ref="F67" authorId="0" guid="{0490D367-E50D-46C4-8925-16387E3158A1}">
      <text>
        <r>
          <rPr>
            <b/>
            <sz val="9"/>
            <color indexed="81"/>
            <rFont val="Tahoma"/>
            <charset val="1"/>
          </rPr>
          <t>Charlotte Emery:</t>
        </r>
        <r>
          <rPr>
            <sz val="9"/>
            <color indexed="81"/>
            <rFont val="Tahoma"/>
            <charset val="1"/>
          </rPr>
          <t xml:space="preserve">
Bolin, Kim:
From Option 2 on the Reconciilation filed in this case. Plant, Depreciation Expense and Expense
</t>
        </r>
      </text>
    </comment>
    <comment ref="F95" authorId="1" guid="{1BE8BA4C-A04D-48C8-A021-C5A040252FF5}">
      <text>
        <r>
          <rPr>
            <b/>
            <sz val="9"/>
            <color indexed="81"/>
            <rFont val="Tahoma"/>
            <family val="2"/>
          </rPr>
          <t>Bolin, Kim:</t>
        </r>
        <r>
          <rPr>
            <sz val="9"/>
            <color indexed="81"/>
            <rFont val="Tahoma"/>
            <family val="2"/>
          </rPr>
          <t xml:space="preserve">
From OPC for filed reconciliation
</t>
        </r>
      </text>
    </comment>
  </commentList>
</comments>
</file>

<file path=xl/sharedStrings.xml><?xml version="1.0" encoding="utf-8"?>
<sst xmlns="http://schemas.openxmlformats.org/spreadsheetml/2006/main" count="216" uniqueCount="141">
  <si>
    <t>Case No. ER-2019-0374</t>
  </si>
  <si>
    <t>Return on Equity</t>
  </si>
  <si>
    <t>Order</t>
  </si>
  <si>
    <t>Empire</t>
  </si>
  <si>
    <t>Staff</t>
  </si>
  <si>
    <t>OPC</t>
  </si>
  <si>
    <t>Capital Structure</t>
  </si>
  <si>
    <t>53.07/46.93</t>
  </si>
  <si>
    <t>52.43/47.57</t>
  </si>
  <si>
    <t>46/54</t>
  </si>
  <si>
    <t>Cost of Debt</t>
  </si>
  <si>
    <t>Issue 1</t>
  </si>
  <si>
    <t>Issue 3</t>
  </si>
  <si>
    <t>Jurisdictional Allocation Factors</t>
  </si>
  <si>
    <t>Issue 6</t>
  </si>
  <si>
    <t>Issue 7</t>
  </si>
  <si>
    <t>Issue 8</t>
  </si>
  <si>
    <t>Issue 10</t>
  </si>
  <si>
    <t>CWC</t>
  </si>
  <si>
    <t>Income Tax lag</t>
  </si>
  <si>
    <t>39.38 days</t>
  </si>
  <si>
    <t>365 days</t>
  </si>
  <si>
    <t>29.21 days</t>
  </si>
  <si>
    <t>35.14 days</t>
  </si>
  <si>
    <t>Bad Debt Expense</t>
  </si>
  <si>
    <t>0 days</t>
  </si>
  <si>
    <t>182.5 days</t>
  </si>
  <si>
    <t>ADIT</t>
  </si>
  <si>
    <t>Tax Cut and Jobs Act Stub Period</t>
  </si>
  <si>
    <t>Rate Base Amount</t>
  </si>
  <si>
    <t>Amortization</t>
  </si>
  <si>
    <t>Issue 11</t>
  </si>
  <si>
    <t>Issue 12</t>
  </si>
  <si>
    <t>Issue 13</t>
  </si>
  <si>
    <t>Issue 14</t>
  </si>
  <si>
    <t>Fuel Inventories</t>
  </si>
  <si>
    <t>60 days</t>
  </si>
  <si>
    <t>18 days</t>
  </si>
  <si>
    <t xml:space="preserve">Issue 15 </t>
  </si>
  <si>
    <t>Operation and Maintenance Expense</t>
  </si>
  <si>
    <t xml:space="preserve"> </t>
  </si>
  <si>
    <t>Issue 16</t>
  </si>
  <si>
    <t>Pension and OPEBs</t>
  </si>
  <si>
    <t>Prepaid Pension Asset Balance</t>
  </si>
  <si>
    <t>Rate Base Value</t>
  </si>
  <si>
    <t xml:space="preserve">Pension Tracker </t>
  </si>
  <si>
    <t>OPEB Tracker</t>
  </si>
  <si>
    <t>Expense level</t>
  </si>
  <si>
    <t>Issue 17</t>
  </si>
  <si>
    <t>Affiliate Transactions</t>
  </si>
  <si>
    <t>Issue 18</t>
  </si>
  <si>
    <t>Riverton O&amp;M Tracker</t>
  </si>
  <si>
    <t xml:space="preserve">Tracker Rate Base </t>
  </si>
  <si>
    <t>Amortization Level</t>
  </si>
  <si>
    <t>Expense Level</t>
  </si>
  <si>
    <t>Issue 19</t>
  </si>
  <si>
    <t>Software Maintenance</t>
  </si>
  <si>
    <t>Issue 20</t>
  </si>
  <si>
    <t>Advertising Expense</t>
  </si>
  <si>
    <t>Issue 22</t>
  </si>
  <si>
    <t>Material and Supplies</t>
  </si>
  <si>
    <t>Rate Base Level</t>
  </si>
  <si>
    <t>Issue 23</t>
  </si>
  <si>
    <t>Asset Retirement Obligations</t>
  </si>
  <si>
    <t xml:space="preserve">Amortization </t>
  </si>
  <si>
    <t>Issue 25</t>
  </si>
  <si>
    <t>May 2011 Tronado Unamortized AAO Balance</t>
  </si>
  <si>
    <t>Issue 26</t>
  </si>
  <si>
    <t>Depreciation and Amortization Expense</t>
  </si>
  <si>
    <t>Issue 27</t>
  </si>
  <si>
    <t>Iatan/Plum Point Carrying Costs</t>
  </si>
  <si>
    <t>Issue 28</t>
  </si>
  <si>
    <t>Incentive Compensation</t>
  </si>
  <si>
    <t>Issue 29</t>
  </si>
  <si>
    <t>Customer Demand-Side Management Program (DSM)</t>
  </si>
  <si>
    <t>Amortization Expense</t>
  </si>
  <si>
    <t>Issue 30</t>
  </si>
  <si>
    <t>Issue 31</t>
  </si>
  <si>
    <t>Retail Revenue</t>
  </si>
  <si>
    <t>Issue 32</t>
  </si>
  <si>
    <t>Issue 33</t>
  </si>
  <si>
    <t>Issue 34</t>
  </si>
  <si>
    <t>Property Insurance Adjustment</t>
  </si>
  <si>
    <t>Issue 35</t>
  </si>
  <si>
    <t>Injuiries and Damages</t>
  </si>
  <si>
    <t>Rate Case Expense Amount</t>
  </si>
  <si>
    <t>Management Expense Disallowance</t>
  </si>
  <si>
    <t>Bad Debt Expense Lag</t>
  </si>
  <si>
    <t>Cash Vouchers Lag</t>
  </si>
  <si>
    <t>Vacation  Lag</t>
  </si>
  <si>
    <t>Tax Cut and Jobs Act Revenue Adjustment</t>
  </si>
  <si>
    <t>Other Revenues Amount</t>
  </si>
  <si>
    <t>Rent Revenue Amount</t>
  </si>
  <si>
    <t>Fly Ash Revenue Amount</t>
  </si>
  <si>
    <t>Unbilled Revenue Adjustment</t>
  </si>
  <si>
    <t>Franchise Tax Revenues Adjustment</t>
  </si>
  <si>
    <t>FAC Revenue Adjustment</t>
  </si>
  <si>
    <t>Retail Revenue - Billing Determinents Adjustment</t>
  </si>
  <si>
    <t>Issue 36</t>
  </si>
  <si>
    <t>Payroll and Overtime Adjustment</t>
  </si>
  <si>
    <t>Issue 37</t>
  </si>
  <si>
    <t>Retention Bonuses Adjustment</t>
  </si>
  <si>
    <t>Issue 38</t>
  </si>
  <si>
    <t>Revenue Requirement Impact</t>
  </si>
  <si>
    <t>Positive Revenue Requirement Impact means if the Commission would have decided in the party's favor the revenue requirement would have increased.</t>
  </si>
  <si>
    <t>Negative Revenue Requirement Impact means if the Commission would have decided in the party's favor the revenue requirement would havd decreased.</t>
  </si>
  <si>
    <t>Asbury</t>
  </si>
  <si>
    <t>Came from filed reconciliation</t>
  </si>
  <si>
    <t>Employee Benefits Adjustment</t>
  </si>
  <si>
    <t>Issue 39</t>
  </si>
  <si>
    <t>Issue 40</t>
  </si>
  <si>
    <t>Property Taxes Expense Level</t>
  </si>
  <si>
    <t>Dues and Donations Adjustment</t>
  </si>
  <si>
    <t>Issue 41</t>
  </si>
  <si>
    <t>Isssue 42</t>
  </si>
  <si>
    <t>Common Property Removed from Plant and Accumulated Depreciation</t>
  </si>
  <si>
    <t>Outside Services Expense</t>
  </si>
  <si>
    <t>NO DIFFERENCES (Allocations was the only difference)</t>
  </si>
  <si>
    <t>General Plant Adjustment</t>
  </si>
  <si>
    <t>Accumulated Depciation Adjustment</t>
  </si>
  <si>
    <t>Credit Card Fees Expense</t>
  </si>
  <si>
    <t>From EDE Initial Brief Filed</t>
  </si>
  <si>
    <t>From Initial Briefs and Exhibit 62.</t>
  </si>
  <si>
    <t>$7,478,634 (Total Company). Email from Kim Bolin 7/13/2020.</t>
  </si>
  <si>
    <t>Empire Adjustment IS 33 &amp; IS 49</t>
  </si>
  <si>
    <t>Order amount from Report &amp; Order</t>
  </si>
  <si>
    <t>Order amount from Staff True-Up Accounting Schedules</t>
  </si>
  <si>
    <t>Order amount from Staff True-Up Accounting Workpaper (Arabian)</t>
  </si>
  <si>
    <t>Order amount from Staff True-Up Accounting Schedules; Empire amount from EDE True-Up Adjustment IS 16</t>
  </si>
  <si>
    <t>Because Empire IS ADJ 6 was at a Missouri level, the 868,171 was determined by taking the difference in the GL balance at 3/31/19 &amp; 1/31/20 for those accounts.</t>
  </si>
  <si>
    <t>Empire amount was determined by taking the sum of the total company true-up amounts of IS ADJ 4 &amp; IS ADJ 5</t>
  </si>
  <si>
    <t>Table in email</t>
  </si>
  <si>
    <t>From  Baron Direct workpapers (includes EEI and all other)</t>
  </si>
  <si>
    <t>From Revised Reconciliation (removed the impact of franchise fees from jurisdictional allocations)</t>
  </si>
  <si>
    <t>Empire amount from True-Up IS ADJ 17</t>
  </si>
  <si>
    <t>Asbury Capital</t>
  </si>
  <si>
    <t>Total:</t>
  </si>
  <si>
    <t>Asbury Depreciation Expense</t>
  </si>
  <si>
    <t>Asbury Operations and Maintenance Expense</t>
  </si>
  <si>
    <t>Proposed Reconciliation - AMENDED</t>
  </si>
  <si>
    <t>The Empire District Electric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</si>
</sst>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&quot;$&quot;* #,##0.0_);_(&quot;$&quot;* \(#,##0.0\);_(&quot;$&quot;* &quot;-&quot;??_);_(@_)"/>
    <numFmt numFmtId="166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10" fontId="0" fillId="0" borderId="0" xfId="0" applyNumberFormat="1"/>
    <xf numFmtId="164" fontId="0" fillId="0" borderId="0" xfId="1" applyNumberFormat="1" applyFont="1"/>
    <xf numFmtId="164" fontId="0" fillId="0" borderId="0" xfId="0" applyNumberFormat="1"/>
    <xf numFmtId="164" fontId="0" fillId="0" borderId="0" xfId="1" applyNumberFormat="1" applyFont="1" applyFill="1"/>
    <xf numFmtId="164" fontId="0" fillId="0" borderId="0" xfId="0" applyNumberFormat="1" applyFill="1"/>
    <xf numFmtId="0" fontId="0" fillId="0" borderId="0" xfId="0" applyFill="1"/>
    <xf numFmtId="44" fontId="0" fillId="0" borderId="0" xfId="0" applyNumberFormat="1"/>
    <xf numFmtId="0" fontId="4" fillId="0" borderId="0" xfId="0" applyFont="1"/>
    <xf numFmtId="43" fontId="0" fillId="0" borderId="0" xfId="0" applyNumberFormat="1"/>
    <xf numFmtId="166" fontId="0" fillId="0" borderId="0" xfId="0" applyNumberFormat="1"/>
    <xf numFmtId="3" fontId="0" fillId="0" borderId="0" xfId="0" applyNumberFormat="1"/>
    <xf numFmtId="164" fontId="0" fillId="0" borderId="0" xfId="0" applyNumberFormat="1" applyBorder="1"/>
    <xf numFmtId="10" fontId="0" fillId="0" borderId="0" xfId="0" applyNumberFormat="1" applyFill="1"/>
    <xf numFmtId="165" fontId="0" fillId="0" borderId="0" xfId="1" applyNumberFormat="1" applyFont="1" applyFill="1"/>
    <xf numFmtId="44" fontId="0" fillId="0" borderId="0" xfId="1" applyFont="1" applyFill="1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164" fontId="0" fillId="0" borderId="0" xfId="1" applyNumberFormat="1" applyFont="1" applyAlignment="1">
      <alignment wrapText="1"/>
    </xf>
    <xf numFmtId="44" fontId="0" fillId="0" borderId="0" xfId="0" applyNumberFormat="1" applyAlignment="1">
      <alignment wrapText="1"/>
    </xf>
    <xf numFmtId="44" fontId="0" fillId="0" borderId="0" xfId="0" applyNumberFormat="1" applyFill="1"/>
    <xf numFmtId="0" fontId="0" fillId="0" borderId="0" xfId="0" applyAlignment="1">
      <alignment horizontal="left" indent="2"/>
    </xf>
    <xf numFmtId="166" fontId="0" fillId="0" borderId="0" xfId="0" applyNumberFormat="1" applyFill="1" applyAlignment="1">
      <alignment wrapText="1"/>
    </xf>
    <xf numFmtId="9" fontId="0" fillId="0" borderId="0" xfId="0" applyNumberFormat="1" applyFill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13.xml"/><Relationship Id="rId18" Type="http://schemas.openxmlformats.org/officeDocument/2006/relationships/revisionLog" Target="revisionLog18.xml"/><Relationship Id="rId26" Type="http://schemas.openxmlformats.org/officeDocument/2006/relationships/revisionLog" Target="revisionLog26.xml"/><Relationship Id="rId39" Type="http://schemas.openxmlformats.org/officeDocument/2006/relationships/revisionLog" Target="revisionLog39.xml"/><Relationship Id="rId21" Type="http://schemas.openxmlformats.org/officeDocument/2006/relationships/revisionLog" Target="revisionLog21.xml"/><Relationship Id="rId34" Type="http://schemas.openxmlformats.org/officeDocument/2006/relationships/revisionLog" Target="revisionLog34.xml"/><Relationship Id="rId42" Type="http://schemas.openxmlformats.org/officeDocument/2006/relationships/revisionLog" Target="revisionLog42.xml"/><Relationship Id="rId47" Type="http://schemas.openxmlformats.org/officeDocument/2006/relationships/revisionLog" Target="revisionLog47.xml"/><Relationship Id="rId50" Type="http://schemas.openxmlformats.org/officeDocument/2006/relationships/revisionLog" Target="revisionLog50.xml"/><Relationship Id="rId7" Type="http://schemas.openxmlformats.org/officeDocument/2006/relationships/revisionLog" Target="revisionLog7.xml"/><Relationship Id="rId2" Type="http://schemas.openxmlformats.org/officeDocument/2006/relationships/revisionLog" Target="revisionLog2.xml"/><Relationship Id="rId16" Type="http://schemas.openxmlformats.org/officeDocument/2006/relationships/revisionLog" Target="revisionLog16.xml"/><Relationship Id="rId29" Type="http://schemas.openxmlformats.org/officeDocument/2006/relationships/revisionLog" Target="revisionLog29.xml"/><Relationship Id="rId11" Type="http://schemas.openxmlformats.org/officeDocument/2006/relationships/revisionLog" Target="revisionLog11.xml"/><Relationship Id="rId24" Type="http://schemas.openxmlformats.org/officeDocument/2006/relationships/revisionLog" Target="revisionLog24.xml"/><Relationship Id="rId32" Type="http://schemas.openxmlformats.org/officeDocument/2006/relationships/revisionLog" Target="revisionLog32.xml"/><Relationship Id="rId37" Type="http://schemas.openxmlformats.org/officeDocument/2006/relationships/revisionLog" Target="revisionLog37.xml"/><Relationship Id="rId40" Type="http://schemas.openxmlformats.org/officeDocument/2006/relationships/revisionLog" Target="revisionLog40.xml"/><Relationship Id="rId45" Type="http://schemas.openxmlformats.org/officeDocument/2006/relationships/revisionLog" Target="revisionLog45.xml"/><Relationship Id="rId5" Type="http://schemas.openxmlformats.org/officeDocument/2006/relationships/revisionLog" Target="revisionLog5.xml"/><Relationship Id="rId15" Type="http://schemas.openxmlformats.org/officeDocument/2006/relationships/revisionLog" Target="revisionLog15.xml"/><Relationship Id="rId23" Type="http://schemas.openxmlformats.org/officeDocument/2006/relationships/revisionLog" Target="revisionLog23.xml"/><Relationship Id="rId28" Type="http://schemas.openxmlformats.org/officeDocument/2006/relationships/revisionLog" Target="revisionLog28.xml"/><Relationship Id="rId36" Type="http://schemas.openxmlformats.org/officeDocument/2006/relationships/revisionLog" Target="revisionLog36.xml"/><Relationship Id="rId49" Type="http://schemas.openxmlformats.org/officeDocument/2006/relationships/revisionLog" Target="revisionLog49.xml"/><Relationship Id="rId10" Type="http://schemas.openxmlformats.org/officeDocument/2006/relationships/revisionLog" Target="revisionLog10.xml"/><Relationship Id="rId19" Type="http://schemas.openxmlformats.org/officeDocument/2006/relationships/revisionLog" Target="revisionLog19.xml"/><Relationship Id="rId31" Type="http://schemas.openxmlformats.org/officeDocument/2006/relationships/revisionLog" Target="revisionLog31.xml"/><Relationship Id="rId44" Type="http://schemas.openxmlformats.org/officeDocument/2006/relationships/revisionLog" Target="revisionLog44.xml"/><Relationship Id="rId52" Type="http://schemas.openxmlformats.org/officeDocument/2006/relationships/revisionLog" Target="revisionLog52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4" Type="http://schemas.openxmlformats.org/officeDocument/2006/relationships/revisionLog" Target="revisionLog14.xml"/><Relationship Id="rId22" Type="http://schemas.openxmlformats.org/officeDocument/2006/relationships/revisionLog" Target="revisionLog22.xml"/><Relationship Id="rId27" Type="http://schemas.openxmlformats.org/officeDocument/2006/relationships/revisionLog" Target="revisionLog27.xml"/><Relationship Id="rId30" Type="http://schemas.openxmlformats.org/officeDocument/2006/relationships/revisionLog" Target="revisionLog30.xml"/><Relationship Id="rId35" Type="http://schemas.openxmlformats.org/officeDocument/2006/relationships/revisionLog" Target="revisionLog35.xml"/><Relationship Id="rId43" Type="http://schemas.openxmlformats.org/officeDocument/2006/relationships/revisionLog" Target="revisionLog43.xml"/><Relationship Id="rId48" Type="http://schemas.openxmlformats.org/officeDocument/2006/relationships/revisionLog" Target="revisionLog48.xml"/><Relationship Id="rId8" Type="http://schemas.openxmlformats.org/officeDocument/2006/relationships/revisionLog" Target="revisionLog8.xml"/><Relationship Id="rId51" Type="http://schemas.openxmlformats.org/officeDocument/2006/relationships/revisionLog" Target="revisionLog51.xml"/><Relationship Id="rId3" Type="http://schemas.openxmlformats.org/officeDocument/2006/relationships/revisionLog" Target="revisionLog3.xml"/><Relationship Id="rId12" Type="http://schemas.openxmlformats.org/officeDocument/2006/relationships/revisionLog" Target="revisionLog12.xml"/><Relationship Id="rId17" Type="http://schemas.openxmlformats.org/officeDocument/2006/relationships/revisionLog" Target="revisionLog17.xml"/><Relationship Id="rId25" Type="http://schemas.openxmlformats.org/officeDocument/2006/relationships/revisionLog" Target="revisionLog25.xml"/><Relationship Id="rId33" Type="http://schemas.openxmlformats.org/officeDocument/2006/relationships/revisionLog" Target="revisionLog33.xml"/><Relationship Id="rId38" Type="http://schemas.openxmlformats.org/officeDocument/2006/relationships/revisionLog" Target="revisionLog38.xml"/><Relationship Id="rId46" Type="http://schemas.openxmlformats.org/officeDocument/2006/relationships/revisionLog" Target="revisionLog46.xml"/><Relationship Id="rId20" Type="http://schemas.openxmlformats.org/officeDocument/2006/relationships/revisionLog" Target="revisionLog20.xml"/><Relationship Id="rId41" Type="http://schemas.openxmlformats.org/officeDocument/2006/relationships/revisionLog" Target="revisionLog41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5CA9BC5-A8D7-4FD1-916F-62710C43BF8D}" diskRevisions="1" revisionId="149" version="4">
  <header guid="{87902D96-83BB-4ECB-A288-941B1ECE3CA1}" dateTime="2020-09-08T10:29:58" maxSheetId="2" userName="Leigha Palumbo" r:id="rId1">
    <sheetIdMap count="1">
      <sheetId val="1"/>
    </sheetIdMap>
  </header>
  <header guid="{E78F7A8D-6FB4-4EDF-B159-A61CF0862BBE}" dateTime="2020-09-08T10:50:54" maxSheetId="2" userName="Leigha Palumbo" r:id="rId2">
    <sheetIdMap count="1">
      <sheetId val="1"/>
    </sheetIdMap>
  </header>
  <header guid="{501722F7-8F60-40CE-AB23-2DAADA974099}" dateTime="2020-09-08T11:05:21" maxSheetId="2" userName="Taylor McDaniel" r:id="rId3">
    <sheetIdMap count="1">
      <sheetId val="1"/>
    </sheetIdMap>
  </header>
  <header guid="{2568FF6A-3667-4226-86A5-6211A3F99806}" dateTime="2020-09-08T12:03:18" maxSheetId="2" userName="Leigha Palumbo" r:id="rId4">
    <sheetIdMap count="1">
      <sheetId val="1"/>
    </sheetIdMap>
  </header>
  <header guid="{C525080F-BCFB-441F-8A02-1923DCF6C559}" dateTime="2020-09-08T13:12:16" maxSheetId="2" userName="Leigha Palumbo" r:id="rId5" minRId="1">
    <sheetIdMap count="1">
      <sheetId val="1"/>
    </sheetIdMap>
  </header>
  <header guid="{DFD9E5FC-C91A-4A5B-B454-E9ED7D6CC6C0}" dateTime="2020-09-08T13:57:07" maxSheetId="2" userName="Leigha Palumbo" r:id="rId6" minRId="2" maxRId="3">
    <sheetIdMap count="1">
      <sheetId val="1"/>
    </sheetIdMap>
  </header>
  <header guid="{F3BBF4DC-C61C-4C1F-ACFD-D935E78FC0E6}" dateTime="2020-09-08T14:21:53" maxSheetId="2" userName="Taylor McDaniel" r:id="rId7" minRId="4" maxRId="7">
    <sheetIdMap count="1">
      <sheetId val="1"/>
    </sheetIdMap>
  </header>
  <header guid="{0C10FEE9-1B33-4EC1-A441-178617D8CE49}" dateTime="2020-09-08T14:35:09" maxSheetId="2" userName="Leigha Palumbo" r:id="rId8" minRId="8" maxRId="15">
    <sheetIdMap count="1">
      <sheetId val="1"/>
    </sheetIdMap>
  </header>
  <header guid="{54743301-ACDF-4D83-9A1E-ECDBE31E00CE}" dateTime="2020-09-08T14:38:05" maxSheetId="2" userName="Leigha Palumbo" r:id="rId9" minRId="16">
    <sheetIdMap count="1">
      <sheetId val="1"/>
    </sheetIdMap>
  </header>
  <header guid="{E3377202-8D19-4338-85DE-F034B44B2981}" dateTime="2020-09-08T14:38:30" maxSheetId="2" userName="Taylor McDaniel" r:id="rId10" minRId="17" maxRId="21">
    <sheetIdMap count="1">
      <sheetId val="1"/>
    </sheetIdMap>
  </header>
  <header guid="{28D8E522-C5C1-4960-95BB-C5D630442BF6}" dateTime="2020-09-08T15:24:44" maxSheetId="2" userName="Leigha Palumbo" r:id="rId11" minRId="22" maxRId="36">
    <sheetIdMap count="1">
      <sheetId val="1"/>
    </sheetIdMap>
  </header>
  <header guid="{79164ED5-048B-4C11-979E-2DFE2C7F9D91}" dateTime="2020-09-08T15:47:00" maxSheetId="2" userName="Leigha Palumbo" r:id="rId12">
    <sheetIdMap count="1">
      <sheetId val="1"/>
    </sheetIdMap>
  </header>
  <header guid="{85E1B90B-D5B7-4571-BEB5-142704B9F30C}" dateTime="2020-09-08T16:35:42" maxSheetId="2" userName="Taylor McDaniel" r:id="rId13" minRId="37" maxRId="40">
    <sheetIdMap count="1">
      <sheetId val="1"/>
    </sheetIdMap>
  </header>
  <header guid="{63EDE4EB-8C86-46EF-8A36-7020498CDCA2}" dateTime="2020-09-08T17:40:49" maxSheetId="2" userName="Taylor McDaniel" r:id="rId14" minRId="41" maxRId="57">
    <sheetIdMap count="1">
      <sheetId val="1"/>
    </sheetIdMap>
  </header>
  <header guid="{DF086AB3-6766-44EE-B7E4-5DACE39122AC}" dateTime="2020-09-08T17:43:38" maxSheetId="2" userName="Taylor McDaniel" r:id="rId15" minRId="58" maxRId="59">
    <sheetIdMap count="1">
      <sheetId val="1"/>
    </sheetIdMap>
  </header>
  <header guid="{6C16A65F-580E-45B1-A51C-17290C9A200B}" dateTime="2020-09-09T07:53:01" maxSheetId="2" userName="Leigha Palumbo" r:id="rId16" minRId="60">
    <sheetIdMap count="1">
      <sheetId val="1"/>
    </sheetIdMap>
  </header>
  <header guid="{5A41005F-BBD3-4497-97B3-F41C52EABAE0}" dateTime="2020-09-09T08:04:45" maxSheetId="2" userName="Leigha Palumbo" r:id="rId17">
    <sheetIdMap count="1">
      <sheetId val="1"/>
    </sheetIdMap>
  </header>
  <header guid="{3DD42539-38CC-4719-A6FB-7DC732D13C4E}" dateTime="2020-09-09T08:07:55" maxSheetId="2" userName="Leigha Palumbo" r:id="rId18">
    <sheetIdMap count="1">
      <sheetId val="1"/>
    </sheetIdMap>
  </header>
  <header guid="{8E170126-0460-45B1-9E86-9F25A567C19A}" dateTime="2020-09-09T08:10:11" maxSheetId="2" userName="Leigha Palumbo" r:id="rId19">
    <sheetIdMap count="1">
      <sheetId val="1"/>
    </sheetIdMap>
  </header>
  <header guid="{4C0C8297-1644-49C8-B4D3-64D54C9158B6}" dateTime="2020-09-09T08:28:36" maxSheetId="2" userName="Leigha Palumbo" r:id="rId20" minRId="61" maxRId="63">
    <sheetIdMap count="1">
      <sheetId val="1"/>
    </sheetIdMap>
  </header>
  <header guid="{C4FD2173-2008-4541-80A3-036382ABAA02}" dateTime="2020-09-09T08:37:39" maxSheetId="2" userName="Taylor McDaniel" r:id="rId21">
    <sheetIdMap count="1">
      <sheetId val="1"/>
    </sheetIdMap>
  </header>
  <header guid="{27692EBD-384F-4857-8A96-F150B161A616}" dateTime="2020-09-09T08:54:53" maxSheetId="2" userName="Leigha Palumbo" r:id="rId22">
    <sheetIdMap count="1">
      <sheetId val="1"/>
    </sheetIdMap>
  </header>
  <header guid="{0BB55208-6933-4589-8033-41D0391E22DB}" dateTime="2020-09-09T09:13:29" maxSheetId="2" userName="Taylor McDaniel" r:id="rId23" minRId="64" maxRId="67">
    <sheetIdMap count="1">
      <sheetId val="1"/>
    </sheetIdMap>
  </header>
  <header guid="{CA225B7F-470F-4686-A3F1-2E4EF1DCFEDB}" dateTime="2020-09-09T09:14:11" maxSheetId="2" userName="Taylor McDaniel" r:id="rId24" minRId="68">
    <sheetIdMap count="1">
      <sheetId val="1"/>
    </sheetIdMap>
  </header>
  <header guid="{0815A01C-8423-4815-9181-470E74A50A2D}" dateTime="2020-09-09T14:18:02" maxSheetId="2" userName="Leigha Palumbo" r:id="rId25" minRId="69" maxRId="76">
    <sheetIdMap count="1">
      <sheetId val="1"/>
    </sheetIdMap>
  </header>
  <header guid="{83BDA37C-20A5-4629-97FF-CDBDC4F08D43}" dateTime="2020-09-09T14:38:32" maxSheetId="2" userName="Leigha Palumbo" r:id="rId26" minRId="77">
    <sheetIdMap count="1">
      <sheetId val="1"/>
    </sheetIdMap>
  </header>
  <header guid="{E4A21190-9AEA-4FED-A527-18F7FBC6687A}" dateTime="2020-09-09T15:29:36" maxSheetId="2" userName="Taylor McDaniel" r:id="rId27" minRId="78" maxRId="82">
    <sheetIdMap count="1">
      <sheetId val="1"/>
    </sheetIdMap>
  </header>
  <header guid="{019495DF-32E3-413F-90A2-F646D4E18510}" dateTime="2020-09-09T16:47:32" maxSheetId="2" userName="Taylor McDaniel" r:id="rId28" minRId="83">
    <sheetIdMap count="1">
      <sheetId val="1"/>
    </sheetIdMap>
  </header>
  <header guid="{CE475ED3-F498-4A08-A406-40B0C14C4A31}" dateTime="2020-09-09T16:49:16" maxSheetId="2" userName="Taylor McDaniel" r:id="rId29" minRId="84" maxRId="85">
    <sheetIdMap count="1">
      <sheetId val="1"/>
    </sheetIdMap>
  </header>
  <header guid="{0D1A44E3-7A8C-4AB7-B2E9-732337A66EDC}" dateTime="2020-09-09T16:50:08" maxSheetId="2" userName="Taylor McDaniel" r:id="rId30" minRId="86" maxRId="87">
    <sheetIdMap count="1">
      <sheetId val="1"/>
    </sheetIdMap>
  </header>
  <header guid="{2EEA2C6B-DC5F-49DE-936B-7C38A1FFBF1C}" dateTime="2020-09-09T17:00:52" maxSheetId="2" userName="Taylor McDaniel" r:id="rId31">
    <sheetIdMap count="1">
      <sheetId val="1"/>
    </sheetIdMap>
  </header>
  <header guid="{6AB4B9AE-3987-403B-B5C1-AF1FCD228A4E}" dateTime="2020-09-14T11:04:10" maxSheetId="2" userName="Taylor McDaniel" r:id="rId32" minRId="88">
    <sheetIdMap count="1">
      <sheetId val="1"/>
    </sheetIdMap>
  </header>
  <header guid="{63E1C6F6-60DD-492F-BF5B-C3789E806292}" dateTime="2020-09-14T11:11:03" maxSheetId="2" userName="Taylor McDaniel" r:id="rId33" minRId="89" maxRId="90">
    <sheetIdMap count="1">
      <sheetId val="1"/>
    </sheetIdMap>
  </header>
  <header guid="{3284A381-0076-435C-B2F0-ABA03E3B35A4}" dateTime="2020-09-14T11:12:31" maxSheetId="2" userName="Leigha Palumbo" r:id="rId34" minRId="91">
    <sheetIdMap count="1">
      <sheetId val="1"/>
    </sheetIdMap>
  </header>
  <header guid="{55B30B96-2107-4270-860D-54E2D886781A}" dateTime="2020-09-14T11:13:08" maxSheetId="2" userName="Taylor McDaniel" r:id="rId35">
    <sheetIdMap count="1">
      <sheetId val="1"/>
    </sheetIdMap>
  </header>
  <header guid="{68771567-4507-49F1-8070-D21C0C05EED0}" dateTime="2020-09-14T11:14:33" maxSheetId="2" userName="Taylor McDaniel" r:id="rId36" minRId="92" maxRId="108">
    <sheetIdMap count="1">
      <sheetId val="1"/>
    </sheetIdMap>
  </header>
  <header guid="{5A189002-AFAF-4F4F-83BF-75811FF20620}" dateTime="2020-09-14T11:16:12" maxSheetId="2" userName="Leigha Palumbo" r:id="rId37" minRId="109">
    <sheetIdMap count="1">
      <sheetId val="1"/>
    </sheetIdMap>
  </header>
  <header guid="{C118DE43-2133-49CB-ADA1-494DD5A88307}" dateTime="2020-09-15T17:09:00" maxSheetId="2" userName="Bolin, Kim" r:id="rId38">
    <sheetIdMap count="1">
      <sheetId val="1"/>
    </sheetIdMap>
  </header>
  <header guid="{722C14E7-4EF7-4391-A34C-C698FD6782CC}" dateTime="2020-09-15T17:16:17" maxSheetId="2" userName="Bolin, Kim" r:id="rId39">
    <sheetIdMap count="1">
      <sheetId val="1"/>
    </sheetIdMap>
  </header>
  <header guid="{04606C47-7D38-4FB9-BABC-F22CE2AB6750}" dateTime="2020-09-16T08:57:30" maxSheetId="2" userName="Bolin, Kim" r:id="rId40" minRId="110" maxRId="116">
    <sheetIdMap count="1">
      <sheetId val="1"/>
    </sheetIdMap>
  </header>
  <header guid="{CC1A9718-3C08-4EFC-8657-F091AC2B3528}" dateTime="2020-09-16T10:37:47" maxSheetId="2" userName="Taylor McDaniel" r:id="rId41" minRId="117">
    <sheetIdMap count="1">
      <sheetId val="1"/>
    </sheetIdMap>
  </header>
  <header guid="{F941E4D8-EB24-45A4-BEB4-213106F76A40}" dateTime="2020-09-16T10:39:07" maxSheetId="2" userName="Taylor McDaniel" r:id="rId42" minRId="118" maxRId="119">
    <sheetIdMap count="1">
      <sheetId val="1"/>
    </sheetIdMap>
  </header>
  <header guid="{2F8B9450-717A-4787-8987-4679A8237927}" dateTime="2020-09-16T12:00:28" maxSheetId="2" userName="Leigha Palumbo" r:id="rId43">
    <sheetIdMap count="1">
      <sheetId val="1"/>
    </sheetIdMap>
  </header>
  <header guid="{DA0EF859-0F92-44D3-AAE4-1F8809A78F38}" dateTime="2020-09-16T12:29:14" maxSheetId="2" userName="Leigha Palumbo" r:id="rId44" minRId="120">
    <sheetIdMap count="1">
      <sheetId val="1"/>
    </sheetIdMap>
  </header>
  <header guid="{1DE6EE50-6558-4AF2-AB2E-6950ACB10830}" dateTime="2020-09-16T12:37:41" maxSheetId="2" userName="Leigha Palumbo" r:id="rId45" minRId="121">
    <sheetIdMap count="1">
      <sheetId val="1"/>
    </sheetIdMap>
  </header>
  <header guid="{5C98A0A8-9D2B-40EB-B253-5A77246A81E4}" dateTime="2020-09-16T16:38:58" maxSheetId="2" userName="Charlotte Emery" r:id="rId46" minRId="122">
    <sheetIdMap count="1">
      <sheetId val="1"/>
    </sheetIdMap>
  </header>
  <header guid="{7BC60540-63D6-44C4-836D-DA4A12BF9E17}" dateTime="2020-09-17T17:42:31" maxSheetId="2" userName="Charlotte Emery" r:id="rId47" minRId="123" maxRId="134">
    <sheetIdMap count="1">
      <sheetId val="1"/>
    </sheetIdMap>
  </header>
  <header guid="{EFF1CF18-14BB-4150-970A-ADBB6375C09C}" dateTime="2020-09-17T17:43:34" maxSheetId="2" userName="Charlotte Emery" r:id="rId48" minRId="135" maxRId="140">
    <sheetIdMap count="1">
      <sheetId val="1"/>
    </sheetIdMap>
  </header>
  <header guid="{B145B5C2-ECD8-48D7-A6FD-0E2794893A51}" dateTime="2020-09-18T12:36:11" maxSheetId="2" userName="Charlotte Emery" r:id="rId49" minRId="141" maxRId="142">
    <sheetIdMap count="1">
      <sheetId val="1"/>
    </sheetIdMap>
  </header>
  <header guid="{D9CFE950-ECDF-4BCD-93ED-D9DAF6D5909D}" dateTime="2020-09-24T09:16:07" maxSheetId="2" userName="Leigha Palumbo" r:id="rId50" minRId="143" maxRId="144">
    <sheetIdMap count="1">
      <sheetId val="1"/>
    </sheetIdMap>
  </header>
  <header guid="{629D95B6-B2A6-45D0-B782-84D532B4A23B}" dateTime="2020-09-24T11:44:57" maxSheetId="2" userName="Charlotte Emery" r:id="rId51" minRId="145" maxRId="147">
    <sheetIdMap count="1">
      <sheetId val="1"/>
    </sheetIdMap>
  </header>
  <header guid="{75CA9BC5-A8D7-4FD1-916F-62710C43BF8D}" dateTime="2020-09-24T13:59:21" maxSheetId="2" userName="Diana Carter" r:id="rId52" minRId="148" maxRId="149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" sId="1">
    <oc r="G140" t="inlineStr">
      <is>
        <t>Inserted in ordered EMS</t>
      </is>
    </oc>
    <nc r="G140"/>
  </rcc>
  <rfmt sheetId="1" sqref="G140">
    <dxf>
      <fill>
        <patternFill patternType="none">
          <bgColor auto="1"/>
        </patternFill>
      </fill>
    </dxf>
  </rfmt>
  <rcc rId="18" sId="1" odxf="1" dxf="1">
    <nc r="H1">
      <f>+'\\srv-empire10\Dept Shares\Planning and Regulatory\Regulatory\Cases\RATE CASES\MO\Electric\ER-2019-0374\21 - Order\Revenue Requirement\[MO Revenue Requirement Model - Per Order.xlsx]Schedule 6 WACC'!$O$20</f>
    </nc>
    <odxf>
      <numFmt numFmtId="0" formatCode="General"/>
    </odxf>
    <ndxf>
      <numFmt numFmtId="14" formatCode="0.00%"/>
    </ndxf>
  </rcc>
  <rcc rId="19" sId="1">
    <nc r="H2">
      <f>+'\\srv-empire10\Dept Shares\Planning and Regulatory\Regulatory\Cases\RATE CASES\MO\Electric\ER-2019-0374\21 - Order\Revenue Requirement\[MO Revenue Requirement Model - Per Order.xlsx]Schedule 7 GRCF'!$I$21</f>
    </nc>
  </rcc>
  <rcc rId="20" sId="1">
    <oc r="D140">
      <f>1590456-992367</f>
    </oc>
    <nc r="D140">
      <f>+(D139-C139)*H1*H2</f>
    </nc>
  </rcc>
  <rcc rId="21" sId="1" numFmtId="34">
    <oc r="D140">
      <f>+(D139-C139)*H1*H2</f>
    </oc>
    <nc r="D140">
      <v>28938.720162447706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" sId="1" numFmtId="34">
    <oc r="D70">
      <v>32731672</v>
    </oc>
    <nc r="D70">
      <v>32124367</v>
    </nc>
  </rcc>
  <rcc rId="23" sId="1">
    <oc r="G70" t="inlineStr">
      <is>
        <t>$32,124,367 from Initial Briefs and Exhibit 62.</t>
      </is>
    </oc>
    <nc r="G70" t="inlineStr">
      <is>
        <t>From Initial Briefs and Exhibit 62.</t>
      </is>
    </nc>
  </rcc>
  <rfmt sheetId="1" sqref="D11">
    <dxf>
      <fill>
        <patternFill patternType="solid">
          <bgColor rgb="FF92D050"/>
        </patternFill>
      </fill>
    </dxf>
  </rfmt>
  <rfmt sheetId="1" sqref="D14">
    <dxf>
      <fill>
        <patternFill patternType="solid">
          <bgColor rgb="FFFF0000"/>
        </patternFill>
      </fill>
    </dxf>
  </rfmt>
  <rcc rId="24" sId="1" odxf="1" dxf="1" numFmtId="4">
    <nc r="H14">
      <v>5981344</v>
    </nc>
    <odxf>
      <numFmt numFmtId="0" formatCode="General"/>
    </odxf>
    <ndxf>
      <numFmt numFmtId="3" formatCode="#,##0"/>
    </ndxf>
  </rcc>
  <rcc rId="25" sId="1" odxf="1" dxf="1" numFmtId="4">
    <nc r="H17">
      <v>1986424</v>
    </nc>
    <odxf>
      <numFmt numFmtId="0" formatCode="General"/>
    </odxf>
    <ndxf>
      <numFmt numFmtId="3" formatCode="#,##0"/>
    </ndxf>
  </rcc>
  <rfmt sheetId="1" sqref="D17">
    <dxf>
      <fill>
        <patternFill patternType="solid">
          <bgColor rgb="FFFF0000"/>
        </patternFill>
      </fill>
    </dxf>
  </rfmt>
  <rfmt sheetId="1" sqref="D25">
    <dxf>
      <fill>
        <patternFill patternType="solid">
          <bgColor rgb="FFFF0000"/>
        </patternFill>
      </fill>
    </dxf>
  </rfmt>
  <rfmt sheetId="1" sqref="D25">
    <dxf>
      <fill>
        <patternFill>
          <bgColor rgb="FF92D050"/>
        </patternFill>
      </fill>
    </dxf>
  </rfmt>
  <rfmt sheetId="1" sqref="D29">
    <dxf>
      <fill>
        <patternFill patternType="solid">
          <bgColor rgb="FF92D050"/>
        </patternFill>
      </fill>
    </dxf>
  </rfmt>
  <rfmt sheetId="1" sqref="D33">
    <dxf>
      <fill>
        <patternFill patternType="solid">
          <bgColor rgb="FF92D050"/>
        </patternFill>
      </fill>
    </dxf>
  </rfmt>
  <rfmt sheetId="1" sqref="I50" start="0" length="0">
    <dxf>
      <numFmt numFmtId="164" formatCode="_(&quot;$&quot;* #,##0_);_(&quot;$&quot;* \(#,##0\);_(&quot;$&quot;* &quot;-&quot;??_);_(@_)"/>
    </dxf>
  </rfmt>
  <rfmt sheetId="1" sqref="I51" start="0" length="0">
    <dxf>
      <numFmt numFmtId="14" formatCode="0.00%"/>
    </dxf>
  </rfmt>
  <rcc rId="26" sId="1" numFmtId="14">
    <nc r="I51">
      <f>'X:\Regulatory\Cases\RATE CASES\MO\Electric\ER-2019-0374\21 - Order\Revenue Requirement\[MO Revenue Requirement Model - Per Order.xlsx]Schedule 1 Revenue Requirement'!$K$25</f>
    </nc>
  </rcc>
  <rm rId="27" sheetId="1" source="I51" destination="J1" sourceSheetId="1"/>
  <rcc rId="28" sId="1">
    <nc r="J2">
      <f>'X:\Regulatory\Cases\RATE CASES\MO\Electric\ER-2019-0374\21 - Order\Revenue Requirement\[MO Revenue Requirement Model - Per Order.xlsx]Schedule 1 Revenue Requirement'!$K$31</f>
    </nc>
  </rcc>
  <rfmt sheetId="1" sqref="I51" start="0" length="0">
    <dxf>
      <numFmt numFmtId="34" formatCode="_(&quot;$&quot;* #,##0.00_);_(&quot;$&quot;* \(#,##0.00\);_(&quot;$&quot;* &quot;-&quot;??_);_(@_)"/>
    </dxf>
  </rfmt>
  <rfmt sheetId="1" sqref="I52" start="0" length="0">
    <dxf>
      <numFmt numFmtId="34" formatCode="_(&quot;$&quot;* #,##0.00_);_(&quot;$&quot;* \(#,##0.00\);_(&quot;$&quot;* &quot;-&quot;??_);_(@_)"/>
    </dxf>
  </rfmt>
  <rfmt sheetId="1" sqref="D51">
    <dxf>
      <fill>
        <patternFill patternType="solid">
          <bgColor rgb="FF92D050"/>
        </patternFill>
      </fill>
    </dxf>
  </rfmt>
  <rfmt sheetId="1" sqref="D59">
    <dxf>
      <fill>
        <patternFill patternType="solid">
          <bgColor rgb="FF92D050"/>
        </patternFill>
      </fill>
    </dxf>
  </rfmt>
  <rfmt sheetId="1" sqref="D71">
    <dxf>
      <fill>
        <patternFill patternType="solid">
          <bgColor rgb="FF92D050"/>
        </patternFill>
      </fill>
    </dxf>
  </rfmt>
  <rfmt sheetId="1" sqref="D88">
    <dxf>
      <fill>
        <patternFill patternType="solid">
          <bgColor rgb="FF92D050"/>
        </patternFill>
      </fill>
    </dxf>
  </rfmt>
  <rfmt sheetId="1" sqref="D97">
    <dxf>
      <fill>
        <patternFill patternType="solid">
          <bgColor rgb="FF92D050"/>
        </patternFill>
      </fill>
    </dxf>
  </rfmt>
  <rfmt sheetId="1" sqref="D100">
    <dxf>
      <fill>
        <patternFill patternType="solid">
          <bgColor rgb="FF92D050"/>
        </patternFill>
      </fill>
    </dxf>
  </rfmt>
  <rfmt sheetId="1" sqref="D103">
    <dxf>
      <fill>
        <patternFill patternType="solid">
          <bgColor rgb="FF92D050"/>
        </patternFill>
      </fill>
    </dxf>
  </rfmt>
  <rfmt sheetId="1" sqref="D108">
    <dxf>
      <fill>
        <patternFill patternType="solid">
          <bgColor rgb="FF92D050"/>
        </patternFill>
      </fill>
    </dxf>
  </rfmt>
  <rfmt sheetId="1" sqref="D113">
    <dxf>
      <fill>
        <patternFill patternType="solid">
          <bgColor rgb="FF92D050"/>
        </patternFill>
      </fill>
    </dxf>
  </rfmt>
  <rcc rId="29" sId="1">
    <oc r="I96">
      <f>C96-D96</f>
    </oc>
    <nc r="I96"/>
  </rcc>
  <rcc rId="30" sId="1">
    <oc r="I97">
      <f>I96*0.0677</f>
    </oc>
    <nc r="I97"/>
  </rcc>
  <rcc rId="31" sId="1">
    <oc r="I98">
      <v>1.3130269341214995</v>
    </oc>
    <nc r="I98"/>
  </rcc>
  <rcc rId="32" sId="1">
    <oc r="I99">
      <f>I97*I98</f>
    </oc>
    <nc r="I99"/>
  </rcc>
  <rcc rId="33" sId="1">
    <oc r="I100">
      <f>I99-D97</f>
    </oc>
    <nc r="I100"/>
  </rcc>
  <rfmt sheetId="1" sqref="H117" start="0" length="0">
    <dxf>
      <numFmt numFmtId="164" formatCode="_(&quot;$&quot;* #,##0_);_(&quot;$&quot;* \(#,##0\);_(&quot;$&quot;* &quot;-&quot;??_);_(@_)"/>
    </dxf>
  </rfmt>
  <rfmt sheetId="1" sqref="H118" start="0" length="0">
    <dxf>
      <numFmt numFmtId="34" formatCode="_(&quot;$&quot;* #,##0.00_);_(&quot;$&quot;* \(#,##0.00\);_(&quot;$&quot;* &quot;-&quot;??_);_(@_)"/>
    </dxf>
  </rfmt>
  <rfmt sheetId="1" sqref="H119" start="0" length="0">
    <dxf>
      <numFmt numFmtId="34" formatCode="_(&quot;$&quot;* #,##0.00_);_(&quot;$&quot;* \(#,##0.00\);_(&quot;$&quot;* &quot;-&quot;??_);_(@_)"/>
    </dxf>
  </rfmt>
  <rfmt sheetId="1" sqref="H120" start="0" length="0">
    <dxf>
      <numFmt numFmtId="34" formatCode="_(&quot;$&quot;* #,##0.00_);_(&quot;$&quot;* \(#,##0.00\);_(&quot;$&quot;* &quot;-&quot;??_);_(@_)"/>
    </dxf>
  </rfmt>
  <rfmt sheetId="1" sqref="D118">
    <dxf>
      <fill>
        <patternFill patternType="solid">
          <bgColor rgb="FF92D050"/>
        </patternFill>
      </fill>
    </dxf>
  </rfmt>
  <rcc rId="34" sId="1" odxf="1" dxf="1">
    <nc r="I122">
      <f>D122*J1</f>
    </nc>
    <odxf>
      <numFmt numFmtId="0" formatCode="General"/>
    </odxf>
    <ndxf>
      <numFmt numFmtId="34" formatCode="_(&quot;$&quot;* #,##0.00_);_(&quot;$&quot;* \(#,##0.00\);_(&quot;$&quot;* &quot;-&quot;??_);_(@_)"/>
    </ndxf>
  </rcc>
  <rfmt sheetId="1" sqref="I123" start="0" length="0">
    <dxf>
      <numFmt numFmtId="34" formatCode="_(&quot;$&quot;* #,##0.00_);_(&quot;$&quot;* \(#,##0.00\);_(&quot;$&quot;* &quot;-&quot;??_);_(@_)"/>
    </dxf>
  </rfmt>
  <rcc rId="35" sId="1">
    <nc r="I123">
      <f>I122*J2</f>
    </nc>
  </rcc>
  <rcc rId="36" sId="1" odxf="1" dxf="1">
    <nc r="I124">
      <f>I123-D123</f>
    </nc>
    <odxf>
      <numFmt numFmtId="0" formatCode="General"/>
    </odxf>
    <ndxf>
      <numFmt numFmtId="34" formatCode="_(&quot;$&quot;* #,##0.00_);_(&quot;$&quot;* \(#,##0.00\);_(&quot;$&quot;* &quot;-&quot;??_);_(@_)"/>
    </ndxf>
  </rcc>
  <rfmt sheetId="1" sqref="I122:I124">
    <dxf>
      <numFmt numFmtId="165" formatCode="_(&quot;$&quot;* #,##0.0_);_(&quot;$&quot;* \(#,##0.0\);_(&quot;$&quot;* &quot;-&quot;??_);_(@_)"/>
    </dxf>
  </rfmt>
  <rfmt sheetId="1" sqref="I122:I124">
    <dxf>
      <numFmt numFmtId="164" formatCode="_(&quot;$&quot;* #,##0_);_(&quot;$&quot;* \(#,##0\);_(&quot;$&quot;* &quot;-&quot;??_);_(@_)"/>
    </dxf>
  </rfmt>
  <rfmt sheetId="1" sqref="I123" start="0" length="0">
    <dxf>
      <border>
        <left/>
        <right/>
        <top/>
        <bottom style="thin">
          <color indexed="64"/>
        </bottom>
      </border>
    </dxf>
  </rfmt>
  <rfmt sheetId="1" sqref="D123">
    <dxf>
      <fill>
        <patternFill patternType="solid">
          <bgColor rgb="FFFFC000"/>
        </patternFill>
      </fill>
    </dxf>
  </rfmt>
  <rfmt sheetId="1" sqref="D126">
    <dxf>
      <fill>
        <patternFill patternType="solid">
          <bgColor rgb="FF92D050"/>
        </patternFill>
      </fill>
    </dxf>
  </rfmt>
  <rcv guid="{C96BC93B-158D-437C-951A-CED81B85B092}" action="delete"/>
  <rcv guid="{C96BC93B-158D-437C-951A-CED81B85B092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41">
    <dxf>
      <fill>
        <patternFill patternType="solid">
          <bgColor rgb="FF92D050"/>
        </patternFill>
      </fill>
    </dxf>
  </rfmt>
  <rfmt sheetId="1" sqref="D44">
    <dxf>
      <fill>
        <patternFill patternType="solid">
          <bgColor rgb="FF92D050"/>
        </patternFill>
      </fill>
    </dxf>
  </rfmt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" sId="1" numFmtId="34">
    <oc r="D140">
      <v>28938.720162447706</v>
    </oc>
    <nc r="D140">
      <v>28938.720162447698</v>
    </nc>
  </rcc>
  <rcc rId="38" sId="1">
    <oc r="G139" t="inlineStr">
      <is>
        <t>Pulled from EDE Initial Brief Filed</t>
      </is>
    </oc>
    <nc r="G139" t="inlineStr">
      <is>
        <t>From EDE Initial Brief Filed</t>
      </is>
    </nc>
  </rcc>
  <rcc rId="39" sId="1">
    <oc r="G142" t="inlineStr">
      <is>
        <t>Pulled from EDE Initial Brief Filed</t>
      </is>
    </oc>
    <nc r="G142" t="inlineStr">
      <is>
        <t>From EDE Initial Brief Filed</t>
      </is>
    </nc>
  </rcc>
  <rfmt sheetId="1" sqref="D147">
    <dxf>
      <fill>
        <patternFill patternType="solid">
          <bgColor rgb="FF92D050"/>
        </patternFill>
      </fill>
    </dxf>
  </rfmt>
  <rfmt sheetId="1" sqref="D152">
    <dxf>
      <fill>
        <patternFill>
          <bgColor rgb="FF92D050"/>
        </patternFill>
      </fill>
    </dxf>
  </rfmt>
  <rfmt sheetId="1" sqref="D153">
    <dxf>
      <fill>
        <patternFill patternType="solid">
          <bgColor rgb="FF92D050"/>
        </patternFill>
      </fill>
    </dxf>
  </rfmt>
  <rfmt sheetId="1" sqref="D148">
    <dxf>
      <fill>
        <patternFill patternType="solid">
          <bgColor rgb="FF92D050"/>
        </patternFill>
      </fill>
    </dxf>
  </rfmt>
  <rfmt sheetId="1" sqref="D140">
    <dxf>
      <fill>
        <patternFill patternType="solid">
          <bgColor rgb="FFFF0000"/>
        </patternFill>
      </fill>
    </dxf>
  </rfmt>
  <rfmt sheetId="1" sqref="D143">
    <dxf>
      <fill>
        <patternFill patternType="solid">
          <bgColor rgb="FFFF0000"/>
        </patternFill>
      </fill>
    </dxf>
  </rfmt>
  <rfmt sheetId="1" sqref="D135">
    <dxf>
      <fill>
        <patternFill patternType="solid">
          <bgColor rgb="FF92D050"/>
        </patternFill>
      </fill>
    </dxf>
  </rfmt>
  <rfmt sheetId="1" sqref="D155:D156">
    <dxf>
      <fill>
        <patternFill patternType="solid">
          <bgColor rgb="FF92D050"/>
        </patternFill>
      </fill>
    </dxf>
  </rfmt>
  <rfmt sheetId="1" sqref="D159">
    <dxf>
      <fill>
        <patternFill patternType="solid">
          <bgColor rgb="FF92D050"/>
        </patternFill>
      </fill>
    </dxf>
  </rfmt>
  <rfmt sheetId="1" sqref="D160">
    <dxf>
      <fill>
        <patternFill patternType="solid">
          <bgColor rgb="FF92D050"/>
        </patternFill>
      </fill>
    </dxf>
  </rfmt>
  <rfmt sheetId="1" sqref="D167:D168">
    <dxf>
      <fill>
        <patternFill patternType="solid">
          <bgColor rgb="FF92D050"/>
        </patternFill>
      </fill>
    </dxf>
  </rfmt>
  <rcc rId="40" sId="1">
    <nc r="F164">
      <v>-6391485</v>
    </nc>
  </rcc>
  <rfmt sheetId="1" sqref="D167:D168">
    <dxf>
      <fill>
        <patternFill patternType="none">
          <bgColor auto="1"/>
        </patternFill>
      </fill>
    </dxf>
  </rfmt>
  <rfmt sheetId="1" sqref="D180">
    <dxf>
      <fill>
        <patternFill patternType="solid">
          <bgColor rgb="FF92D050"/>
        </patternFill>
      </fill>
    </dxf>
  </rfmt>
  <rfmt sheetId="1" sqref="D180">
    <dxf>
      <fill>
        <patternFill patternType="none">
          <bgColor auto="1"/>
        </patternFill>
      </fill>
    </dxf>
  </rfmt>
  <rfmt sheetId="1" sqref="D224:D225">
    <dxf>
      <fill>
        <patternFill patternType="solid">
          <bgColor rgb="FF92D050"/>
        </patternFill>
      </fill>
    </dxf>
  </rfmt>
  <rfmt sheetId="1" sqref="D203">
    <dxf>
      <numFmt numFmtId="165" formatCode="_(&quot;$&quot;* #,##0.0_);_(&quot;$&quot;* \(#,##0.0\);_(&quot;$&quot;* &quot;-&quot;??_);_(@_)"/>
    </dxf>
  </rfmt>
  <rfmt sheetId="1" sqref="D203">
    <dxf>
      <numFmt numFmtId="164" formatCode="_(&quot;$&quot;* #,##0_);_(&quot;$&quot;* \(#,##0\);_(&quot;$&quot;* &quot;-&quot;??_);_(@_)"/>
    </dxf>
  </rfmt>
  <rfmt sheetId="1" sqref="D203">
    <dxf>
      <fill>
        <patternFill patternType="solid">
          <bgColor rgb="FF92D050"/>
        </patternFill>
      </fill>
    </dxf>
  </rfmt>
  <rfmt sheetId="1" sqref="D211:D212">
    <dxf>
      <fill>
        <patternFill patternType="solid">
          <bgColor rgb="FF92D050"/>
        </patternFill>
      </fill>
    </dxf>
  </rfmt>
  <rfmt sheetId="1" sqref="D219">
    <dxf>
      <fill>
        <patternFill patternType="solid">
          <bgColor rgb="FF92D050"/>
        </patternFill>
      </fill>
    </dxf>
  </rfmt>
  <rfmt sheetId="1" sqref="D167:D168">
    <dxf>
      <fill>
        <patternFill patternType="solid">
          <bgColor rgb="FF92D050"/>
        </patternFill>
      </fill>
    </dxf>
  </rfmt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" sId="1" numFmtId="34">
    <oc r="C215">
      <v>-178133</v>
    </oc>
    <nc r="C215">
      <v>-179693</v>
    </nc>
  </rcc>
  <rcc rId="42" sId="1">
    <nc r="E216">
      <f>E215-C215</f>
    </nc>
  </rcc>
  <rfmt sheetId="1" sqref="C215">
    <dxf>
      <fill>
        <patternFill patternType="solid">
          <bgColor rgb="FFFF0000"/>
        </patternFill>
      </fill>
    </dxf>
  </rfmt>
  <rcc rId="43" sId="1">
    <nc r="G215" t="inlineStr">
      <is>
        <t>Amount from Report &amp; Order is 179,693</t>
      </is>
    </nc>
  </rcc>
  <rcc rId="44" sId="1" numFmtId="34">
    <oc r="C207">
      <v>124632</v>
    </oc>
    <nc r="C207">
      <v>142353</v>
    </nc>
  </rcc>
  <rcc rId="45" sId="1">
    <nc r="G207" t="inlineStr">
      <is>
        <t>Amount from Staff True-Up Accounting Schedules</t>
      </is>
    </nc>
  </rcc>
  <rfmt sheetId="1" sqref="C224:C225 C219 C211">
    <dxf>
      <fill>
        <patternFill patternType="solid">
          <bgColor rgb="FF92D050"/>
        </patternFill>
      </fill>
    </dxf>
  </rfmt>
  <rfmt sheetId="1" sqref="C203">
    <dxf>
      <fill>
        <patternFill patternType="solid">
          <bgColor rgb="FF92D050"/>
        </patternFill>
      </fill>
    </dxf>
  </rfmt>
  <rfmt sheetId="1" sqref="C203">
    <dxf>
      <numFmt numFmtId="165" formatCode="_(&quot;$&quot;* #,##0.0_);_(&quot;$&quot;* \(#,##0.0\);_(&quot;$&quot;* &quot;-&quot;??_);_(@_)"/>
    </dxf>
  </rfmt>
  <rfmt sheetId="1" sqref="C203">
    <dxf>
      <numFmt numFmtId="164" formatCode="_(&quot;$&quot;* #,##0_);_(&quot;$&quot;* \(#,##0\);_(&quot;$&quot;* &quot;-&quot;??_);_(@_)"/>
    </dxf>
  </rfmt>
  <rcc rId="46" sId="1" numFmtId="34">
    <oc r="C203">
      <v>1201080</v>
    </oc>
    <nc r="C203">
      <v>1021080</v>
    </nc>
  </rcc>
  <rcc rId="47" sId="1" numFmtId="34">
    <oc r="D203">
      <v>1201080</v>
    </oc>
    <nc r="D203">
      <v>1021080</v>
    </nc>
  </rcc>
  <rfmt sheetId="1" sqref="C203">
    <dxf>
      <fill>
        <patternFill>
          <bgColor rgb="FFFF0000"/>
        </patternFill>
      </fill>
    </dxf>
  </rfmt>
  <rcc rId="48" sId="1">
    <nc r="G203" t="inlineStr">
      <is>
        <t>Amount from Report &amp; Order</t>
      </is>
    </nc>
  </rcc>
  <rfmt sheetId="1" sqref="C207">
    <dxf>
      <fill>
        <patternFill patternType="solid">
          <bgColor rgb="FFFF0000"/>
        </patternFill>
      </fill>
    </dxf>
  </rfmt>
  <rfmt sheetId="1" sqref="D207">
    <dxf>
      <fill>
        <patternFill patternType="solid">
          <bgColor rgb="FFFF0000"/>
        </patternFill>
      </fill>
    </dxf>
  </rfmt>
  <rcc rId="49" sId="1" numFmtId="34">
    <oc r="D207">
      <v>792434</v>
    </oc>
    <nc r="D207">
      <v>868171.31</v>
    </nc>
  </rcc>
  <rfmt sheetId="1" sqref="D207">
    <dxf>
      <fill>
        <patternFill>
          <bgColor rgb="FF92D050"/>
        </patternFill>
      </fill>
    </dxf>
  </rfmt>
  <rcc rId="50" sId="1">
    <nc r="G199" t="inlineStr">
      <is>
        <t>Amount from Staff True-Up Accounting Workpaper</t>
      </is>
    </nc>
  </rcc>
  <rcc rId="51" sId="1" numFmtId="34">
    <oc r="C199">
      <v>1498470</v>
    </oc>
    <nc r="C199">
      <v>1731204.08</v>
    </nc>
  </rcc>
  <rcc rId="52" sId="1">
    <nc r="E208">
      <f>E207-C207</f>
    </nc>
  </rcc>
  <rcc rId="53" sId="1" odxf="1" s="1" dxf="1">
    <nc r="E200">
      <f>E199-C199</f>
    </nc>
    <odxf>
      <numFmt numFmtId="0" formatCode="General"/>
    </odxf>
    <ndxf>
      <numFmt numFmtId="164" formatCode="_(&quot;$&quot;* #,##0_);_(&quot;$&quot;* \(#,##0\);_(&quot;$&quot;* &quot;-&quot;??_);_(@_)"/>
    </ndxf>
  </rcc>
  <rfmt sheetId="1" sqref="C199">
    <dxf>
      <fill>
        <patternFill patternType="solid">
          <bgColor rgb="FFFF0000"/>
        </patternFill>
      </fill>
    </dxf>
  </rfmt>
  <rcc rId="54" sId="1" numFmtId="34">
    <oc r="D199">
      <v>3339139</v>
    </oc>
    <nc r="D199">
      <v>3809205.79</v>
    </nc>
  </rcc>
  <rfmt sheetId="1" sqref="D199">
    <dxf>
      <fill>
        <patternFill patternType="solid">
          <bgColor rgb="FFFF0000"/>
        </patternFill>
      </fill>
    </dxf>
  </rfmt>
  <rfmt sheetId="1" sqref="C130">
    <dxf>
      <fill>
        <patternFill patternType="solid">
          <bgColor rgb="FF92D050"/>
        </patternFill>
      </fill>
    </dxf>
  </rfmt>
  <rfmt sheetId="1" sqref="C139">
    <dxf>
      <fill>
        <patternFill patternType="solid">
          <bgColor rgb="FF92D050"/>
        </patternFill>
      </fill>
    </dxf>
  </rfmt>
  <rfmt sheetId="1" sqref="C142">
    <dxf>
      <fill>
        <patternFill patternType="solid">
          <bgColor rgb="FF92D050"/>
        </patternFill>
      </fill>
    </dxf>
  </rfmt>
  <rfmt sheetId="1" sqref="C147">
    <dxf>
      <fill>
        <patternFill patternType="solid">
          <bgColor rgb="FF92D050"/>
        </patternFill>
      </fill>
    </dxf>
  </rfmt>
  <rfmt sheetId="1" sqref="C152 C155">
    <dxf>
      <fill>
        <patternFill patternType="solid">
          <bgColor rgb="FF92D050"/>
        </patternFill>
      </fill>
    </dxf>
  </rfmt>
  <rfmt sheetId="1" sqref="C159">
    <dxf>
      <fill>
        <patternFill patternType="solid">
          <bgColor rgb="FF92D050"/>
        </patternFill>
      </fill>
    </dxf>
  </rfmt>
  <rfmt sheetId="1" sqref="C167">
    <dxf>
      <fill>
        <patternFill patternType="solid">
          <bgColor rgb="FF92D050"/>
        </patternFill>
      </fill>
    </dxf>
  </rfmt>
  <rfmt sheetId="1" sqref="C195">
    <dxf>
      <fill>
        <patternFill patternType="solid">
          <bgColor rgb="FF92D050"/>
        </patternFill>
      </fill>
    </dxf>
  </rfmt>
  <rfmt sheetId="1" sqref="D195">
    <dxf>
      <fill>
        <patternFill patternType="solid">
          <bgColor rgb="FF92D050"/>
        </patternFill>
      </fill>
    </dxf>
  </rfmt>
  <rfmt sheetId="1" sqref="C191">
    <dxf>
      <fill>
        <patternFill patternType="solid">
          <bgColor rgb="FFFF0000"/>
        </patternFill>
      </fill>
    </dxf>
  </rfmt>
  <rcc rId="55" sId="1">
    <nc r="G191" t="inlineStr">
      <is>
        <t>Amount from Staff True-Up Accounting Schedules</t>
      </is>
    </nc>
  </rcc>
  <rcc rId="56" sId="1" numFmtId="34">
    <oc r="C191">
      <v>-102223</v>
    </oc>
    <nc r="C191">
      <v>-116757</v>
    </nc>
  </rcc>
  <rcc rId="57" sId="1" numFmtId="34">
    <oc r="D191">
      <v>-6329</v>
    </oc>
    <nc r="D191">
      <v>-7451</v>
    </nc>
  </rcc>
  <rfmt sheetId="1" sqref="D191">
    <dxf>
      <fill>
        <patternFill patternType="solid">
          <bgColor rgb="FFFF0000"/>
        </patternFill>
      </fill>
    </dxf>
  </rfmt>
  <rfmt sheetId="1" sqref="D207">
    <dxf>
      <fill>
        <patternFill>
          <bgColor rgb="FFFF0000"/>
        </patternFill>
      </fill>
    </dxf>
  </rfmt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" sId="1" odxf="1" s="1" dxf="1">
    <nc r="E192">
      <f>E191-C191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</odxf>
    <ndxf>
      <numFmt numFmtId="34" formatCode="_(&quot;$&quot;* #,##0.00_);_(&quot;$&quot;* \(#,##0.00\);_(&quot;$&quot;* &quot;-&quot;??_);_(@_)"/>
    </ndxf>
  </rcc>
  <rcc rId="59" sId="1" odxf="1" s="1" dxf="1">
    <nc r="E212">
      <f>E211-C211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</odxf>
    <ndxf>
      <numFmt numFmtId="34" formatCode="_(&quot;$&quot;* #,##0.00_);_(&quot;$&quot;* \(#,##0.00\);_(&quot;$&quot;* &quot;-&quot;??_);_(@_)"/>
    </ndxf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21">
    <dxf>
      <fill>
        <patternFill patternType="solid">
          <bgColor rgb="FFFF0000"/>
        </patternFill>
      </fill>
    </dxf>
  </rfmt>
  <rfmt sheetId="1" sqref="C187">
    <dxf>
      <fill>
        <patternFill patternType="solid">
          <bgColor rgb="FFFF0000"/>
        </patternFill>
      </fill>
    </dxf>
  </rfmt>
  <rcc rId="60" sId="1">
    <nc r="G187" t="inlineStr">
      <is>
        <t>Staff/Order balance should be $3,985,645.  There was also an adjustment to remove the stub period from revenues.</t>
      </is>
    </nc>
  </rcc>
  <rfmt sheetId="1" sqref="D180">
    <dxf>
      <fill>
        <patternFill patternType="solid">
          <bgColor rgb="FF92D050"/>
        </patternFill>
      </fill>
    </dxf>
  </rfmt>
  <rfmt sheetId="1" sqref="D177">
    <dxf>
      <fill>
        <patternFill patternType="solid">
          <bgColor rgb="FF92D050"/>
        </patternFill>
      </fill>
    </dxf>
  </rfmt>
  <rfmt sheetId="1" sqref="D183">
    <dxf>
      <fill>
        <patternFill patternType="solid">
          <bgColor rgb="FF92D050"/>
        </patternFill>
      </fill>
    </dxf>
  </rfmt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10">
    <dxf>
      <fill>
        <patternFill patternType="solid">
          <bgColor rgb="FF92D050"/>
        </patternFill>
      </fill>
    </dxf>
  </rfmt>
  <rfmt sheetId="1" sqref="C13">
    <dxf>
      <fill>
        <patternFill patternType="solid">
          <bgColor rgb="FF92D050"/>
        </patternFill>
      </fill>
    </dxf>
  </rfmt>
  <rfmt sheetId="1" sqref="C16">
    <dxf>
      <fill>
        <patternFill patternType="solid">
          <bgColor rgb="FF92D050"/>
        </patternFill>
      </fill>
    </dxf>
  </rfmt>
  <rfmt sheetId="1" sqref="C24">
    <dxf>
      <fill>
        <patternFill patternType="solid">
          <bgColor rgb="FF92D050"/>
        </patternFill>
      </fill>
    </dxf>
  </rfmt>
  <rfmt sheetId="1" sqref="C28">
    <dxf>
      <fill>
        <patternFill patternType="solid">
          <bgColor rgb="FF92D050"/>
        </patternFill>
      </fill>
    </dxf>
  </rfmt>
  <rfmt sheetId="1" sqref="C32">
    <dxf>
      <fill>
        <patternFill patternType="solid">
          <bgColor rgb="FF92D050"/>
        </patternFill>
      </fill>
    </dxf>
  </rfmt>
  <rfmt sheetId="1" sqref="C37">
    <dxf>
      <fill>
        <patternFill patternType="solid">
          <bgColor rgb="FF92D050"/>
        </patternFill>
      </fill>
    </dxf>
  </rfmt>
  <rfmt sheetId="1" sqref="C40">
    <dxf>
      <fill>
        <patternFill patternType="solid">
          <bgColor rgb="FF92D050"/>
        </patternFill>
      </fill>
    </dxf>
  </rfmt>
  <rfmt sheetId="1" sqref="C43">
    <dxf>
      <fill>
        <patternFill patternType="solid">
          <bgColor rgb="FF92D050"/>
        </patternFill>
      </fill>
    </dxf>
  </rfmt>
  <rfmt sheetId="1" sqref="C46">
    <dxf>
      <fill>
        <patternFill patternType="solid">
          <bgColor rgb="FF92D050"/>
        </patternFill>
      </fill>
    </dxf>
  </rfmt>
  <rfmt sheetId="1" sqref="C55">
    <dxf>
      <fill>
        <patternFill patternType="solid">
          <bgColor rgb="FF92D050"/>
        </patternFill>
      </fill>
    </dxf>
  </rfmt>
  <rfmt sheetId="1" sqref="C58">
    <dxf>
      <fill>
        <patternFill patternType="solid">
          <bgColor rgb="FF92D050"/>
        </patternFill>
      </fill>
    </dxf>
  </rfmt>
  <rfmt sheetId="1" sqref="C66">
    <dxf>
      <fill>
        <patternFill patternType="solid">
          <bgColor rgb="FF92D050"/>
        </patternFill>
      </fill>
    </dxf>
  </rfmt>
  <rfmt sheetId="1" sqref="C70">
    <dxf>
      <fill>
        <patternFill patternType="solid">
          <bgColor rgb="FF92D050"/>
        </patternFill>
      </fill>
    </dxf>
  </rfmt>
  <rfmt sheetId="1" sqref="C84">
    <dxf>
      <fill>
        <patternFill patternType="solid">
          <bgColor rgb="FF92D050"/>
        </patternFill>
      </fill>
    </dxf>
  </rfmt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96">
    <dxf>
      <fill>
        <patternFill patternType="solid">
          <bgColor rgb="FF92D050"/>
        </patternFill>
      </fill>
    </dxf>
  </rfmt>
  <rfmt sheetId="1" sqref="C99">
    <dxf>
      <fill>
        <patternFill patternType="solid">
          <bgColor rgb="FF92D050"/>
        </patternFill>
      </fill>
    </dxf>
  </rfmt>
  <rfmt sheetId="1" sqref="C102">
    <dxf>
      <fill>
        <patternFill patternType="solid">
          <bgColor rgb="FFFF0000"/>
        </patternFill>
      </fill>
    </dxf>
  </rfmt>
  <rfmt sheetId="1" sqref="C107">
    <dxf>
      <fill>
        <patternFill patternType="solid">
          <bgColor rgb="FF92D050"/>
        </patternFill>
      </fill>
    </dxf>
  </rfmt>
  <rfmt sheetId="1" sqref="C112">
    <dxf>
      <fill>
        <patternFill patternType="solid">
          <bgColor rgb="FF92D050"/>
        </patternFill>
      </fill>
    </dxf>
  </rfmt>
  <rfmt sheetId="1" sqref="C117">
    <dxf>
      <fill>
        <patternFill patternType="solid">
          <bgColor rgb="FF92D050"/>
        </patternFill>
      </fill>
    </dxf>
  </rfmt>
  <rfmt sheetId="1" sqref="C134">
    <dxf>
      <fill>
        <patternFill patternType="solid">
          <bgColor rgb="FF92D050"/>
        </patternFill>
      </fill>
    </dxf>
  </rfmt>
  <rfmt sheetId="1" sqref="C134">
    <dxf>
      <fill>
        <patternFill patternType="none">
          <bgColor auto="1"/>
        </patternFill>
      </fill>
    </dxf>
  </rfmt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164">
    <dxf>
      <fill>
        <patternFill patternType="solid">
          <bgColor rgb="FF92D050"/>
        </patternFill>
      </fill>
    </dxf>
  </rfmt>
  <rfmt sheetId="1" sqref="C170">
    <dxf>
      <fill>
        <patternFill patternType="solid">
          <bgColor rgb="FF92D050"/>
        </patternFill>
      </fill>
    </dxf>
  </rfmt>
  <rfmt sheetId="1" sqref="C180">
    <dxf>
      <fill>
        <patternFill patternType="solid">
          <bgColor rgb="FF92D050"/>
        </patternFill>
      </fill>
    </dxf>
  </rfmt>
  <rfmt sheetId="1" sqref="C177">
    <dxf>
      <fill>
        <patternFill patternType="solid">
          <bgColor rgb="FF92D050"/>
        </patternFill>
      </fill>
    </dxf>
  </rfmt>
  <rfmt sheetId="1" sqref="C183">
    <dxf>
      <fill>
        <patternFill patternType="solid">
          <bgColor rgb="FF92D050"/>
        </patternFill>
      </fill>
    </dxf>
  </rfmt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10">
    <dxf>
      <fill>
        <patternFill>
          <bgColor rgb="FF92D050"/>
        </patternFill>
      </fill>
    </dxf>
  </rfmt>
  <rfmt sheetId="1" sqref="D13">
    <dxf>
      <fill>
        <patternFill>
          <bgColor rgb="FF92D050"/>
        </patternFill>
      </fill>
    </dxf>
  </rfmt>
  <rfmt sheetId="1" sqref="D16">
    <dxf>
      <fill>
        <patternFill>
          <bgColor rgb="FF92D050"/>
        </patternFill>
      </fill>
    </dxf>
  </rfmt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1" sId="1">
    <oc r="J1">
      <f>'X:\Regulatory\Cases\RATE CASES\MO\Electric\ER-2019-0374\21 - Order\Revenue Requirement\[MO Revenue Requirement Model - Per Order.xlsx]Schedule 1 Revenue Requirement'!$K$25</f>
    </oc>
    <nc r="J1">
      <f>'X:\Regulatory\Cases\RATE CASES\MO\Electric\ER-2019-0374\21 - Order\Revenue Requirement\[MO Revenue Requirement Model - Per Order.xlsx]Schedule 1 Revenue Requirement'!$K$25</f>
    </nc>
  </rcc>
  <rcc rId="62" sId="1">
    <oc r="J2">
      <f>'X:\Regulatory\Cases\RATE CASES\MO\Electric\ER-2019-0374\21 - Order\Revenue Requirement\[MO Revenue Requirement Model - Per Order.xlsx]Schedule 1 Revenue Requirement'!$K$31</f>
    </oc>
    <nc r="J2">
      <f>'X:\Regulatory\Cases\RATE CASES\MO\Electric\ER-2019-0374\21 - Order\Revenue Requirement\[MO Revenue Requirement Model - Per Order.xlsx]Schedule 1 Revenue Requirement'!$K$31</f>
    </nc>
  </rcc>
  <rfmt sheetId="1" sqref="C50">
    <dxf>
      <fill>
        <patternFill patternType="solid">
          <bgColor rgb="FF92D050"/>
        </patternFill>
      </fill>
    </dxf>
  </rfmt>
  <rfmt sheetId="1" sqref="C62">
    <dxf>
      <fill>
        <patternFill patternType="solid">
          <bgColor rgb="FF92D050"/>
        </patternFill>
      </fill>
    </dxf>
  </rfmt>
  <rfmt sheetId="1" sqref="C91">
    <dxf>
      <fill>
        <patternFill patternType="solid">
          <bgColor rgb="FF92D050"/>
        </patternFill>
      </fill>
    </dxf>
  </rfmt>
  <rcc rId="63" sId="1">
    <nc r="G102" t="inlineStr">
      <is>
        <t>$7,478,634 (Total Company). Email from Kim Bolin 7/13/2020.</t>
      </is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134">
    <dxf>
      <fill>
        <patternFill patternType="solid">
          <bgColor rgb="FF92D050"/>
        </patternFill>
      </fill>
    </dxf>
  </rfmt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122">
    <dxf>
      <fill>
        <patternFill patternType="solid">
          <bgColor rgb="FF92D050"/>
        </patternFill>
      </fill>
    </dxf>
  </rfmt>
  <rfmt sheetId="1" sqref="C125">
    <dxf>
      <fill>
        <patternFill patternType="solid">
          <bgColor rgb="FF92D050"/>
        </patternFill>
      </fill>
    </dxf>
  </rfmt>
  <rfmt sheetId="1" sqref="C134">
    <dxf>
      <fill>
        <patternFill patternType="solid">
          <bgColor rgb="FF92D050"/>
        </patternFill>
      </fill>
    </dxf>
  </rfmt>
  <rfmt sheetId="1" sqref="C76">
    <dxf>
      <fill>
        <patternFill patternType="solid">
          <bgColor rgb="FFFF0000"/>
        </patternFill>
      </fill>
    </dxf>
  </rfmt>
  <rfmt sheetId="1" sqref="C80">
    <dxf>
      <fill>
        <patternFill patternType="solid">
          <bgColor rgb="FFFF0000"/>
        </patternFill>
      </fill>
    </dxf>
  </rfmt>
  <rfmt sheetId="1" sqref="D187">
    <dxf>
      <fill>
        <patternFill patternType="solid">
          <bgColor rgb="FF92D050"/>
        </patternFill>
      </fill>
    </dxf>
  </rfmt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87">
    <dxf>
      <fill>
        <patternFill patternType="solid">
          <bgColor theme="5" tint="0.39997558519241921"/>
        </patternFill>
      </fill>
    </dxf>
  </rfmt>
  <rcc rId="64" sId="1" numFmtId="34">
    <oc r="D164">
      <v>5497488</v>
    </oc>
    <nc r="D164">
      <v>-6391485</v>
    </nc>
  </rcc>
  <rfmt sheetId="1" sqref="D164">
    <dxf>
      <fill>
        <patternFill patternType="solid">
          <bgColor theme="5" tint="0.39997558519241921"/>
        </patternFill>
      </fill>
    </dxf>
  </rfmt>
  <rfmt sheetId="1" sqref="D164">
    <dxf>
      <fill>
        <patternFill>
          <bgColor rgb="FFFF0000"/>
        </patternFill>
      </fill>
    </dxf>
  </rfmt>
  <rcc rId="65" sId="1">
    <oc r="F164">
      <v>-6391485</v>
    </oc>
    <nc r="F164"/>
  </rcc>
  <rcc rId="66" sId="1">
    <nc r="G164" t="inlineStr">
      <is>
        <t>Empire Adjustment IS 33 &amp; IS 49</t>
      </is>
    </nc>
  </rcc>
  <rcc rId="67" sId="1" numFmtId="34">
    <oc r="D170">
      <v>-5203205</v>
    </oc>
    <nc r="D170">
      <v>-17047207</v>
    </nc>
  </rcc>
  <rfmt sheetId="1" sqref="D170">
    <dxf>
      <fill>
        <patternFill patternType="solid">
          <bgColor rgb="FFFF0000"/>
        </patternFill>
      </fill>
    </dxf>
  </rfmt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8" sId="1">
    <nc r="G170" t="inlineStr">
      <is>
        <t>Empire Adjustment IS 33 &amp; IS 49</t>
      </is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9" sId="1" numFmtId="34">
    <oc r="D14">
      <f>8467725-992367</f>
    </oc>
    <nc r="D14">
      <v>5981344</v>
    </nc>
  </rcc>
  <rcc rId="70" sId="1" numFmtId="34">
    <oc r="D17">
      <f>2488623-992367</f>
    </oc>
    <nc r="D17">
      <v>1986424</v>
    </nc>
  </rcc>
  <rcc rId="71" sId="1" numFmtId="4">
    <oc r="H14">
      <v>5981344</v>
    </oc>
    <nc r="H14"/>
  </rcc>
  <rcc rId="72" sId="1" numFmtId="4">
    <oc r="H17">
      <v>1986424</v>
    </oc>
    <nc r="H17"/>
  </rcc>
  <rfmt sheetId="1" sqref="C76">
    <dxf>
      <fill>
        <patternFill>
          <bgColor rgb="FF92D050"/>
        </patternFill>
      </fill>
    </dxf>
  </rfmt>
  <rfmt sheetId="1" sqref="C80">
    <dxf>
      <fill>
        <patternFill>
          <bgColor rgb="FF92D050"/>
        </patternFill>
      </fill>
    </dxf>
  </rfmt>
  <rfmt sheetId="1" sqref="C87">
    <dxf>
      <fill>
        <patternFill>
          <bgColor rgb="FF92D050"/>
        </patternFill>
      </fill>
    </dxf>
  </rfmt>
  <rcc rId="73" sId="1" numFmtId="34">
    <oc r="C102">
      <v>8133625</v>
    </oc>
    <nc r="C102">
      <v>7478634</v>
    </nc>
  </rcc>
  <rfmt sheetId="1" sqref="D123">
    <dxf>
      <fill>
        <patternFill>
          <bgColor rgb="FF92D050"/>
        </patternFill>
      </fill>
    </dxf>
  </rfmt>
  <rcc rId="74" sId="1">
    <oc r="I122">
      <f>D122*J1</f>
    </oc>
    <nc r="I122"/>
  </rcc>
  <rcc rId="75" sId="1">
    <oc r="I123">
      <f>I122*J2</f>
    </oc>
    <nc r="I123"/>
  </rcc>
  <rcc rId="76" sId="1">
    <oc r="I124">
      <f>I123-D123</f>
    </oc>
    <nc r="I124"/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173">
    <dxf>
      <fill>
        <patternFill patternType="solid">
          <bgColor rgb="FFFFC000"/>
        </patternFill>
      </fill>
    </dxf>
  </rfmt>
  <rfmt sheetId="1" sqref="C187">
    <dxf>
      <fill>
        <patternFill>
          <bgColor rgb="FF92D050"/>
        </patternFill>
      </fill>
    </dxf>
  </rfmt>
  <rcc rId="77" sId="1">
    <oc r="G187" t="inlineStr">
      <is>
        <t>Staff/Order balance should be $3,985,645.  There was also an adjustment to remove the stub period from revenues.</t>
      </is>
    </oc>
    <nc r="G187"/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8" sId="1">
    <oc r="G215" t="inlineStr">
      <is>
        <t>Amount from Report &amp; Order is 179,693</t>
      </is>
    </oc>
    <nc r="G215" t="inlineStr">
      <is>
        <t>Order amount from Report &amp; Order</t>
      </is>
    </nc>
  </rcc>
  <rcc rId="79" sId="1">
    <oc r="G207" t="inlineStr">
      <is>
        <t>Amount from Staff True-Up Accounting Schedules</t>
      </is>
    </oc>
    <nc r="G207" t="inlineStr">
      <is>
        <t>Order amount from Staff True-Up Accounting Schedules</t>
      </is>
    </nc>
  </rcc>
  <rcc rId="80" sId="1">
    <oc r="G203" t="inlineStr">
      <is>
        <t>Amount from Report &amp; Order</t>
      </is>
    </oc>
    <nc r="G203" t="inlineStr">
      <is>
        <t>Order amount from Report &amp; Order</t>
      </is>
    </nc>
  </rcc>
  <rcc rId="81" sId="1">
    <oc r="G199" t="inlineStr">
      <is>
        <t>Amount from Staff True-Up Accounting Workpaper</t>
      </is>
    </oc>
    <nc r="G199" t="inlineStr">
      <is>
        <t>Order amount from Staff True-Up Accounting Workpaper (Arabian)</t>
      </is>
    </nc>
  </rcc>
  <rcc rId="82" sId="1">
    <oc r="G191" t="inlineStr">
      <is>
        <t>Amount from Staff True-Up Accounting Schedules</t>
      </is>
    </oc>
    <nc r="G191" t="inlineStr">
      <is>
        <t>Order amount from Staff True-Up Accounting Schedules</t>
      </is>
    </nc>
  </rcc>
  <rfmt sheetId="1" sqref="K212">
    <dxf>
      <numFmt numFmtId="35" formatCode="_(* #,##0.00_);_(* \(#,##0.00\);_(* &quot;-&quot;??_);_(@_)"/>
    </dxf>
  </rfmt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E222:G229">
    <dxf>
      <fill>
        <patternFill patternType="none">
          <bgColor auto="1"/>
        </patternFill>
      </fill>
    </dxf>
  </rfmt>
  <rcc rId="83" sId="1">
    <oc r="G226" t="inlineStr">
      <is>
        <t>Inserted in ordrered EMS</t>
      </is>
    </oc>
    <nc r="G226"/>
  </rcc>
  <rfmt sheetId="1" sqref="E192">
    <dxf>
      <numFmt numFmtId="165" formatCode="_(&quot;$&quot;* #,##0.0_);_(&quot;$&quot;* \(#,##0.0\);_(&quot;$&quot;* &quot;-&quot;??_);_(@_)"/>
    </dxf>
  </rfmt>
  <rfmt sheetId="1" sqref="E192">
    <dxf>
      <numFmt numFmtId="164" formatCode="_(&quot;$&quot;* #,##0_);_(&quot;$&quot;* \(#,##0\);_(&quot;$&quot;* &quot;-&quot;??_);_(@_)"/>
    </dxf>
  </rfmt>
  <rfmt sheetId="1" sqref="G218" start="0" length="0">
    <dxf>
      <numFmt numFmtId="164" formatCode="_(&quot;$&quot;* #,##0_);_(&quot;$&quot;* \(#,##0\);_(&quot;$&quot;* &quot;-&quot;??_);_(@_)"/>
    </dxf>
  </rfmt>
  <rfmt sheetId="1" sqref="K211" start="0" length="0">
    <dxf>
      <numFmt numFmtId="164" formatCode="_(&quot;$&quot;* #,##0_);_(&quot;$&quot;* \(#,##0\);_(&quot;$&quot;* &quot;-&quot;??_);_(@_)"/>
    </dxf>
  </rfmt>
  <rfmt sheetId="1" sqref="K211">
    <dxf>
      <numFmt numFmtId="13" formatCode="0%"/>
    </dxf>
  </rfmt>
  <rfmt sheetId="1" sqref="K211">
    <dxf>
      <numFmt numFmtId="169" formatCode="0.0%"/>
    </dxf>
  </rfmt>
  <rfmt sheetId="1" sqref="K211">
    <dxf>
      <numFmt numFmtId="14" formatCode="0.00%"/>
    </dxf>
  </rfmt>
  <rfmt sheetId="1" sqref="C218:E225">
    <dxf>
      <fill>
        <patternFill patternType="none">
          <bgColor auto="1"/>
        </patternFill>
      </fill>
    </dxf>
  </rfmt>
  <rfmt sheetId="1" sqref="C209:D212">
    <dxf>
      <fill>
        <patternFill patternType="none">
          <bgColor auto="1"/>
        </patternFill>
      </fill>
    </dxf>
  </rfmt>
  <rfmt sheetId="1" sqref="D203">
    <dxf>
      <fill>
        <patternFill patternType="none">
          <bgColor auto="1"/>
        </patternFill>
      </fill>
    </dxf>
  </rfmt>
  <rfmt sheetId="1" sqref="C194:D196">
    <dxf>
      <fill>
        <patternFill patternType="none">
          <bgColor auto="1"/>
        </patternFill>
      </fill>
    </dxf>
  </rfmt>
  <rfmt sheetId="1" sqref="C177:D187">
    <dxf>
      <fill>
        <patternFill patternType="none">
          <bgColor auto="1"/>
        </patternFill>
      </fill>
    </dxf>
  </rfmt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129:G131">
    <dxf>
      <fill>
        <patternFill patternType="none">
          <bgColor auto="1"/>
        </patternFill>
      </fill>
    </dxf>
  </rfmt>
  <rcc rId="84" sId="1">
    <oc r="G131" t="inlineStr">
      <is>
        <t>Inserted in ordered EMS</t>
      </is>
    </oc>
    <nc r="G131"/>
  </rcc>
  <rfmt sheetId="1" sqref="C133:E137">
    <dxf>
      <fill>
        <patternFill patternType="none">
          <bgColor auto="1"/>
        </patternFill>
      </fill>
    </dxf>
  </rfmt>
  <rfmt sheetId="1" sqref="C138:C144">
    <dxf>
      <fill>
        <patternFill patternType="none">
          <bgColor auto="1"/>
        </patternFill>
      </fill>
    </dxf>
  </rfmt>
  <rfmt sheetId="1" sqref="C145:D160">
    <dxf>
      <fill>
        <patternFill patternType="none">
          <bgColor auto="1"/>
        </patternFill>
      </fill>
    </dxf>
  </rfmt>
  <rcc rId="85" sId="1">
    <oc r="G153" t="inlineStr">
      <is>
        <t>Inserted in ordered EMS</t>
      </is>
    </oc>
    <nc r="G153"/>
  </rcc>
  <rfmt sheetId="1" sqref="G153">
    <dxf>
      <fill>
        <patternFill patternType="none">
          <bgColor auto="1"/>
        </patternFill>
      </fill>
    </dxf>
  </rfmt>
  <rfmt sheetId="1" sqref="C161:C171">
    <dxf>
      <fill>
        <patternFill patternType="none">
          <bgColor auto="1"/>
        </patternFill>
      </fill>
    </dxf>
  </rfmt>
  <rfmt sheetId="1" sqref="D167:D168">
    <dxf>
      <fill>
        <patternFill patternType="none">
          <bgColor auto="1"/>
        </patternFill>
      </fill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130">
    <dxf>
      <fill>
        <patternFill patternType="solid">
          <bgColor rgb="FF92D050"/>
        </patternFill>
      </fill>
    </dxf>
  </rfmt>
  <rfmt sheetId="1" sqref="D139">
    <dxf>
      <fill>
        <patternFill>
          <bgColor rgb="FFFF0000"/>
        </patternFill>
      </fill>
    </dxf>
  </rfmt>
  <rcv guid="{E073387C-3EF6-46F4-9499-2A178D1A72D1}" action="add"/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" sId="1">
    <oc r="H1">
      <f>+'\\srv-empire10\Dept Shares\Planning and Regulatory\Regulatory\Cases\RATE CASES\MO\Electric\ER-2019-0374\21 - Order\Revenue Requirement\[MO Revenue Requirement Model - Per Order.xlsx]Schedule 6 WACC'!$O$20</f>
    </oc>
    <nc r="H1"/>
  </rcc>
  <rcc rId="87" sId="1">
    <oc r="H2">
      <f>+'\\srv-empire10\Dept Shares\Planning and Regulatory\Regulatory\Cases\RATE CASES\MO\Electric\ER-2019-0374\21 - Order\Revenue Requirement\[MO Revenue Requirement Model - Per Order.xlsx]Schedule 7 GRCF'!$I$21</f>
    </oc>
    <nc r="H2"/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I124" start="0" length="0">
    <dxf>
      <border>
        <left/>
        <right/>
        <top/>
        <bottom/>
      </border>
    </dxf>
  </rfmt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" sId="1">
    <oc r="G191" t="inlineStr">
      <is>
        <t>Order amount from Staff True-Up Accounting Schedules</t>
      </is>
    </oc>
    <nc r="G191" t="inlineStr">
      <is>
        <t>Order amount from Staff True-Up Accounting Schedules; Empire amount from EDE True-Up Adjustment IS 16</t>
      </is>
    </nc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9" sId="1">
    <nc r="G208" t="inlineStr">
      <is>
        <t>Because Empire IS ADJ 6 was at a Missouri level, the 868,171 was determined by taking the difference in the GL balance at 3/31/19 &amp; 1/31/20 for those accounts.</t>
      </is>
    </nc>
  </rcc>
  <rcc rId="90" sId="1">
    <nc r="G200" t="inlineStr">
      <is>
        <t>Empire amount was determined by taking the sum of the total company true-up amounts of IS ADJ 4 &amp; IS ADJ 5</t>
      </is>
    </nc>
  </rcc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1" sId="1" numFmtId="34">
    <oc r="D173">
      <v>-38506196</v>
    </oc>
    <nc r="D173">
      <v>14247750</v>
    </nc>
  </rcc>
  <rfmt sheetId="1" sqref="D173">
    <dxf>
      <fill>
        <patternFill>
          <bgColor rgb="FFFF0000"/>
        </patternFill>
      </fill>
    </dxf>
  </rfmt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9:G13 C15:G16 C23:F69 C70 D71 C75:G92 C93:G100 D102:D104 C106:G126">
    <dxf>
      <fill>
        <patternFill patternType="none">
          <bgColor auto="1"/>
        </patternFill>
      </fill>
    </dxf>
  </rfmt>
  <rfmt sheetId="1" sqref="D173">
    <dxf>
      <fill>
        <patternFill>
          <bgColor rgb="FFFF0000"/>
        </patternFill>
      </fill>
    </dxf>
  </rfmt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" sId="1">
    <oc r="G11" t="inlineStr">
      <is>
        <t>Inserted in ordered EMS</t>
      </is>
    </oc>
    <nc r="G11"/>
  </rcc>
  <rcc rId="93" sId="1">
    <oc r="G14" t="inlineStr">
      <is>
        <t>Inserted in ordered EMS</t>
      </is>
    </oc>
    <nc r="G14"/>
  </rcc>
  <rcc rId="94" sId="1">
    <oc r="G17" t="inlineStr">
      <is>
        <t>Inserted in ordered EMS</t>
      </is>
    </oc>
    <nc r="G17"/>
  </rcc>
  <rfmt sheetId="1" sqref="G12:G19">
    <dxf>
      <fill>
        <patternFill patternType="none">
          <bgColor auto="1"/>
        </patternFill>
      </fill>
    </dxf>
  </rfmt>
  <rcc rId="95" sId="1">
    <oc r="G38" t="inlineStr">
      <is>
        <t>Inserted in ordered EMS</t>
      </is>
    </oc>
    <nc r="G38"/>
  </rcc>
  <rcc rId="96" sId="1">
    <oc r="G41" t="inlineStr">
      <is>
        <t>Inserted in ordered EMS</t>
      </is>
    </oc>
    <nc r="G41"/>
  </rcc>
  <rcc rId="97" sId="1">
    <oc r="G44" t="inlineStr">
      <is>
        <t>Inserted in ordered EMS</t>
      </is>
    </oc>
    <nc r="G44"/>
  </rcc>
  <rcc rId="98" sId="1">
    <oc r="G47" t="inlineStr">
      <is>
        <t>Inserted in ordered EMS</t>
      </is>
    </oc>
    <nc r="G47"/>
  </rcc>
  <rcc rId="99" sId="1">
    <oc r="G51" t="inlineStr">
      <is>
        <t>Inserted in ordered EMS</t>
      </is>
    </oc>
    <nc r="G51"/>
  </rcc>
  <rcc rId="100" sId="1">
    <oc r="G56" t="inlineStr">
      <is>
        <t>Inserted in ordered EMS</t>
      </is>
    </oc>
    <nc r="G56"/>
  </rcc>
  <rfmt sheetId="1" sqref="G35:G57">
    <dxf>
      <fill>
        <patternFill patternType="none">
          <bgColor auto="1"/>
        </patternFill>
      </fill>
    </dxf>
  </rfmt>
  <rfmt sheetId="1" sqref="G67">
    <dxf>
      <fill>
        <patternFill patternType="none">
          <bgColor auto="1"/>
        </patternFill>
      </fill>
    </dxf>
  </rfmt>
  <rcc rId="101" sId="1">
    <oc r="G67" t="inlineStr">
      <is>
        <t>Inserted in ordered EMS</t>
      </is>
    </oc>
    <nc r="G67"/>
  </rcc>
  <rcc rId="102" sId="1">
    <oc r="G77" t="inlineStr">
      <is>
        <t>Inserted in ordered EMS</t>
      </is>
    </oc>
    <nc r="G77"/>
  </rcc>
  <rcc rId="103" sId="1">
    <oc r="G81" t="inlineStr">
      <is>
        <t>Inserted in ordered EMS</t>
      </is>
    </oc>
    <nc r="G81"/>
  </rcc>
  <rcc rId="104" sId="1">
    <oc r="G85" t="inlineStr">
      <is>
        <t>Inserted in ordered EMS</t>
      </is>
    </oc>
    <nc r="G85"/>
  </rcc>
  <rcc rId="105" sId="1">
    <oc r="G97" t="inlineStr">
      <is>
        <t>Inserted in ordred EMS</t>
      </is>
    </oc>
    <nc r="G97"/>
  </rcc>
  <rcc rId="106" sId="1">
    <oc r="G123" t="inlineStr">
      <is>
        <t>Inserted in ordered EMS</t>
      </is>
    </oc>
    <nc r="G123"/>
  </rcc>
  <rcc rId="107" sId="1">
    <oc r="J1">
      <f>'X:\Regulatory\Cases\RATE CASES\MO\Electric\ER-2019-0374\21 - Order\Revenue Requirement\[MO Revenue Requirement Model - Per Order.xlsx]Schedule 1 Revenue Requirement'!$K$25</f>
    </oc>
    <nc r="J1"/>
  </rcc>
  <rcc rId="108" sId="1">
    <oc r="J2">
      <f>'X:\Regulatory\Cases\RATE CASES\MO\Electric\ER-2019-0374\21 - Order\Revenue Requirement\[MO Revenue Requirement Model - Per Order.xlsx]Schedule 1 Revenue Requirement'!$K$31</f>
    </oc>
    <nc r="J2"/>
  </rcc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9" sId="1">
    <nc r="G173" t="inlineStr">
      <is>
        <t>Table in email</t>
      </is>
    </nc>
  </rcc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C5A5313-5C56-4E92-A81D-09349870A97E}" action="add"/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G102">
    <dxf>
      <fill>
        <patternFill patternType="solid">
          <bgColor rgb="FFFFFF00"/>
        </patternFill>
      </fill>
    </dxf>
  </rfmt>
  <rfmt sheetId="1" sqref="G70">
    <dxf>
      <fill>
        <patternFill patternType="solid">
          <bgColor rgb="FFFFFF00"/>
        </patternFill>
      </fill>
    </dxf>
  </rfmt>
  <rfmt sheetId="1" sqref="G14">
    <dxf>
      <fill>
        <patternFill patternType="solid">
          <bgColor rgb="FFFFFF00"/>
        </patternFill>
      </fill>
    </dxf>
  </rfmt>
  <rfmt sheetId="1" sqref="G17">
    <dxf>
      <fill>
        <patternFill patternType="solid">
          <bgColor rgb="FFFFFF00"/>
        </patternFill>
      </fill>
    </dxf>
  </rfmt>
  <rfmt sheetId="1" sqref="G139">
    <dxf>
      <fill>
        <patternFill patternType="solid">
          <bgColor rgb="FFFFFF00"/>
        </patternFill>
      </fill>
    </dxf>
  </rfmt>
  <rfmt sheetId="1" sqref="G142">
    <dxf>
      <fill>
        <patternFill patternType="solid">
          <bgColor rgb="FFFFFF00"/>
        </patternFill>
      </fill>
    </dxf>
  </rfmt>
  <rfmt sheetId="1" sqref="G164">
    <dxf>
      <fill>
        <patternFill patternType="solid">
          <bgColor rgb="FFFFFF00"/>
        </patternFill>
      </fill>
    </dxf>
  </rfmt>
  <rfmt sheetId="1" sqref="G170">
    <dxf>
      <fill>
        <patternFill patternType="solid">
          <bgColor rgb="FFFFFF00"/>
        </patternFill>
      </fill>
    </dxf>
  </rfmt>
  <rfmt sheetId="1" sqref="G173">
    <dxf>
      <fill>
        <patternFill patternType="solid">
          <bgColor rgb="FFFFFF00"/>
        </patternFill>
      </fill>
    </dxf>
  </rfmt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24">
    <dxf>
      <fill>
        <patternFill patternType="solid">
          <bgColor rgb="FF92D050"/>
        </patternFill>
      </fill>
    </dxf>
  </rfmt>
  <rfmt sheetId="1" sqref="D28">
    <dxf>
      <fill>
        <patternFill patternType="solid">
          <bgColor rgb="FF92D050"/>
        </patternFill>
      </fill>
    </dxf>
  </rfmt>
  <rfmt sheetId="1" sqref="D32">
    <dxf>
      <fill>
        <patternFill patternType="solid">
          <bgColor rgb="FF92D050"/>
        </patternFill>
      </fill>
    </dxf>
  </rfmt>
  <rfmt sheetId="1" sqref="D37">
    <dxf>
      <fill>
        <patternFill patternType="solid">
          <bgColor rgb="FF92D050"/>
        </patternFill>
      </fill>
    </dxf>
  </rfmt>
  <rfmt sheetId="1" sqref="D40">
    <dxf>
      <fill>
        <patternFill>
          <bgColor rgb="FF92D050"/>
        </patternFill>
      </fill>
    </dxf>
  </rfmt>
  <rfmt sheetId="1" sqref="D43">
    <dxf>
      <fill>
        <patternFill>
          <bgColor rgb="FF92D050"/>
        </patternFill>
      </fill>
    </dxf>
  </rfmt>
  <rfmt sheetId="1" sqref="D46">
    <dxf>
      <fill>
        <patternFill patternType="solid">
          <bgColor rgb="FF92D050"/>
        </patternFill>
      </fill>
    </dxf>
  </rfmt>
  <rfmt sheetId="1" sqref="D50">
    <dxf>
      <fill>
        <patternFill>
          <bgColor rgb="FF92D050"/>
        </patternFill>
      </fill>
    </dxf>
  </rfmt>
  <rfmt sheetId="1" sqref="D55">
    <dxf>
      <fill>
        <patternFill patternType="solid">
          <bgColor rgb="FF92D050"/>
        </patternFill>
      </fill>
    </dxf>
  </rfmt>
  <rfmt sheetId="1" sqref="D58">
    <dxf>
      <fill>
        <patternFill patternType="solid">
          <bgColor rgb="FF92D050"/>
        </patternFill>
      </fill>
    </dxf>
  </rfmt>
  <rfmt sheetId="1" sqref="D66">
    <dxf>
      <fill>
        <patternFill patternType="solid">
          <bgColor rgb="FF92D050"/>
        </patternFill>
      </fill>
    </dxf>
  </rfmt>
  <rfmt sheetId="1" sqref="D91">
    <dxf>
      <fill>
        <patternFill patternType="solid">
          <bgColor rgb="FF92D050"/>
        </patternFill>
      </fill>
    </dxf>
  </rfmt>
  <rfmt sheetId="1" sqref="D122">
    <dxf>
      <fill>
        <patternFill>
          <bgColor rgb="FF92D050"/>
        </patternFill>
      </fill>
    </dxf>
  </rfmt>
  <rfmt sheetId="1" sqref="D125">
    <dxf>
      <fill>
        <patternFill patternType="solid">
          <bgColor rgb="FF92D050"/>
        </patternFill>
      </fill>
    </dxf>
  </rfmt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0" sId="1" numFmtId="34">
    <oc r="E191">
      <v>-102223</v>
    </oc>
    <nc r="E191">
      <v>-116757</v>
    </nc>
  </rcc>
  <rfmt sheetId="1" sqref="E191">
    <dxf>
      <fill>
        <patternFill patternType="solid">
          <bgColor rgb="FFFFFF00"/>
        </patternFill>
      </fill>
    </dxf>
  </rfmt>
  <rcc rId="111" sId="1" numFmtId="34">
    <oc r="E199">
      <v>1498470</v>
    </oc>
    <nc r="E199">
      <v>1731204</v>
    </nc>
  </rcc>
  <rfmt sheetId="1" sqref="E199">
    <dxf>
      <fill>
        <patternFill patternType="solid">
          <bgColor rgb="FFFFFF00"/>
        </patternFill>
      </fill>
    </dxf>
  </rfmt>
  <rfmt sheetId="1" sqref="G203">
    <dxf>
      <fill>
        <patternFill patternType="solid">
          <bgColor rgb="FFFFFF00"/>
        </patternFill>
      </fill>
    </dxf>
  </rfmt>
  <rcc rId="112" sId="1" numFmtId="34">
    <oc r="E207">
      <v>124632</v>
    </oc>
    <nc r="E207">
      <v>142353</v>
    </nc>
  </rcc>
  <rfmt sheetId="1" sqref="E207">
    <dxf>
      <fill>
        <patternFill patternType="solid">
          <bgColor rgb="FFFFFF00"/>
        </patternFill>
      </fill>
    </dxf>
  </rfmt>
  <rcc rId="113" sId="1" numFmtId="34">
    <oc r="C215">
      <v>-179693</v>
    </oc>
    <nc r="C215">
      <v>-203473</v>
    </nc>
  </rcc>
  <rcc rId="114" sId="1" numFmtId="34">
    <oc r="E215">
      <v>-178133</v>
    </oc>
    <nc r="E215">
      <v>-203473</v>
    </nc>
  </rcc>
  <rfmt sheetId="1" sqref="C215">
    <dxf>
      <fill>
        <patternFill>
          <bgColor rgb="FFFFFF00"/>
        </patternFill>
      </fill>
    </dxf>
  </rfmt>
  <rfmt sheetId="1" sqref="E215">
    <dxf>
      <fill>
        <patternFill patternType="solid">
          <bgColor rgb="FFFFFF00"/>
        </patternFill>
      </fill>
    </dxf>
  </rfmt>
  <rcc rId="115" sId="1">
    <oc r="G215" t="inlineStr">
      <is>
        <t>Order amount from Report &amp; Order</t>
      </is>
    </oc>
    <nc r="G215" t="inlineStr">
      <is>
        <t>From  Baron Direct workpapers (includes EEI and all other)</t>
      </is>
    </nc>
  </rcc>
  <rfmt sheetId="1" sqref="G215">
    <dxf>
      <fill>
        <patternFill patternType="solid">
          <bgColor rgb="FFFFFF00"/>
        </patternFill>
      </fill>
    </dxf>
  </rfmt>
  <rfmt sheetId="1" sqref="G14">
    <dxf>
      <fill>
        <patternFill patternType="none">
          <bgColor auto="1"/>
        </patternFill>
      </fill>
    </dxf>
  </rfmt>
  <rfmt sheetId="1" sqref="G17">
    <dxf>
      <fill>
        <patternFill patternType="none">
          <bgColor auto="1"/>
        </patternFill>
      </fill>
    </dxf>
  </rfmt>
  <rcc rId="116" sId="1">
    <oc r="G21" t="inlineStr">
      <is>
        <t>Came from Filed Reconciliation</t>
      </is>
    </oc>
    <nc r="G21" t="inlineStr">
      <is>
        <t>From Revised Reconciliation (removed the impact of franchise fees from jurisdictional allocations)</t>
      </is>
    </nc>
  </rcc>
  <rfmt sheetId="1" sqref="G21">
    <dxf>
      <fill>
        <patternFill>
          <bgColor auto="1"/>
        </patternFill>
      </fill>
    </dxf>
  </rfmt>
  <rfmt sheetId="1" sqref="G21">
    <dxf>
      <fill>
        <patternFill patternType="solid">
          <bgColor rgb="FFFFFF00"/>
        </patternFill>
      </fill>
    </dxf>
  </rfmt>
  <rfmt sheetId="1" sqref="G1:G1048576">
    <dxf>
      <alignment wrapText="1" readingOrder="0"/>
    </dxf>
  </rfmt>
  <rfmt sheetId="1" sqref="G70">
    <dxf>
      <fill>
        <patternFill patternType="none">
          <bgColor auto="1"/>
        </patternFill>
      </fill>
    </dxf>
  </rfmt>
  <rfmt sheetId="1" sqref="G102">
    <dxf>
      <fill>
        <patternFill patternType="none">
          <bgColor auto="1"/>
        </patternFill>
      </fill>
    </dxf>
  </rfmt>
  <rfmt sheetId="1" sqref="G139">
    <dxf>
      <fill>
        <patternFill patternType="none">
          <bgColor auto="1"/>
        </patternFill>
      </fill>
    </dxf>
  </rfmt>
  <rfmt sheetId="1" sqref="G142">
    <dxf>
      <fill>
        <patternFill patternType="none">
          <bgColor auto="1"/>
        </patternFill>
      </fill>
    </dxf>
  </rfmt>
  <rfmt sheetId="1" sqref="G164">
    <dxf>
      <fill>
        <patternFill patternType="none">
          <bgColor auto="1"/>
        </patternFill>
      </fill>
    </dxf>
  </rfmt>
  <rfmt sheetId="1" sqref="G170">
    <dxf>
      <fill>
        <patternFill patternType="none">
          <bgColor auto="1"/>
        </patternFill>
      </fill>
    </dxf>
  </rfmt>
  <rfmt sheetId="1" sqref="G173">
    <dxf>
      <fill>
        <patternFill patternType="none">
          <bgColor auto="1"/>
        </patternFill>
      </fill>
    </dxf>
  </rfmt>
  <rfmt sheetId="1" sqref="G203">
    <dxf>
      <fill>
        <patternFill patternType="none">
          <bgColor auto="1"/>
        </patternFill>
      </fill>
    </dxf>
  </rfmt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" sId="1" numFmtId="34">
    <oc r="D215">
      <v>0</v>
    </oc>
    <nc r="D215"/>
  </rcc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" sId="1" numFmtId="34">
    <nc r="D215">
      <v>-23780</v>
    </nc>
  </rcc>
  <rcc rId="119" sId="1">
    <nc r="G216" t="inlineStr">
      <is>
        <t>Empire amount from True-Up IS ADJ 17</t>
      </is>
    </nc>
  </rcc>
  <rfmt sheetId="1" sqref="D215">
    <dxf>
      <fill>
        <patternFill patternType="solid">
          <bgColor rgb="FF92D050"/>
        </patternFill>
      </fill>
    </dxf>
  </rfmt>
  <rfmt sheetId="1" sqref="D215:D216">
    <dxf>
      <fill>
        <patternFill>
          <bgColor rgb="FF92D050"/>
        </patternFill>
      </fill>
    </dxf>
  </rfmt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14">
    <dxf>
      <fill>
        <patternFill patternType="none">
          <bgColor auto="1"/>
        </patternFill>
      </fill>
    </dxf>
  </rfmt>
  <rfmt sheetId="1" sqref="D17">
    <dxf>
      <fill>
        <patternFill patternType="none">
          <bgColor auto="1"/>
        </patternFill>
      </fill>
    </dxf>
  </rfmt>
  <rfmt sheetId="1" sqref="D70">
    <dxf>
      <fill>
        <patternFill patternType="none">
          <bgColor auto="1"/>
        </patternFill>
      </fill>
    </dxf>
  </rfmt>
  <rfmt sheetId="1" sqref="C102">
    <dxf>
      <fill>
        <patternFill patternType="none">
          <bgColor auto="1"/>
        </patternFill>
      </fill>
    </dxf>
  </rfmt>
  <rfmt sheetId="1" sqref="D139:D144">
    <dxf>
      <fill>
        <patternFill patternType="none">
          <bgColor auto="1"/>
        </patternFill>
      </fill>
    </dxf>
  </rfmt>
  <rfmt sheetId="1" sqref="D164:D175">
    <dxf>
      <fill>
        <patternFill patternType="none">
          <bgColor auto="1"/>
        </patternFill>
      </fill>
    </dxf>
  </rfmt>
  <rfmt sheetId="1" sqref="B190:E214">
    <dxf>
      <fill>
        <patternFill patternType="none">
          <bgColor auto="1"/>
        </patternFill>
      </fill>
    </dxf>
  </rfmt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" sId="1" numFmtId="34">
    <oc r="D21">
      <v>1121064</v>
    </oc>
    <nc r="D21">
      <v>-3463178</v>
    </nc>
  </rcc>
  <rfmt sheetId="1" sqref="D21">
    <dxf>
      <fill>
        <patternFill>
          <bgColor rgb="FF92D050"/>
        </patternFill>
      </fill>
    </dxf>
  </rfmt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1" sId="1" numFmtId="34">
    <oc r="D21">
      <v>-3463178</v>
    </oc>
    <nc r="D21">
      <v>-3463648</v>
    </nc>
  </rcc>
  <rcv guid="{C96BC93B-158D-437C-951A-CED81B85B092}" action="delete"/>
  <rcv guid="{C96BC93B-158D-437C-951A-CED81B85B092}" action="add"/>
</revision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" sId="1" numFmtId="34">
    <oc r="D21">
      <v>-3463648</v>
    </oc>
    <nc r="D21">
      <v>-3189334</v>
    </nc>
  </rcc>
  <rfmt sheetId="1" sqref="D21">
    <dxf>
      <fill>
        <patternFill patternType="none">
          <bgColor auto="1"/>
        </patternFill>
      </fill>
    </dxf>
  </rfmt>
  <rfmt sheetId="1" sqref="C215:G216">
    <dxf>
      <fill>
        <patternFill patternType="none">
          <bgColor auto="1"/>
        </patternFill>
      </fill>
    </dxf>
  </rfmt>
  <rfmt sheetId="1" sqref="G21">
    <dxf>
      <fill>
        <patternFill patternType="none">
          <bgColor auto="1"/>
        </patternFill>
      </fill>
    </dxf>
  </rfmt>
  <rcv guid="{442A35D1-0C9A-404E-ACB1-C761E918A55D}" action="add"/>
</revisions>
</file>

<file path=xl/revisions/revisionLog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23" sId="1" ref="A64:XFD64" action="insertRow"/>
  <rrc rId="124" sId="1" ref="A64:XFD64" action="insertRow"/>
  <rrc rId="125" sId="1" ref="A64:XFD64" action="insertRow"/>
  <rcc rId="126" sId="1">
    <nc r="A64" t="inlineStr">
      <is>
        <t>Asbury Capital</t>
      </is>
    </nc>
  </rcc>
  <rcc rId="127" sId="1">
    <nc r="A65" t="inlineStr">
      <is>
        <t>Asbury Expense</t>
      </is>
    </nc>
  </rcc>
  <rcc rId="128" sId="1" numFmtId="34">
    <nc r="F64">
      <v>-21801887</v>
    </nc>
  </rcc>
  <rcc rId="129" sId="1">
    <nc r="F65">
      <f>-(11179375+10500000)</f>
    </nc>
  </rcc>
  <rcc rId="130" sId="1">
    <nc r="A66" t="inlineStr">
      <is>
        <t>Total:</t>
      </is>
    </nc>
  </rcc>
  <rcc rId="131" sId="1">
    <nc r="F66">
      <f>SUM(F64:F65)</f>
    </nc>
  </rcc>
  <rcc rId="132" sId="1">
    <nc r="G66" t="inlineStr">
      <is>
        <t>Came from filed reconciliation</t>
      </is>
    </nc>
  </rcc>
  <rfmt sheetId="1" sqref="A64:A65" start="0" length="0">
    <dxf>
      <alignment horizontal="left" relativeIndent="1"/>
    </dxf>
  </rfmt>
  <rfmt sheetId="1" sqref="A64:A65" start="0" length="0">
    <dxf>
      <alignment relativeIndent="1"/>
    </dxf>
  </rfmt>
  <rcc rId="133" sId="1" numFmtId="34">
    <oc r="F63">
      <v>-43481262</v>
    </oc>
    <nc r="F63"/>
  </rcc>
  <rcc rId="134" sId="1">
    <oc r="G63" t="inlineStr">
      <is>
        <t>Came from filed reconciliation</t>
      </is>
    </oc>
    <nc r="G63"/>
  </rcc>
  <rcmt sheetId="1" cell="F63" guid="{00000000-0000-0000-0000-000000000000}" action="delete" alwaysShow="1" author="Bolin, Kim"/>
  <rcmt sheetId="1" cell="F66" guid="{4907A094-5B77-472F-BB9B-0070B86C01E7}" author="Charlotte Emery" newLength="125"/>
</revisions>
</file>

<file path=xl/revisions/revisionLog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35" sId="1" ref="A66:XFD66" action="insertRow"/>
  <rcc rId="136" sId="1">
    <oc r="A65" t="inlineStr">
      <is>
        <t>Asbury Expense</t>
      </is>
    </oc>
    <nc r="A65" t="inlineStr">
      <is>
        <t>Asbury Depreciation Expense</t>
      </is>
    </nc>
  </rcc>
  <rcc rId="137" sId="1">
    <nc r="A66" t="inlineStr">
      <is>
        <t>Asbury Operations and Maintenance Expense</t>
      </is>
    </nc>
  </rcc>
  <rcc rId="138" sId="1">
    <oc r="F65">
      <f>-(11179375+10500000)</f>
    </oc>
    <nc r="F65">
      <f>-(11179375)</f>
    </nc>
  </rcc>
  <rcc rId="139" sId="1">
    <nc r="F66">
      <f>-10500000</f>
    </nc>
  </rcc>
  <rcc rId="140" sId="1">
    <oc r="F67">
      <f>SUM(F64:F65)</f>
    </oc>
    <nc r="F67">
      <f>SUM(F64:F66)</f>
    </nc>
  </rcc>
</revisions>
</file>

<file path=xl/revisions/revisionLog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11">
    <dxf>
      <fill>
        <patternFill patternType="solid">
          <bgColor rgb="FFFFFF00"/>
        </patternFill>
      </fill>
    </dxf>
  </rfmt>
  <rfmt sheetId="1" sqref="D17">
    <dxf>
      <fill>
        <patternFill patternType="solid">
          <bgColor rgb="FFFFFF00"/>
        </patternFill>
      </fill>
    </dxf>
  </rfmt>
  <rfmt sheetId="1" sqref="D14">
    <dxf>
      <fill>
        <patternFill patternType="solid">
          <bgColor rgb="FFFFFF00"/>
        </patternFill>
      </fill>
    </dxf>
  </rfmt>
  <rcc rId="141" sId="1" odxf="1" dxf="1">
    <nc r="D19">
      <f>D11+D14+D17</f>
    </nc>
    <odxf>
      <numFmt numFmtId="0" formatCode="General"/>
    </odxf>
    <ndxf>
      <numFmt numFmtId="164" formatCode="_(&quot;$&quot;* #,##0_);_(&quot;$&quot;* \(#,##0\);_(&quot;$&quot;* &quot;-&quot;??_);_(@_)"/>
    </ndxf>
  </rcc>
  <rfmt sheetId="1" sqref="D19">
    <dxf>
      <fill>
        <patternFill patternType="solid">
          <bgColor rgb="FFFFC000"/>
        </patternFill>
      </fill>
    </dxf>
  </rfmt>
  <rcc rId="142" sId="1" numFmtId="34">
    <oc r="D11">
      <f>6915760-992367</f>
    </oc>
    <nc r="D11">
      <v>5923393</v>
    </nc>
  </rcc>
  <rfmt sheetId="1" sqref="D11">
    <dxf>
      <fill>
        <patternFill>
          <bgColor theme="9"/>
        </patternFill>
      </fill>
    </dxf>
  </rfmt>
  <rfmt sheetId="1" sqref="D14">
    <dxf>
      <fill>
        <patternFill>
          <bgColor theme="9"/>
        </patternFill>
      </fill>
    </dxf>
  </rfmt>
  <rfmt sheetId="1" sqref="D17">
    <dxf>
      <fill>
        <patternFill>
          <bgColor theme="9"/>
        </patternFill>
      </fill>
    </dxf>
  </rfmt>
  <rfmt sheetId="1" sqref="D19">
    <dxf>
      <fill>
        <patternFill>
          <bgColor theme="9"/>
        </patternFill>
      </fill>
    </dxf>
  </rfmt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87">
    <dxf>
      <fill>
        <patternFill patternType="solid">
          <bgColor rgb="FF92D050"/>
        </patternFill>
      </fill>
    </dxf>
  </rfmt>
  <rfmt sheetId="1" sqref="D84">
    <dxf>
      <fill>
        <patternFill patternType="solid">
          <bgColor rgb="FF92D050"/>
        </patternFill>
      </fill>
    </dxf>
  </rfmt>
  <rfmt sheetId="1" sqref="D80">
    <dxf>
      <fill>
        <patternFill patternType="solid">
          <bgColor rgb="FF92D050"/>
        </patternFill>
      </fill>
    </dxf>
  </rfmt>
  <rfmt sheetId="1" sqref="D76">
    <dxf>
      <fill>
        <patternFill patternType="solid">
          <bgColor rgb="FF92D050"/>
        </patternFill>
      </fill>
    </dxf>
  </rfmt>
  <rfmt sheetId="1" sqref="D96">
    <dxf>
      <fill>
        <patternFill>
          <bgColor rgb="FF92D050"/>
        </patternFill>
      </fill>
    </dxf>
  </rfmt>
  <rfmt sheetId="1" sqref="D102">
    <dxf>
      <fill>
        <patternFill patternType="solid">
          <bgColor rgb="FF92D050"/>
        </patternFill>
      </fill>
    </dxf>
  </rfmt>
  <rfmt sheetId="1" sqref="D99">
    <dxf>
      <fill>
        <patternFill patternType="solid">
          <bgColor rgb="FF92D050"/>
        </patternFill>
      </fill>
    </dxf>
  </rfmt>
  <rfmt sheetId="1" sqref="D107">
    <dxf>
      <fill>
        <patternFill patternType="solid">
          <bgColor rgb="FFFF0000"/>
        </patternFill>
      </fill>
    </dxf>
  </rfmt>
  <rcc rId="1" sId="1">
    <nc r="G107" t="inlineStr">
      <is>
        <t>This amount comes from the Statement of Positions, but is not included in our true-up revenue requirement.</t>
      </is>
    </nc>
  </rcc>
</revisions>
</file>

<file path=xl/revisions/revisionLog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3" sId="1" numFmtId="34">
    <oc r="D14">
      <v>5981344</v>
    </oc>
    <nc r="D14">
      <f>8415457-992367</f>
    </nc>
  </rcc>
  <rfmt sheetId="1" sqref="D14">
    <dxf>
      <fill>
        <patternFill>
          <bgColor rgb="FFFF0000"/>
        </patternFill>
      </fill>
    </dxf>
  </rfmt>
  <rcc rId="144" sId="1">
    <oc r="D17">
      <v>1986424</v>
    </oc>
    <nc r="D17">
      <f>2505225-992367</f>
    </nc>
  </rcc>
  <rfmt sheetId="1" sqref="D17">
    <dxf>
      <fill>
        <patternFill>
          <bgColor rgb="FFFF0000"/>
        </patternFill>
      </fill>
    </dxf>
  </rfmt>
</revisions>
</file>

<file path=xl/revisions/revisionLog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G19">
    <dxf>
      <numFmt numFmtId="35" formatCode="_(* #,##0.00_);_(* \(#,##0.00\);_(* &quot;-&quot;??_);_(@_)"/>
    </dxf>
  </rfmt>
  <rfmt sheetId="1" sqref="G19">
    <dxf>
      <numFmt numFmtId="167" formatCode="_(* #,##0.0_);_(* \(#,##0.0\);_(* &quot;-&quot;??_);_(@_)"/>
    </dxf>
  </rfmt>
  <rfmt sheetId="1" sqref="G19">
    <dxf>
      <numFmt numFmtId="166" formatCode="_(* #,##0_);_(* \(#,##0\);_(* &quot;-&quot;??_);_(@_)"/>
    </dxf>
  </rfmt>
  <rfmt sheetId="1" sqref="I19" start="0" length="0">
    <dxf>
      <numFmt numFmtId="166" formatCode="_(* #,##0_);_(* \(#,##0\);_(* &quot;-&quot;??_);_(@_)"/>
    </dxf>
  </rfmt>
  <rfmt sheetId="1" sqref="G11">
    <dxf>
      <numFmt numFmtId="13" formatCode="0%"/>
    </dxf>
  </rfmt>
  <rfmt sheetId="1" sqref="G14">
    <dxf>
      <numFmt numFmtId="13" formatCode="0%"/>
    </dxf>
  </rfmt>
  <rfmt sheetId="1" sqref="G17">
    <dxf>
      <numFmt numFmtId="13" formatCode="0%"/>
    </dxf>
  </rfmt>
  <rfmt sheetId="1" sqref="I11" start="0" length="0">
    <dxf>
      <numFmt numFmtId="166" formatCode="_(* #,##0_);_(* \(#,##0\);_(* &quot;-&quot;??_);_(@_)"/>
    </dxf>
  </rfmt>
  <rfmt sheetId="1" sqref="I14" start="0" length="0">
    <dxf>
      <numFmt numFmtId="166" formatCode="_(* #,##0_);_(* \(#,##0\);_(* &quot;-&quot;??_);_(@_)"/>
    </dxf>
  </rfmt>
  <rfmt sheetId="1" sqref="I17" start="0" length="0">
    <dxf>
      <numFmt numFmtId="166" formatCode="_(* #,##0_);_(* \(#,##0\);_(* &quot;-&quot;??_);_(@_)"/>
    </dxf>
  </rfmt>
  <rfmt sheetId="1" sqref="J11" start="0" length="0">
    <dxf>
      <numFmt numFmtId="34" formatCode="_(&quot;$&quot;* #,##0.00_);_(&quot;$&quot;* \(#,##0.00\);_(&quot;$&quot;* &quot;-&quot;??_);_(@_)"/>
    </dxf>
  </rfmt>
  <rfmt sheetId="1" sqref="J14" start="0" length="0">
    <dxf>
      <numFmt numFmtId="34" formatCode="_(&quot;$&quot;* #,##0.00_);_(&quot;$&quot;* \(#,##0.00\);_(&quot;$&quot;* &quot;-&quot;??_);_(@_)"/>
    </dxf>
  </rfmt>
  <rfmt sheetId="1" sqref="J17" start="0" length="0">
    <dxf>
      <numFmt numFmtId="34" formatCode="_(&quot;$&quot;* #,##0.00_);_(&quot;$&quot;* \(#,##0.00\);_(&quot;$&quot;* &quot;-&quot;??_);_(@_)"/>
    </dxf>
  </rfmt>
  <rfmt sheetId="1" sqref="J19" start="0" length="0">
    <dxf>
      <numFmt numFmtId="34" formatCode="_(&quot;$&quot;* #,##0.00_);_(&quot;$&quot;* \(#,##0.00\);_(&quot;$&quot;* &quot;-&quot;??_);_(@_)"/>
    </dxf>
  </rfmt>
  <rfmt sheetId="1" sqref="K11:K17">
    <dxf>
      <numFmt numFmtId="35" formatCode="_(* #,##0.00_);_(* \(#,##0.00\);_(* &quot;-&quot;??_);_(@_)"/>
    </dxf>
  </rfmt>
  <rcc rId="145" sId="1" numFmtId="34">
    <oc r="D11">
      <v>5923393</v>
    </oc>
    <nc r="D11">
      <v>6220418.0899999999</v>
    </nc>
  </rcc>
  <rcc rId="146" sId="1" numFmtId="34">
    <oc r="D14">
      <f>8415457-992367</f>
    </oc>
    <nc r="D14">
      <v>7795316.5199999996</v>
    </nc>
  </rcc>
  <rcc rId="147" sId="1" numFmtId="34">
    <oc r="D17">
      <f>2505225-992367</f>
    </oc>
    <nc r="D17">
      <v>1588719.38</v>
    </nc>
  </rcc>
  <rfmt sheetId="1" sqref="D11:D19">
    <dxf>
      <fill>
        <patternFill patternType="none">
          <bgColor auto="1"/>
        </patternFill>
      </fill>
    </dxf>
  </rfmt>
  <rcv guid="{442A35D1-0C9A-404E-ACB1-C761E918A55D}" action="delete"/>
  <rcv guid="{442A35D1-0C9A-404E-ACB1-C761E918A55D}" action="add"/>
</revisions>
</file>

<file path=xl/revisions/revisionLog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8" sId="1">
    <oc r="A1" t="inlineStr">
      <is>
        <t>Reconciliation</t>
      </is>
    </oc>
    <nc r="A1" t="inlineStr">
      <is>
        <t>Proposed Reconciliation - AMENDED</t>
      </is>
    </nc>
  </rcc>
  <rcc rId="149" sId="1">
    <oc r="A3" t="inlineStr">
      <is>
        <t>Empire District Electric Company</t>
      </is>
    </oc>
    <nc r="A3" t="inlineStr">
      <is>
        <t>The Empire District Electric Company</t>
      </is>
    </nc>
  </rcc>
  <rcv guid="{2A3BCFD0-E350-4519-B8C3-324DFC809E51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112">
    <dxf>
      <fill>
        <patternFill patternType="solid">
          <bgColor rgb="FFFF0000"/>
        </patternFill>
      </fill>
    </dxf>
  </rfmt>
  <rfmt sheetId="1" sqref="D112">
    <dxf>
      <fill>
        <patternFill>
          <bgColor rgb="FF92D050"/>
        </patternFill>
      </fill>
    </dxf>
  </rfmt>
  <rfmt sheetId="1" sqref="D134">
    <dxf>
      <fill>
        <patternFill patternType="solid">
          <bgColor rgb="FFFF0000"/>
        </patternFill>
      </fill>
    </dxf>
  </rfmt>
  <rcc rId="2" sId="1">
    <nc r="G134" t="inlineStr">
      <is>
        <t>75,538,657. The depreciation expense amount is correct, but the amortization expense is incorrect.</t>
      </is>
    </nc>
  </rcc>
  <rfmt sheetId="1" sqref="D117">
    <dxf>
      <fill>
        <patternFill patternType="solid">
          <bgColor rgb="FF92D050"/>
        </patternFill>
      </fill>
    </dxf>
  </rfmt>
  <rfmt sheetId="1" sqref="D62">
    <dxf>
      <fill>
        <patternFill patternType="solid">
          <bgColor rgb="FF92D050"/>
        </patternFill>
      </fill>
    </dxf>
  </rfmt>
  <rfmt sheetId="1" sqref="D70">
    <dxf>
      <fill>
        <patternFill patternType="solid">
          <bgColor rgb="FFC00000"/>
        </patternFill>
      </fill>
    </dxf>
  </rfmt>
  <rfmt sheetId="1" sqref="D70">
    <dxf>
      <fill>
        <patternFill>
          <bgColor rgb="FFFF0000"/>
        </patternFill>
      </fill>
    </dxf>
  </rfmt>
  <rcc rId="3" sId="1">
    <nc r="G70" t="inlineStr">
      <is>
        <t>$32,124,367 from Initial Briefs and Exhibit 62.</t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134">
    <dxf>
      <fill>
        <patternFill patternType="solid">
          <bgColor rgb="FF92D050"/>
        </patternFill>
      </fill>
    </dxf>
  </rfmt>
  <rfmt sheetId="1" sqref="D142">
    <dxf>
      <fill>
        <patternFill patternType="solid">
          <bgColor rgb="FFFF0000"/>
        </patternFill>
      </fill>
    </dxf>
  </rfmt>
  <rfmt sheetId="1" sqref="B142">
    <dxf>
      <numFmt numFmtId="35" formatCode="_(* #,##0.00_);_(* \(#,##0.00\);_(* &quot;-&quot;??_);_(@_)"/>
    </dxf>
  </rfmt>
  <rfmt sheetId="1" sqref="B142">
    <dxf>
      <numFmt numFmtId="166" formatCode="_(* #,##0.0_);_(* \(#,##0.0\);_(* &quot;-&quot;??_);_(@_)"/>
    </dxf>
  </rfmt>
  <rfmt sheetId="1" sqref="B142">
    <dxf>
      <numFmt numFmtId="167" formatCode="_(* #,##0_);_(* \(#,##0\);_(* &quot;-&quot;??_);_(@_)"/>
    </dxf>
  </rfmt>
  <rcc rId="4" sId="1" numFmtId="34">
    <oc r="D139">
      <v>13598692</v>
    </oc>
    <nc r="D139">
      <v>6514584.9500000002</v>
    </nc>
  </rcc>
  <rcc rId="5" sId="1">
    <nc r="G139" t="inlineStr">
      <is>
        <t>Pulled from EDE Initial Brief Filed</t>
      </is>
    </nc>
  </rcc>
  <rcc rId="6" sId="1" numFmtId="34">
    <oc r="D142">
      <v>224322</v>
    </oc>
    <nc r="D142">
      <v>217451</v>
    </nc>
  </rcc>
  <rcc rId="7" sId="1">
    <nc r="G142" t="inlineStr">
      <is>
        <t>Pulled from EDE Initial Brief Filed</t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" sId="1" odxf="1" dxf="1">
    <nc r="I96">
      <f>C96-D96</f>
    </nc>
    <odxf>
      <numFmt numFmtId="0" formatCode="General"/>
    </odxf>
    <ndxf>
      <numFmt numFmtId="164" formatCode="_(&quot;$&quot;* #,##0_);_(&quot;$&quot;* \(#,##0\);_(&quot;$&quot;* &quot;-&quot;??_);_(@_)"/>
    </ndxf>
  </rcc>
  <rdn rId="9" name="_xlfn._FV" function="1" oldFunction="1" hidden="1" oldHidden="1">
    <formula>#NAME?</formula>
  </rdn>
  <rcc rId="10" sId="1" odxf="1" dxf="1">
    <nc r="I97">
      <f>I96*0.0677</f>
    </nc>
    <ndxf>
      <numFmt numFmtId="166" formatCode="_(&quot;$&quot;* #,##0.0000_);_(&quot;$&quot;* \(#,##0.0000\);_(&quot;$&quot;* &quot;-&quot;????_);_(@_)"/>
    </ndxf>
  </rcc>
  <rfmt sheetId="1" sqref="I97">
    <dxf>
      <numFmt numFmtId="165" formatCode="_(&quot;$&quot;* #,##0.0_);_(&quot;$&quot;* \(#,##0.0\);_(&quot;$&quot;* &quot;-&quot;??_);_(@_)"/>
    </dxf>
  </rfmt>
  <rfmt sheetId="1" sqref="I97">
    <dxf>
      <numFmt numFmtId="164" formatCode="_(&quot;$&quot;* #,##0_);_(&quot;$&quot;* \(#,##0\);_(&quot;$&quot;* &quot;-&quot;??_);_(@_)"/>
    </dxf>
  </rfmt>
  <rcc rId="11" sId="1" odxf="1" dxf="1">
    <nc r="I99">
      <f>I97*I98</f>
    </nc>
    <odxf>
      <numFmt numFmtId="0" formatCode="General"/>
    </odxf>
    <ndxf>
      <numFmt numFmtId="164" formatCode="_(&quot;$&quot;* #,##0_);_(&quot;$&quot;* \(#,##0\);_(&quot;$&quot;* &quot;-&quot;??_);_(@_)"/>
    </ndxf>
  </rcc>
  <rfmt sheetId="1" sqref="I99">
    <dxf>
      <numFmt numFmtId="165" formatCode="_(&quot;$&quot;* #,##0.0_);_(&quot;$&quot;* \(#,##0.0\);_(&quot;$&quot;* &quot;-&quot;??_);_(@_)"/>
    </dxf>
  </rfmt>
  <rfmt sheetId="1" sqref="I99">
    <dxf>
      <numFmt numFmtId="164" formatCode="_(&quot;$&quot;* #,##0_);_(&quot;$&quot;* \(#,##0\);_(&quot;$&quot;* &quot;-&quot;??_);_(@_)"/>
    </dxf>
  </rfmt>
  <rcc rId="12" sId="1" odxf="1" dxf="1">
    <nc r="I100">
      <f>I99-D97</f>
    </nc>
    <odxf>
      <numFmt numFmtId="0" formatCode="General"/>
    </odxf>
    <ndxf>
      <numFmt numFmtId="164" formatCode="_(&quot;$&quot;* #,##0_);_(&quot;$&quot;* \(#,##0\);_(&quot;$&quot;* &quot;-&quot;??_);_(@_)"/>
    </ndxf>
  </rcc>
  <rcc rId="13" sId="1">
    <nc r="I98">
      <v>1.3130269341214995</v>
    </nc>
  </rcc>
  <rfmt sheetId="1" sqref="D107">
    <dxf>
      <fill>
        <patternFill>
          <bgColor rgb="FF92D050"/>
        </patternFill>
      </fill>
    </dxf>
  </rfmt>
  <rm rId="14" sheetId="1" source="G106:G110" destination="G109:G113" sourceSheetId="1"/>
  <rcc rId="15" sId="1">
    <oc r="G110" t="inlineStr">
      <is>
        <t>This amount comes from the Statement of Positions, but is not included in our true-up revenue requirement.</t>
      </is>
    </oc>
    <nc r="G110"/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" sId="1">
    <oc r="G134" t="inlineStr">
      <is>
        <t>75,538,657. The depreciation expense amount is correct, but the amortization expense is incorrect.</t>
      </is>
    </oc>
    <nc r="G134"/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D9CFE950-ECDF-4BCD-93ED-D9DAF6D5909D}" name="Leigha Palumbo" id="-1793695471" dateTime="2020-09-24T10:45:37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printerSettings" Target="../printerSettings/printerSettings3.bin"/><Relationship Id="rId7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33"/>
  <sheetViews>
    <sheetView tabSelected="1" workbookViewId="0">
      <pane ySplit="7" topLeftCell="A8" activePane="bottomLeft" state="frozen"/>
      <selection pane="bottomLeft" activeCell="A2" sqref="A2"/>
    </sheetView>
  </sheetViews>
  <sheetFormatPr defaultRowHeight="15" x14ac:dyDescent="0.25"/>
  <cols>
    <col min="1" max="1" width="61" customWidth="1"/>
    <col min="2" max="2" width="11.5703125" bestFit="1" customWidth="1"/>
    <col min="3" max="5" width="15.7109375" bestFit="1" customWidth="1"/>
    <col min="6" max="6" width="16.7109375" bestFit="1" customWidth="1"/>
    <col min="7" max="7" width="45" style="16" customWidth="1"/>
    <col min="9" max="9" width="11.5703125" bestFit="1" customWidth="1"/>
    <col min="10" max="10" width="15.28515625" bestFit="1" customWidth="1"/>
    <col min="11" max="11" width="13.28515625" bestFit="1" customWidth="1"/>
  </cols>
  <sheetData>
    <row r="1" spans="1:11" x14ac:dyDescent="0.25">
      <c r="A1" t="s">
        <v>139</v>
      </c>
      <c r="H1" s="1"/>
      <c r="J1" s="1"/>
    </row>
    <row r="2" spans="1:11" x14ac:dyDescent="0.25">
      <c r="A2" t="s">
        <v>0</v>
      </c>
    </row>
    <row r="3" spans="1:11" x14ac:dyDescent="0.25">
      <c r="A3" t="s">
        <v>140</v>
      </c>
    </row>
    <row r="5" spans="1:11" x14ac:dyDescent="0.25">
      <c r="A5" t="s">
        <v>104</v>
      </c>
    </row>
    <row r="6" spans="1:11" x14ac:dyDescent="0.25">
      <c r="A6" t="s">
        <v>105</v>
      </c>
    </row>
    <row r="7" spans="1:11" x14ac:dyDescent="0.25">
      <c r="C7" t="s">
        <v>2</v>
      </c>
      <c r="D7" t="s">
        <v>3</v>
      </c>
      <c r="E7" t="s">
        <v>4</v>
      </c>
      <c r="F7" t="s">
        <v>5</v>
      </c>
    </row>
    <row r="9" spans="1:11" x14ac:dyDescent="0.25">
      <c r="A9" s="8" t="s">
        <v>11</v>
      </c>
      <c r="C9" s="6"/>
      <c r="D9" s="6"/>
      <c r="E9" s="6"/>
      <c r="F9" s="6"/>
      <c r="G9" s="17"/>
    </row>
    <row r="10" spans="1:11" x14ac:dyDescent="0.25">
      <c r="A10" t="s">
        <v>1</v>
      </c>
      <c r="C10" s="13">
        <v>9.2499999999999999E-2</v>
      </c>
      <c r="D10" s="13">
        <v>9.9500000000000005E-2</v>
      </c>
      <c r="E10" s="13">
        <v>9.2499999999999999E-2</v>
      </c>
      <c r="F10" s="13">
        <v>9.2499999999999999E-2</v>
      </c>
      <c r="G10" s="17"/>
    </row>
    <row r="11" spans="1:11" x14ac:dyDescent="0.25">
      <c r="A11" t="s">
        <v>103</v>
      </c>
      <c r="C11" s="6"/>
      <c r="D11" s="4">
        <v>6220418.0899999999</v>
      </c>
      <c r="E11" s="6"/>
      <c r="F11" s="6"/>
      <c r="G11" s="23"/>
      <c r="I11" s="9"/>
      <c r="J11" s="7"/>
      <c r="K11" s="9"/>
    </row>
    <row r="12" spans="1:11" x14ac:dyDescent="0.25">
      <c r="C12" s="6"/>
      <c r="D12" s="6"/>
      <c r="E12" s="6"/>
      <c r="F12" s="6"/>
      <c r="G12" s="17"/>
      <c r="K12" s="9"/>
    </row>
    <row r="13" spans="1:11" x14ac:dyDescent="0.25">
      <c r="A13" t="s">
        <v>6</v>
      </c>
      <c r="C13" s="6" t="s">
        <v>9</v>
      </c>
      <c r="D13" s="6" t="s">
        <v>7</v>
      </c>
      <c r="E13" s="6" t="s">
        <v>8</v>
      </c>
      <c r="F13" s="6" t="s">
        <v>9</v>
      </c>
      <c r="G13" s="17"/>
      <c r="K13" s="9"/>
    </row>
    <row r="14" spans="1:11" x14ac:dyDescent="0.25">
      <c r="A14" t="s">
        <v>103</v>
      </c>
      <c r="D14" s="4">
        <v>7795316.5199999996</v>
      </c>
      <c r="E14" s="2">
        <f>7797498-992367</f>
        <v>6805131</v>
      </c>
      <c r="G14" s="23"/>
      <c r="H14" s="11"/>
      <c r="I14" s="9"/>
      <c r="J14" s="7"/>
      <c r="K14" s="9"/>
    </row>
    <row r="15" spans="1:11" x14ac:dyDescent="0.25">
      <c r="C15" s="6"/>
      <c r="D15" s="6"/>
      <c r="E15" s="6"/>
      <c r="F15" s="6"/>
      <c r="G15" s="17"/>
      <c r="K15" s="9"/>
    </row>
    <row r="16" spans="1:11" x14ac:dyDescent="0.25">
      <c r="A16" t="s">
        <v>10</v>
      </c>
      <c r="C16" s="13">
        <v>4.65E-2</v>
      </c>
      <c r="D16" s="13">
        <v>4.8500000000000001E-2</v>
      </c>
      <c r="E16" s="13">
        <v>4.5699999999999998E-2</v>
      </c>
      <c r="F16" s="13">
        <v>4.65E-2</v>
      </c>
      <c r="G16" s="17"/>
      <c r="K16" s="9"/>
    </row>
    <row r="17" spans="1:11" x14ac:dyDescent="0.25">
      <c r="A17" t="s">
        <v>103</v>
      </c>
      <c r="D17" s="4">
        <v>1588719.38</v>
      </c>
      <c r="E17" s="2">
        <f>396514-992367</f>
        <v>-595853</v>
      </c>
      <c r="G17" s="23"/>
      <c r="H17" s="11"/>
      <c r="I17" s="9"/>
      <c r="J17" s="7"/>
      <c r="K17" s="9"/>
    </row>
    <row r="18" spans="1:11" x14ac:dyDescent="0.25">
      <c r="D18" s="6"/>
      <c r="G18" s="17"/>
    </row>
    <row r="19" spans="1:11" x14ac:dyDescent="0.25">
      <c r="A19" s="8" t="s">
        <v>12</v>
      </c>
      <c r="D19" s="5">
        <f>D11+D14+D17</f>
        <v>15604453.989999998</v>
      </c>
      <c r="G19" s="22"/>
      <c r="I19" s="10"/>
      <c r="J19" s="7"/>
    </row>
    <row r="20" spans="1:11" x14ac:dyDescent="0.25">
      <c r="A20" t="s">
        <v>13</v>
      </c>
    </row>
    <row r="21" spans="1:11" ht="45" x14ac:dyDescent="0.25">
      <c r="A21" t="s">
        <v>103</v>
      </c>
      <c r="D21" s="4">
        <v>-3189334</v>
      </c>
      <c r="G21" s="17" t="s">
        <v>133</v>
      </c>
    </row>
    <row r="23" spans="1:11" x14ac:dyDescent="0.25">
      <c r="A23" s="8" t="s">
        <v>14</v>
      </c>
      <c r="C23" s="6"/>
      <c r="D23" s="6"/>
      <c r="E23" s="6"/>
      <c r="F23" s="6"/>
    </row>
    <row r="24" spans="1:11" x14ac:dyDescent="0.25">
      <c r="A24" t="s">
        <v>120</v>
      </c>
      <c r="C24" s="4">
        <v>1165283</v>
      </c>
      <c r="D24" s="4">
        <v>1297266</v>
      </c>
      <c r="E24" s="4">
        <v>1165283</v>
      </c>
      <c r="F24" s="4">
        <v>0</v>
      </c>
    </row>
    <row r="25" spans="1:11" x14ac:dyDescent="0.25">
      <c r="A25" t="s">
        <v>103</v>
      </c>
      <c r="C25" s="4"/>
      <c r="D25" s="4">
        <f>D24-C24</f>
        <v>131983</v>
      </c>
      <c r="E25" s="4"/>
      <c r="F25" s="4">
        <f>F24-C24</f>
        <v>-1165283</v>
      </c>
    </row>
    <row r="26" spans="1:11" x14ac:dyDescent="0.25">
      <c r="C26" s="6"/>
      <c r="D26" s="6"/>
      <c r="E26" s="6"/>
      <c r="F26" s="6"/>
    </row>
    <row r="27" spans="1:11" x14ac:dyDescent="0.25">
      <c r="A27" s="8" t="s">
        <v>15</v>
      </c>
      <c r="C27" s="6"/>
      <c r="D27" s="6"/>
      <c r="E27" s="6"/>
      <c r="F27" s="6"/>
    </row>
    <row r="28" spans="1:11" x14ac:dyDescent="0.25">
      <c r="A28" s="6" t="s">
        <v>85</v>
      </c>
      <c r="C28" s="4">
        <v>71676</v>
      </c>
      <c r="D28" s="4">
        <v>222736</v>
      </c>
      <c r="E28" s="4">
        <v>71676</v>
      </c>
      <c r="F28" s="4">
        <v>53860</v>
      </c>
    </row>
    <row r="29" spans="1:11" x14ac:dyDescent="0.25">
      <c r="A29" t="s">
        <v>103</v>
      </c>
      <c r="C29" s="4"/>
      <c r="D29" s="4">
        <f>D28-C28</f>
        <v>151060</v>
      </c>
      <c r="E29" s="4"/>
      <c r="F29" s="4">
        <f>F28-C28</f>
        <v>-17816</v>
      </c>
    </row>
    <row r="30" spans="1:11" x14ac:dyDescent="0.25">
      <c r="C30" s="6"/>
      <c r="D30" s="6"/>
      <c r="E30" s="6"/>
      <c r="F30" s="6"/>
    </row>
    <row r="31" spans="1:11" x14ac:dyDescent="0.25">
      <c r="A31" s="8" t="s">
        <v>16</v>
      </c>
      <c r="C31" s="6"/>
      <c r="D31" s="6"/>
      <c r="E31" s="6"/>
      <c r="F31" s="6"/>
    </row>
    <row r="32" spans="1:11" x14ac:dyDescent="0.25">
      <c r="A32" t="s">
        <v>86</v>
      </c>
      <c r="C32" s="4">
        <v>-31010</v>
      </c>
      <c r="D32" s="4">
        <v>0</v>
      </c>
      <c r="E32" s="4">
        <v>0</v>
      </c>
      <c r="F32" s="4">
        <v>-3707884</v>
      </c>
      <c r="G32" s="18"/>
    </row>
    <row r="33" spans="1:7" x14ac:dyDescent="0.25">
      <c r="A33" t="s">
        <v>103</v>
      </c>
      <c r="C33" s="4"/>
      <c r="D33" s="4">
        <f>D32-C32</f>
        <v>31010</v>
      </c>
      <c r="E33" s="4">
        <f>E32-C32</f>
        <v>31010</v>
      </c>
      <c r="F33" s="4">
        <f>F32-C32</f>
        <v>-3676874</v>
      </c>
      <c r="G33" s="18"/>
    </row>
    <row r="34" spans="1:7" x14ac:dyDescent="0.25">
      <c r="C34" s="6"/>
      <c r="D34" s="6"/>
      <c r="E34" s="6"/>
      <c r="F34" s="5"/>
    </row>
    <row r="35" spans="1:7" x14ac:dyDescent="0.25">
      <c r="A35" s="8" t="s">
        <v>17</v>
      </c>
      <c r="C35" s="6"/>
      <c r="D35" s="6"/>
      <c r="E35" s="6"/>
      <c r="F35" s="6"/>
      <c r="G35" s="17"/>
    </row>
    <row r="36" spans="1:7" x14ac:dyDescent="0.25">
      <c r="A36" t="s">
        <v>18</v>
      </c>
      <c r="C36" s="6"/>
      <c r="D36" s="6"/>
      <c r="E36" s="6"/>
      <c r="F36" s="6"/>
      <c r="G36" s="17"/>
    </row>
    <row r="37" spans="1:7" x14ac:dyDescent="0.25">
      <c r="A37" t="s">
        <v>19</v>
      </c>
      <c r="C37" s="6" t="s">
        <v>20</v>
      </c>
      <c r="D37" s="6" t="s">
        <v>20</v>
      </c>
      <c r="E37" s="6" t="s">
        <v>20</v>
      </c>
      <c r="F37" s="6" t="s">
        <v>21</v>
      </c>
      <c r="G37" s="17"/>
    </row>
    <row r="38" spans="1:7" x14ac:dyDescent="0.25">
      <c r="A38" t="s">
        <v>103</v>
      </c>
      <c r="C38" s="6"/>
      <c r="D38" s="6"/>
      <c r="E38" s="6"/>
      <c r="F38" s="4">
        <f>141697-992367</f>
        <v>-850670</v>
      </c>
      <c r="G38" s="17"/>
    </row>
    <row r="39" spans="1:7" x14ac:dyDescent="0.25">
      <c r="C39" s="6"/>
      <c r="D39" s="6"/>
      <c r="E39" s="6"/>
      <c r="F39" s="6"/>
      <c r="G39" s="17"/>
    </row>
    <row r="40" spans="1:7" x14ac:dyDescent="0.25">
      <c r="A40" t="s">
        <v>88</v>
      </c>
      <c r="C40" s="6" t="s">
        <v>23</v>
      </c>
      <c r="D40" s="6" t="s">
        <v>22</v>
      </c>
      <c r="E40" s="6" t="s">
        <v>23</v>
      </c>
      <c r="F40" s="6"/>
      <c r="G40" s="17"/>
    </row>
    <row r="41" spans="1:7" x14ac:dyDescent="0.25">
      <c r="A41" t="s">
        <v>103</v>
      </c>
      <c r="C41" s="6"/>
      <c r="D41" s="4">
        <f>1123751-992367</f>
        <v>131384</v>
      </c>
      <c r="E41" s="6"/>
      <c r="F41" s="6"/>
      <c r="G41" s="17"/>
    </row>
    <row r="42" spans="1:7" x14ac:dyDescent="0.25">
      <c r="C42" s="6"/>
      <c r="D42" s="6"/>
      <c r="E42" s="6"/>
      <c r="F42" s="6"/>
      <c r="G42" s="17"/>
    </row>
    <row r="43" spans="1:7" x14ac:dyDescent="0.25">
      <c r="A43" t="s">
        <v>87</v>
      </c>
      <c r="C43" s="6" t="s">
        <v>25</v>
      </c>
      <c r="D43" s="6">
        <v>42.13</v>
      </c>
      <c r="E43" s="6" t="s">
        <v>25</v>
      </c>
      <c r="F43" s="6"/>
      <c r="G43" s="17"/>
    </row>
    <row r="44" spans="1:7" x14ac:dyDescent="0.25">
      <c r="A44" t="s">
        <v>103</v>
      </c>
      <c r="C44" s="6"/>
      <c r="D44" s="4">
        <f>1009843-992367</f>
        <v>17476</v>
      </c>
      <c r="E44" s="6"/>
      <c r="F44" s="6"/>
      <c r="G44" s="17"/>
    </row>
    <row r="45" spans="1:7" x14ac:dyDescent="0.25">
      <c r="C45" s="6"/>
      <c r="D45" s="6"/>
      <c r="E45" s="6"/>
      <c r="F45" s="6"/>
      <c r="G45" s="17"/>
    </row>
    <row r="46" spans="1:7" x14ac:dyDescent="0.25">
      <c r="A46" t="s">
        <v>89</v>
      </c>
      <c r="C46" s="6" t="s">
        <v>26</v>
      </c>
      <c r="D46" s="6" t="s">
        <v>26</v>
      </c>
      <c r="E46" s="6" t="s">
        <v>21</v>
      </c>
      <c r="F46" s="6"/>
      <c r="G46" s="17"/>
    </row>
    <row r="47" spans="1:7" x14ac:dyDescent="0.25">
      <c r="A47" t="s">
        <v>103</v>
      </c>
      <c r="C47" s="6"/>
      <c r="D47" s="6"/>
      <c r="E47" s="4">
        <f>929127-992367</f>
        <v>-63240</v>
      </c>
      <c r="F47" s="6"/>
      <c r="G47" s="17"/>
    </row>
    <row r="48" spans="1:7" x14ac:dyDescent="0.25">
      <c r="C48" s="6"/>
      <c r="D48" s="6"/>
      <c r="E48" s="4"/>
      <c r="F48" s="6"/>
      <c r="G48" s="17"/>
    </row>
    <row r="49" spans="1:9" x14ac:dyDescent="0.25">
      <c r="A49" s="8" t="s">
        <v>31</v>
      </c>
      <c r="C49" s="6"/>
      <c r="D49" s="6"/>
      <c r="E49" s="6"/>
      <c r="F49" s="6"/>
      <c r="G49" s="17"/>
    </row>
    <row r="50" spans="1:9" x14ac:dyDescent="0.25">
      <c r="A50" t="s">
        <v>27</v>
      </c>
      <c r="C50" s="4">
        <v>241526665</v>
      </c>
      <c r="D50" s="4">
        <v>240858513</v>
      </c>
      <c r="E50" s="4">
        <v>241526665</v>
      </c>
      <c r="F50" s="4">
        <v>244148593</v>
      </c>
      <c r="G50" s="17"/>
      <c r="I50" s="3"/>
    </row>
    <row r="51" spans="1:9" x14ac:dyDescent="0.25">
      <c r="A51" t="s">
        <v>103</v>
      </c>
      <c r="C51" s="4"/>
      <c r="D51" s="4">
        <f>1046297-992367</f>
        <v>53930</v>
      </c>
      <c r="E51" s="4"/>
      <c r="F51" s="14">
        <f>780738-992367</f>
        <v>-211629</v>
      </c>
      <c r="G51" s="17"/>
      <c r="I51" s="7"/>
    </row>
    <row r="52" spans="1:9" x14ac:dyDescent="0.25">
      <c r="C52" s="6"/>
      <c r="D52" s="6"/>
      <c r="E52" s="6"/>
      <c r="F52" s="6"/>
      <c r="G52" s="17"/>
      <c r="I52" s="7"/>
    </row>
    <row r="53" spans="1:9" x14ac:dyDescent="0.25">
      <c r="A53" s="8" t="s">
        <v>32</v>
      </c>
      <c r="C53" s="6"/>
      <c r="D53" s="6"/>
      <c r="E53" s="6"/>
      <c r="F53" s="6"/>
      <c r="G53" s="17"/>
    </row>
    <row r="54" spans="1:9" x14ac:dyDescent="0.25">
      <c r="A54" t="s">
        <v>28</v>
      </c>
      <c r="C54" s="6"/>
      <c r="D54" s="6"/>
      <c r="E54" s="6"/>
      <c r="F54" s="6"/>
      <c r="G54" s="17"/>
    </row>
    <row r="55" spans="1:9" x14ac:dyDescent="0.25">
      <c r="A55" t="s">
        <v>29</v>
      </c>
      <c r="C55" s="15">
        <v>0</v>
      </c>
      <c r="D55" s="15">
        <v>0</v>
      </c>
      <c r="E55" s="15">
        <v>0</v>
      </c>
      <c r="F55" s="15">
        <v>-11728455</v>
      </c>
      <c r="G55" s="17"/>
    </row>
    <row r="56" spans="1:9" x14ac:dyDescent="0.25">
      <c r="A56" t="s">
        <v>103</v>
      </c>
      <c r="C56" s="15"/>
      <c r="D56" s="15"/>
      <c r="E56" s="15"/>
      <c r="F56" s="15">
        <f>45699-992367</f>
        <v>-946668</v>
      </c>
      <c r="G56" s="17"/>
    </row>
    <row r="57" spans="1:9" x14ac:dyDescent="0.25">
      <c r="C57" s="15"/>
      <c r="D57" s="15"/>
      <c r="E57" s="15"/>
      <c r="F57" s="15"/>
      <c r="G57" s="17"/>
    </row>
    <row r="58" spans="1:9" x14ac:dyDescent="0.25">
      <c r="A58" t="s">
        <v>30</v>
      </c>
      <c r="C58" s="15">
        <v>2345691</v>
      </c>
      <c r="D58" s="15">
        <v>0</v>
      </c>
      <c r="E58" s="15">
        <v>2345691</v>
      </c>
      <c r="F58" s="15">
        <v>0</v>
      </c>
    </row>
    <row r="59" spans="1:9" x14ac:dyDescent="0.25">
      <c r="A59" t="s">
        <v>103</v>
      </c>
      <c r="C59" s="15"/>
      <c r="D59" s="15">
        <f>C58-D58</f>
        <v>2345691</v>
      </c>
      <c r="E59" s="15"/>
      <c r="F59" s="15">
        <f>C58-F58</f>
        <v>2345691</v>
      </c>
    </row>
    <row r="60" spans="1:9" x14ac:dyDescent="0.25">
      <c r="C60" s="6"/>
      <c r="D60" s="6"/>
      <c r="E60" s="6"/>
      <c r="F60" s="6"/>
    </row>
    <row r="61" spans="1:9" x14ac:dyDescent="0.25">
      <c r="A61" s="8" t="s">
        <v>33</v>
      </c>
      <c r="C61" s="6"/>
      <c r="D61" s="6"/>
      <c r="E61" s="6"/>
      <c r="F61" s="6"/>
    </row>
    <row r="62" spans="1:9" x14ac:dyDescent="0.25">
      <c r="A62" t="s">
        <v>106</v>
      </c>
      <c r="C62" s="6"/>
      <c r="D62" s="6"/>
      <c r="E62" s="6"/>
      <c r="F62" s="6"/>
    </row>
    <row r="63" spans="1:9" x14ac:dyDescent="0.25">
      <c r="A63" t="s">
        <v>103</v>
      </c>
      <c r="C63" s="6"/>
      <c r="D63" s="6"/>
      <c r="E63" s="6"/>
      <c r="F63" s="4"/>
    </row>
    <row r="64" spans="1:9" x14ac:dyDescent="0.25">
      <c r="A64" s="21" t="s">
        <v>135</v>
      </c>
      <c r="C64" s="6"/>
      <c r="D64" s="6"/>
      <c r="E64" s="6"/>
      <c r="F64" s="4">
        <v>-21801887</v>
      </c>
    </row>
    <row r="65" spans="1:7" x14ac:dyDescent="0.25">
      <c r="A65" s="21" t="s">
        <v>137</v>
      </c>
      <c r="C65" s="6"/>
      <c r="D65" s="6"/>
      <c r="E65" s="6"/>
      <c r="F65" s="4">
        <f>-(11179375)</f>
        <v>-11179375</v>
      </c>
    </row>
    <row r="66" spans="1:7" x14ac:dyDescent="0.25">
      <c r="A66" s="21" t="s">
        <v>138</v>
      </c>
      <c r="C66" s="6"/>
      <c r="D66" s="6"/>
      <c r="E66" s="6"/>
      <c r="F66" s="4">
        <f>-10500000</f>
        <v>-10500000</v>
      </c>
    </row>
    <row r="67" spans="1:7" x14ac:dyDescent="0.25">
      <c r="A67" t="s">
        <v>136</v>
      </c>
      <c r="C67" s="6"/>
      <c r="D67" s="6"/>
      <c r="E67" s="6"/>
      <c r="F67" s="4">
        <f>SUM(F64:F66)</f>
        <v>-43481262</v>
      </c>
      <c r="G67" s="16" t="s">
        <v>107</v>
      </c>
    </row>
    <row r="68" spans="1:7" x14ac:dyDescent="0.25">
      <c r="C68" s="6"/>
      <c r="D68" s="6"/>
      <c r="E68" s="6"/>
      <c r="F68" s="6"/>
    </row>
    <row r="69" spans="1:7" x14ac:dyDescent="0.25">
      <c r="A69" s="8" t="s">
        <v>34</v>
      </c>
      <c r="C69" s="6"/>
      <c r="D69" s="6"/>
      <c r="E69" s="6"/>
      <c r="F69" s="6"/>
    </row>
    <row r="70" spans="1:7" x14ac:dyDescent="0.25">
      <c r="A70" t="s">
        <v>35</v>
      </c>
      <c r="C70" s="6" t="s">
        <v>36</v>
      </c>
      <c r="D70" s="6" t="s">
        <v>36</v>
      </c>
      <c r="E70" s="6" t="s">
        <v>37</v>
      </c>
      <c r="F70" s="6" t="s">
        <v>25</v>
      </c>
    </row>
    <row r="71" spans="1:7" x14ac:dyDescent="0.25">
      <c r="A71" t="s">
        <v>103</v>
      </c>
      <c r="C71" s="6"/>
      <c r="D71" s="6"/>
      <c r="E71" s="4">
        <f>824003-992367</f>
        <v>-168364</v>
      </c>
      <c r="F71" s="4">
        <f>751846-992367</f>
        <v>-240521</v>
      </c>
      <c r="G71" s="17"/>
    </row>
    <row r="72" spans="1:7" x14ac:dyDescent="0.25">
      <c r="C72" s="6"/>
      <c r="D72" s="6"/>
      <c r="E72" s="6"/>
      <c r="F72" s="6"/>
    </row>
    <row r="73" spans="1:7" x14ac:dyDescent="0.25">
      <c r="A73" s="8" t="s">
        <v>38</v>
      </c>
      <c r="C73" s="6"/>
      <c r="D73" s="6"/>
      <c r="E73" s="6"/>
      <c r="F73" s="6"/>
    </row>
    <row r="74" spans="1:7" x14ac:dyDescent="0.25">
      <c r="A74" t="s">
        <v>39</v>
      </c>
      <c r="C74" s="4">
        <v>28877386</v>
      </c>
      <c r="D74" s="4">
        <v>32124367</v>
      </c>
      <c r="E74" s="2">
        <v>28877386</v>
      </c>
      <c r="G74" s="17" t="s">
        <v>122</v>
      </c>
    </row>
    <row r="75" spans="1:7" x14ac:dyDescent="0.25">
      <c r="A75" t="s">
        <v>103</v>
      </c>
      <c r="C75" s="2"/>
      <c r="D75" s="4">
        <f>D74-C74</f>
        <v>3246981</v>
      </c>
      <c r="E75" s="2"/>
    </row>
    <row r="76" spans="1:7" x14ac:dyDescent="0.25">
      <c r="A76" t="s">
        <v>40</v>
      </c>
    </row>
    <row r="77" spans="1:7" x14ac:dyDescent="0.25">
      <c r="A77" s="8" t="s">
        <v>41</v>
      </c>
    </row>
    <row r="78" spans="1:7" x14ac:dyDescent="0.25">
      <c r="A78" t="s">
        <v>42</v>
      </c>
    </row>
    <row r="79" spans="1:7" x14ac:dyDescent="0.25">
      <c r="A79" t="s">
        <v>45</v>
      </c>
      <c r="C79" s="6"/>
      <c r="D79" s="6"/>
      <c r="E79" s="6"/>
      <c r="F79" s="6"/>
      <c r="G79" s="17"/>
    </row>
    <row r="80" spans="1:7" x14ac:dyDescent="0.25">
      <c r="A80" t="s">
        <v>44</v>
      </c>
      <c r="C80" s="4">
        <v>-885872</v>
      </c>
      <c r="D80" s="4">
        <v>-885872</v>
      </c>
      <c r="E80" s="4">
        <v>-1525864</v>
      </c>
      <c r="F80" s="6"/>
      <c r="G80" s="17"/>
    </row>
    <row r="81" spans="1:7" x14ac:dyDescent="0.25">
      <c r="A81" t="s">
        <v>103</v>
      </c>
      <c r="C81" s="4"/>
      <c r="D81" s="4"/>
      <c r="E81" s="4">
        <f>940709-992367</f>
        <v>-51658</v>
      </c>
      <c r="F81" s="6"/>
      <c r="G81" s="17"/>
    </row>
    <row r="82" spans="1:7" x14ac:dyDescent="0.25">
      <c r="C82" s="4"/>
      <c r="D82" s="4"/>
      <c r="E82" s="4"/>
      <c r="F82" s="6"/>
      <c r="G82" s="17"/>
    </row>
    <row r="83" spans="1:7" ht="13.9" customHeight="1" x14ac:dyDescent="0.25">
      <c r="A83" t="s">
        <v>46</v>
      </c>
      <c r="C83" s="4"/>
      <c r="D83" s="4"/>
      <c r="E83" s="4"/>
      <c r="F83" s="6"/>
      <c r="G83" s="17"/>
    </row>
    <row r="84" spans="1:7" x14ac:dyDescent="0.25">
      <c r="A84" t="s">
        <v>44</v>
      </c>
      <c r="C84" s="4">
        <v>-4530308</v>
      </c>
      <c r="D84" s="4">
        <v>-4530308</v>
      </c>
      <c r="E84" s="4">
        <v>-4530070</v>
      </c>
      <c r="F84" s="6"/>
      <c r="G84" s="17"/>
    </row>
    <row r="85" spans="1:7" x14ac:dyDescent="0.25">
      <c r="A85" t="s">
        <v>103</v>
      </c>
      <c r="C85" s="4"/>
      <c r="D85" s="4"/>
      <c r="E85" s="4">
        <f>992386-992367</f>
        <v>19</v>
      </c>
      <c r="F85" s="6"/>
      <c r="G85" s="17"/>
    </row>
    <row r="86" spans="1:7" x14ac:dyDescent="0.25">
      <c r="C86" s="4"/>
      <c r="D86" s="4"/>
      <c r="E86" s="4"/>
      <c r="F86" s="6"/>
      <c r="G86" s="17"/>
    </row>
    <row r="87" spans="1:7" x14ac:dyDescent="0.25">
      <c r="A87" t="s">
        <v>43</v>
      </c>
      <c r="C87" s="4"/>
      <c r="D87" s="4"/>
      <c r="E87" s="4"/>
      <c r="F87" s="6"/>
      <c r="G87" s="17"/>
    </row>
    <row r="88" spans="1:7" x14ac:dyDescent="0.25">
      <c r="A88" t="s">
        <v>44</v>
      </c>
      <c r="C88" s="4">
        <v>26269345</v>
      </c>
      <c r="D88" s="4">
        <v>26269345</v>
      </c>
      <c r="E88" s="4">
        <v>24325577</v>
      </c>
      <c r="F88" s="6"/>
      <c r="G88" s="17"/>
    </row>
    <row r="89" spans="1:7" x14ac:dyDescent="0.25">
      <c r="A89" t="s">
        <v>103</v>
      </c>
      <c r="C89" s="5"/>
      <c r="D89" s="5"/>
      <c r="E89" s="5">
        <f>835474-992367</f>
        <v>-156893</v>
      </c>
      <c r="F89" s="6"/>
      <c r="G89" s="17"/>
    </row>
    <row r="90" spans="1:7" x14ac:dyDescent="0.25">
      <c r="C90" s="5"/>
      <c r="D90" s="5"/>
      <c r="E90" s="5"/>
      <c r="F90" s="6"/>
      <c r="G90" s="17"/>
    </row>
    <row r="91" spans="1:7" x14ac:dyDescent="0.25">
      <c r="A91" t="s">
        <v>47</v>
      </c>
      <c r="C91" s="4">
        <v>17276991</v>
      </c>
      <c r="D91" s="4">
        <v>17710364</v>
      </c>
      <c r="E91" s="4">
        <v>9882816</v>
      </c>
      <c r="F91" s="6"/>
      <c r="G91" s="17"/>
    </row>
    <row r="92" spans="1:7" x14ac:dyDescent="0.25">
      <c r="A92" t="s">
        <v>103</v>
      </c>
      <c r="C92" s="6"/>
      <c r="D92" s="5">
        <f>D91-C91</f>
        <v>433373</v>
      </c>
      <c r="E92" s="5">
        <f>E91-C91</f>
        <v>-7394175</v>
      </c>
      <c r="F92" s="6"/>
      <c r="G92" s="17"/>
    </row>
    <row r="93" spans="1:7" x14ac:dyDescent="0.25">
      <c r="C93" s="6"/>
      <c r="D93" s="6"/>
      <c r="E93" s="6"/>
      <c r="F93" s="6"/>
      <c r="G93" s="17"/>
    </row>
    <row r="94" spans="1:7" x14ac:dyDescent="0.25">
      <c r="A94" s="8" t="s">
        <v>48</v>
      </c>
      <c r="C94" s="6"/>
      <c r="D94" s="6"/>
      <c r="E94" s="6"/>
      <c r="F94" s="6"/>
      <c r="G94" s="17"/>
    </row>
    <row r="95" spans="1:7" x14ac:dyDescent="0.25">
      <c r="A95" t="s">
        <v>49</v>
      </c>
      <c r="C95" s="6">
        <v>0</v>
      </c>
      <c r="D95" s="6">
        <v>0</v>
      </c>
      <c r="E95" s="6">
        <v>0</v>
      </c>
      <c r="F95" s="4">
        <v>100000000</v>
      </c>
      <c r="G95" s="17" t="s">
        <v>107</v>
      </c>
    </row>
    <row r="96" spans="1:7" x14ac:dyDescent="0.25">
      <c r="A96" t="s">
        <v>103</v>
      </c>
      <c r="C96" s="6"/>
      <c r="D96" s="6"/>
      <c r="E96" s="6"/>
      <c r="F96" s="5">
        <f>-F95</f>
        <v>-100000000</v>
      </c>
      <c r="G96" s="17"/>
    </row>
    <row r="97" spans="1:9" x14ac:dyDescent="0.25">
      <c r="C97" s="6"/>
      <c r="D97" s="6"/>
      <c r="E97" s="6"/>
      <c r="F97" s="6"/>
      <c r="G97" s="17"/>
    </row>
    <row r="98" spans="1:9" x14ac:dyDescent="0.25">
      <c r="A98" s="8" t="s">
        <v>50</v>
      </c>
      <c r="C98" s="6"/>
      <c r="D98" s="6"/>
      <c r="E98" s="6"/>
      <c r="F98" s="6"/>
      <c r="G98" s="17"/>
    </row>
    <row r="99" spans="1:9" x14ac:dyDescent="0.25">
      <c r="A99" t="s">
        <v>51</v>
      </c>
      <c r="C99" s="6"/>
      <c r="D99" s="6"/>
      <c r="E99" s="6"/>
      <c r="F99" s="6"/>
      <c r="G99" s="17"/>
    </row>
    <row r="100" spans="1:9" x14ac:dyDescent="0.25">
      <c r="A100" t="s">
        <v>52</v>
      </c>
      <c r="C100" s="4">
        <v>14258325</v>
      </c>
      <c r="D100" s="4">
        <v>13717733</v>
      </c>
      <c r="E100" s="4">
        <v>14258325</v>
      </c>
      <c r="F100" s="6"/>
      <c r="G100" s="17"/>
      <c r="I100" s="3"/>
    </row>
    <row r="101" spans="1:9" x14ac:dyDescent="0.25">
      <c r="A101" t="s">
        <v>103</v>
      </c>
      <c r="C101" s="4"/>
      <c r="D101" s="4">
        <f>992367-948732</f>
        <v>43635</v>
      </c>
      <c r="E101" s="4"/>
      <c r="F101" s="6"/>
      <c r="G101" s="17"/>
      <c r="I101" s="3"/>
    </row>
    <row r="102" spans="1:9" x14ac:dyDescent="0.25">
      <c r="C102" s="4"/>
      <c r="D102" s="4"/>
      <c r="E102" s="4"/>
      <c r="F102" s="6"/>
      <c r="G102" s="17"/>
    </row>
    <row r="103" spans="1:9" x14ac:dyDescent="0.25">
      <c r="A103" t="s">
        <v>53</v>
      </c>
      <c r="C103" s="4">
        <v>2851665</v>
      </c>
      <c r="D103" s="4">
        <v>2743547</v>
      </c>
      <c r="E103" s="4">
        <v>2851665</v>
      </c>
      <c r="F103" s="6"/>
      <c r="G103" s="17"/>
      <c r="I103" s="3"/>
    </row>
    <row r="104" spans="1:9" x14ac:dyDescent="0.25">
      <c r="A104" t="s">
        <v>103</v>
      </c>
      <c r="C104" s="4"/>
      <c r="D104" s="4">
        <f>D103-C103</f>
        <v>-108118</v>
      </c>
      <c r="E104" s="4"/>
      <c r="F104" s="6"/>
      <c r="G104" s="17"/>
      <c r="I104" s="3"/>
    </row>
    <row r="105" spans="1:9" x14ac:dyDescent="0.25">
      <c r="C105" s="2"/>
      <c r="D105" s="2"/>
      <c r="E105" s="2"/>
    </row>
    <row r="106" spans="1:9" ht="30" x14ac:dyDescent="0.25">
      <c r="A106" t="s">
        <v>54</v>
      </c>
      <c r="C106" s="4">
        <v>7478634</v>
      </c>
      <c r="D106" s="4">
        <v>8349230</v>
      </c>
      <c r="E106" s="2">
        <v>8133625</v>
      </c>
      <c r="G106" s="17" t="s">
        <v>123</v>
      </c>
    </row>
    <row r="107" spans="1:9" x14ac:dyDescent="0.25">
      <c r="A107" t="s">
        <v>103</v>
      </c>
      <c r="C107" s="2"/>
      <c r="D107" s="4">
        <f>D106-C106</f>
        <v>870596</v>
      </c>
      <c r="E107" s="2"/>
    </row>
    <row r="108" spans="1:9" x14ac:dyDescent="0.25">
      <c r="D108" s="6"/>
    </row>
    <row r="109" spans="1:9" x14ac:dyDescent="0.25">
      <c r="A109" s="8" t="s">
        <v>55</v>
      </c>
    </row>
    <row r="110" spans="1:9" x14ac:dyDescent="0.25">
      <c r="A110" t="s">
        <v>56</v>
      </c>
      <c r="C110" s="6"/>
      <c r="D110" s="6"/>
      <c r="E110" s="6"/>
      <c r="F110" s="6"/>
      <c r="G110" s="17"/>
    </row>
    <row r="111" spans="1:9" x14ac:dyDescent="0.25">
      <c r="A111" t="s">
        <v>54</v>
      </c>
      <c r="C111" s="4">
        <v>836858</v>
      </c>
      <c r="D111" s="4">
        <v>924820</v>
      </c>
      <c r="E111" s="4">
        <v>836858</v>
      </c>
      <c r="F111" s="6"/>
      <c r="G111" s="17"/>
    </row>
    <row r="112" spans="1:9" x14ac:dyDescent="0.25">
      <c r="A112" t="s">
        <v>103</v>
      </c>
      <c r="C112" s="4"/>
      <c r="D112" s="4">
        <f>D111-C111</f>
        <v>87962</v>
      </c>
      <c r="E112" s="4"/>
      <c r="F112" s="6"/>
      <c r="G112" s="17"/>
    </row>
    <row r="113" spans="1:9" x14ac:dyDescent="0.25">
      <c r="C113" s="6"/>
      <c r="D113" s="6"/>
      <c r="E113" s="6"/>
      <c r="F113" s="6"/>
      <c r="G113" s="17"/>
    </row>
    <row r="114" spans="1:9" x14ac:dyDescent="0.25">
      <c r="A114" s="8" t="s">
        <v>57</v>
      </c>
      <c r="C114" s="6"/>
      <c r="D114" s="6"/>
      <c r="E114" s="6"/>
      <c r="F114" s="6"/>
      <c r="G114" s="17"/>
    </row>
    <row r="115" spans="1:9" x14ac:dyDescent="0.25">
      <c r="A115" t="s">
        <v>58</v>
      </c>
      <c r="C115" s="6"/>
      <c r="D115" s="6"/>
      <c r="E115" s="6"/>
      <c r="F115" s="6"/>
      <c r="G115" s="17"/>
    </row>
    <row r="116" spans="1:9" x14ac:dyDescent="0.25">
      <c r="A116" t="s">
        <v>54</v>
      </c>
      <c r="C116" s="4">
        <v>129196</v>
      </c>
      <c r="D116" s="4">
        <v>155552</v>
      </c>
      <c r="E116" s="4">
        <v>129196</v>
      </c>
      <c r="F116" s="6"/>
      <c r="G116" s="17"/>
    </row>
    <row r="117" spans="1:9" x14ac:dyDescent="0.25">
      <c r="A117" t="s">
        <v>103</v>
      </c>
      <c r="C117" s="4"/>
      <c r="D117" s="4">
        <f>D116-C116</f>
        <v>26356</v>
      </c>
      <c r="E117" s="4"/>
      <c r="F117" s="6"/>
      <c r="G117" s="17"/>
    </row>
    <row r="118" spans="1:9" x14ac:dyDescent="0.25">
      <c r="C118" s="6"/>
      <c r="D118" s="6"/>
      <c r="E118" s="6"/>
      <c r="F118" s="6"/>
      <c r="G118" s="17"/>
    </row>
    <row r="119" spans="1:9" x14ac:dyDescent="0.25">
      <c r="A119" s="8" t="s">
        <v>59</v>
      </c>
      <c r="C119" s="6"/>
      <c r="D119" s="6"/>
      <c r="E119" s="6"/>
      <c r="F119" s="6"/>
      <c r="G119" s="17"/>
    </row>
    <row r="120" spans="1:9" x14ac:dyDescent="0.25">
      <c r="A120" t="s">
        <v>60</v>
      </c>
      <c r="C120" s="6"/>
      <c r="D120" s="6"/>
      <c r="E120" s="6"/>
      <c r="F120" s="6"/>
      <c r="G120" s="17"/>
    </row>
    <row r="121" spans="1:9" x14ac:dyDescent="0.25">
      <c r="A121" t="s">
        <v>61</v>
      </c>
      <c r="C121" s="4">
        <v>32773580</v>
      </c>
      <c r="D121" s="4">
        <v>33031612</v>
      </c>
      <c r="E121" s="4">
        <v>32773580</v>
      </c>
      <c r="F121" s="6"/>
      <c r="G121" s="17"/>
      <c r="H121" s="3"/>
    </row>
    <row r="122" spans="1:9" x14ac:dyDescent="0.25">
      <c r="A122" t="s">
        <v>103</v>
      </c>
      <c r="C122" s="6"/>
      <c r="D122" s="4">
        <f>1013194-992367</f>
        <v>20827</v>
      </c>
      <c r="E122" s="6"/>
      <c r="F122" s="6"/>
      <c r="G122" s="17"/>
      <c r="H122" s="7"/>
    </row>
    <row r="123" spans="1:9" x14ac:dyDescent="0.25">
      <c r="C123" s="6"/>
      <c r="D123" s="6"/>
      <c r="E123" s="6"/>
      <c r="F123" s="6"/>
      <c r="G123" s="17"/>
      <c r="H123" s="7"/>
    </row>
    <row r="124" spans="1:9" x14ac:dyDescent="0.25">
      <c r="A124" s="8" t="s">
        <v>62</v>
      </c>
      <c r="C124" s="6"/>
      <c r="D124" s="6"/>
      <c r="E124" s="6"/>
      <c r="F124" s="6"/>
      <c r="G124" s="17"/>
      <c r="H124" s="7"/>
    </row>
    <row r="125" spans="1:9" x14ac:dyDescent="0.25">
      <c r="A125" t="s">
        <v>63</v>
      </c>
      <c r="C125" s="6"/>
      <c r="D125" s="6"/>
      <c r="E125" s="6"/>
      <c r="F125" s="6"/>
      <c r="G125" s="17"/>
    </row>
    <row r="126" spans="1:9" x14ac:dyDescent="0.25">
      <c r="A126" t="s">
        <v>61</v>
      </c>
      <c r="C126" s="6">
        <v>0</v>
      </c>
      <c r="D126" s="4">
        <v>9810956</v>
      </c>
      <c r="E126" s="6">
        <v>0</v>
      </c>
      <c r="F126" s="6"/>
      <c r="G126" s="17"/>
      <c r="I126" s="3"/>
    </row>
    <row r="127" spans="1:9" x14ac:dyDescent="0.25">
      <c r="A127" t="s">
        <v>103</v>
      </c>
      <c r="C127" s="6"/>
      <c r="D127" s="4">
        <f>1784262-992367</f>
        <v>791895</v>
      </c>
      <c r="E127" s="6"/>
      <c r="F127" s="6"/>
      <c r="G127" s="17"/>
      <c r="I127" s="12"/>
    </row>
    <row r="128" spans="1:9" x14ac:dyDescent="0.25">
      <c r="C128" s="6"/>
      <c r="D128" s="4"/>
      <c r="E128" s="6"/>
      <c r="F128" s="6"/>
      <c r="G128" s="17"/>
      <c r="I128" s="12"/>
    </row>
    <row r="129" spans="1:7" x14ac:dyDescent="0.25">
      <c r="A129" t="s">
        <v>64</v>
      </c>
      <c r="C129" s="6">
        <v>0</v>
      </c>
      <c r="D129" s="4">
        <v>2530466</v>
      </c>
      <c r="E129" s="6">
        <v>0</v>
      </c>
      <c r="F129" s="6"/>
      <c r="G129" s="17"/>
    </row>
    <row r="130" spans="1:7" x14ac:dyDescent="0.25">
      <c r="A130" t="s">
        <v>103</v>
      </c>
      <c r="C130" s="6"/>
      <c r="D130" s="4">
        <f>D129-C129</f>
        <v>2530466</v>
      </c>
      <c r="E130" s="6"/>
      <c r="F130" s="6"/>
      <c r="G130" s="17"/>
    </row>
    <row r="132" spans="1:7" x14ac:dyDescent="0.25">
      <c r="A132" s="8" t="s">
        <v>65</v>
      </c>
    </row>
    <row r="133" spans="1:7" x14ac:dyDescent="0.25">
      <c r="A133" t="s">
        <v>66</v>
      </c>
      <c r="C133" s="6"/>
      <c r="D133" s="6"/>
      <c r="E133" s="6"/>
      <c r="F133" s="6"/>
      <c r="G133" s="17"/>
    </row>
    <row r="134" spans="1:7" x14ac:dyDescent="0.25">
      <c r="A134" t="s">
        <v>61</v>
      </c>
      <c r="C134" s="4">
        <v>1274630</v>
      </c>
      <c r="D134" s="4">
        <v>1274630</v>
      </c>
      <c r="E134" s="4">
        <v>0</v>
      </c>
      <c r="F134" s="6"/>
      <c r="G134" s="17"/>
    </row>
    <row r="135" spans="1:7" x14ac:dyDescent="0.25">
      <c r="A135" t="s">
        <v>103</v>
      </c>
      <c r="C135" s="4"/>
      <c r="D135" s="4"/>
      <c r="E135" s="4">
        <f>889494-992367</f>
        <v>-102873</v>
      </c>
      <c r="F135" s="6"/>
      <c r="G135" s="17"/>
    </row>
    <row r="137" spans="1:7" x14ac:dyDescent="0.25">
      <c r="A137" s="8" t="s">
        <v>67</v>
      </c>
      <c r="C137" s="6"/>
      <c r="D137" s="6"/>
      <c r="E137" s="6"/>
    </row>
    <row r="138" spans="1:7" x14ac:dyDescent="0.25">
      <c r="A138" t="s">
        <v>68</v>
      </c>
      <c r="C138" s="4">
        <f>71991182+3387871</f>
        <v>75379053</v>
      </c>
      <c r="D138" s="4">
        <f>71515922+3821588</f>
        <v>75337510</v>
      </c>
      <c r="E138" s="4">
        <f>71423882+3387871</f>
        <v>74811753</v>
      </c>
    </row>
    <row r="139" spans="1:7" x14ac:dyDescent="0.25">
      <c r="A139" t="s">
        <v>103</v>
      </c>
      <c r="C139" s="4"/>
      <c r="D139" s="4">
        <f>D138-C138</f>
        <v>-41543</v>
      </c>
      <c r="E139" s="4">
        <f>E138-C138</f>
        <v>-567300</v>
      </c>
    </row>
    <row r="140" spans="1:7" x14ac:dyDescent="0.25">
      <c r="C140" s="6"/>
      <c r="D140" s="6"/>
      <c r="E140" s="6"/>
    </row>
    <row r="141" spans="1:7" x14ac:dyDescent="0.25">
      <c r="A141" s="8" t="s">
        <v>69</v>
      </c>
      <c r="C141" s="6"/>
      <c r="D141" s="6"/>
      <c r="E141" s="6"/>
    </row>
    <row r="142" spans="1:7" x14ac:dyDescent="0.25">
      <c r="A142" t="s">
        <v>70</v>
      </c>
      <c r="C142" s="6"/>
    </row>
    <row r="143" spans="1:7" x14ac:dyDescent="0.25">
      <c r="A143" t="s">
        <v>61</v>
      </c>
      <c r="C143" s="4">
        <f>3939778+2148142+100923</f>
        <v>6188843</v>
      </c>
      <c r="D143" s="4">
        <v>6514584.9500000002</v>
      </c>
      <c r="E143" s="2">
        <v>6188843</v>
      </c>
      <c r="G143" s="17" t="s">
        <v>121</v>
      </c>
    </row>
    <row r="144" spans="1:7" x14ac:dyDescent="0.25">
      <c r="A144" t="s">
        <v>103</v>
      </c>
      <c r="C144" s="4"/>
      <c r="D144" s="4">
        <v>28938.720162447698</v>
      </c>
      <c r="E144" s="2"/>
      <c r="G144" s="17"/>
    </row>
    <row r="145" spans="1:7" x14ac:dyDescent="0.25">
      <c r="C145" s="4"/>
      <c r="D145" s="4"/>
      <c r="E145" s="2"/>
      <c r="G145" s="17"/>
    </row>
    <row r="146" spans="1:7" x14ac:dyDescent="0.25">
      <c r="A146" t="s">
        <v>30</v>
      </c>
      <c r="B146" s="10"/>
      <c r="C146" s="4">
        <f>84729+44828+1987</f>
        <v>131544</v>
      </c>
      <c r="D146" s="4">
        <v>217451</v>
      </c>
      <c r="E146" s="2">
        <f>84729+44828+1987</f>
        <v>131544</v>
      </c>
      <c r="G146" s="17" t="s">
        <v>121</v>
      </c>
    </row>
    <row r="147" spans="1:7" x14ac:dyDescent="0.25">
      <c r="A147" t="s">
        <v>103</v>
      </c>
      <c r="C147" s="6"/>
      <c r="D147" s="5">
        <f>D146-C146</f>
        <v>85907</v>
      </c>
    </row>
    <row r="148" spans="1:7" x14ac:dyDescent="0.25">
      <c r="C148" s="6"/>
      <c r="D148" s="6"/>
    </row>
    <row r="149" spans="1:7" x14ac:dyDescent="0.25">
      <c r="A149" s="8" t="s">
        <v>71</v>
      </c>
      <c r="C149" s="6"/>
      <c r="D149" s="6"/>
    </row>
    <row r="150" spans="1:7" x14ac:dyDescent="0.25">
      <c r="A150" t="s">
        <v>72</v>
      </c>
      <c r="C150" s="6"/>
      <c r="D150" s="6"/>
    </row>
    <row r="151" spans="1:7" x14ac:dyDescent="0.25">
      <c r="A151" t="s">
        <v>54</v>
      </c>
      <c r="C151" s="4">
        <v>1245016</v>
      </c>
      <c r="D151" s="4">
        <v>4078229</v>
      </c>
      <c r="E151" s="2">
        <v>1245016</v>
      </c>
    </row>
    <row r="152" spans="1:7" x14ac:dyDescent="0.25">
      <c r="A152" t="s">
        <v>103</v>
      </c>
      <c r="C152" s="4"/>
      <c r="D152" s="4">
        <f>D151-C151</f>
        <v>2833213</v>
      </c>
      <c r="E152" s="2"/>
    </row>
    <row r="153" spans="1:7" x14ac:dyDescent="0.25">
      <c r="C153" s="6"/>
      <c r="D153" s="6"/>
    </row>
    <row r="154" spans="1:7" x14ac:dyDescent="0.25">
      <c r="A154" s="8" t="s">
        <v>73</v>
      </c>
      <c r="C154" s="6"/>
      <c r="D154" s="6"/>
    </row>
    <row r="155" spans="1:7" x14ac:dyDescent="0.25">
      <c r="A155" t="s">
        <v>74</v>
      </c>
      <c r="C155" s="6"/>
      <c r="D155" s="6"/>
    </row>
    <row r="156" spans="1:7" x14ac:dyDescent="0.25">
      <c r="A156" t="s">
        <v>61</v>
      </c>
      <c r="C156" s="4">
        <v>4267998</v>
      </c>
      <c r="D156" s="4">
        <v>4269460</v>
      </c>
      <c r="E156" s="2">
        <v>4267998</v>
      </c>
    </row>
    <row r="157" spans="1:7" x14ac:dyDescent="0.25">
      <c r="A157" t="s">
        <v>103</v>
      </c>
      <c r="C157" s="4"/>
      <c r="D157" s="4">
        <f>992486-992367</f>
        <v>119</v>
      </c>
      <c r="E157" s="2"/>
      <c r="G157" s="17"/>
    </row>
    <row r="158" spans="1:7" x14ac:dyDescent="0.25">
      <c r="C158" s="4"/>
      <c r="D158" s="4"/>
      <c r="E158" s="2"/>
      <c r="G158" s="17"/>
    </row>
    <row r="159" spans="1:7" x14ac:dyDescent="0.25">
      <c r="A159" t="s">
        <v>75</v>
      </c>
      <c r="C159" s="4">
        <v>1447308</v>
      </c>
      <c r="D159" s="4">
        <v>1422715</v>
      </c>
      <c r="E159" s="2">
        <v>1447308</v>
      </c>
    </row>
    <row r="160" spans="1:7" x14ac:dyDescent="0.25">
      <c r="A160" t="s">
        <v>103</v>
      </c>
      <c r="C160" s="4"/>
      <c r="D160" s="4">
        <f>D159-C159</f>
        <v>-24593</v>
      </c>
      <c r="E160" s="2"/>
    </row>
    <row r="161" spans="1:7" x14ac:dyDescent="0.25">
      <c r="C161" s="6"/>
      <c r="D161" s="6"/>
    </row>
    <row r="162" spans="1:7" x14ac:dyDescent="0.25">
      <c r="A162" s="8" t="s">
        <v>76</v>
      </c>
      <c r="C162" s="6"/>
      <c r="D162" s="6"/>
    </row>
    <row r="163" spans="1:7" x14ac:dyDescent="0.25">
      <c r="A163" t="s">
        <v>24</v>
      </c>
      <c r="C163" s="4">
        <v>1910437</v>
      </c>
      <c r="D163" s="4">
        <v>1964937</v>
      </c>
      <c r="E163" s="2">
        <v>1910437</v>
      </c>
    </row>
    <row r="164" spans="1:7" x14ac:dyDescent="0.25">
      <c r="A164" t="s">
        <v>103</v>
      </c>
      <c r="C164" s="4"/>
      <c r="D164" s="4">
        <f>D163-C163</f>
        <v>54500</v>
      </c>
      <c r="E164" s="2"/>
    </row>
    <row r="165" spans="1:7" x14ac:dyDescent="0.25">
      <c r="C165" s="6"/>
    </row>
    <row r="166" spans="1:7" x14ac:dyDescent="0.25">
      <c r="A166" s="8" t="s">
        <v>77</v>
      </c>
      <c r="C166" s="6"/>
    </row>
    <row r="167" spans="1:7" x14ac:dyDescent="0.25">
      <c r="A167" t="s">
        <v>78</v>
      </c>
      <c r="C167" s="6"/>
    </row>
    <row r="168" spans="1:7" x14ac:dyDescent="0.25">
      <c r="A168" t="s">
        <v>94</v>
      </c>
      <c r="C168" s="4">
        <v>-6391485</v>
      </c>
      <c r="D168" s="4">
        <v>-6391485</v>
      </c>
      <c r="E168" s="3">
        <f>C168</f>
        <v>-6391485</v>
      </c>
      <c r="G168" s="17" t="s">
        <v>124</v>
      </c>
    </row>
    <row r="169" spans="1:7" x14ac:dyDescent="0.25">
      <c r="A169" t="s">
        <v>103</v>
      </c>
      <c r="C169" s="4"/>
      <c r="D169" s="4">
        <f>-(D168-C168)</f>
        <v>0</v>
      </c>
    </row>
    <row r="170" spans="1:7" x14ac:dyDescent="0.25">
      <c r="C170" s="4"/>
      <c r="D170" s="4"/>
    </row>
    <row r="171" spans="1:7" x14ac:dyDescent="0.25">
      <c r="A171" t="s">
        <v>95</v>
      </c>
      <c r="C171" s="4">
        <v>-9923350</v>
      </c>
      <c r="D171" s="4">
        <v>-9319510</v>
      </c>
      <c r="E171" s="3">
        <f>C171</f>
        <v>-9923350</v>
      </c>
    </row>
    <row r="172" spans="1:7" x14ac:dyDescent="0.25">
      <c r="A172" t="s">
        <v>103</v>
      </c>
      <c r="C172" s="4"/>
      <c r="D172" s="4">
        <f>-(D171-C171)</f>
        <v>-603840</v>
      </c>
    </row>
    <row r="173" spans="1:7" x14ac:dyDescent="0.25">
      <c r="C173" s="4"/>
      <c r="D173" s="4"/>
    </row>
    <row r="174" spans="1:7" x14ac:dyDescent="0.25">
      <c r="A174" t="s">
        <v>96</v>
      </c>
      <c r="C174" s="4">
        <v>-17047207</v>
      </c>
      <c r="D174" s="4">
        <v>-17047207</v>
      </c>
      <c r="E174" s="3">
        <f>C174</f>
        <v>-17047207</v>
      </c>
      <c r="G174" s="17" t="s">
        <v>124</v>
      </c>
    </row>
    <row r="175" spans="1:7" x14ac:dyDescent="0.25">
      <c r="A175" t="s">
        <v>103</v>
      </c>
      <c r="C175" s="4"/>
      <c r="D175" s="4">
        <f>-(D174-C174)</f>
        <v>0</v>
      </c>
    </row>
    <row r="176" spans="1:7" x14ac:dyDescent="0.25">
      <c r="C176" s="2"/>
      <c r="D176" s="4"/>
    </row>
    <row r="177" spans="1:7" x14ac:dyDescent="0.25">
      <c r="A177" t="s">
        <v>97</v>
      </c>
      <c r="C177" s="4">
        <f>E177</f>
        <v>-5218658</v>
      </c>
      <c r="D177" s="4">
        <v>14247750</v>
      </c>
      <c r="E177" s="5">
        <v>-5218658</v>
      </c>
      <c r="G177" s="17" t="s">
        <v>131</v>
      </c>
    </row>
    <row r="178" spans="1:7" x14ac:dyDescent="0.25">
      <c r="A178" t="s">
        <v>103</v>
      </c>
      <c r="D178" s="5">
        <f>-(D177-C177)</f>
        <v>-19466408</v>
      </c>
    </row>
    <row r="179" spans="1:7" x14ac:dyDescent="0.25">
      <c r="D179" s="6"/>
    </row>
    <row r="180" spans="1:7" x14ac:dyDescent="0.25">
      <c r="A180" s="8" t="s">
        <v>79</v>
      </c>
    </row>
    <row r="181" spans="1:7" x14ac:dyDescent="0.25">
      <c r="A181" t="s">
        <v>91</v>
      </c>
      <c r="C181" s="4">
        <v>354638</v>
      </c>
      <c r="D181" s="4">
        <v>354638</v>
      </c>
      <c r="E181" s="2">
        <v>360306</v>
      </c>
    </row>
    <row r="182" spans="1:7" x14ac:dyDescent="0.25">
      <c r="A182" t="s">
        <v>103</v>
      </c>
      <c r="C182" s="4"/>
      <c r="D182" s="4">
        <f>D181-C181</f>
        <v>0</v>
      </c>
      <c r="E182" s="2">
        <f>-(E181-C181)</f>
        <v>-5668</v>
      </c>
    </row>
    <row r="183" spans="1:7" x14ac:dyDescent="0.25">
      <c r="C183" s="4"/>
      <c r="D183" s="4"/>
      <c r="E183" s="2"/>
    </row>
    <row r="184" spans="1:7" x14ac:dyDescent="0.25">
      <c r="A184" t="s">
        <v>92</v>
      </c>
      <c r="C184" s="4">
        <v>1026462</v>
      </c>
      <c r="D184" s="4">
        <v>1026462</v>
      </c>
      <c r="E184" s="2">
        <v>986268</v>
      </c>
    </row>
    <row r="185" spans="1:7" x14ac:dyDescent="0.25">
      <c r="A185" t="s">
        <v>103</v>
      </c>
      <c r="C185" s="4"/>
      <c r="D185" s="4"/>
      <c r="E185" s="2">
        <f>-(E184-C184)</f>
        <v>40194</v>
      </c>
    </row>
    <row r="186" spans="1:7" x14ac:dyDescent="0.25">
      <c r="C186" s="4"/>
      <c r="D186" s="4"/>
      <c r="E186" s="2"/>
    </row>
    <row r="187" spans="1:7" x14ac:dyDescent="0.25">
      <c r="A187" t="s">
        <v>93</v>
      </c>
      <c r="C187" s="4">
        <v>36107</v>
      </c>
      <c r="D187" s="4">
        <v>36107</v>
      </c>
      <c r="E187" s="2">
        <v>48018</v>
      </c>
    </row>
    <row r="188" spans="1:7" x14ac:dyDescent="0.25">
      <c r="A188" t="s">
        <v>103</v>
      </c>
      <c r="C188" s="4"/>
      <c r="D188" s="4"/>
      <c r="E188" s="2">
        <f>-(E187-C187)</f>
        <v>-11911</v>
      </c>
    </row>
    <row r="189" spans="1:7" x14ac:dyDescent="0.25">
      <c r="C189" s="6"/>
      <c r="D189" s="6"/>
    </row>
    <row r="190" spans="1:7" x14ac:dyDescent="0.25">
      <c r="A190" s="8" t="s">
        <v>80</v>
      </c>
      <c r="C190" s="6"/>
      <c r="D190" s="6"/>
    </row>
    <row r="191" spans="1:7" x14ac:dyDescent="0.25">
      <c r="A191" t="s">
        <v>90</v>
      </c>
      <c r="C191" s="4">
        <v>-7760076</v>
      </c>
      <c r="D191" s="4">
        <v>12024852</v>
      </c>
      <c r="E191" s="2">
        <v>-7760076</v>
      </c>
    </row>
    <row r="192" spans="1:7" x14ac:dyDescent="0.25">
      <c r="A192" t="s">
        <v>103</v>
      </c>
      <c r="C192" s="2"/>
      <c r="D192" s="4">
        <f>D191-C191</f>
        <v>19784928</v>
      </c>
      <c r="E192" s="2"/>
    </row>
    <row r="194" spans="1:7" x14ac:dyDescent="0.25">
      <c r="A194" s="8" t="s">
        <v>81</v>
      </c>
      <c r="B194" s="6"/>
      <c r="C194" s="6"/>
      <c r="D194" s="6"/>
      <c r="E194" s="6"/>
    </row>
    <row r="195" spans="1:7" ht="45" x14ac:dyDescent="0.25">
      <c r="A195" t="s">
        <v>82</v>
      </c>
      <c r="B195" s="6"/>
      <c r="C195" s="4">
        <v>-116757</v>
      </c>
      <c r="D195" s="4">
        <v>-7451</v>
      </c>
      <c r="E195" s="4">
        <v>-116757</v>
      </c>
      <c r="G195" s="16" t="s">
        <v>128</v>
      </c>
    </row>
    <row r="196" spans="1:7" x14ac:dyDescent="0.25">
      <c r="A196" t="s">
        <v>103</v>
      </c>
      <c r="B196" s="6"/>
      <c r="C196" s="4"/>
      <c r="D196" s="4">
        <f>D195-C195</f>
        <v>109306</v>
      </c>
      <c r="E196" s="5">
        <f>E195-C195</f>
        <v>0</v>
      </c>
    </row>
    <row r="197" spans="1:7" x14ac:dyDescent="0.25">
      <c r="B197" s="6"/>
      <c r="C197" s="6"/>
      <c r="D197" s="6"/>
      <c r="E197" s="6"/>
    </row>
    <row r="198" spans="1:7" x14ac:dyDescent="0.25">
      <c r="A198" s="8" t="s">
        <v>83</v>
      </c>
      <c r="B198" s="6"/>
      <c r="C198" s="6"/>
      <c r="D198" s="6"/>
      <c r="E198" s="6"/>
    </row>
    <row r="199" spans="1:7" x14ac:dyDescent="0.25">
      <c r="A199" t="s">
        <v>84</v>
      </c>
      <c r="B199" s="6"/>
      <c r="C199" s="4">
        <v>312562</v>
      </c>
      <c r="D199" s="4">
        <v>312562</v>
      </c>
      <c r="E199" s="4">
        <v>312562</v>
      </c>
    </row>
    <row r="200" spans="1:7" x14ac:dyDescent="0.25">
      <c r="A200" t="s">
        <v>117</v>
      </c>
      <c r="B200" s="6"/>
      <c r="C200" s="6"/>
      <c r="D200" s="6"/>
      <c r="E200" s="6"/>
    </row>
    <row r="201" spans="1:7" x14ac:dyDescent="0.25">
      <c r="B201" s="6"/>
      <c r="C201" s="6"/>
      <c r="D201" s="6"/>
      <c r="E201" s="6"/>
    </row>
    <row r="202" spans="1:7" x14ac:dyDescent="0.25">
      <c r="A202" s="8" t="s">
        <v>98</v>
      </c>
      <c r="B202" s="6"/>
      <c r="C202" s="6"/>
      <c r="D202" s="6"/>
      <c r="E202" s="6"/>
    </row>
    <row r="203" spans="1:7" ht="30" x14ac:dyDescent="0.25">
      <c r="A203" t="s">
        <v>99</v>
      </c>
      <c r="B203" s="6"/>
      <c r="C203" s="4">
        <v>1731204.08</v>
      </c>
      <c r="D203" s="4">
        <v>3809205.79</v>
      </c>
      <c r="E203" s="4">
        <v>1731204</v>
      </c>
      <c r="G203" s="16" t="s">
        <v>127</v>
      </c>
    </row>
    <row r="204" spans="1:7" ht="45" x14ac:dyDescent="0.25">
      <c r="A204" t="s">
        <v>103</v>
      </c>
      <c r="B204" s="6"/>
      <c r="C204" s="6"/>
      <c r="D204" s="5">
        <f>D203-C203</f>
        <v>2078001.71</v>
      </c>
      <c r="E204" s="4">
        <f>E203-C203</f>
        <v>-8.0000000074505806E-2</v>
      </c>
      <c r="G204" s="16" t="s">
        <v>130</v>
      </c>
    </row>
    <row r="205" spans="1:7" x14ac:dyDescent="0.25">
      <c r="B205" s="6"/>
      <c r="C205" s="6"/>
      <c r="D205" s="6"/>
      <c r="E205" s="6"/>
    </row>
    <row r="206" spans="1:7" x14ac:dyDescent="0.25">
      <c r="A206" s="8" t="s">
        <v>100</v>
      </c>
      <c r="B206" s="6"/>
      <c r="C206" s="6"/>
      <c r="D206" s="6"/>
      <c r="E206" s="6"/>
    </row>
    <row r="207" spans="1:7" x14ac:dyDescent="0.25">
      <c r="A207" t="s">
        <v>101</v>
      </c>
      <c r="B207" s="6"/>
      <c r="C207" s="4">
        <v>1021080</v>
      </c>
      <c r="D207" s="4">
        <v>1021080</v>
      </c>
      <c r="E207" s="15">
        <v>0</v>
      </c>
      <c r="G207" s="17" t="s">
        <v>125</v>
      </c>
    </row>
    <row r="208" spans="1:7" x14ac:dyDescent="0.25">
      <c r="A208" t="s">
        <v>103</v>
      </c>
      <c r="B208" s="6"/>
      <c r="C208" s="6"/>
      <c r="D208" s="6"/>
      <c r="E208" s="20">
        <f>E207-C207</f>
        <v>-1021080</v>
      </c>
    </row>
    <row r="209" spans="1:11" x14ac:dyDescent="0.25">
      <c r="B209" s="6"/>
      <c r="C209" s="6"/>
      <c r="D209" s="6"/>
      <c r="E209" s="6"/>
    </row>
    <row r="210" spans="1:11" x14ac:dyDescent="0.25">
      <c r="A210" s="8" t="s">
        <v>102</v>
      </c>
      <c r="B210" s="6"/>
      <c r="C210" s="6"/>
      <c r="D210" s="6"/>
      <c r="E210" s="6"/>
    </row>
    <row r="211" spans="1:11" ht="30" x14ac:dyDescent="0.25">
      <c r="A211" t="s">
        <v>108</v>
      </c>
      <c r="B211" s="6"/>
      <c r="C211" s="4">
        <v>142353</v>
      </c>
      <c r="D211" s="4">
        <v>868171.31</v>
      </c>
      <c r="E211" s="4">
        <v>142353</v>
      </c>
      <c r="G211" s="16" t="s">
        <v>126</v>
      </c>
    </row>
    <row r="212" spans="1:11" ht="60" x14ac:dyDescent="0.25">
      <c r="A212" t="s">
        <v>103</v>
      </c>
      <c r="B212" s="6"/>
      <c r="C212" s="4"/>
      <c r="D212" s="4">
        <f>D211-C211</f>
        <v>725818.31</v>
      </c>
      <c r="E212" s="4">
        <f>E211-C211</f>
        <v>0</v>
      </c>
      <c r="G212" s="16" t="s">
        <v>129</v>
      </c>
    </row>
    <row r="213" spans="1:11" x14ac:dyDescent="0.25">
      <c r="B213" s="6"/>
      <c r="C213" s="6"/>
      <c r="D213" s="6"/>
      <c r="E213" s="6"/>
    </row>
    <row r="214" spans="1:11" x14ac:dyDescent="0.25">
      <c r="A214" s="8" t="s">
        <v>109</v>
      </c>
      <c r="B214" s="6"/>
      <c r="C214" s="6"/>
      <c r="D214" s="6"/>
      <c r="E214" s="6"/>
    </row>
    <row r="215" spans="1:11" x14ac:dyDescent="0.25">
      <c r="A215" t="s">
        <v>111</v>
      </c>
      <c r="B215" s="6"/>
      <c r="C215" s="4">
        <v>25138294</v>
      </c>
      <c r="D215" s="4">
        <v>25985842</v>
      </c>
      <c r="E215" s="4">
        <v>25138294</v>
      </c>
      <c r="K215" s="1"/>
    </row>
    <row r="216" spans="1:11" x14ac:dyDescent="0.25">
      <c r="A216" t="s">
        <v>103</v>
      </c>
      <c r="B216" s="6"/>
      <c r="C216" s="4"/>
      <c r="D216" s="4">
        <f>D215-C215</f>
        <v>847548</v>
      </c>
      <c r="E216" s="20">
        <f>E215-C215</f>
        <v>0</v>
      </c>
      <c r="K216" s="9"/>
    </row>
    <row r="217" spans="1:11" x14ac:dyDescent="0.25">
      <c r="B217" s="6"/>
      <c r="C217" s="6"/>
      <c r="D217" s="6"/>
      <c r="E217" s="6"/>
    </row>
    <row r="218" spans="1:11" x14ac:dyDescent="0.25">
      <c r="A218" s="8" t="s">
        <v>110</v>
      </c>
      <c r="B218" s="6"/>
      <c r="C218" s="6"/>
      <c r="D218" s="6"/>
      <c r="E218" s="6"/>
    </row>
    <row r="219" spans="1:11" ht="30" x14ac:dyDescent="0.25">
      <c r="A219" t="s">
        <v>112</v>
      </c>
      <c r="C219" s="4">
        <v>-203473</v>
      </c>
      <c r="D219" s="4">
        <v>-23780</v>
      </c>
      <c r="E219" s="4">
        <v>-203473</v>
      </c>
      <c r="F219" s="6"/>
      <c r="G219" s="17" t="s">
        <v>132</v>
      </c>
    </row>
    <row r="220" spans="1:11" x14ac:dyDescent="0.25">
      <c r="A220" t="s">
        <v>103</v>
      </c>
      <c r="C220" s="4"/>
      <c r="D220" s="4">
        <f>D219-C219</f>
        <v>179693</v>
      </c>
      <c r="E220" s="4">
        <f>E219-C219</f>
        <v>0</v>
      </c>
      <c r="F220" s="6"/>
      <c r="G220" s="17" t="s">
        <v>134</v>
      </c>
    </row>
    <row r="222" spans="1:11" x14ac:dyDescent="0.25">
      <c r="A222" s="8" t="s">
        <v>113</v>
      </c>
      <c r="C222" s="6"/>
      <c r="D222" s="6"/>
      <c r="E222" s="6"/>
      <c r="G222" s="19"/>
    </row>
    <row r="223" spans="1:11" x14ac:dyDescent="0.25">
      <c r="A223" t="s">
        <v>116</v>
      </c>
      <c r="C223" s="4">
        <v>2326254</v>
      </c>
      <c r="D223" s="4">
        <v>2326254</v>
      </c>
      <c r="E223" s="4">
        <v>2326254</v>
      </c>
    </row>
    <row r="224" spans="1:11" x14ac:dyDescent="0.25">
      <c r="A224" t="s">
        <v>117</v>
      </c>
      <c r="C224" s="6"/>
      <c r="D224" s="6"/>
      <c r="E224" s="6"/>
    </row>
    <row r="225" spans="1:7" x14ac:dyDescent="0.25">
      <c r="C225" s="6"/>
      <c r="D225" s="6"/>
      <c r="E225" s="6"/>
    </row>
    <row r="226" spans="1:7" x14ac:dyDescent="0.25">
      <c r="A226" s="8" t="s">
        <v>114</v>
      </c>
      <c r="C226" s="6"/>
      <c r="D226" s="6"/>
      <c r="E226" s="6"/>
      <c r="F226" s="6"/>
      <c r="G226" s="17"/>
    </row>
    <row r="227" spans="1:7" x14ac:dyDescent="0.25">
      <c r="A227" t="s">
        <v>115</v>
      </c>
      <c r="C227" s="6"/>
      <c r="D227" s="6"/>
      <c r="E227" s="6"/>
      <c r="F227" s="6"/>
      <c r="G227" s="17"/>
    </row>
    <row r="228" spans="1:7" x14ac:dyDescent="0.25">
      <c r="A228" t="s">
        <v>118</v>
      </c>
      <c r="C228" s="4">
        <v>-5724752</v>
      </c>
      <c r="D228" s="4">
        <v>-5724752</v>
      </c>
      <c r="E228" s="4">
        <v>-7038871</v>
      </c>
      <c r="F228" s="6"/>
      <c r="G228" s="17"/>
    </row>
    <row r="229" spans="1:7" x14ac:dyDescent="0.25">
      <c r="A229" t="s">
        <v>119</v>
      </c>
      <c r="C229" s="4">
        <v>-3330005</v>
      </c>
      <c r="D229" s="4">
        <v>-3330055</v>
      </c>
      <c r="E229" s="4">
        <v>-4020902</v>
      </c>
      <c r="F229" s="6"/>
      <c r="G229" s="17"/>
    </row>
    <row r="230" spans="1:7" x14ac:dyDescent="0.25">
      <c r="A230" t="s">
        <v>103</v>
      </c>
      <c r="E230" s="4">
        <f>870427-992367</f>
        <v>-121940</v>
      </c>
      <c r="F230" s="6"/>
      <c r="G230" s="17"/>
    </row>
    <row r="231" spans="1:7" x14ac:dyDescent="0.25">
      <c r="E231" s="6"/>
      <c r="F231" s="6"/>
      <c r="G231" s="17"/>
    </row>
    <row r="232" spans="1:7" x14ac:dyDescent="0.25">
      <c r="E232" s="6"/>
      <c r="F232" s="6"/>
      <c r="G232" s="17"/>
    </row>
    <row r="233" spans="1:7" x14ac:dyDescent="0.25">
      <c r="E233" s="6"/>
      <c r="F233" s="6"/>
      <c r="G233" s="17"/>
    </row>
  </sheetData>
  <customSheetViews>
    <customSheetView guid="{2A3BCFD0-E350-4519-B8C3-324DFC809E51}">
      <pane ySplit="7" topLeftCell="A8" activePane="bottomLeft" state="frozen"/>
      <selection pane="bottomLeft" activeCell="A2" sqref="A2"/>
      <pageMargins left="0.7" right="0.7" top="0.75" bottom="0.75" header="0.3" footer="0.3"/>
      <pageSetup orientation="portrait" r:id="rId1"/>
    </customSheetView>
    <customSheetView guid="{C96BC93B-158D-437C-951A-CED81B85B092}">
      <pane ySplit="7" topLeftCell="A8" activePane="bottomLeft" state="frozen"/>
      <selection pane="bottomLeft" activeCell="D22" sqref="D22"/>
      <pageMargins left="0.7" right="0.7" top="0.75" bottom="0.75" header="0.3" footer="0.3"/>
      <pageSetup orientation="portrait" r:id="rId2"/>
    </customSheetView>
    <customSheetView guid="{E073387C-3EF6-46F4-9499-2A178D1A72D1}">
      <pane ySplit="7" topLeftCell="A8" activePane="bottomLeft" state="frozen"/>
      <selection pane="bottomLeft" activeCell="D21" sqref="D21"/>
      <pageMargins left="0.7" right="0.7" top="0.75" bottom="0.75" header="0.3" footer="0.3"/>
      <pageSetup orientation="portrait" r:id="rId3"/>
    </customSheetView>
    <customSheetView guid="{BC5A5313-5C56-4E92-A81D-09349870A97E}">
      <pane ySplit="7" topLeftCell="A188" activePane="bottomLeft" state="frozen"/>
      <selection pane="bottomLeft" activeCell="G177" sqref="G177"/>
      <pageMargins left="0.7" right="0.7" top="0.75" bottom="0.75" header="0.3" footer="0.3"/>
      <pageSetup orientation="portrait" r:id="rId4"/>
    </customSheetView>
    <customSheetView guid="{442A35D1-0C9A-404E-ACB1-C761E918A55D}">
      <pane ySplit="7" topLeftCell="A8" activePane="bottomLeft" state="frozen"/>
      <selection pane="bottomLeft" activeCell="G21" sqref="G21"/>
      <pageMargins left="0.7" right="0.7" top="0.75" bottom="0.75" header="0.3" footer="0.3"/>
      <pageSetup orientation="portrait" r:id="rId5"/>
    </customSheetView>
  </customSheetViews>
  <pageMargins left="0.7" right="0.7" top="0.75" bottom="0.75" header="0.3" footer="0.3"/>
  <pageSetup orientation="portrait"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Bolin, Kim</dc:creator>
  <cp:lastModifiedBy>Diana Carter</cp:lastModifiedBy>
  <dcterms:created xsi:type="dcterms:W3CDTF">2020-08-25T21:32:24Z</dcterms:created>
  <dcterms:modified xsi:type="dcterms:W3CDTF">2020-09-24T18:59:21Z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