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24226"/>
  <mc:AlternateContent xmlns:mc="http://schemas.openxmlformats.org/markup-compatibility/2006">
    <mc:Choice Requires="x15">
      <x15ac:absPath xmlns:x15ac="http://schemas.microsoft.com/office/spreadsheetml/2010/11/ac" url="O:\MPSC Cases\ER-2024-XXXX\"/>
    </mc:Choice>
  </mc:AlternateContent>
  <xr:revisionPtr revIDLastSave="0" documentId="13_ncr:1_{1A43DF38-5B89-4A53-A25A-20B40E1A87EA}" xr6:coauthVersionLast="47" xr6:coauthVersionMax="47" xr10:uidLastSave="{00000000-0000-0000-0000-000000000000}"/>
  <bookViews>
    <workbookView xWindow="-28920" yWindow="-120" windowWidth="29040" windowHeight="15840" tabRatio="751" activeTab="8" xr2:uid="{00000000-000D-0000-FFFF-FFFF00000000}"/>
  </bookViews>
  <sheets>
    <sheet name="MEEIA 3 calcs" sheetId="27" r:id="rId1"/>
    <sheet name="PAYS interest calculation" sheetId="33" r:id="rId2"/>
    <sheet name="MEEIA 3 adjs" sheetId="29" r:id="rId3"/>
    <sheet name="M3 Allocations - TD" sheetId="28" r:id="rId4"/>
    <sheet name="M3 TD amort" sheetId="30" r:id="rId5"/>
    <sheet name="MEEIA 2 calcs" sheetId="1" r:id="rId6"/>
    <sheet name="MEEIA 2 adjs" sheetId="26" r:id="rId7"/>
    <sheet name="M2 Allocations - TD" sheetId="11" r:id="rId8"/>
    <sheet name="M2 TD amort" sheetId="22" r:id="rId9"/>
  </sheets>
  <externalReferences>
    <externalReference r:id="rId10"/>
    <externalReference r:id="rId11"/>
  </externalReferences>
  <definedNames>
    <definedName name="\A">#REF!</definedName>
    <definedName name="\B">#REF!</definedName>
    <definedName name="\C">#REF!</definedName>
    <definedName name="\D">#REF!</definedName>
    <definedName name="\E">#REF!</definedName>
    <definedName name="\F">#REF!</definedName>
    <definedName name="\G">#REF!</definedName>
    <definedName name="\i">#N/A</definedName>
    <definedName name="\M">#REF!</definedName>
    <definedName name="\N">#REF!</definedName>
    <definedName name="\O">#REF!</definedName>
    <definedName name="\P">#REF!</definedName>
    <definedName name="\Q">#REF!</definedName>
    <definedName name="\R">#REF!</definedName>
    <definedName name="\S">#REF!</definedName>
    <definedName name="\t">#N/A</definedName>
    <definedName name="\U">#REF!</definedName>
    <definedName name="\V">#REF!</definedName>
    <definedName name="\W">#REF!</definedName>
    <definedName name="\X">#REF!</definedName>
    <definedName name="\Y">#REF!</definedName>
    <definedName name="\Z">#REF!</definedName>
    <definedName name="_"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_p1">#REF!</definedName>
    <definedName name="____________________Com1">#REF!</definedName>
    <definedName name="____________________Com2">#REF!</definedName>
    <definedName name="____________________Com3">#REF!</definedName>
    <definedName name="____________________COM94">#REF!</definedName>
    <definedName name="____________________COM95">#REF!</definedName>
    <definedName name="____________________EXH1">#REF!</definedName>
    <definedName name="____________________EXH5">#REF!</definedName>
    <definedName name="____________________JV13">#REF!</definedName>
    <definedName name="____________________Key2" hidden="1">#REF!</definedName>
    <definedName name="____________________ms01">#REF!</definedName>
    <definedName name="____________________ms02">#REF!</definedName>
    <definedName name="____________________ms03">#REF!</definedName>
    <definedName name="____________________ms04">#REF!</definedName>
    <definedName name="____________________omd1">#REF!</definedName>
    <definedName name="____________________omd2">#REF!</definedName>
    <definedName name="____________________p1">#REF!</definedName>
    <definedName name="____________________rb1">#REF!</definedName>
    <definedName name="____________________rbd1">#REF!</definedName>
    <definedName name="____________________rbd2">#REF!</definedName>
    <definedName name="____________________RMC2">#REF!</definedName>
    <definedName name="____________________SF3">#REF!</definedName>
    <definedName name="____________________td01">#REF!</definedName>
    <definedName name="____________________td02">#REF!</definedName>
    <definedName name="____________________td03">#REF!</definedName>
    <definedName name="____________________td04">#REF!</definedName>
    <definedName name="____________________TDG01">#REF!</definedName>
    <definedName name="____________________TDG02">#REF!</definedName>
    <definedName name="____________________TDG03">#REF!</definedName>
    <definedName name="____________________TDG04">#REF!</definedName>
    <definedName name="___________________Com1">#REF!</definedName>
    <definedName name="___________________Com2">#REF!</definedName>
    <definedName name="___________________Com3">#REF!</definedName>
    <definedName name="___________________COM94">#REF!</definedName>
    <definedName name="___________________COM95">#REF!</definedName>
    <definedName name="___________________EXH1">#REF!</definedName>
    <definedName name="___________________EXH5">#REF!</definedName>
    <definedName name="___________________JV13">#REF!</definedName>
    <definedName name="___________________Key2" hidden="1">#REF!</definedName>
    <definedName name="___________________ms01">#REF!</definedName>
    <definedName name="___________________ms02">#REF!</definedName>
    <definedName name="___________________ms03">#REF!</definedName>
    <definedName name="___________________ms04">#REF!</definedName>
    <definedName name="___________________omd1">#REF!</definedName>
    <definedName name="___________________omd2">#REF!</definedName>
    <definedName name="___________________p1">#REF!</definedName>
    <definedName name="___________________rb1">#REF!</definedName>
    <definedName name="___________________rbd1">#REF!</definedName>
    <definedName name="___________________rbd2">#REF!</definedName>
    <definedName name="___________________RMC2">#REF!</definedName>
    <definedName name="___________________SF3">#REF!</definedName>
    <definedName name="___________________td01">#REF!</definedName>
    <definedName name="___________________td02">#REF!</definedName>
    <definedName name="___________________td03">#REF!</definedName>
    <definedName name="___________________td04">#REF!</definedName>
    <definedName name="___________________TDG01">#REF!</definedName>
    <definedName name="___________________TDG02">#REF!</definedName>
    <definedName name="___________________TDG03">#REF!</definedName>
    <definedName name="___________________TDG04">#REF!</definedName>
    <definedName name="__________________Com1">#REF!</definedName>
    <definedName name="__________________Com2">#REF!</definedName>
    <definedName name="__________________Com3">#REF!</definedName>
    <definedName name="__________________COM94">#REF!</definedName>
    <definedName name="__________________COM95">#REF!</definedName>
    <definedName name="__________________EXH1">#REF!</definedName>
    <definedName name="__________________EXH5">#REF!</definedName>
    <definedName name="__________________JV13">#REF!</definedName>
    <definedName name="__________________Key2" hidden="1">#REF!</definedName>
    <definedName name="__________________ms01">#REF!</definedName>
    <definedName name="__________________ms02">#REF!</definedName>
    <definedName name="__________________ms03">#REF!</definedName>
    <definedName name="__________________ms04">#REF!</definedName>
    <definedName name="__________________om1">#REF!</definedName>
    <definedName name="__________________om2">#REF!</definedName>
    <definedName name="__________________omd1">#REF!</definedName>
    <definedName name="__________________omd2">#REF!</definedName>
    <definedName name="__________________p1">#REF!</definedName>
    <definedName name="__________________rb1">#REF!</definedName>
    <definedName name="__________________rb2">#REF!</definedName>
    <definedName name="__________________rbd1">#REF!</definedName>
    <definedName name="__________________rbd2">#REF!</definedName>
    <definedName name="__________________RMC2">#REF!</definedName>
    <definedName name="__________________SF3">#REF!</definedName>
    <definedName name="__________________td01">#REF!</definedName>
    <definedName name="__________________td02">#REF!</definedName>
    <definedName name="__________________td03">#REF!</definedName>
    <definedName name="__________________td04">#REF!</definedName>
    <definedName name="__________________TDG01">#REF!</definedName>
    <definedName name="__________________TDG02">#REF!</definedName>
    <definedName name="__________________TDG03">#REF!</definedName>
    <definedName name="__________________TDG04">#REF!</definedName>
    <definedName name="_________________Com1">#REF!</definedName>
    <definedName name="_________________Com2">#REF!</definedName>
    <definedName name="_________________Com3">#REF!</definedName>
    <definedName name="_________________COM94">#REF!</definedName>
    <definedName name="_________________COM95">#REF!</definedName>
    <definedName name="_________________EXH1">#REF!</definedName>
    <definedName name="_________________EXH5">#REF!</definedName>
    <definedName name="_________________JV13">#REF!</definedName>
    <definedName name="_________________Key2" hidden="1">#REF!</definedName>
    <definedName name="_________________ms01">#REF!</definedName>
    <definedName name="_________________ms02">#REF!</definedName>
    <definedName name="_________________ms03">#REF!</definedName>
    <definedName name="_________________ms04">#REF!</definedName>
    <definedName name="_________________om1">#REF!</definedName>
    <definedName name="_________________om2">#REF!</definedName>
    <definedName name="_________________omd1">#REF!</definedName>
    <definedName name="_________________omd2">#REF!</definedName>
    <definedName name="_________________p1">#REF!</definedName>
    <definedName name="_________________rb1">#REF!</definedName>
    <definedName name="_________________rb2">#REF!</definedName>
    <definedName name="_________________rbd1">#REF!</definedName>
    <definedName name="_________________rbd2">#REF!</definedName>
    <definedName name="_________________RMC2">#REF!</definedName>
    <definedName name="_________________SF3">#REF!</definedName>
    <definedName name="_________________td01">#REF!</definedName>
    <definedName name="_________________td02">#REF!</definedName>
    <definedName name="_________________td03">#REF!</definedName>
    <definedName name="_________________td04">#REF!</definedName>
    <definedName name="_________________TDG01">#REF!</definedName>
    <definedName name="_________________TDG02">#REF!</definedName>
    <definedName name="_________________TDG03">#REF!</definedName>
    <definedName name="_________________TDG04">#REF!</definedName>
    <definedName name="________________Com1">#REF!</definedName>
    <definedName name="________________Com2">#REF!</definedName>
    <definedName name="________________Com3">#REF!</definedName>
    <definedName name="________________COM94">#REF!</definedName>
    <definedName name="________________COM95">#REF!</definedName>
    <definedName name="________________EXH1">#REF!</definedName>
    <definedName name="________________EXH5">#REF!</definedName>
    <definedName name="________________JV13">#REF!</definedName>
    <definedName name="________________Key2" hidden="1">#REF!</definedName>
    <definedName name="________________ms01">#REF!</definedName>
    <definedName name="________________ms02">#REF!</definedName>
    <definedName name="________________ms03">#REF!</definedName>
    <definedName name="________________ms04">#REF!</definedName>
    <definedName name="________________om1">#REF!</definedName>
    <definedName name="________________om2">#REF!</definedName>
    <definedName name="________________omd1">#REF!</definedName>
    <definedName name="________________omd2">#REF!</definedName>
    <definedName name="________________p1">#REF!</definedName>
    <definedName name="________________rb1">#REF!</definedName>
    <definedName name="________________rb2">#REF!</definedName>
    <definedName name="________________rbd1">#REF!</definedName>
    <definedName name="________________rbd2">#REF!</definedName>
    <definedName name="________________RMC2">#REF!</definedName>
    <definedName name="________________SF3">#REF!</definedName>
    <definedName name="________________td01">#REF!</definedName>
    <definedName name="________________td02">#REF!</definedName>
    <definedName name="________________td03">#REF!</definedName>
    <definedName name="________________td04">#REF!</definedName>
    <definedName name="________________TDG01">#REF!</definedName>
    <definedName name="________________TDG02">#REF!</definedName>
    <definedName name="________________TDG03">#REF!</definedName>
    <definedName name="________________TDG04">#REF!</definedName>
    <definedName name="_______________Com1">#REF!</definedName>
    <definedName name="_______________Com2">#REF!</definedName>
    <definedName name="_______________Com3">#REF!</definedName>
    <definedName name="_______________COM94">#REF!</definedName>
    <definedName name="_______________COM95">#REF!</definedName>
    <definedName name="_______________EXH1">#REF!</definedName>
    <definedName name="_______________EXH5">#REF!</definedName>
    <definedName name="_______________JV13">#REF!</definedName>
    <definedName name="_______________Key2" hidden="1">#REF!</definedName>
    <definedName name="_______________ms01">#REF!</definedName>
    <definedName name="_______________ms02">#REF!</definedName>
    <definedName name="_______________ms03">#REF!</definedName>
    <definedName name="_______________ms04">#REF!</definedName>
    <definedName name="_______________om1">#REF!</definedName>
    <definedName name="_______________om2">#REF!</definedName>
    <definedName name="_______________omd1">#REF!</definedName>
    <definedName name="_______________omd2">#REF!</definedName>
    <definedName name="_______________p1">#REF!</definedName>
    <definedName name="_______________rb1">#REF!</definedName>
    <definedName name="_______________rb2">#REF!</definedName>
    <definedName name="_______________rbd1">#REF!</definedName>
    <definedName name="_______________rbd2">#REF!</definedName>
    <definedName name="_______________RMC2">#REF!</definedName>
    <definedName name="_______________SF3">#REF!</definedName>
    <definedName name="_______________td01">#REF!</definedName>
    <definedName name="_______________td02">#REF!</definedName>
    <definedName name="_______________td03">#REF!</definedName>
    <definedName name="_______________td04">#REF!</definedName>
    <definedName name="_______________TDG01">#REF!</definedName>
    <definedName name="_______________TDG02">#REF!</definedName>
    <definedName name="_______________TDG03">#REF!</definedName>
    <definedName name="_______________TDG04">#REF!</definedName>
    <definedName name="______________Com1">#REF!</definedName>
    <definedName name="______________Com2">#REF!</definedName>
    <definedName name="______________Com3">#REF!</definedName>
    <definedName name="______________COM94">#REF!</definedName>
    <definedName name="______________COM95">#REF!</definedName>
    <definedName name="______________EXH1">#REF!</definedName>
    <definedName name="______________EXH5">#REF!</definedName>
    <definedName name="______________JV13">#REF!</definedName>
    <definedName name="______________Key2" hidden="1">#REF!</definedName>
    <definedName name="______________ms01">#REF!</definedName>
    <definedName name="______________ms02">#REF!</definedName>
    <definedName name="______________ms03">#REF!</definedName>
    <definedName name="______________ms04">#REF!</definedName>
    <definedName name="______________om1">#REF!</definedName>
    <definedName name="______________om2">#REF!</definedName>
    <definedName name="______________omd1">#REF!</definedName>
    <definedName name="______________omd2">#REF!</definedName>
    <definedName name="______________p1">#REF!</definedName>
    <definedName name="______________rb1">#REF!</definedName>
    <definedName name="______________rb2">#REF!</definedName>
    <definedName name="______________rbd1">#REF!</definedName>
    <definedName name="______________rbd2">#REF!</definedName>
    <definedName name="______________RMC2">#REF!</definedName>
    <definedName name="______________SF3">#REF!</definedName>
    <definedName name="______________td01">#REF!</definedName>
    <definedName name="______________td02">#REF!</definedName>
    <definedName name="______________td03">#REF!</definedName>
    <definedName name="______________td04">#REF!</definedName>
    <definedName name="______________TDG01">#REF!</definedName>
    <definedName name="______________TDG02">#REF!</definedName>
    <definedName name="______________TDG03">#REF!</definedName>
    <definedName name="______________TDG04">#REF!</definedName>
    <definedName name="_____________Com1">#REF!</definedName>
    <definedName name="_____________Com2">#REF!</definedName>
    <definedName name="_____________Com3">#REF!</definedName>
    <definedName name="_____________COM94">#REF!</definedName>
    <definedName name="_____________COM95">#REF!</definedName>
    <definedName name="_____________EXH1">#REF!</definedName>
    <definedName name="_____________EXH5">#REF!</definedName>
    <definedName name="_____________JV13">#REF!</definedName>
    <definedName name="_____________Key2" hidden="1">#REF!</definedName>
    <definedName name="_____________ms01">#REF!</definedName>
    <definedName name="_____________ms02">#REF!</definedName>
    <definedName name="_____________ms03">#REF!</definedName>
    <definedName name="_____________ms04">#REF!</definedName>
    <definedName name="_____________om1">#REF!</definedName>
    <definedName name="_____________om2">#REF!</definedName>
    <definedName name="_____________omd1">#REF!</definedName>
    <definedName name="_____________omd2">#REF!</definedName>
    <definedName name="_____________p1">#REF!</definedName>
    <definedName name="_____________rb1">#REF!</definedName>
    <definedName name="_____________rb2">#REF!</definedName>
    <definedName name="_____________rbd1">#REF!</definedName>
    <definedName name="_____________rbd2">#REF!</definedName>
    <definedName name="_____________RMC2">#REF!</definedName>
    <definedName name="_____________SF3">#REF!</definedName>
    <definedName name="_____________td01">#REF!</definedName>
    <definedName name="_____________td02">#REF!</definedName>
    <definedName name="_____________td03">#REF!</definedName>
    <definedName name="_____________td04">#REF!</definedName>
    <definedName name="_____________TDG01">#REF!</definedName>
    <definedName name="_____________TDG02">#REF!</definedName>
    <definedName name="_____________TDG03">#REF!</definedName>
    <definedName name="_____________TDG04">#REF!</definedName>
    <definedName name="____________Com1">#REF!</definedName>
    <definedName name="____________Com2">#REF!</definedName>
    <definedName name="____________Com3">#REF!</definedName>
    <definedName name="____________COM94">#REF!</definedName>
    <definedName name="____________COM95">#REF!</definedName>
    <definedName name="____________EXH1">#REF!</definedName>
    <definedName name="____________EXH5">#REF!</definedName>
    <definedName name="____________JV13">#REF!</definedName>
    <definedName name="____________Key2" hidden="1">#REF!</definedName>
    <definedName name="____________ms01">#REF!</definedName>
    <definedName name="____________ms02">#REF!</definedName>
    <definedName name="____________ms03">#REF!</definedName>
    <definedName name="____________ms04">#REF!</definedName>
    <definedName name="____________om1">#REF!</definedName>
    <definedName name="____________om2">#REF!</definedName>
    <definedName name="____________OMD1">#REF!</definedName>
    <definedName name="____________omd2">#REF!</definedName>
    <definedName name="____________p1">#REF!</definedName>
    <definedName name="____________rb1">#REF!</definedName>
    <definedName name="____________rb2">#REF!</definedName>
    <definedName name="____________rbd1">#REF!</definedName>
    <definedName name="____________rbd2">#REF!</definedName>
    <definedName name="____________RMC2">#REF!</definedName>
    <definedName name="____________SF3">#REF!</definedName>
    <definedName name="____________td01">#REF!</definedName>
    <definedName name="____________td02">#REF!</definedName>
    <definedName name="____________td03">#REF!</definedName>
    <definedName name="____________td04">#REF!</definedName>
    <definedName name="____________TDG01">#REF!</definedName>
    <definedName name="____________TDG02">#REF!</definedName>
    <definedName name="____________TDG03">#REF!</definedName>
    <definedName name="____________TDG04">#REF!</definedName>
    <definedName name="___________Com1">#REF!</definedName>
    <definedName name="___________Com2">#REF!</definedName>
    <definedName name="___________Com3">#REF!</definedName>
    <definedName name="___________COM94">#REF!</definedName>
    <definedName name="___________COM95">#REF!</definedName>
    <definedName name="___________EXH1">#REF!</definedName>
    <definedName name="___________EXH5">#REF!</definedName>
    <definedName name="___________JV13">#REF!</definedName>
    <definedName name="___________Key2" hidden="1">#REF!</definedName>
    <definedName name="___________ms01">#REF!</definedName>
    <definedName name="___________ms02">#REF!</definedName>
    <definedName name="___________ms03">#REF!</definedName>
    <definedName name="___________ms04">#REF!</definedName>
    <definedName name="___________om1">#REF!</definedName>
    <definedName name="___________om2">#REF!</definedName>
    <definedName name="___________omd1">#REF!</definedName>
    <definedName name="___________omd2">#REF!</definedName>
    <definedName name="___________p1">#REF!</definedName>
    <definedName name="___________rb1">#REF!</definedName>
    <definedName name="___________rb2">#REF!</definedName>
    <definedName name="___________rbd1">#REF!</definedName>
    <definedName name="___________rbd2">#REF!</definedName>
    <definedName name="___________RMC2">#REF!</definedName>
    <definedName name="___________SF3">#REF!</definedName>
    <definedName name="___________td01">#REF!</definedName>
    <definedName name="___________td02">#REF!</definedName>
    <definedName name="___________td03">#REF!</definedName>
    <definedName name="___________td04">#REF!</definedName>
    <definedName name="___________TDG01">#REF!</definedName>
    <definedName name="___________TDG02">#REF!</definedName>
    <definedName name="___________TDG03">#REF!</definedName>
    <definedName name="___________TDG04">#REF!</definedName>
    <definedName name="__________Com1">#REF!</definedName>
    <definedName name="__________Com2">#REF!</definedName>
    <definedName name="__________Com3">#REF!</definedName>
    <definedName name="__________COM94">#REF!</definedName>
    <definedName name="__________COM95">#REF!</definedName>
    <definedName name="__________EXH1">#REF!</definedName>
    <definedName name="__________EXH5">#REF!</definedName>
    <definedName name="__________JV13">#REF!</definedName>
    <definedName name="__________Key2" hidden="1">#REF!</definedName>
    <definedName name="__________ms01">#REF!</definedName>
    <definedName name="__________ms02">#REF!</definedName>
    <definedName name="__________ms03">#REF!</definedName>
    <definedName name="__________ms04">#REF!</definedName>
    <definedName name="__________om1">#REF!</definedName>
    <definedName name="__________om2">#REF!</definedName>
    <definedName name="__________omd1">#REF!</definedName>
    <definedName name="__________omd2">#REF!</definedName>
    <definedName name="__________p1">#REF!</definedName>
    <definedName name="__________rb1">#REF!</definedName>
    <definedName name="__________rb2">#REF!</definedName>
    <definedName name="__________rbd1">#REF!</definedName>
    <definedName name="__________rbd2">#REF!</definedName>
    <definedName name="__________RMC2">#REF!</definedName>
    <definedName name="__________SF3">#REF!</definedName>
    <definedName name="__________td01">#REF!</definedName>
    <definedName name="__________td02">#REF!</definedName>
    <definedName name="__________td03">#REF!</definedName>
    <definedName name="__________td04">#REF!</definedName>
    <definedName name="__________TDG01">#REF!</definedName>
    <definedName name="__________TDG02">#REF!</definedName>
    <definedName name="__________TDG03">#REF!</definedName>
    <definedName name="__________TDG04">#REF!</definedName>
    <definedName name="_________Com1">#REF!</definedName>
    <definedName name="_________Com2">#REF!</definedName>
    <definedName name="_________Com3">#REF!</definedName>
    <definedName name="_________COM94">#REF!</definedName>
    <definedName name="_________COM95">#REF!</definedName>
    <definedName name="_________EXH1">#REF!</definedName>
    <definedName name="_________EXH5">#REF!</definedName>
    <definedName name="_________JV13">#REF!</definedName>
    <definedName name="_________Key2" hidden="1">#REF!</definedName>
    <definedName name="_________ms01">#REF!</definedName>
    <definedName name="_________ms02">#REF!</definedName>
    <definedName name="_________ms03">#REF!</definedName>
    <definedName name="_________ms04">#REF!</definedName>
    <definedName name="_________om1">#REF!</definedName>
    <definedName name="_________om2">#REF!</definedName>
    <definedName name="_________omd1">#REF!</definedName>
    <definedName name="_________omd2">#REF!</definedName>
    <definedName name="_________p1">#REF!</definedName>
    <definedName name="_________rb1">#REF!</definedName>
    <definedName name="_________rb2">#REF!</definedName>
    <definedName name="_________rbd1">#REF!</definedName>
    <definedName name="_________rbd2">#REF!</definedName>
    <definedName name="_________RMC2">#REF!</definedName>
    <definedName name="_________SF3">#REF!</definedName>
    <definedName name="_________td01">#REF!</definedName>
    <definedName name="_________td02">#REF!</definedName>
    <definedName name="_________td03">#REF!</definedName>
    <definedName name="_________td04">#REF!</definedName>
    <definedName name="_________TDG01">#REF!</definedName>
    <definedName name="_________TDG02">#REF!</definedName>
    <definedName name="_________TDG03">#REF!</definedName>
    <definedName name="_________TDG04">#REF!</definedName>
    <definedName name="________Com1">#REF!</definedName>
    <definedName name="________Com2">#REF!</definedName>
    <definedName name="________Com3">#REF!</definedName>
    <definedName name="________COM94">#REF!</definedName>
    <definedName name="________COM95">#REF!</definedName>
    <definedName name="________EXH1">#REF!</definedName>
    <definedName name="________EXH5">#REF!</definedName>
    <definedName name="________JV13">#REF!</definedName>
    <definedName name="________Key2" hidden="1">#REF!</definedName>
    <definedName name="________ms01">#REF!</definedName>
    <definedName name="________ms02">#REF!</definedName>
    <definedName name="________ms03">#REF!</definedName>
    <definedName name="________ms04">#REF!</definedName>
    <definedName name="________om1">#REF!</definedName>
    <definedName name="________om2">#REF!</definedName>
    <definedName name="________omd1">#REF!</definedName>
    <definedName name="________omd2">#REF!</definedName>
    <definedName name="________p1">#REF!</definedName>
    <definedName name="________rb1">#REF!</definedName>
    <definedName name="________rb2">#REF!</definedName>
    <definedName name="________rbd1">#REF!</definedName>
    <definedName name="________rbd2">#REF!</definedName>
    <definedName name="________RMC2">#REF!</definedName>
    <definedName name="________SF3">#REF!</definedName>
    <definedName name="________td01">#REF!</definedName>
    <definedName name="________td02">#REF!</definedName>
    <definedName name="________td03">#REF!</definedName>
    <definedName name="________td04">#REF!</definedName>
    <definedName name="________TDG01">#REF!</definedName>
    <definedName name="________TDG02">#REF!</definedName>
    <definedName name="________TDG03">#REF!</definedName>
    <definedName name="________TDG04">#REF!</definedName>
    <definedName name="_______Com1">#REF!</definedName>
    <definedName name="_______Com2">#REF!</definedName>
    <definedName name="_______Com3">#REF!</definedName>
    <definedName name="_______COM94">#REF!</definedName>
    <definedName name="_______COM95">#REF!</definedName>
    <definedName name="_______EXH1">#REF!</definedName>
    <definedName name="_______EXH5">#REF!</definedName>
    <definedName name="_______JV13">#REF!</definedName>
    <definedName name="_______Key2" hidden="1">#REF!</definedName>
    <definedName name="_______ms01">#REF!</definedName>
    <definedName name="_______ms02">#REF!</definedName>
    <definedName name="_______ms03">#REF!</definedName>
    <definedName name="_______ms04">#REF!</definedName>
    <definedName name="_______om1">#REF!</definedName>
    <definedName name="_______om2">#REF!</definedName>
    <definedName name="_______omd1">#REF!</definedName>
    <definedName name="_______omd2">#REF!</definedName>
    <definedName name="_______p1">#REF!</definedName>
    <definedName name="_______rb1">#REF!</definedName>
    <definedName name="_______rb2">#REF!</definedName>
    <definedName name="_______rbd1">#REF!</definedName>
    <definedName name="_______rbd2">#REF!</definedName>
    <definedName name="_______RMC2">#REF!</definedName>
    <definedName name="_______SF3">#REF!</definedName>
    <definedName name="_______td01">#REF!</definedName>
    <definedName name="_______td02">#REF!</definedName>
    <definedName name="_______td03">#REF!</definedName>
    <definedName name="_______td04">#REF!</definedName>
    <definedName name="_______TDG01">#REF!</definedName>
    <definedName name="_______TDG02">#REF!</definedName>
    <definedName name="_______TDG03">#REF!</definedName>
    <definedName name="_______TDG04">#REF!</definedName>
    <definedName name="______Com1">#REF!</definedName>
    <definedName name="______Com2">#REF!</definedName>
    <definedName name="______Com3">#REF!</definedName>
    <definedName name="______COM94">#REF!</definedName>
    <definedName name="______COM95">#REF!</definedName>
    <definedName name="______EXH1">#REF!</definedName>
    <definedName name="______EXH5">#REF!</definedName>
    <definedName name="______JV13">#REF!</definedName>
    <definedName name="______Key2" hidden="1">#REF!</definedName>
    <definedName name="______ms01">#REF!</definedName>
    <definedName name="______ms02">#REF!</definedName>
    <definedName name="______ms03">#REF!</definedName>
    <definedName name="______ms04">#REF!</definedName>
    <definedName name="______om1">#REF!</definedName>
    <definedName name="______om2">#REF!</definedName>
    <definedName name="______OMD1">#REF!</definedName>
    <definedName name="______omd2">#REF!</definedName>
    <definedName name="______p1">#REF!</definedName>
    <definedName name="______rb1">#REF!</definedName>
    <definedName name="______rb2">#REF!</definedName>
    <definedName name="______rbd1">#REF!</definedName>
    <definedName name="______rbd2">#REF!</definedName>
    <definedName name="______RMC2">#REF!</definedName>
    <definedName name="______SF3">#REF!</definedName>
    <definedName name="______td01">#REF!</definedName>
    <definedName name="______td02">#REF!</definedName>
    <definedName name="______td03">#REF!</definedName>
    <definedName name="______td04">#REF!</definedName>
    <definedName name="______TDG01">#REF!</definedName>
    <definedName name="______TDG02">#REF!</definedName>
    <definedName name="______TDG03">#REF!</definedName>
    <definedName name="______TDG04">#REF!</definedName>
    <definedName name="_____Com1">#REF!</definedName>
    <definedName name="_____Com2">#REF!</definedName>
    <definedName name="_____Com3">#REF!</definedName>
    <definedName name="_____COM94">#REF!</definedName>
    <definedName name="_____COM95">#REF!</definedName>
    <definedName name="_____EXH1">#REF!</definedName>
    <definedName name="_____EXH5">#REF!</definedName>
    <definedName name="_____JV13">#REF!</definedName>
    <definedName name="_____Key2" hidden="1">#REF!</definedName>
    <definedName name="_____ms01">#REF!</definedName>
    <definedName name="_____ms02">#REF!</definedName>
    <definedName name="_____ms03">#REF!</definedName>
    <definedName name="_____ms04">#REF!</definedName>
    <definedName name="_____om1">#REF!</definedName>
    <definedName name="_____om2">#REF!</definedName>
    <definedName name="_____omd1">#REF!</definedName>
    <definedName name="_____omd2">#REF!</definedName>
    <definedName name="_____p1">#REF!</definedName>
    <definedName name="_____rb1">#REF!</definedName>
    <definedName name="_____rb2">#REF!</definedName>
    <definedName name="_____rbd1">#REF!</definedName>
    <definedName name="_____rbd2">#REF!</definedName>
    <definedName name="_____RMC2">#REF!</definedName>
    <definedName name="_____SF3">#REF!</definedName>
    <definedName name="_____td01">#REF!</definedName>
    <definedName name="_____td02">#REF!</definedName>
    <definedName name="_____td03">#REF!</definedName>
    <definedName name="_____td04">#REF!</definedName>
    <definedName name="_____TDG01">#REF!</definedName>
    <definedName name="_____TDG02">#REF!</definedName>
    <definedName name="_____TDG03">#REF!</definedName>
    <definedName name="_____TDG04">#REF!</definedName>
    <definedName name="____Com1">#REF!</definedName>
    <definedName name="____Com2">#REF!</definedName>
    <definedName name="____Com3">#REF!</definedName>
    <definedName name="____COM94">#REF!</definedName>
    <definedName name="____COM95">#REF!</definedName>
    <definedName name="____EXH1">#REF!</definedName>
    <definedName name="____EXH5">#REF!</definedName>
    <definedName name="____JV13">#REF!</definedName>
    <definedName name="____Key2" hidden="1">#REF!</definedName>
    <definedName name="____ms01">#REF!</definedName>
    <definedName name="____ms02">#REF!</definedName>
    <definedName name="____ms03">#REF!</definedName>
    <definedName name="____ms04">#REF!</definedName>
    <definedName name="____om1">#REF!</definedName>
    <definedName name="____om2">#REF!</definedName>
    <definedName name="____OMD1">#REF!</definedName>
    <definedName name="____omd2">#REF!</definedName>
    <definedName name="____p1">#REF!</definedName>
    <definedName name="____rb1">#REF!</definedName>
    <definedName name="____rb2">#REF!</definedName>
    <definedName name="____rbd1">#REF!</definedName>
    <definedName name="____rbd2">#REF!</definedName>
    <definedName name="____RMC2">#REF!</definedName>
    <definedName name="____SF3">#REF!</definedName>
    <definedName name="____td01">#REF!</definedName>
    <definedName name="____td02">#REF!</definedName>
    <definedName name="____td03">#REF!</definedName>
    <definedName name="____td04">#REF!</definedName>
    <definedName name="____TDG01">#REF!</definedName>
    <definedName name="____TDG02">#REF!</definedName>
    <definedName name="____TDG03">#REF!</definedName>
    <definedName name="____TDG04">#REF!</definedName>
    <definedName name="___Com1">#REF!</definedName>
    <definedName name="___Com2">#REF!</definedName>
    <definedName name="___Com3">#REF!</definedName>
    <definedName name="___COM94">#REF!</definedName>
    <definedName name="___COM95">#REF!</definedName>
    <definedName name="___EXH1">#REF!</definedName>
    <definedName name="___EXH5">#REF!</definedName>
    <definedName name="___JV13">#REF!</definedName>
    <definedName name="___Key2" hidden="1">#REF!</definedName>
    <definedName name="___ms01">#REF!</definedName>
    <definedName name="___ms02">#REF!</definedName>
    <definedName name="___ms03">#REF!</definedName>
    <definedName name="___ms04">#REF!</definedName>
    <definedName name="___om1">#REF!</definedName>
    <definedName name="___om2">#REF!</definedName>
    <definedName name="___omd1">#REF!</definedName>
    <definedName name="___omd2">#REF!</definedName>
    <definedName name="___p1">#REF!</definedName>
    <definedName name="___rb1">#REF!</definedName>
    <definedName name="___rb2">#REF!</definedName>
    <definedName name="___rbd1">#REF!</definedName>
    <definedName name="___rbd2">#REF!</definedName>
    <definedName name="___RMC2">#REF!</definedName>
    <definedName name="___SF3">#REF!</definedName>
    <definedName name="___td01">#REF!</definedName>
    <definedName name="___td02">#REF!</definedName>
    <definedName name="___td03">#REF!</definedName>
    <definedName name="___td04">#REF!</definedName>
    <definedName name="___TDG01">#REF!</definedName>
    <definedName name="___TDG02">#REF!</definedName>
    <definedName name="___TDG03">#REF!</definedName>
    <definedName name="___TDG04">#REF!</definedName>
    <definedName name="__Com1">#REF!</definedName>
    <definedName name="__Com2">#REF!</definedName>
    <definedName name="__Com3">#REF!</definedName>
    <definedName name="__COM94">#REF!</definedName>
    <definedName name="__COM95">#REF!</definedName>
    <definedName name="__EXH1">#REF!</definedName>
    <definedName name="__EXH5">#REF!</definedName>
    <definedName name="__JV13">#REF!</definedName>
    <definedName name="__key1" hidden="1">#REF!</definedName>
    <definedName name="__Key2" hidden="1">#REF!</definedName>
    <definedName name="__ms01">#REF!</definedName>
    <definedName name="__ms02">#REF!</definedName>
    <definedName name="__ms03">#REF!</definedName>
    <definedName name="__ms04">#REF!</definedName>
    <definedName name="__om1">#REF!</definedName>
    <definedName name="__om2">#REF!</definedName>
    <definedName name="__omd1">#REF!</definedName>
    <definedName name="__omd2">#REF!</definedName>
    <definedName name="__p1">#REF!</definedName>
    <definedName name="__rb1">#REF!</definedName>
    <definedName name="__rb2">#REF!</definedName>
    <definedName name="__rbd1">#REF!</definedName>
    <definedName name="__rbd2">#REF!</definedName>
    <definedName name="__RMC2">#REF!</definedName>
    <definedName name="__SF3">#REF!</definedName>
    <definedName name="__td01">#REF!</definedName>
    <definedName name="__td02">#REF!</definedName>
    <definedName name="__td03">#REF!</definedName>
    <definedName name="__td04">#REF!</definedName>
    <definedName name="__TDG01">#REF!</definedName>
    <definedName name="__TDG02">#REF!</definedName>
    <definedName name="__TDG03">#REF!</definedName>
    <definedName name="__TDG04">#REF!</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2__123Graph_AQRE_S_BY_CO." hidden="1">#REF!</definedName>
    <definedName name="_20__123Graph_CWAGES_BY_B_U" hidden="1">#REF!</definedName>
    <definedName name="_20_MWS">#REF!</definedName>
    <definedName name="_21__123Graph_DCONTRACT_BY_B_U" hidden="1">#REF!</definedName>
    <definedName name="_21_MWS">#REF!</definedName>
    <definedName name="_22__123Graph_DQRE_S_BY_CO." hidden="1">#REF!</definedName>
    <definedName name="_23__123Graph_DSUPPLIES_BY_B_U" hidden="1">#REF!</definedName>
    <definedName name="_23_MWS">#REF!</definedName>
    <definedName name="_24__123Graph_DWAGES_BY_B_U" hidden="1">#REF!</definedName>
    <definedName name="_24_MWS">#REF!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5_MWS">#REF!</definedName>
    <definedName name="_36__123Graph_XSUPPLIES_BY_B_U" hidden="1">#REF!</definedName>
    <definedName name="_37__123Graph_XTAX_CREDIT" hidden="1">#REF!</definedName>
    <definedName name="_38_0_0_K" hidden="1">#REF!</definedName>
    <definedName name="_39_0_0_K" hidden="1">#REF!</definedName>
    <definedName name="_3YR_SUMMARY">#REF!</definedName>
    <definedName name="_4__123Graph_ASENS_COMPARISON" hidden="1">#REF!</definedName>
    <definedName name="_40_0_0_S" hidden="1">#REF!</definedName>
    <definedName name="_40_MWS">#REF!</definedName>
    <definedName name="_41_0_0_S" hidden="1">#REF!</definedName>
    <definedName name="_45_MWS">#REF!</definedName>
    <definedName name="_5__123Graph_ASUPPLIES_BY_B_U" hidden="1">#REF!</definedName>
    <definedName name="_50_MWS">#REF!</definedName>
    <definedName name="_55_MWS">#REF!</definedName>
    <definedName name="_6__123Graph_ATAX_CREDIT" hidden="1">#REF!</definedName>
    <definedName name="_7__123Graph_AWAGES_BY_B_U" hidden="1">#REF!</definedName>
    <definedName name="_8__123Graph_BCONTRACT_BY_B_U" hidden="1">#REF!</definedName>
    <definedName name="_84_PHASE1">#REF!</definedName>
    <definedName name="_85_PHASE1">#REF!</definedName>
    <definedName name="_86_PHASE1">#REF!</definedName>
    <definedName name="_87_PHASE1">#REF!</definedName>
    <definedName name="_88_PHASE1">#REF!</definedName>
    <definedName name="_89_PHASE1">#REF!</definedName>
    <definedName name="_9__123Graph_BQRE_S_BY_CO." hidden="1">#REF!</definedName>
    <definedName name="_90_PHASE1">#REF!</definedName>
    <definedName name="_91_PHASE1">#REF!</definedName>
    <definedName name="_92_PHASE1">#REF!</definedName>
    <definedName name="_93_PHASE1">#REF!</definedName>
    <definedName name="_94_PHASE1">#REF!</definedName>
    <definedName name="_95_PHASE1">#REF!</definedName>
    <definedName name="_96_PHASE1">#REF!</definedName>
    <definedName name="_97_PHASE1">#REF!</definedName>
    <definedName name="_98_PHASE1">#REF!</definedName>
    <definedName name="_AAL1">#REF!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697">#REF!</definedName>
    <definedName name="_agr9698">#REF!</definedName>
    <definedName name="_agr9798">#REF!</definedName>
    <definedName name="_ALT_PPONU_D__Q">#REF!</definedName>
    <definedName name="_AMO_UniqueIdentifier" hidden="1">"'bcb5811d-712a-4535-a3da-8914e2dcdab9'"</definedName>
    <definedName name="_Com1">#REF!</definedName>
    <definedName name="_Com2">#REF!</definedName>
    <definedName name="_Com3">#REF!</definedName>
    <definedName name="_COM94">#REF!</definedName>
    <definedName name="_COM95">#REF!</definedName>
    <definedName name="_EXH1">#REF!</definedName>
    <definedName name="_EXH5">#REF!</definedName>
    <definedName name="_Fill" hidden="1">#REF!</definedName>
    <definedName name="_JV13">#REF!</definedName>
    <definedName name="_Key1" hidden="1">#REF!</definedName>
    <definedName name="_Key2" hidden="1">#REF!</definedName>
    <definedName name="_key7">#REF!</definedName>
    <definedName name="_mm1">#REF!</definedName>
    <definedName name="_mm10">#REF!</definedName>
    <definedName name="_mm11">#REF!</definedName>
    <definedName name="_mm12">#REF!</definedName>
    <definedName name="_mm13">#REF!</definedName>
    <definedName name="_mm14">#REF!</definedName>
    <definedName name="_mm15">#REF!</definedName>
    <definedName name="_mm16">#REF!</definedName>
    <definedName name="_mm17">#REF!</definedName>
    <definedName name="_mm18">#REF!</definedName>
    <definedName name="_mm19">#REF!</definedName>
    <definedName name="_mm2">#REF!</definedName>
    <definedName name="_mm3">#REF!</definedName>
    <definedName name="_mm4">#REF!</definedName>
    <definedName name="_mm5">#REF!</definedName>
    <definedName name="_mm7">#REF!</definedName>
    <definedName name="_mm8">#REF!</definedName>
    <definedName name="_mm9">#REF!</definedName>
    <definedName name="_ms01">#REF!</definedName>
    <definedName name="_ms02">#REF!</definedName>
    <definedName name="_ms03">#REF!</definedName>
    <definedName name="_ms04">#REF!</definedName>
    <definedName name="_om1">#REF!</definedName>
    <definedName name="_om2">#REF!</definedName>
    <definedName name="_OMD1">#REF!</definedName>
    <definedName name="_OMD2">#REF!</definedName>
    <definedName name="_Order1" hidden="1">255</definedName>
    <definedName name="_Order2" hidden="1">255</definedName>
    <definedName name="_p1">#REF!</definedName>
    <definedName name="_pgm5">#REF!</definedName>
    <definedName name="_qre2">#REF!</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rb1">#REF!</definedName>
    <definedName name="_rb2">#REF!</definedName>
    <definedName name="_RBD1">#REF!</definedName>
    <definedName name="_RBD2">#REF!</definedName>
    <definedName name="_reg4">#REF!</definedName>
    <definedName name="_RMC2">#REF!</definedName>
    <definedName name="_ryr56565" hidden="1">{#N/A,#N/A,FALSE,"Monthly SAIFI";#N/A,#N/A,FALSE,"Yearly SAIFI";#N/A,#N/A,FALSE,"Monthly CAIDI";#N/A,#N/A,FALSE,"Yearly CAIDI";#N/A,#N/A,FALSE,"Monthly SAIDI";#N/A,#N/A,FALSE,"Yearly SAIDI";#N/A,#N/A,FALSE,"Monthly MAIFI";#N/A,#N/A,FALSE,"Yearly MAIFI";#N/A,#N/A,FALSE,"Monthly Cust &gt;=4 Int"}</definedName>
    <definedName name="_SF3">#REF!</definedName>
    <definedName name="_Sort" hidden="1">#REF!</definedName>
    <definedName name="_td01">#REF!</definedName>
    <definedName name="_td02">#REF!</definedName>
    <definedName name="_td03">#REF!</definedName>
    <definedName name="_td04">#REF!</definedName>
    <definedName name="_TDG01">#REF!</definedName>
    <definedName name="_TDG02">#REF!</definedName>
    <definedName name="_TDG03">#REF!</definedName>
    <definedName name="_TDG04">#REF!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WORLDOX">#REF!</definedName>
    <definedName name="a" hidden="1">{#N/A,#N/A,FALSE,"Monthly SAIFI";#N/A,#N/A,FALSE,"Yearly SAIFI";#N/A,#N/A,FALSE,"Monthly CAIDI";#N/A,#N/A,FALSE,"Yearly CAIDI";#N/A,#N/A,FALSE,"Monthly SAIDI";#N/A,#N/A,FALSE,"Yearly SAIDI";#N/A,#N/A,FALSE,"Monthly MAIFI";#N/A,#N/A,FALSE,"Yearly MAIFI";#N/A,#N/A,FALSE,"Monthly Cust &gt;=4 Int"}</definedName>
    <definedName name="aa">#REF!</definedName>
    <definedName name="AAL">#REF!</definedName>
    <definedName name="AALDR">#REF!</definedName>
    <definedName name="AALSAP">#REF!</definedName>
    <definedName name="aashitii">#REF!</definedName>
    <definedName name="ac" hidden="1">{#N/A,#N/A,FALSE,"Monthly SAIFI";#N/A,#N/A,FALSE,"Yearly SAIFI";#N/A,#N/A,FALSE,"Monthly CAIDI";#N/A,#N/A,FALSE,"Yearly CAIDI";#N/A,#N/A,FALSE,"Monthly SAIDI";#N/A,#N/A,FALSE,"Yearly SAIDI";#N/A,#N/A,FALSE,"Monthly MAIFI";#N/A,#N/A,FALSE,"Yearly MAIFI";#N/A,#N/A,FALSE,"Monthly Cust &gt;=4 Int"}</definedName>
    <definedName name="Account_name">#REF!</definedName>
    <definedName name="Account_Number">#REF!</definedName>
    <definedName name="Accounts">#REF!</definedName>
    <definedName name="ACCTG_SERV">#REF!</definedName>
    <definedName name="ACTUAL_YTD">#REF!</definedName>
    <definedName name="acx" hidden="1">{#N/A,#N/A,FALSE,"Monthly SAIFI";#N/A,#N/A,FALSE,"Yearly SAIFI";#N/A,#N/A,FALSE,"Monthly CAIDI";#N/A,#N/A,FALSE,"Yearly CAIDI";#N/A,#N/A,FALSE,"Monthly SAIDI";#N/A,#N/A,FALSE,"Yearly SAIDI";#N/A,#N/A,FALSE,"Monthly MAIFI";#N/A,#N/A,FALSE,"Yearly MAIFI";#N/A,#N/A,FALSE,"Monthly Cust &gt;=4 Int"}</definedName>
    <definedName name="Address">#REF!</definedName>
    <definedName name="adfsadfds" hidden="1">{#N/A,#N/A,FALSE,"Monthly SAIFI";#N/A,#N/A,FALSE,"Yearly SAIFI";#N/A,#N/A,FALSE,"Monthly CAIDI";#N/A,#N/A,FALSE,"Yearly CAIDI";#N/A,#N/A,FALSE,"Monthly SAIDI";#N/A,#N/A,FALSE,"Yearly SAIDI";#N/A,#N/A,FALSE,"Monthly MAIFI";#N/A,#N/A,FALSE,"Yearly MAIFI";#N/A,#N/A,FALSE,"Monthly Cust &gt;=4 Int"}</definedName>
    <definedName name="af">#REF!</definedName>
    <definedName name="afds">#REF!</definedName>
    <definedName name="afdsE">#REF!</definedName>
    <definedName name="afE">#REF!</definedName>
    <definedName name="AIP" hidden="1">{#N/A,#N/A,FALSE,"Monthly SAIFI";#N/A,#N/A,FALSE,"Yearly SAIFI";#N/A,#N/A,FALSE,"Monthly CAIDI";#N/A,#N/A,FALSE,"Yearly CAIDI";#N/A,#N/A,FALSE,"Monthly SAIDI";#N/A,#N/A,FALSE,"Yearly SAIDI";#N/A,#N/A,FALSE,"Monthly MAIFI";#N/A,#N/A,FALSE,"Yearly MAIFI";#N/A,#N/A,FALSE,"Monthly Cust &gt;=4 Int"}</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LERT1">#REF!</definedName>
    <definedName name="ALERT2">#REF!</definedName>
    <definedName name="ALERT3">#REF!</definedName>
    <definedName name="all">#REF!</definedName>
    <definedName name="ALL_ACCRUALS">#REF!</definedName>
    <definedName name="ALL_PAYMENTS">#REF!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ocation">#REF!</definedName>
    <definedName name="AllocationE">#REF!</definedName>
    <definedName name="Allocators">#REF!</definedName>
    <definedName name="ALLYRS_MESSAGE">#REF!</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#REF!</definedName>
    <definedName name="AmerenCIPSE">#REF!</definedName>
    <definedName name="Amounts">#REF!</definedName>
    <definedName name="anish">#REF!</definedName>
    <definedName name="anish21212">#REF!</definedName>
    <definedName name="anisha2157">#REF!</definedName>
    <definedName name="anisha216">#REF!</definedName>
    <definedName name="anishhh">#REF!</definedName>
    <definedName name="anishilov">#REF!</definedName>
    <definedName name="ANT">#REF!</definedName>
    <definedName name="APA">#REF!</definedName>
    <definedName name="ApprvDate">#REF!</definedName>
    <definedName name="ApprvEmplNbr">#REF!</definedName>
    <definedName name="Apr">#REF!</definedName>
    <definedName name="APV">#REF!</definedName>
    <definedName name="Area">#REF!</definedName>
    <definedName name="as">#REF!</definedName>
    <definedName name="AS2DocOpenMode" hidden="1">"AS2DocumentEdit"</definedName>
    <definedName name="asasasas">#REF!</definedName>
    <definedName name="ASD">#REF!</definedName>
    <definedName name="asdada">#REF!</definedName>
    <definedName name="asdasd">#REF!</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#REF!</definedName>
    <definedName name="asdfsd">#REF!</definedName>
    <definedName name="asdfsdf">#REF!</definedName>
    <definedName name="asdfsdfsadfs">#REF!</definedName>
    <definedName name="asfas">#REF!</definedName>
    <definedName name="asfasdfasfasfsadf">#REF!</definedName>
    <definedName name="asfsdfsdfsdfsfwer">#REF!</definedName>
    <definedName name="asfsdfsfs">#REF!</definedName>
    <definedName name="asfsft">#REF!</definedName>
    <definedName name="asgdfsjgfdk1">#REF!</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#REF!</definedName>
    <definedName name="ashi21">#REF!</definedName>
    <definedName name="ashia">#REF!</definedName>
    <definedName name="ashita">#REF!</definedName>
    <definedName name="ashita216">#REF!</definedName>
    <definedName name="ASO_SUMMARY">#REF!</definedName>
    <definedName name="AsOfDt">#REF!</definedName>
    <definedName name="ASPGE">#REF!</definedName>
    <definedName name="ASPINTAN">#REF!</definedName>
    <definedName name="asrada">#REF!</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#REF!</definedName>
    <definedName name="Asset_Management_">#REF!</definedName>
    <definedName name="AuditDescr">#REF!</definedName>
    <definedName name="Aug">#REF!</definedName>
    <definedName name="b" hidden="1">{#N/A,#N/A,FALSE,"Monthly SAIFI";#N/A,#N/A,FALSE,"Yearly SAIFI";#N/A,#N/A,FALSE,"Monthly CAIDI";#N/A,#N/A,FALSE,"Yearly CAIDI";#N/A,#N/A,FALSE,"Monthly SAIDI";#N/A,#N/A,FALSE,"Yearly SAIDI";#N/A,#N/A,FALSE,"Monthly MAIFI";#N/A,#N/A,FALSE,"Yearly MAIFI";#N/A,#N/A,FALSE,"Monthly Cust &gt;=4 Int"}</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alance_Sheet_Date">#REF!</definedName>
    <definedName name="Balance_Sheet_Heading">#REF!</definedName>
    <definedName name="BalSht">#REF!</definedName>
    <definedName name="BalShtE">#REF!</definedName>
    <definedName name="bankidrange">#REF!</definedName>
    <definedName name="BASE_DETAIL_QRE">#REF!</definedName>
    <definedName name="BASE_MESSAGE">#REF!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aseline">#REF!</definedName>
    <definedName name="bcbcvb">#REF!</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#REF!</definedName>
    <definedName name="booka_g">#REF!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ett041">#REF!</definedName>
    <definedName name="Brett0415">#REF!</definedName>
    <definedName name="Brett0416">#REF!</definedName>
    <definedName name="Brett042">#REF!</definedName>
    <definedName name="brett0420">#REF!</definedName>
    <definedName name="brett0421">#REF!</definedName>
    <definedName name="Brett0422">#REF!</definedName>
    <definedName name="Brett0423">#REF!</definedName>
    <definedName name="Brett0601">#REF!</definedName>
    <definedName name="Brett0602">#REF!</definedName>
    <definedName name="Brett403">#REF!</definedName>
    <definedName name="Brett404">#REF!</definedName>
    <definedName name="Brett406">#REF!</definedName>
    <definedName name="Brett407">#REF!</definedName>
    <definedName name="Brett408">#REF!</definedName>
    <definedName name="Brett409">#REF!</definedName>
    <definedName name="Brett410">#REF!</definedName>
    <definedName name="Brett411">#REF!</definedName>
    <definedName name="Brett418">#REF!</definedName>
    <definedName name="Brett419">#REF!</definedName>
    <definedName name="BSYEAREN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DGET_YTD">#REF!</definedName>
    <definedName name="BudgetPJF">#REF!</definedName>
    <definedName name="BUName">#REF!</definedName>
    <definedName name="BUTypeAreaRes">#REF!</definedName>
    <definedName name="bvfzxcvxczxc">#REF!</definedName>
    <definedName name="bvvlhlkhjl">#REF!</definedName>
    <definedName name="C_">#REF!</definedName>
    <definedName name="C_3">#REF!</definedName>
    <definedName name="C_3_10">#REF!</definedName>
    <definedName name="Cal">#REF!</definedName>
    <definedName name="CalculationC">#REF!</definedName>
    <definedName name="CalculationCom">#REF!</definedName>
    <definedName name="CalculationComEd">#REF!</definedName>
    <definedName name="calculationD">#REF!</definedName>
    <definedName name="CalculationP">#REF!</definedName>
    <definedName name="CalculationPeco">#REF!</definedName>
    <definedName name="Calculations">#REF!</definedName>
    <definedName name="CalculationsC">#REF!</definedName>
    <definedName name="CalculationsC1">#REF!</definedName>
    <definedName name="CalculationsC3">#REF!</definedName>
    <definedName name="CalculationsC4">#REF!</definedName>
    <definedName name="CalculationsC5">#REF!</definedName>
    <definedName name="CalculationsP">#REF!</definedName>
    <definedName name="CalculationsP1">#REF!</definedName>
    <definedName name="CalculationsP2">#REF!</definedName>
    <definedName name="CalculationsP3">#REF!</definedName>
    <definedName name="CalculationsP4">#REF!</definedName>
    <definedName name="CalculationsP5">#REF!</definedName>
    <definedName name="CalculationsP6">#REF!</definedName>
    <definedName name="CalculationsPe">#REF!</definedName>
    <definedName name="CalculationsPeco">#REF!</definedName>
    <definedName name="CalculatP">#REF!</definedName>
    <definedName name="CAPA">#REF!</definedName>
    <definedName name="CAPB">#REF!</definedName>
    <definedName name="Capital">#REF!</definedName>
    <definedName name="CapitalExpenditures">#REF!</definedName>
    <definedName name="cbcvbcv" hidden="1">{#N/A,#N/A,FALSE,"Monthly SAIFI";#N/A,#N/A,FALSE,"Yearly SAIFI";#N/A,#N/A,FALSE,"Monthly CAIDI";#N/A,#N/A,FALSE,"Yearly CAIDI";#N/A,#N/A,FALSE,"Monthly SAIDI";#N/A,#N/A,FALSE,"Yearly SAIDI";#N/A,#N/A,FALSE,"Monthly MAIFI";#N/A,#N/A,FALSE,"Yearly MAIFI";#N/A,#N/A,FALSE,"Monthly Cust &gt;=4 Int"}</definedName>
    <definedName name="CBEast">#REF!</definedName>
    <definedName name="CBWest">#REF!</definedName>
    <definedName name="CBWorkbookPriority" hidden="1">-250256570</definedName>
    <definedName name="cc1end">#REF!</definedName>
    <definedName name="cc1subrange">#REF!</definedName>
    <definedName name="cc2origin">#REF!</definedName>
    <definedName name="cc2subrange">#REF!</definedName>
    <definedName name="cc3subrange">#REF!</definedName>
    <definedName name="ccbbcvbc" hidden="1">{#N/A,#N/A,FALSE,"Monthly SAIFI";#N/A,#N/A,FALSE,"Yearly SAIFI";#N/A,#N/A,FALSE,"Monthly CAIDI";#N/A,#N/A,FALSE,"Yearly CAIDI";#N/A,#N/A,FALSE,"Monthly SAIDI";#N/A,#N/A,FALSE,"Yearly SAIDI";#N/A,#N/A,FALSE,"Monthly MAIFI";#N/A,#N/A,FALSE,"Yearly MAIFI";#N/A,#N/A,FALSE,"Monthly Cust &gt;=4 Int"}</definedName>
    <definedName name="cccc">#REF!</definedName>
    <definedName name="Choose_Prefs">#REF!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KDATES">#REF!</definedName>
    <definedName name="CkDescr">#REF!</definedName>
    <definedName name="ClaculationC">#REF!</definedName>
    <definedName name="ClaculationP">#REF!</definedName>
    <definedName name="ClaculationsC">#REF!</definedName>
    <definedName name="Class">#REF!</definedName>
    <definedName name="CLDR">#REF!</definedName>
    <definedName name="CoAreaDept">#REF!</definedName>
    <definedName name="com">#REF!</definedName>
    <definedName name="Com1E">#REF!</definedName>
    <definedName name="Com2E">#REF!</definedName>
    <definedName name="comed1">#REF!</definedName>
    <definedName name="comed2">#REF!</definedName>
    <definedName name="comedmfr2">#REF!</definedName>
    <definedName name="Company">#REF!</definedName>
    <definedName name="Company_Name">#REF!</definedName>
    <definedName name="CompanyCount">#REF!</definedName>
    <definedName name="COMPAR_PRT_RNG">#REF!</definedName>
    <definedName name="complex">#REF!</definedName>
    <definedName name="ContactExt">#REF!</definedName>
    <definedName name="ContactName">#REF!</definedName>
    <definedName name="CONVERT_IT">#REF!</definedName>
    <definedName name="CONVERT_RTN">#REF!</definedName>
    <definedName name="Corp">#REF!</definedName>
    <definedName name="corp1">#REF!</definedName>
    <definedName name="corp1E">#REF!</definedName>
    <definedName name="corp2">#REF!</definedName>
    <definedName name="CorpE">#REF!</definedName>
    <definedName name="COSTCARECAPCHAR">#REF!</definedName>
    <definedName name="COSTCAREMEDCASE">#REF!</definedName>
    <definedName name="COSTCARESUM">#REF!</definedName>
    <definedName name="COUNTER">#REF!</definedName>
    <definedName name="CPTL94">#REF!</definedName>
    <definedName name="CPTL95">#REF!</definedName>
    <definedName name="CR_AMT">#REF!</definedName>
    <definedName name="credit_rate">#REF!</definedName>
    <definedName name="CREDIT1">#REF!</definedName>
    <definedName name="creditsummary">#REF!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ENT">#REF!</definedName>
    <definedName name="CURRENT_MESSAGE">#REF!</definedName>
    <definedName name="CurrentEndDate">#REF!</definedName>
    <definedName name="CurrPeriod">#REF!</definedName>
    <definedName name="CustCred4thQtr">#REF!</definedName>
    <definedName name="CustCred4thQtrE">#REF!</definedName>
    <definedName name="CustCredDec">#REF!</definedName>
    <definedName name="CustCredDecE">#REF!</definedName>
    <definedName name="cvxvvdxzv">#REF!</definedName>
    <definedName name="CYDR">#REF!</definedName>
    <definedName name="d">#REF!</definedName>
    <definedName name="D_1">#REF!</definedName>
    <definedName name="D3CY_AMOUNT">#REF!</definedName>
    <definedName name="D3CY_COST">#REF!</definedName>
    <definedName name="D3HY_COST">#REF!</definedName>
    <definedName name="D3TY_AMOUNT">#REF!</definedName>
    <definedName name="D3TY_COST">#REF!</definedName>
    <definedName name="dadasdad">#REF!</definedName>
    <definedName name="dadasdas">#REF!</definedName>
    <definedName name="dafklaf">#REF!</definedName>
    <definedName name="dasdadad">#REF!</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#REF!</definedName>
    <definedName name="Data">#REF!</definedName>
    <definedName name="_xlnm.Database">#REF!</definedName>
    <definedName name="Database2">#REF!</definedName>
    <definedName name="DatabaseE">#REF!</definedName>
    <definedName name="DATAFEEDER">#REF!</definedName>
    <definedName name="DateNumber">#REF!</definedName>
    <definedName name="DateNumberCurrentPrior">#REF!</definedName>
    <definedName name="DateNumberQtrPrior">#REF!</definedName>
    <definedName name="DateNumberYearEndPrior">#REF!</definedName>
    <definedName name="DateText">#REF!</definedName>
    <definedName name="DB_AMT">#REF!</definedName>
    <definedName name="dd" hidden="1">{#N/A,#N/A,FALSE,"Monthly SAIFI";#N/A,#N/A,FALSE,"Yearly SAIFI";#N/A,#N/A,FALSE,"Monthly CAIDI";#N/A,#N/A,FALSE,"Yearly CAIDI";#N/A,#N/A,FALSE,"Monthly SAIDI";#N/A,#N/A,FALSE,"Yearly SAIDI";#N/A,#N/A,FALSE,"Monthly MAIFI";#N/A,#N/A,FALSE,"Yearly MAIFI";#N/A,#N/A,FALSE,"Monthly Cust &gt;=4 Int"}</definedName>
    <definedName name="ddd">#REF!</definedName>
    <definedName name="dddd">#REF!</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#REF!</definedName>
    <definedName name="DEANNA">#REF!</definedName>
    <definedName name="Dec">#REF!</definedName>
    <definedName name="DELAWARE">#REF!</definedName>
    <definedName name="DeliverCk">#REF!</definedName>
    <definedName name="DeliverExt">#REF!</definedName>
    <definedName name="DENT_NU">#REF!</definedName>
    <definedName name="DENT_U">#REF!</definedName>
    <definedName name="DETAIL">#REF!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#REF!</definedName>
    <definedName name="dfdsfs" hidden="1">{#N/A,#N/A,FALSE,"Monthly SAIFI";#N/A,#N/A,FALSE,"Yearly SAIFI";#N/A,#N/A,FALSE,"Monthly CAIDI";#N/A,#N/A,FALSE,"Yearly CAIDI";#N/A,#N/A,FALSE,"Monthly SAIDI";#N/A,#N/A,FALSE,"Yearly SAIDI";#N/A,#N/A,FALSE,"Monthly MAIFI";#N/A,#N/A,FALSE,"Yearly MAIFI";#N/A,#N/A,FALSE,"Monthly Cust &gt;=4 Int"}</definedName>
    <definedName name="dfgdfgh">#REF!</definedName>
    <definedName name="dfgsdgdsfgd">#REF!</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#REF!</definedName>
    <definedName name="dfsdfsf">#REF!</definedName>
    <definedName name="dfsfasfasfs">#REF!</definedName>
    <definedName name="dfssdfsdfsdfsdf">#REF!</definedName>
    <definedName name="Discount10">#REF!</definedName>
    <definedName name="Discount11">#REF!</definedName>
    <definedName name="Discount12">#REF!</definedName>
    <definedName name="Discount13">#REF!</definedName>
    <definedName name="Discount14">#REF!</definedName>
    <definedName name="Discount15">#REF!</definedName>
    <definedName name="Discount2">#REF!</definedName>
    <definedName name="Discount3">#REF!</definedName>
    <definedName name="Discount4">#REF!</definedName>
    <definedName name="Discount5">#REF!</definedName>
    <definedName name="Discount6">#REF!</definedName>
    <definedName name="Discount7">#REF!</definedName>
    <definedName name="Discount8">#REF!</definedName>
    <definedName name="Discount9">#REF!</definedName>
    <definedName name="discrate">#REF!</definedName>
    <definedName name="Docket">#REF!</definedName>
    <definedName name="DOIT">#REF!</definedName>
    <definedName name="DP1875TB">#REF!</definedName>
    <definedName name="DR">#REF!</definedName>
    <definedName name="dsfasfsadfsdfsa">#REF!</definedName>
    <definedName name="dskdlss" hidden="1">{#N/A,#N/A,FALSE,"Monthly SAIFI";#N/A,#N/A,FALSE,"Yearly SAIFI";#N/A,#N/A,FALSE,"Monthly CAIDI";#N/A,#N/A,FALSE,"Yearly CAIDI";#N/A,#N/A,FALSE,"Monthly SAIDI";#N/A,#N/A,FALSE,"Yearly SAIDI";#N/A,#N/A,FALSE,"Monthly MAIFI";#N/A,#N/A,FALSE,"Yearly MAIFI";#N/A,#N/A,FALSE,"Monthly Cust &gt;=4 Int"}</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W">#REF!</definedName>
    <definedName name="dyS">#REF!</definedName>
    <definedName name="E">#REF!</definedName>
    <definedName name="eaewq">#REF!</definedName>
    <definedName name="EASTERN">#REF!</definedName>
    <definedName name="EDPlt01">#REF!</definedName>
    <definedName name="EDPlt02">#REF!</definedName>
    <definedName name="EDPlt03">#REF!</definedName>
    <definedName name="EDPlt04">#REF!</definedName>
    <definedName name="edred" hidden="1">{#N/A,#N/A,FALSE,"Monthly SAIFI";#N/A,#N/A,FALSE,"Yearly SAIFI";#N/A,#N/A,FALSE,"Monthly CAIDI";#N/A,#N/A,FALSE,"Yearly CAIDI";#N/A,#N/A,FALSE,"Monthly SAIDI";#N/A,#N/A,FALSE,"Yearly SAIDI";#N/A,#N/A,FALSE,"Monthly MAIFI";#N/A,#N/A,FALSE,"Yearly MAIFI";#N/A,#N/A,FALSE,"Monthly Cust &gt;=4 Int"}</definedName>
    <definedName name="EED">#REF!</definedName>
    <definedName name="EL_PR_ACC">#REF!</definedName>
    <definedName name="EL_PR_PMT">#REF!</definedName>
    <definedName name="ELEC_ACC">#REF!</definedName>
    <definedName name="ELEC_CUST">#REF!</definedName>
    <definedName name="ELEC_PMT">#REF!</definedName>
    <definedName name="ELEC_REV">#REF!</definedName>
    <definedName name="ELEC_SALES">#REF!</definedName>
    <definedName name="EMPALL">#REF!</definedName>
    <definedName name="empid">#REF!</definedName>
    <definedName name="ENT">#REF!</definedName>
    <definedName name="EPG">#REF!</definedName>
    <definedName name="EPJFTable">#REF!</definedName>
    <definedName name="EPJFTableE">#REF!</definedName>
    <definedName name="err">#REF!</definedName>
    <definedName name="erser">#REF!</definedName>
    <definedName name="EssOptions">"1100000000130100_11-          00"</definedName>
    <definedName name="Estimated_Fair_Value">"fair_value"</definedName>
    <definedName name="EstimateRetirement">#REF!</definedName>
    <definedName name="expnoyear">#REF!</definedName>
    <definedName name="expnoyearE">#REF!</definedName>
    <definedName name="exptitle">#REF!</definedName>
    <definedName name="exptitleE">#REF!</definedName>
    <definedName name="expwmoney">#REF!</definedName>
    <definedName name="f" hidden="1">{#N/A,#N/A,FALSE,"Monthly SAIFI";#N/A,#N/A,FALSE,"Yearly SAIFI";#N/A,#N/A,FALSE,"Monthly CAIDI";#N/A,#N/A,FALSE,"Yearly CAIDI";#N/A,#N/A,FALSE,"Monthly SAIDI";#N/A,#N/A,FALSE,"Yearly SAIDI";#N/A,#N/A,FALSE,"Monthly MAIFI";#N/A,#N/A,FALSE,"Yearly MAIFI";#N/A,#N/A,FALSE,"Monthly Cust &gt;=4 Int"}</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Category_Lookup">#REF!</definedName>
    <definedName name="Factor_Lookup">#REF!</definedName>
    <definedName name="FACTOR_NAME">#REF!</definedName>
    <definedName name="FACTOR_TABLE">#REF!</definedName>
    <definedName name="FACTOR_VALUE">#REF!</definedName>
    <definedName name="fafasfasf">#REF!</definedName>
    <definedName name="fair_value">#REF!</definedName>
    <definedName name="fasdfsadf">#REF!</definedName>
    <definedName name="fasfsafasf">#REF!</definedName>
    <definedName name="fasfsdf">#REF!</definedName>
    <definedName name="fasfsfsdfsf">#REF!</definedName>
    <definedName name="fdfsdfsdfsdfsdfsd">#REF!</definedName>
    <definedName name="FDSDFSF" hidden="1">{#N/A,#N/A,FALSE,"Monthly SAIFI";#N/A,#N/A,FALSE,"Yearly SAIFI";#N/A,#N/A,FALSE,"Monthly CAIDI";#N/A,#N/A,FALSE,"Yearly CAIDI";#N/A,#N/A,FALSE,"Monthly SAIDI";#N/A,#N/A,FALSE,"Yearly SAIDI";#N/A,#N/A,FALSE,"Monthly MAIFI";#N/A,#N/A,FALSE,"Yearly MAIFI";#N/A,#N/A,FALSE,"Monthly Cust &gt;=4 Int"}</definedName>
    <definedName name="fdsfafs">#REF!</definedName>
    <definedName name="FEBRUARY">#REF!</definedName>
    <definedName name="FERC.ICC">#REF!</definedName>
    <definedName name="ff"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#REF!</definedName>
    <definedName name="ffmbs">#REF!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#REF!</definedName>
    <definedName name="Finance3">#REF!</definedName>
    <definedName name="FinanceOther">#REF!</definedName>
    <definedName name="FinDate">#REF!</definedName>
    <definedName name="findate2">#REF!</definedName>
    <definedName name="findate3">#REF!</definedName>
    <definedName name="FIT">#REF!</definedName>
    <definedName name="fjriesmd">#REF!</definedName>
    <definedName name="flap">#REF!</definedName>
    <definedName name="fmbs">#REF!</definedName>
    <definedName name="fnklsdfjklsgf">#REF!</definedName>
    <definedName name="Forecast">#REF!</definedName>
    <definedName name="fsafsfsaf">#REF!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#REF!</definedName>
    <definedName name="fsdfaf">#REF!</definedName>
    <definedName name="fsdfas">#REF!</definedName>
    <definedName name="fsdfsd">#REF!</definedName>
    <definedName name="fsdfsdfas">#REF!</definedName>
    <definedName name="fsdfsdfsfs">#REF!</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#REF!</definedName>
    <definedName name="fsdfwer">#REF!</definedName>
    <definedName name="fsfsafkskfsf">#REF!</definedName>
    <definedName name="fsfsafs">#REF!</definedName>
    <definedName name="fsfsdfsafs">#REF!</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#REF!</definedName>
    <definedName name="Function">#REF!</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#REF!</definedName>
    <definedName name="G">#REF!</definedName>
    <definedName name="GAM83M">#REF!</definedName>
    <definedName name="gatt">#REF!</definedName>
    <definedName name="gattmale">#REF!</definedName>
    <definedName name="gdfgdgdg">#REF!</definedName>
    <definedName name="gdfgsdfgsdfgsadf">#REF!</definedName>
    <definedName name="gdistrres">#REF!</definedName>
    <definedName name="gdistrupis">#REF!</definedName>
    <definedName name="GEN_INST">#REF!</definedName>
    <definedName name="GENERAL_HELP">#REF!</definedName>
    <definedName name="GenInput">#REF!</definedName>
    <definedName name="GenPay">#REF!</definedName>
    <definedName name="gfdfxdf">#REF!</definedName>
    <definedName name="gfdsgsdgfsd">#REF!</definedName>
    <definedName name="gfhfhfdhg">#REF!</definedName>
    <definedName name="gg">#REF!</definedName>
    <definedName name="ggg">#REF!</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#REF!</definedName>
    <definedName name="gprodupis">#REF!</definedName>
    <definedName name="GR_PRT_RANGE">#REF!</definedName>
    <definedName name="GRAPH_SELECT">#REF!</definedName>
    <definedName name="GRAPH_TABLE">#REF!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oss_rec_caution">#REF!</definedName>
    <definedName name="GRS">#REF!</definedName>
    <definedName name="grtm1">#REF!</definedName>
    <definedName name="grtm2">#REF!</definedName>
    <definedName name="grtm3">#REF!</definedName>
    <definedName name="grtm4">#REF!</definedName>
    <definedName name="gtransres">#REF!</definedName>
    <definedName name="gtransupis">#REF!</definedName>
    <definedName name="GVKey">""</definedName>
    <definedName name="h" hidden="1">{#N/A,#N/A,FALSE,"Monthly SAIFI";#N/A,#N/A,FALSE,"Yearly SAIFI";#N/A,#N/A,FALSE,"Monthly CAIDI";#N/A,#N/A,FALSE,"Yearly CAIDI";#N/A,#N/A,FALSE,"Monthly SAIDI";#N/A,#N/A,FALSE,"Yearly SAIDI";#N/A,#N/A,FALSE,"Monthly MAIFI";#N/A,#N/A,FALSE,"Yearly MAIFI";#N/A,#N/A,FALSE,"Monthly Cust &gt;=4 Int"}</definedName>
    <definedName name="HELP_LOCATOR">#REF!</definedName>
    <definedName name="hh" hidden="1">{#N/A,#N/A,FALSE,"Monthly SAIFI";#N/A,#N/A,FALSE,"Yearly SAIFI";#N/A,#N/A,FALSE,"Monthly CAIDI";#N/A,#N/A,FALSE,"Yearly CAIDI";#N/A,#N/A,FALSE,"Monthly SAIDI";#N/A,#N/A,FALSE,"Yearly SAIDI";#N/A,#N/A,FALSE,"Monthly MAIFI";#N/A,#N/A,FALSE,"Yearly MAIFI";#N/A,#N/A,FALSE,"Monthly Cust &gt;=4 Int"}</definedName>
    <definedName name="hhifgfcgfcg">#REF!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#REF!</definedName>
    <definedName name="IDN">#REF!</definedName>
    <definedName name="IL_AG_SRs">#REF!</definedName>
    <definedName name="ImplementDate">#REF!</definedName>
    <definedName name="Indirect">#REF!</definedName>
    <definedName name="INPUT">#N/A</definedName>
    <definedName name="INPUT1">#REF!</definedName>
    <definedName name="INPUT2">#REF!</definedName>
    <definedName name="INPUT3">#REF!</definedName>
    <definedName name="INSERTRANGE">#REF!</definedName>
    <definedName name="INST_MULT_CV">#REF!</definedName>
    <definedName name="INST_PMT_SCHED">#REF!</definedName>
    <definedName name="Instrat3">#REF!</definedName>
    <definedName name="INSTRUCT">#REF!</definedName>
    <definedName name="int.rate">#REF!</definedName>
    <definedName name="interest">#REF!</definedName>
    <definedName name="interestrate">#REF!</definedName>
    <definedName name="invdtrat">#REF!</definedName>
    <definedName name="InvNbr">#REF!</definedName>
    <definedName name="InvStrat">#REF!</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#REF!</definedName>
    <definedName name="IT_VP_name">#REF!</definedName>
    <definedName name="ITBU">#REF!</definedName>
    <definedName name="item_data">#REF!</definedName>
    <definedName name="ITVP1">#REF!</definedName>
    <definedName name="ITVP2">#REF!</definedName>
    <definedName name="itvp5">#REF!</definedName>
    <definedName name="JANUARY">#REF!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#REF!</definedName>
    <definedName name="John" hidden="1">{#N/A,#N/A,FALSE,"Monthly SAIFI";#N/A,#N/A,FALSE,"Yearly SAIFI";#N/A,#N/A,FALSE,"Monthly CAIDI";#N/A,#N/A,FALSE,"Yearly CAIDI";#N/A,#N/A,FALSE,"Monthly SAIDI";#N/A,#N/A,FALSE,"Yearly SAIDI";#N/A,#N/A,FALSE,"Monthly MAIFI";#N/A,#N/A,FALSE,"Yearly MAIFI";#N/A,#N/A,FALSE,"Monthly Cust &gt;=4 Int"}</definedName>
    <definedName name="Jul">#REF!</definedName>
    <definedName name="Jun">#REF!</definedName>
    <definedName name="JV_DETAIL">#REF!</definedName>
    <definedName name="k" hidden="1">{#N/A,#N/A,FALSE,"Monthly SAIFI";#N/A,#N/A,FALSE,"Yearly SAIFI";#N/A,#N/A,FALSE,"Monthly CAIDI";#N/A,#N/A,FALSE,"Yearly CAIDI";#N/A,#N/A,FALSE,"Monthly SAIDI";#N/A,#N/A,FALSE,"Yearly SAIDI";#N/A,#N/A,FALSE,"Monthly MAIFI";#N/A,#N/A,FALSE,"Yearly MAIFI";#N/A,#N/A,FALSE,"Monthly Cust &gt;=4 Int"}</definedName>
    <definedName name="ket_it">#REF!</definedName>
    <definedName name="Key_Stakeholder_Interface">#REF!</definedName>
    <definedName name="KeyE1" hidden="1">#REF!</definedName>
    <definedName name="kk"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#REF!</definedName>
    <definedName name="Labor02">#REF!</definedName>
    <definedName name="Labor03">#REF!</definedName>
    <definedName name="Labor04">#REF!</definedName>
    <definedName name="lastrow">#REF!</definedName>
    <definedName name="Line_No.">#REF!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#REF!</definedName>
    <definedName name="LOOP_1">#REF!</definedName>
    <definedName name="LOOP_2">#REF!</definedName>
    <definedName name="LOOP_3">#REF!</definedName>
    <definedName name="loss">#REF!</definedName>
    <definedName name="LRP_Data">#REF!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#REF!</definedName>
    <definedName name="ltd.cost">#REF!</definedName>
    <definedName name="Macro3">#REF!</definedName>
    <definedName name="Macro4">#REF!</definedName>
    <definedName name="Macro5">#REF!</definedName>
    <definedName name="MACROS">#REF!</definedName>
    <definedName name="Mar">#REF!</definedName>
    <definedName name="May">#REF!</definedName>
    <definedName name="MEDICARE">#REF!</definedName>
    <definedName name="Meet_Cost_Commitments">#REF!</definedName>
    <definedName name="Meet_Production_Commitments">#REF!</definedName>
    <definedName name="mgmfeparg">#REF!</definedName>
    <definedName name="mmmtns">#REF!</definedName>
    <definedName name="mmtns">#REF!</definedName>
    <definedName name="MO_GAS_ACC">#REF!</definedName>
    <definedName name="MO_GAS_PMT">#REF!</definedName>
    <definedName name="modelgrheader">#REF!</definedName>
    <definedName name="modelqreheader">#REF!</definedName>
    <definedName name="MonAct">#REF!</definedName>
    <definedName name="MonBudVar">#REF!</definedName>
    <definedName name="money">#REF!</definedName>
    <definedName name="MonQtrVar">#REF!</definedName>
    <definedName name="Month">#REF!</definedName>
    <definedName name="MonthlyCFBUD">#REF!</definedName>
    <definedName name="MonthlyCFLE">#REF!</definedName>
    <definedName name="mtns">#REF!</definedName>
    <definedName name="mttns">#REF!</definedName>
    <definedName name="MULTCVDATA">#REF!</definedName>
    <definedName name="n">#REF!</definedName>
    <definedName name="NDCA">#REF!</definedName>
    <definedName name="ne">#REF!</definedName>
    <definedName name="new_98_IS">#REF!,#REF!,#REF!</definedName>
    <definedName name="New_99_IS">#REF!,#REF!,#REF!</definedName>
    <definedName name="New_BS">#REF!,#REF!,#REF!</definedName>
    <definedName name="NEXT_STEP">#REF!</definedName>
    <definedName name="NOILL">#REF!</definedName>
    <definedName name="NON_MED_NU">#REF!</definedName>
    <definedName name="NON_MED_U">#REF!</definedName>
    <definedName name="NON_UTIL">#REF!</definedName>
    <definedName name="NORTHEAST">#REF!</definedName>
    <definedName name="NORTHWEST">#REF!</definedName>
    <definedName name="Nov">#REF!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#REF!</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#REF!</definedName>
    <definedName name="Oct">#REF!</definedName>
    <definedName name="OMA">#REF!</definedName>
    <definedName name="OMB">#REF!</definedName>
    <definedName name="OMD1E">#REF!</definedName>
    <definedName name="OMD2E">#REF!</definedName>
    <definedName name="OMExpenses">#REF!</definedName>
    <definedName name="one">#REF!,#REF!,#REF!</definedName>
    <definedName name="ONM">#REF!</definedName>
    <definedName name="ootherdebt">#REF!</definedName>
    <definedName name="Operational_Excellence_">#REF!</definedName>
    <definedName name="Operational_Execution_And_Safety">#REF!</definedName>
    <definedName name="OPR">#REF!</definedName>
    <definedName name="OtherDebt">#REF!</definedName>
    <definedName name="OtherFinal">#REF!</definedName>
    <definedName name="OtherFinalE">#REF!</definedName>
    <definedName name="page_one">#REF!</definedName>
    <definedName name="page_two">#REF!</definedName>
    <definedName name="PAGE1">#REF!</definedName>
    <definedName name="PAGE2">#REF!</definedName>
    <definedName name="PAGE2A">#REF!</definedName>
    <definedName name="PAGE3">#REF!</definedName>
    <definedName name="PAGE4">#REF!</definedName>
    <definedName name="PAGEA">#REF!</definedName>
    <definedName name="PAGEC">#REF!</definedName>
    <definedName name="PAGEE">#REF!</definedName>
    <definedName name="PD_CLAIMS_NSG1">#REF!</definedName>
    <definedName name="PD_CLAIMS_NSG2">#REF!</definedName>
    <definedName name="PD_CLAIMS_PGL1">#REF!</definedName>
    <definedName name="PD_CLAIMS_PGL2">#REF!</definedName>
    <definedName name="PD_CLAIMS_SUM">#REF!</definedName>
    <definedName name="pe">#REF!</definedName>
    <definedName name="PECO_LABS_FUELS_ALL">#REF!</definedName>
    <definedName name="peco1">#REF!</definedName>
    <definedName name="peco2">#REF!</definedName>
    <definedName name="pecobod45">#REF!</definedName>
    <definedName name="pecomfr3">#REF!</definedName>
    <definedName name="PER">#REF!</definedName>
    <definedName name="Perf_Ratings">#REF!</definedName>
    <definedName name="PGCOUNT">#REF!</definedName>
    <definedName name="pgm_pri1">#REF!</definedName>
    <definedName name="Phase">#REF!</definedName>
    <definedName name="PHASE_HELP">#REF!</definedName>
    <definedName name="PJFTable">#REF!</definedName>
    <definedName name="PJFTable2">#REF!</definedName>
    <definedName name="PLACE_HOLD">#REF!</definedName>
    <definedName name="plt1t">#REF!</definedName>
    <definedName name="plt2t">#REF!</definedName>
    <definedName name="PMTSCHEDULE">#REF!</definedName>
    <definedName name="PostDate">#REF!</definedName>
    <definedName name="PowerTeam">#REF!</definedName>
    <definedName name="ppstk">#REF!</definedName>
    <definedName name="prefstk.cost">#REF!</definedName>
    <definedName name="PREPAID_TAX">#REF!</definedName>
    <definedName name="Pri">#REF!</definedName>
    <definedName name="Print_98_IS">#REF!,#REF!,#REF!</definedName>
    <definedName name="Print_99_IS">#REF!,#REF!,#REF!</definedName>
    <definedName name="_xlnm.Print_Area" localSheetId="6">'MEEIA 2 adjs'!$A$1:$Q$15</definedName>
    <definedName name="_xlnm.Print_Area" localSheetId="5">'MEEIA 2 calcs'!$A$1:$AV$105</definedName>
    <definedName name="_xlnm.Print_Area" localSheetId="2">'MEEIA 3 adjs'!$A$1:$B$2</definedName>
    <definedName name="_xlnm.Print_Area" localSheetId="0">'MEEIA 3 calcs'!$A$1:$O$75</definedName>
    <definedName name="_xlnm.Print_Area">#REF!</definedName>
    <definedName name="Print_Area_MI">#REF!</definedName>
    <definedName name="Print_Area1">#REF!</definedName>
    <definedName name="Print_BS">#REF!,#REF!,#REF!</definedName>
    <definedName name="PRINT_SET_UP">#REF!</definedName>
    <definedName name="Print_TFI_use">#REF!,#REF!,#REF!</definedName>
    <definedName name="_xlnm.Print_Titles">#REF!,#REF!</definedName>
    <definedName name="PrintA">#REF!</definedName>
    <definedName name="PrintArea">#REF!</definedName>
    <definedName name="PRINTLOGO">#REF!</definedName>
    <definedName name="PRINTPRINTIT">#REF!</definedName>
    <definedName name="Prior">#REF!</definedName>
    <definedName name="PriorQTREnd">#REF!</definedName>
    <definedName name="PRNFILE">#REF!</definedName>
    <definedName name="prod04">#REF!</definedName>
    <definedName name="Profitability_">#REF!</definedName>
    <definedName name="proforma2">#REF!</definedName>
    <definedName name="Projects">#REF!</definedName>
    <definedName name="Property">#REF!</definedName>
    <definedName name="PropertyE">#REF!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stk.bal">#REF!</definedName>
    <definedName name="pstk.cost">#REF!</definedName>
    <definedName name="PY_ytd">#REF!</definedName>
    <definedName name="pymonth">#REF!</definedName>
    <definedName name="QES">#REF!</definedName>
    <definedName name="qq">#REF!</definedName>
    <definedName name="qqqq">#REF!</definedName>
    <definedName name="qre">#REF!</definedName>
    <definedName name="QRE_HELP">#REF!</definedName>
    <definedName name="QRE_MARGINS">#REF!</definedName>
    <definedName name="QRE_SUMMARY">#REF!</definedName>
    <definedName name="qsqe">#REF!</definedName>
    <definedName name="QuarterEndDate">#REF!</definedName>
    <definedName name="Range1">#REF!</definedName>
    <definedName name="Range10">#REF!</definedName>
    <definedName name="Range11">#REF!</definedName>
    <definedName name="Range12">#REF!</definedName>
    <definedName name="Range13">#REF!</definedName>
    <definedName name="Range14">#REF!</definedName>
    <definedName name="Range15">#REF!</definedName>
    <definedName name="Range16">#REF!</definedName>
    <definedName name="Range17">#REF!</definedName>
    <definedName name="Range18">#REF!</definedName>
    <definedName name="Range19">#REF!</definedName>
    <definedName name="Range2">#REF!</definedName>
    <definedName name="Range20">#REF!</definedName>
    <definedName name="Range21">#REF!</definedName>
    <definedName name="Range22">#REF!</definedName>
    <definedName name="Range23">#REF!</definedName>
    <definedName name="Range24">#REF!</definedName>
    <definedName name="Range25">#REF!</definedName>
    <definedName name="Range26">#REF!</definedName>
    <definedName name="Range27">#REF!</definedName>
    <definedName name="Range28">#REF!</definedName>
    <definedName name="Range29">#REF!</definedName>
    <definedName name="Range3">#REF!</definedName>
    <definedName name="Range30">#REF!</definedName>
    <definedName name="Range31">#REF!</definedName>
    <definedName name="Range32">#REF!</definedName>
    <definedName name="Range33">#REF!</definedName>
    <definedName name="Range34">#REF!</definedName>
    <definedName name="Range35">#REF!</definedName>
    <definedName name="Range36">#REF!</definedName>
    <definedName name="Range37">#REF!</definedName>
    <definedName name="Range38">#REF!</definedName>
    <definedName name="Range39">#REF!</definedName>
    <definedName name="Range4">#REF!</definedName>
    <definedName name="Range40">#REF!</definedName>
    <definedName name="Range41">#REF!</definedName>
    <definedName name="Range5">#REF!</definedName>
    <definedName name="Range6">#REF!</definedName>
    <definedName name="Range7">#REF!</definedName>
    <definedName name="Range8">#REF!</definedName>
    <definedName name="Range9">#REF!</definedName>
    <definedName name="Rate_Class">#REF!</definedName>
    <definedName name="rate_classE">#REF!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b2E">#REF!</definedName>
    <definedName name="RBD1E">#REF!</definedName>
    <definedName name="rbd2e">#REF!</definedName>
    <definedName name="rbnoyear">#REF!</definedName>
    <definedName name="rbtitle">#REF!</definedName>
    <definedName name="rbtitlee">#REF!</definedName>
    <definedName name="RBU">#REF!</definedName>
    <definedName name="rbwmoney">#REF!</definedName>
    <definedName name="reawreqw" hidden="1">{#N/A,#N/A,FALSE,"Monthly SAIFI";#N/A,#N/A,FALSE,"Yearly SAIFI";#N/A,#N/A,FALSE,"Monthly CAIDI";#N/A,#N/A,FALSE,"Yearly CAIDI";#N/A,#N/A,FALSE,"Monthly SAIDI";#N/A,#N/A,FALSE,"Yearly SAIDI";#N/A,#N/A,FALSE,"Monthly MAIFI";#N/A,#N/A,FALSE,"Yearly MAIFI";#N/A,#N/A,FALSE,"Monthly Cust &gt;=4 Int"}</definedName>
    <definedName name="REB1P1">#REF!</definedName>
    <definedName name="_xlnm.Recorder">#REF!</definedName>
    <definedName name="reduced_credit">#REF!</definedName>
    <definedName name="reduced_credit_caption">#REF!</definedName>
    <definedName name="Refresh_Report">#REF!</definedName>
    <definedName name="REPORT_SELECT">#REF!</definedName>
    <definedName name="REPORT_TABLE">#REF!</definedName>
    <definedName name="ReportingDate">#REF!</definedName>
    <definedName name="ReqDate">#REF!</definedName>
    <definedName name="RESET_SENS_FACT">#REF!</definedName>
    <definedName name="ResourceType">#REF!</definedName>
    <definedName name="RETURN">#REF!</definedName>
    <definedName name="RID">#REF!</definedName>
    <definedName name="RMC">#REF!</definedName>
    <definedName name="rmc2e">#REF!</definedName>
    <definedName name="ROA">#REF!</definedName>
    <definedName name="RoleMapColumn">#REF!</definedName>
    <definedName name="RoleMapRow">#REF!</definedName>
    <definedName name="RoleMapTable">#REF!</definedName>
    <definedName name="RtdEarnings">#REF!</definedName>
    <definedName name="rtdearningse">#REF!</definedName>
    <definedName name="RWOEstimates">#REF!</definedName>
    <definedName name="rwrw">#REF!</definedName>
    <definedName name="s">#REF!</definedName>
    <definedName name="saaaagd">#REF!</definedName>
    <definedName name="saaanghvi21">#REF!</definedName>
    <definedName name="safasdfsad">#REF!</definedName>
    <definedName name="Safety_Workforce_Eff_">#REF!</definedName>
    <definedName name="saff">#REF!</definedName>
    <definedName name="safsafs">#REF!</definedName>
    <definedName name="safsfsad">#REF!</definedName>
    <definedName name="safsgfsdf">#REF!</definedName>
    <definedName name="salkgasgs">#REF!</definedName>
    <definedName name="Sample">#REF!</definedName>
    <definedName name="Sample_2_VLookup">#REF!</definedName>
    <definedName name="Sample_VLookup">#REF!</definedName>
    <definedName name="Sample2">#REF!</definedName>
    <definedName name="sanahgsg">#REF!</definedName>
    <definedName name="sangg">#REF!</definedName>
    <definedName name="sangh">#REF!</definedName>
    <definedName name="sanghiii">#REF!</definedName>
    <definedName name="sanghvi">#REF!</definedName>
    <definedName name="sanghvi215">#REF!</definedName>
    <definedName name="sanghvi231">#REF!</definedName>
    <definedName name="sanghvi232">#REF!</definedName>
    <definedName name="sanghvi2323">#REF!</definedName>
    <definedName name="SAPBEXrevision" hidden="1">18</definedName>
    <definedName name="SAPBEXsysID" hidden="1">"BWP"</definedName>
    <definedName name="SAPBEXwbID" hidden="1">"3PHPFV8FO7PRQRDHFGKHVVOKV"</definedName>
    <definedName name="sasas">#REF!</definedName>
    <definedName name="saSAsa" hidden="1">{#N/A,#N/A,FALSE,"Monthly SAIFI";#N/A,#N/A,FALSE,"Yearly SAIFI";#N/A,#N/A,FALSE,"Monthly CAIDI";#N/A,#N/A,FALSE,"Yearly CAIDI";#N/A,#N/A,FALSE,"Monthly SAIDI";#N/A,#N/A,FALSE,"Yearly SAIDI";#N/A,#N/A,FALSE,"Monthly MAIFI";#N/A,#N/A,FALSE,"Yearly MAIFI";#N/A,#N/A,FALSE,"Monthly Cust &gt;=4 Int"}</definedName>
    <definedName name="sasg">#REF!</definedName>
    <definedName name="SBU_SHEET_HELP">#REF!</definedName>
    <definedName name="sch.A">#REF!</definedName>
    <definedName name="sch.b._FERC_ICC">#REF!</definedName>
    <definedName name="Schedule_CC1">#REF!</definedName>
    <definedName name="Schedule_CC2">#REF!</definedName>
    <definedName name="Schedule_CC3">#REF!</definedName>
    <definedName name="SCHUYLKILL">#REF!</definedName>
    <definedName name="sdajsadf">#REF!</definedName>
    <definedName name="sdasda">#REF!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#REF!</definedName>
    <definedName name="sdfafsd">#REF!</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#REF!</definedName>
    <definedName name="sdfasfsf">#REF!</definedName>
    <definedName name="sdfdfafaf">#REF!</definedName>
    <definedName name="sdfdfsf">#REF!</definedName>
    <definedName name="sdfds" hidden="1">{#N/A,#N/A,FALSE,"Monthly SAIFI";#N/A,#N/A,FALSE,"Yearly SAIFI";#N/A,#N/A,FALSE,"Monthly CAIDI";#N/A,#N/A,FALSE,"Yearly CAIDI";#N/A,#N/A,FALSE,"Monthly SAIDI";#N/A,#N/A,FALSE,"Yearly SAIDI";#N/A,#N/A,FALSE,"Monthly MAIFI";#N/A,#N/A,FALSE,"Yearly MAIFI";#N/A,#N/A,FALSE,"Monthly Cust &gt;=4 Int"}</definedName>
    <definedName name="sdffsfaf">#REF!</definedName>
    <definedName name="sdfsadfsf">#REF!</definedName>
    <definedName name="sdfsdfafasf">#REF!</definedName>
    <definedName name="sdfsdfdfdf">#REF!</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#REF!</definedName>
    <definedName name="sdfsdfsdasdfsd">#REF!</definedName>
    <definedName name="sdfsdfsdf">#REF!</definedName>
    <definedName name="sdfsdfsdfsdfsdf">#REF!</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#REF!</definedName>
    <definedName name="sdgf" hidden="1">#REF!</definedName>
    <definedName name="sdgrsdfsfsdsd">#REF!</definedName>
    <definedName name="sdsdsa">#REF!</definedName>
    <definedName name="sdsdsddsf">#REF!</definedName>
    <definedName name="sefasdfasdfsdf">#REF!</definedName>
    <definedName name="SendCk">#REF!</definedName>
    <definedName name="SendMC">#REF!</definedName>
    <definedName name="SENS_DATA_RTN">#REF!</definedName>
    <definedName name="SENS_MESSAGE">#REF!</definedName>
    <definedName name="SENS_NET_CREDIT">#REF!</definedName>
    <definedName name="Sep">#REF!</definedName>
    <definedName name="SERP">#REF!</definedName>
    <definedName name="sf">#REF!</definedName>
    <definedName name="SFDD">#REF!</definedName>
    <definedName name="sffsfa" hidden="1">{#N/A,#N/A,FALSE,"Monthly SAIFI";#N/A,#N/A,FALSE,"Yearly SAIFI";#N/A,#N/A,FALSE,"Monthly CAIDI";#N/A,#N/A,FALSE,"Yearly CAIDI";#N/A,#N/A,FALSE,"Monthly SAIDI";#N/A,#N/A,FALSE,"Yearly SAIDI";#N/A,#N/A,FALSE,"Monthly MAIFI";#N/A,#N/A,FALSE,"Yearly MAIFI";#N/A,#N/A,FALSE,"Monthly Cust &gt;=4 Int"}</definedName>
    <definedName name="sfsd">#REF!</definedName>
    <definedName name="sfsdfasf">#REF!</definedName>
    <definedName name="sfsdfsafsf">#REF!</definedName>
    <definedName name="sfsdfsdf">#REF!</definedName>
    <definedName name="sfsdfsfsfsd">#REF!</definedName>
    <definedName name="sfsf">#REF!</definedName>
    <definedName name="sfsfasfsdfsdf">#REF!</definedName>
    <definedName name="SFSFD" hidden="1">{#N/A,#N/A,FALSE,"Monthly SAIFI";#N/A,#N/A,FALSE,"Yearly SAIFI";#N/A,#N/A,FALSE,"Monthly CAIDI";#N/A,#N/A,FALSE,"Yearly CAIDI";#N/A,#N/A,FALSE,"Monthly SAIDI";#N/A,#N/A,FALSE,"Yearly SAIDI";#N/A,#N/A,FALSE,"Monthly MAIFI";#N/A,#N/A,FALSE,"Yearly MAIFI";#N/A,#N/A,FALSE,"Monthly Cust &gt;=4 Int"}</definedName>
    <definedName name="sfsfs">#REF!</definedName>
    <definedName name="sfsfsf">#REF!</definedName>
    <definedName name="sfsssr">#REF!</definedName>
    <definedName name="SFVD">#REF!</definedName>
    <definedName name="sgggggkjjkkj">#REF!</definedName>
    <definedName name="shedulecc1">#REF!</definedName>
    <definedName name="Sheet1" hidden="1">{#N/A,#N/A,FALSE,"Monthly SAIFI";#N/A,#N/A,FALSE,"Yearly SAIFI";#N/A,#N/A,FALSE,"Monthly CAIDI";#N/A,#N/A,FALSE,"Yearly CAIDI";#N/A,#N/A,FALSE,"Monthly SAIDI";#N/A,#N/A,FALSE,"Yearly SAIDI";#N/A,#N/A,FALSE,"Monthly MAIFI";#N/A,#N/A,FALSE,"Yearly MAIFI";#N/A,#N/A,FALSE,"Monthly Cust &gt;=4 Int"}</definedName>
    <definedName name="SIT">#REF!</definedName>
    <definedName name="SLA_Unit_Cost">#REF!</definedName>
    <definedName name="slldk" hidden="1">{#N/A,#N/A,FALSE,"Monthly SAIFI";#N/A,#N/A,FALSE,"Yearly SAIFI";#N/A,#N/A,FALSE,"Monthly CAIDI";#N/A,#N/A,FALSE,"Yearly CAIDI";#N/A,#N/A,FALSE,"Monthly SAIDI";#N/A,#N/A,FALSE,"Yearly SAIDI";#N/A,#N/A,FALSE,"Monthly MAIFI";#N/A,#N/A,FALSE,"Yearly MAIFI";#N/A,#N/A,FALSE,"Monthly Cust &gt;=4 Int"}</definedName>
    <definedName name="SMRPEast">#REF!</definedName>
    <definedName name="SMRPWest">#REF!</definedName>
    <definedName name="snfsdfs">#REF!</definedName>
    <definedName name="snghviw">#REF!</definedName>
    <definedName name="solver_adj" hidden="1">#REF!,#REF!,#REF!,#REF!,#REF!,#REF!,#REF!</definedName>
    <definedName name="solver_lin" hidden="1">0</definedName>
    <definedName name="solver_num" hidden="1">0</definedName>
    <definedName name="solver_tmp" hidden="1">#REF!,#REF!,#REF!,#REF!,#REF!,#REF!,#REF!</definedName>
    <definedName name="solver_typ" hidden="1">1</definedName>
    <definedName name="solver_val" hidden="1">0</definedName>
    <definedName name="SortE" hidden="1">#REF!</definedName>
    <definedName name="SOUTH">#REF!</definedName>
    <definedName name="SPSet">"current"</definedName>
    <definedName name="SPWS_WBID">"5212E8AE-A962-4131-8FBC-A40040E9ED32"</definedName>
    <definedName name="SR">#REF!</definedName>
    <definedName name="SR_To_Allocation_Lookup">#REF!</definedName>
    <definedName name="ss">#REF!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Date">#REF!</definedName>
    <definedName name="startdate2">#REF!</definedName>
    <definedName name="startdte">#REF!</definedName>
    <definedName name="startdte4">#REF!</definedName>
    <definedName name="std.bal">#REF!</definedName>
    <definedName name="std.cwip.bal">#REF!</definedName>
    <definedName name="STM_ACC">#REF!</definedName>
    <definedName name="STM_PMT">#REF!</definedName>
    <definedName name="SUMMARY">#REF!</definedName>
    <definedName name="summary_caution">#REF!</definedName>
    <definedName name="Sx">#REF!</definedName>
    <definedName name="T">#REF!</definedName>
    <definedName name="TABLE">#REF!</definedName>
    <definedName name="TAX_EXP">#REF!</definedName>
    <definedName name="tblActivity_Key">#REF!</definedName>
    <definedName name="tblActivity_Key_OLD">#REF!</definedName>
    <definedName name="tblCharts">#REF!</definedName>
    <definedName name="tblHelp">#REF!</definedName>
    <definedName name="tblReports">#REF!</definedName>
    <definedName name="tblWorksheets">#REF!</definedName>
    <definedName name="td01e">#REF!</definedName>
    <definedName name="td02e">#REF!</definedName>
    <definedName name="td03e">#REF!</definedName>
    <definedName name="td04e">#REF!</definedName>
    <definedName name="tdg01e">#REF!</definedName>
    <definedName name="tdg02e">#REF!</definedName>
    <definedName name="tdg03e">#REF!</definedName>
    <definedName name="tdg04e">#REF!</definedName>
    <definedName name="TempInvDec">#REF!</definedName>
    <definedName name="tempinvdece">#REF!</definedName>
    <definedName name="TempInvSept">#REF!</definedName>
    <definedName name="temptinsepte">#REF!</definedName>
    <definedName name="TepmInv4thQtr">#REF!</definedName>
    <definedName name="tepminv4thqtre">#REF!</definedName>
    <definedName name="TEST">#REF!</definedName>
    <definedName name="three">#REF!,#REF!,#REF!</definedName>
    <definedName name="titlewomoney">#REF!</definedName>
    <definedName name="titlewomoneye">#REF!</definedName>
    <definedName name="TOT_CO_ACC">#REF!</definedName>
    <definedName name="TOT_CO_PMTS">#REF!</definedName>
    <definedName name="TOT_CO_PR_AC">#REF!</definedName>
    <definedName name="TOT_CO_PR_PMT">#REF!</definedName>
    <definedName name="Total">#REF!</definedName>
    <definedName name="TOTAL_AMT">#REF!</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S">#REF!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#REF!</definedName>
    <definedName name="Tree">#REF!</definedName>
    <definedName name="two">#REF!,#REF!,#REF!</definedName>
    <definedName name="TY">#REF!</definedName>
    <definedName name="TypeCost">#REF!</definedName>
    <definedName name="tyty" hidden="1">{#N/A,#N/A,FALSE,"Monthly SAIFI";#N/A,#N/A,FALSE,"Yearly SAIFI";#N/A,#N/A,FALSE,"Monthly CAIDI";#N/A,#N/A,FALSE,"Yearly CAIDI";#N/A,#N/A,FALSE,"Monthly SAIDI";#N/A,#N/A,FALSE,"Yearly SAIDI";#N/A,#N/A,FALSE,"Monthly MAIFI";#N/A,#N/A,FALSE,"Yearly MAIFI";#N/A,#N/A,FALSE,"Monthly Cust &gt;=4 Int"}</definedName>
    <definedName name="U">#REF!</definedName>
    <definedName name="UNANT">#REF!</definedName>
    <definedName name="UNBILLED">#REF!</definedName>
    <definedName name="unit">#REF!</definedName>
    <definedName name="unite">#REF!</definedName>
    <definedName name="units">#REF!</definedName>
    <definedName name="unitse">#REF!</definedName>
    <definedName name="UnknownProj">#REF!</definedName>
    <definedName name="UNT">#REF!</definedName>
    <definedName name="UTILRANGE">#REF!</definedName>
    <definedName name="ValuationYear">#REF!</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#REF!</definedName>
    <definedName name="vvv">#REF!</definedName>
    <definedName name="vxcvxc">#REF!</definedName>
    <definedName name="vxcvxcvx">#REF!</definedName>
    <definedName name="vxvxvxcvxc">#REF!</definedName>
    <definedName name="vxzvxcvxzcvxcv">#REF!</definedName>
    <definedName name="wearwerawer">#REF!</definedName>
    <definedName name="wer" hidden="1">{#N/A,#N/A,FALSE,"Monthly SAIFI";#N/A,#N/A,FALSE,"Yearly SAIFI";#N/A,#N/A,FALSE,"Monthly CAIDI";#N/A,#N/A,FALSE,"Yearly CAIDI";#N/A,#N/A,FALSE,"Monthly SAIDI";#N/A,#N/A,FALSE,"Yearly SAIDI";#N/A,#N/A,FALSE,"Monthly MAIFI";#N/A,#N/A,FALSE,"Yearly MAIFI";#N/A,#N/A,FALSE,"Monthly Cust &gt;=4 Int"}</definedName>
    <definedName name="werw3">#REF!</definedName>
    <definedName name="werwerwe">#REF!</definedName>
    <definedName name="WESTERN">#REF!</definedName>
    <definedName name="Workforce">#REF!</definedName>
    <definedName name="WPCUT">#REF!</definedName>
    <definedName name="wrn.Aging._.and._.Trend._.Analysis." hidden="1">{#N/A,#N/A,FALSE,"Aging Summary";#N/A,#N/A,FALSE,"Ratio Analysis";#N/A,#N/A,FALSE,"Test 120 Day Accts";#N/A,#N/A,FALSE,"Tickmarks"}</definedName>
    <definedName name="wrn.page1." hidden="1">{"page1",#N/A,FALSE,"260"}</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hidden="1">{#N/A,#N/A,FALSE,"R&amp;D Quick Calc";#N/A,#N/A,FALSE,"DOE Fee Schedule"}</definedName>
    <definedName name="ww">#REF!</definedName>
    <definedName name="wwww">#REF!</definedName>
    <definedName name="xcvxvx">#REF!</definedName>
    <definedName name="xvsdgsgfsf">#REF!</definedName>
    <definedName name="xvxvxzvxc">#REF!</definedName>
    <definedName name="xx">#REF!</definedName>
    <definedName name="xxx">#REF!</definedName>
    <definedName name="xxxx">#REF!</definedName>
    <definedName name="xzczczczxc">#REF!</definedName>
    <definedName name="y" hidden="1">{#N/A,#N/A,FALSE,"Monthly SAIFI";#N/A,#N/A,FALSE,"Yearly SAIFI";#N/A,#N/A,FALSE,"Monthly CAIDI";#N/A,#N/A,FALSE,"Yearly CAIDI";#N/A,#N/A,FALSE,"Monthly SAIDI";#N/A,#N/A,FALSE,"Yearly SAIDI";#N/A,#N/A,FALSE,"Monthly MAIFI";#N/A,#N/A,FALSE,"Yearly MAIFI";#N/A,#N/A,FALSE,"Monthly Cust &gt;=4 Int"}</definedName>
    <definedName name="YEAct">#REF!</definedName>
    <definedName name="Year">#REF!</definedName>
    <definedName name="YEBudVar">#REF!</definedName>
    <definedName name="YEQtrVar">#REF!</definedName>
    <definedName name="YesNo">#REF!</definedName>
    <definedName name="YORK_COUNTY">#REF!</definedName>
    <definedName name="yrtm1">#REF!</definedName>
    <definedName name="yrtm2">#REF!</definedName>
    <definedName name="yrtm3">#REF!</definedName>
    <definedName name="yrtm4">#REF!</definedName>
    <definedName name="yryryrr" hidden="1">{#N/A,#N/A,FALSE,"Monthly SAIFI";#N/A,#N/A,FALSE,"Yearly SAIFI";#N/A,#N/A,FALSE,"Monthly CAIDI";#N/A,#N/A,FALSE,"Yearly CAIDI";#N/A,#N/A,FALSE,"Monthly SAIDI";#N/A,#N/A,FALSE,"Yearly SAIDI";#N/A,#N/A,FALSE,"Monthly MAIFI";#N/A,#N/A,FALSE,"Yearly MAIFI";#N/A,#N/A,FALSE,"Monthly Cust &gt;=4 Int"}</definedName>
    <definedName name="YTDAct">#REF!</definedName>
    <definedName name="YTDBudVar">#REF!</definedName>
    <definedName name="YTDCFLE">#REF!</definedName>
    <definedName name="YTDQtrVar">#REF!</definedName>
    <definedName name="z" hidden="1">{#N/A,#N/A,FALSE,"Monthly SAIFI";#N/A,#N/A,FALSE,"Yearly SAIFI";#N/A,#N/A,FALSE,"Monthly CAIDI";#N/A,#N/A,FALSE,"Yearly CAIDI";#N/A,#N/A,FALSE,"Monthly SAIDI";#N/A,#N/A,FALSE,"Yearly SAIDI";#N/A,#N/A,FALSE,"Monthly MAIFI";#N/A,#N/A,FALSE,"Yearly MAIFI";#N/A,#N/A,FALSE,"Monthly Cust &gt;=4 Int"}</definedName>
    <definedName name="Zxczxczczc">#REF!</definedName>
    <definedName name="zxdc">#REF!</definedName>
    <definedName name="zz">#REF!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P6" i="29" l="1"/>
  <c r="CT27" i="11"/>
  <c r="CS27" i="11"/>
  <c r="CT26" i="11"/>
  <c r="CS26" i="11"/>
  <c r="CT25" i="11"/>
  <c r="CS25" i="11"/>
  <c r="CT24" i="11"/>
  <c r="CS24" i="11"/>
  <c r="CT23" i="11"/>
  <c r="CS23" i="11"/>
  <c r="CR27" i="11"/>
  <c r="CR26" i="11"/>
  <c r="CR25" i="11"/>
  <c r="CR24" i="11"/>
  <c r="CR23" i="11"/>
  <c r="CT20" i="11" l="1"/>
  <c r="CS20" i="11" l="1"/>
  <c r="CU104" i="1" l="1"/>
  <c r="CT104" i="1"/>
  <c r="CS104" i="1"/>
  <c r="CU98" i="1"/>
  <c r="CU99" i="1" s="1"/>
  <c r="CT98" i="1"/>
  <c r="CT99" i="1" s="1"/>
  <c r="CS98" i="1"/>
  <c r="CS99" i="1" s="1"/>
  <c r="CU78" i="1"/>
  <c r="CU79" i="1" s="1"/>
  <c r="CU81" i="1" s="1"/>
  <c r="CT78" i="1"/>
  <c r="CT79" i="1" s="1"/>
  <c r="CT81" i="1" s="1"/>
  <c r="CS78" i="1"/>
  <c r="CS79" i="1" s="1"/>
  <c r="CU8" i="1"/>
  <c r="CT8" i="1"/>
  <c r="CS8" i="1"/>
  <c r="CS81" i="1" l="1"/>
  <c r="BV56" i="28" l="1"/>
  <c r="BU56" i="28"/>
  <c r="BT56" i="28"/>
  <c r="BS56" i="28"/>
  <c r="BR56" i="28"/>
  <c r="BQ56" i="28"/>
  <c r="BP56" i="28"/>
  <c r="BO56" i="28"/>
  <c r="BN56" i="28"/>
  <c r="BM56" i="28"/>
  <c r="BL56" i="28"/>
  <c r="BK56" i="28"/>
  <c r="BU70" i="28" l="1"/>
  <c r="BV20" i="28"/>
  <c r="BV73" i="28"/>
  <c r="BV69" i="28"/>
  <c r="BU20" i="28"/>
  <c r="BU73" i="28"/>
  <c r="BU69" i="28"/>
  <c r="BL71" i="28"/>
  <c r="BN71" i="28"/>
  <c r="BP71" i="28"/>
  <c r="BR71" i="28"/>
  <c r="BT71" i="28"/>
  <c r="BQ69" i="28"/>
  <c r="BR72" i="28"/>
  <c r="BN72" i="28" l="1"/>
  <c r="BK71" i="28"/>
  <c r="BQ70" i="28"/>
  <c r="BN69" i="28"/>
  <c r="BQ72" i="28"/>
  <c r="BU71" i="28"/>
  <c r="BV71" i="28"/>
  <c r="BV72" i="28"/>
  <c r="BM73" i="28"/>
  <c r="BT72" i="28"/>
  <c r="BP72" i="28"/>
  <c r="BL72" i="28"/>
  <c r="BP69" i="28"/>
  <c r="BO71" i="28"/>
  <c r="BM69" i="28"/>
  <c r="BM72" i="28"/>
  <c r="BT73" i="28"/>
  <c r="BP70" i="28"/>
  <c r="BL73" i="28"/>
  <c r="BT69" i="28"/>
  <c r="BL69" i="28"/>
  <c r="BS73" i="28"/>
  <c r="BS71" i="28"/>
  <c r="BM71" i="28"/>
  <c r="BK69" i="28"/>
  <c r="BK72" i="28"/>
  <c r="BS70" i="28"/>
  <c r="BQ73" i="28"/>
  <c r="BK73" i="28"/>
  <c r="BR70" i="28"/>
  <c r="BN70" i="28"/>
  <c r="BS69" i="28"/>
  <c r="BR69" i="28"/>
  <c r="BO72" i="28"/>
  <c r="BP20" i="28"/>
  <c r="BR20" i="28"/>
  <c r="BJ20" i="28"/>
  <c r="BS20" i="28"/>
  <c r="BO20" i="28"/>
  <c r="BK20" i="28"/>
  <c r="BO73" i="28"/>
  <c r="BO69" i="28"/>
  <c r="BT20" i="28"/>
  <c r="BL20" i="28"/>
  <c r="BN20" i="28"/>
  <c r="BQ20" i="28"/>
  <c r="BM20" i="28"/>
  <c r="BI20" i="28"/>
  <c r="BL85" i="27" l="1"/>
  <c r="BK85" i="27"/>
  <c r="BH6" i="27"/>
  <c r="BH8" i="27" s="1"/>
  <c r="BJ85" i="27"/>
  <c r="AL6" i="27" l="1"/>
  <c r="AL8" i="27" s="1"/>
  <c r="BI6" i="27" l="1"/>
  <c r="BI8" i="27" s="1"/>
  <c r="BG10" i="28" l="1"/>
  <c r="BH10" i="28" s="1"/>
  <c r="BI10" i="28" s="1"/>
  <c r="BJ10" i="28" s="1"/>
  <c r="BK10" i="28" s="1"/>
  <c r="BL10" i="28" s="1"/>
  <c r="BM10" i="28" s="1"/>
  <c r="BN10" i="28" s="1"/>
  <c r="BO10" i="28" s="1"/>
  <c r="BP10" i="28" s="1"/>
  <c r="BQ10" i="28" s="1"/>
  <c r="BR10" i="28" s="1"/>
  <c r="BS10" i="28" s="1"/>
  <c r="BT10" i="28" s="1"/>
  <c r="BU10" i="28" s="1"/>
  <c r="BV10" i="28" s="1"/>
  <c r="BG9" i="28"/>
  <c r="BH9" i="28" s="1"/>
  <c r="BI9" i="28" s="1"/>
  <c r="BJ9" i="28" s="1"/>
  <c r="BK9" i="28" s="1"/>
  <c r="BL9" i="28" s="1"/>
  <c r="BM9" i="28" s="1"/>
  <c r="BN9" i="28" s="1"/>
  <c r="BO9" i="28" s="1"/>
  <c r="BP9" i="28" s="1"/>
  <c r="BQ9" i="28" s="1"/>
  <c r="BR9" i="28" s="1"/>
  <c r="BS9" i="28" s="1"/>
  <c r="BT9" i="28" s="1"/>
  <c r="BU9" i="28" s="1"/>
  <c r="BV9" i="28" s="1"/>
  <c r="BG8" i="28"/>
  <c r="BH8" i="28" s="1"/>
  <c r="BI8" i="28" s="1"/>
  <c r="BJ8" i="28" s="1"/>
  <c r="BK8" i="28" s="1"/>
  <c r="BL8" i="28" s="1"/>
  <c r="BM8" i="28" s="1"/>
  <c r="BN8" i="28" s="1"/>
  <c r="BO8" i="28" s="1"/>
  <c r="BP8" i="28" s="1"/>
  <c r="BQ8" i="28" s="1"/>
  <c r="BR8" i="28" s="1"/>
  <c r="BS8" i="28" s="1"/>
  <c r="BT8" i="28" s="1"/>
  <c r="BU8" i="28" s="1"/>
  <c r="BV8" i="28" s="1"/>
  <c r="BG7" i="28"/>
  <c r="BH7" i="28" s="1"/>
  <c r="BI7" i="28" s="1"/>
  <c r="BJ7" i="28" s="1"/>
  <c r="BK7" i="28" s="1"/>
  <c r="BL7" i="28" s="1"/>
  <c r="BM7" i="28" s="1"/>
  <c r="BN7" i="28" s="1"/>
  <c r="BO7" i="28" s="1"/>
  <c r="BP7" i="28" s="1"/>
  <c r="BQ7" i="28" s="1"/>
  <c r="BR7" i="28" s="1"/>
  <c r="BS7" i="28" s="1"/>
  <c r="BT7" i="28" s="1"/>
  <c r="BU7" i="28" s="1"/>
  <c r="BV7" i="28" s="1"/>
  <c r="BG6" i="28"/>
  <c r="BH6" i="28" s="1"/>
  <c r="BI6" i="28" s="1"/>
  <c r="BJ6" i="28" s="1"/>
  <c r="BK6" i="28" s="1"/>
  <c r="BL6" i="28" s="1"/>
  <c r="BM6" i="28" s="1"/>
  <c r="BN6" i="28" s="1"/>
  <c r="BO6" i="28" s="1"/>
  <c r="BP6" i="28" s="1"/>
  <c r="BQ6" i="28" s="1"/>
  <c r="BR6" i="28" s="1"/>
  <c r="BS6" i="28" s="1"/>
  <c r="BT6" i="28" s="1"/>
  <c r="BU6" i="28" s="1"/>
  <c r="BV6" i="28" s="1"/>
  <c r="BG5" i="28"/>
  <c r="BH5" i="28" s="1"/>
  <c r="BI5" i="28" l="1"/>
  <c r="BH11" i="28"/>
  <c r="BH20" i="28"/>
  <c r="CF31" i="22"/>
  <c r="CF24" i="22"/>
  <c r="CF17" i="22"/>
  <c r="CF10" i="22"/>
  <c r="CF3" i="22"/>
  <c r="CQ64" i="11"/>
  <c r="CQ63" i="11"/>
  <c r="CQ62" i="11"/>
  <c r="CQ61" i="11"/>
  <c r="CQ60" i="11"/>
  <c r="CQ55" i="11"/>
  <c r="CQ28" i="11"/>
  <c r="CQ10" i="11"/>
  <c r="CR10" i="11" s="1"/>
  <c r="CS10" i="11" s="1"/>
  <c r="CT10" i="11" s="1"/>
  <c r="CQ9" i="11"/>
  <c r="CR9" i="11" s="1"/>
  <c r="CQ8" i="11"/>
  <c r="CR8" i="11" s="1"/>
  <c r="CQ7" i="11"/>
  <c r="CR7" i="11" s="1"/>
  <c r="CQ6" i="11"/>
  <c r="CR6" i="11" s="1"/>
  <c r="CQ5" i="11"/>
  <c r="CR5" i="11" s="1"/>
  <c r="CS5" i="11" s="1"/>
  <c r="AU31" i="30"/>
  <c r="AU24" i="30"/>
  <c r="AU17" i="30"/>
  <c r="AU10" i="30"/>
  <c r="AU3" i="30"/>
  <c r="BG65" i="28"/>
  <c r="BG64" i="28"/>
  <c r="BG63" i="28"/>
  <c r="BG62" i="28"/>
  <c r="BG61" i="28"/>
  <c r="BG56" i="28"/>
  <c r="BG28" i="28"/>
  <c r="CR104" i="1"/>
  <c r="CR98" i="1"/>
  <c r="CR99" i="1" s="1"/>
  <c r="CR78" i="1"/>
  <c r="CR79" i="1" s="1"/>
  <c r="CR8" i="1"/>
  <c r="BI85" i="27"/>
  <c r="BI87" i="27" s="1"/>
  <c r="BI88" i="27" s="1"/>
  <c r="BI78" i="27"/>
  <c r="BJ5" i="28" l="1"/>
  <c r="BI11" i="28"/>
  <c r="CS6" i="11"/>
  <c r="CS8" i="11"/>
  <c r="CT5" i="11"/>
  <c r="CS7" i="11"/>
  <c r="CS9" i="11"/>
  <c r="CQ65" i="11"/>
  <c r="CQ70" i="11" s="1"/>
  <c r="CR48" i="1" s="1"/>
  <c r="CQ71" i="11"/>
  <c r="CR58" i="1" s="1"/>
  <c r="BG66" i="28"/>
  <c r="BG72" i="28" s="1"/>
  <c r="BI58" i="27" s="1"/>
  <c r="CQ72" i="11"/>
  <c r="CR68" i="1" s="1"/>
  <c r="CQ69" i="11"/>
  <c r="CR38" i="1" s="1"/>
  <c r="CQ11" i="11"/>
  <c r="BG11" i="28"/>
  <c r="CR81" i="1"/>
  <c r="BH84" i="27"/>
  <c r="BK5" i="28" l="1"/>
  <c r="BJ11" i="28"/>
  <c r="CT9" i="11"/>
  <c r="CT7" i="11"/>
  <c r="CS11" i="11"/>
  <c r="CQ68" i="11"/>
  <c r="CQ73" i="11" s="1"/>
  <c r="CT8" i="11"/>
  <c r="CT6" i="11"/>
  <c r="BG73" i="28"/>
  <c r="BI68" i="27" s="1"/>
  <c r="BG70" i="28"/>
  <c r="BI38" i="27" s="1"/>
  <c r="BG71" i="28"/>
  <c r="BI48" i="27" s="1"/>
  <c r="BG69" i="28"/>
  <c r="BI28" i="27" s="1"/>
  <c r="CR28" i="1" l="1"/>
  <c r="CR17" i="1" s="1"/>
  <c r="BL5" i="28"/>
  <c r="BK11" i="28"/>
  <c r="CT11" i="11"/>
  <c r="BG74" i="28"/>
  <c r="BI17" i="27"/>
  <c r="BF10" i="28"/>
  <c r="BG19" i="28" s="1"/>
  <c r="BF9" i="28"/>
  <c r="BG18" i="28" s="1"/>
  <c r="BF8" i="28"/>
  <c r="BG17" i="28" s="1"/>
  <c r="BG34" i="28" s="1"/>
  <c r="BI57" i="27" s="1"/>
  <c r="BF7" i="28"/>
  <c r="BG16" i="28" s="1"/>
  <c r="BF6" i="28"/>
  <c r="BG15" i="28" s="1"/>
  <c r="BG32" i="28" s="1"/>
  <c r="BI37" i="27" s="1"/>
  <c r="BF5" i="28"/>
  <c r="BG14" i="28" s="1"/>
  <c r="BM5" i="28" l="1"/>
  <c r="BL11" i="28"/>
  <c r="BG20" i="28"/>
  <c r="BG31" i="28"/>
  <c r="BG33" i="28"/>
  <c r="BI47" i="27" s="1"/>
  <c r="BG35" i="28"/>
  <c r="BI67" i="27" s="1"/>
  <c r="BN5" i="28" l="1"/>
  <c r="BM11" i="28"/>
  <c r="BG36" i="28"/>
  <c r="BI27" i="27"/>
  <c r="BI16" i="27" s="1"/>
  <c r="CE31" i="22"/>
  <c r="CE24" i="22"/>
  <c r="CE17" i="22"/>
  <c r="CE10" i="22"/>
  <c r="CE3" i="22"/>
  <c r="CP64" i="11"/>
  <c r="CP63" i="11"/>
  <c r="CP62" i="11"/>
  <c r="CP61" i="11"/>
  <c r="CP60" i="11"/>
  <c r="CP55" i="11"/>
  <c r="CP28" i="11"/>
  <c r="CP10" i="11"/>
  <c r="CQ19" i="11" s="1"/>
  <c r="CP9" i="11"/>
  <c r="CQ18" i="11" s="1"/>
  <c r="CP8" i="11"/>
  <c r="CQ17" i="11" s="1"/>
  <c r="CQ34" i="11" s="1"/>
  <c r="CR57" i="1" s="1"/>
  <c r="CP7" i="11"/>
  <c r="CP6" i="11"/>
  <c r="CQ15" i="11" s="1"/>
  <c r="CQ32" i="11" s="1"/>
  <c r="CR37" i="1" s="1"/>
  <c r="CP5" i="11"/>
  <c r="AT31" i="30"/>
  <c r="AT24" i="30"/>
  <c r="AT17" i="30"/>
  <c r="AT10" i="30"/>
  <c r="AT3" i="30"/>
  <c r="CQ104" i="1"/>
  <c r="CQ98" i="1"/>
  <c r="CQ99" i="1" s="1"/>
  <c r="CQ78" i="1"/>
  <c r="CQ79" i="1" s="1"/>
  <c r="CQ8" i="1"/>
  <c r="BF65" i="28"/>
  <c r="BF64" i="28"/>
  <c r="BF63" i="28"/>
  <c r="BF62" i="28"/>
  <c r="BF61" i="28"/>
  <c r="BF56" i="28"/>
  <c r="BF28" i="28"/>
  <c r="BH85" i="27"/>
  <c r="BH87" i="27" s="1"/>
  <c r="BH88" i="27" s="1"/>
  <c r="BH78" i="27"/>
  <c r="BO5" i="28" l="1"/>
  <c r="BN11" i="28"/>
  <c r="CQ35" i="11"/>
  <c r="CR67" i="1" s="1"/>
  <c r="CQ14" i="11"/>
  <c r="CQ16" i="11"/>
  <c r="CQ33" i="11" s="1"/>
  <c r="CR47" i="1" s="1"/>
  <c r="CP65" i="11"/>
  <c r="CP72" i="11" s="1"/>
  <c r="CQ68" i="1" s="1"/>
  <c r="CP11" i="11"/>
  <c r="CQ81" i="1"/>
  <c r="BF66" i="28"/>
  <c r="BF71" i="28" s="1"/>
  <c r="BH48" i="27" s="1"/>
  <c r="BF11" i="28"/>
  <c r="BG6" i="27"/>
  <c r="BP5" i="28" l="1"/>
  <c r="BO11" i="28"/>
  <c r="CP71" i="11"/>
  <c r="CQ58" i="1" s="1"/>
  <c r="CP69" i="11"/>
  <c r="CQ38" i="1" s="1"/>
  <c r="CQ31" i="11"/>
  <c r="CQ20" i="11"/>
  <c r="CP70" i="11"/>
  <c r="CQ48" i="1" s="1"/>
  <c r="CP68" i="11"/>
  <c r="CQ28" i="1" s="1"/>
  <c r="BF73" i="28"/>
  <c r="BH68" i="27" s="1"/>
  <c r="BF72" i="28"/>
  <c r="BH58" i="27" s="1"/>
  <c r="BF70" i="28"/>
  <c r="BH38" i="27" s="1"/>
  <c r="BF69" i="28"/>
  <c r="BE10" i="28"/>
  <c r="BF19" i="28" s="1"/>
  <c r="BE9" i="28"/>
  <c r="BF18" i="28" s="1"/>
  <c r="BE8" i="28"/>
  <c r="BF17" i="28" s="1"/>
  <c r="BF34" i="28" s="1"/>
  <c r="BH57" i="27" s="1"/>
  <c r="BE7" i="28"/>
  <c r="BF16" i="28" s="1"/>
  <c r="BE6" i="28"/>
  <c r="BF15" i="28" s="1"/>
  <c r="BF32" i="28" s="1"/>
  <c r="BH37" i="27" s="1"/>
  <c r="BE5" i="28"/>
  <c r="BF14" i="28" s="1"/>
  <c r="BQ5" i="28" l="1"/>
  <c r="BP11" i="28"/>
  <c r="CP73" i="11"/>
  <c r="CQ36" i="11"/>
  <c r="CR27" i="1"/>
  <c r="CR16" i="1" s="1"/>
  <c r="BF31" i="28"/>
  <c r="BF20" i="28"/>
  <c r="BF33" i="28"/>
  <c r="BH47" i="27" s="1"/>
  <c r="BF35" i="28"/>
  <c r="BH67" i="27" s="1"/>
  <c r="CQ17" i="1"/>
  <c r="BF74" i="28"/>
  <c r="BH28" i="27"/>
  <c r="CD31" i="22"/>
  <c r="CD24" i="22"/>
  <c r="CD17" i="22"/>
  <c r="CD10" i="22"/>
  <c r="CD3" i="22"/>
  <c r="CO64" i="11"/>
  <c r="CO63" i="11"/>
  <c r="CO62" i="11"/>
  <c r="CO61" i="11"/>
  <c r="CO60" i="11"/>
  <c r="CO55" i="11"/>
  <c r="CO28" i="11"/>
  <c r="CO10" i="11"/>
  <c r="CP19" i="11" s="1"/>
  <c r="CO9" i="11"/>
  <c r="CP18" i="11" s="1"/>
  <c r="CO8" i="11"/>
  <c r="CP17" i="11" s="1"/>
  <c r="CP34" i="11" s="1"/>
  <c r="CQ57" i="1" s="1"/>
  <c r="CO7" i="11"/>
  <c r="CO6" i="11"/>
  <c r="CP15" i="11" s="1"/>
  <c r="CP32" i="11" s="1"/>
  <c r="CQ37" i="1" s="1"/>
  <c r="CO5" i="11"/>
  <c r="CP104" i="1"/>
  <c r="CP98" i="1"/>
  <c r="CP99" i="1" s="1"/>
  <c r="CP78" i="1"/>
  <c r="CP79" i="1" s="1"/>
  <c r="CP8" i="1"/>
  <c r="AS31" i="30"/>
  <c r="AS24" i="30"/>
  <c r="AS17" i="30"/>
  <c r="AS10" i="30"/>
  <c r="AS3" i="30"/>
  <c r="BE65" i="28"/>
  <c r="BE64" i="28"/>
  <c r="BE63" i="28"/>
  <c r="BE62" i="28"/>
  <c r="BE61" i="28"/>
  <c r="BE56" i="28"/>
  <c r="BE28" i="28"/>
  <c r="BG85" i="27"/>
  <c r="BG87" i="27" s="1"/>
  <c r="BG88" i="27" s="1"/>
  <c r="BG78" i="27"/>
  <c r="BG8" i="27"/>
  <c r="BR5" i="28" l="1"/>
  <c r="BQ11" i="28"/>
  <c r="CP35" i="11"/>
  <c r="CQ67" i="1" s="1"/>
  <c r="CO11" i="11"/>
  <c r="CP14" i="11"/>
  <c r="CP16" i="11"/>
  <c r="CP33" i="11" s="1"/>
  <c r="CQ47" i="1" s="1"/>
  <c r="CO65" i="11"/>
  <c r="CO68" i="11" s="1"/>
  <c r="BH27" i="27"/>
  <c r="BH16" i="27" s="1"/>
  <c r="BF36" i="28"/>
  <c r="BH17" i="27"/>
  <c r="CO71" i="11"/>
  <c r="CP58" i="1" s="1"/>
  <c r="CO69" i="11"/>
  <c r="CP38" i="1" s="1"/>
  <c r="CO72" i="11"/>
  <c r="CP68" i="1" s="1"/>
  <c r="CP81" i="1"/>
  <c r="BE66" i="28"/>
  <c r="BE72" i="28" s="1"/>
  <c r="BG58" i="27" s="1"/>
  <c r="BE11" i="28"/>
  <c r="BF6" i="27"/>
  <c r="FQ6" i="29" s="1"/>
  <c r="FR6" i="29" s="1"/>
  <c r="BS5" i="28" l="1"/>
  <c r="BR11" i="28"/>
  <c r="CO70" i="11"/>
  <c r="CP48" i="1" s="1"/>
  <c r="BE73" i="28"/>
  <c r="BG68" i="27" s="1"/>
  <c r="BE69" i="28"/>
  <c r="BG28" i="27" s="1"/>
  <c r="CP31" i="11"/>
  <c r="CP20" i="11"/>
  <c r="CO73" i="11"/>
  <c r="CP28" i="1"/>
  <c r="BE71" i="28"/>
  <c r="BG48" i="27" s="1"/>
  <c r="BE70" i="28"/>
  <c r="BG38" i="27" s="1"/>
  <c r="BE85" i="27"/>
  <c r="BE87" i="27" s="1"/>
  <c r="BT5" i="28" l="1"/>
  <c r="BS11" i="28"/>
  <c r="CQ27" i="1"/>
  <c r="CQ16" i="1" s="1"/>
  <c r="CP36" i="11"/>
  <c r="CP17" i="1"/>
  <c r="BG17" i="27"/>
  <c r="BE74" i="28"/>
  <c r="BD10" i="28"/>
  <c r="BE19" i="28" s="1"/>
  <c r="BD9" i="28"/>
  <c r="BE18" i="28" s="1"/>
  <c r="BD8" i="28"/>
  <c r="BE17" i="28" s="1"/>
  <c r="BE34" i="28" s="1"/>
  <c r="BG57" i="27" s="1"/>
  <c r="BD7" i="28"/>
  <c r="BE16" i="28" s="1"/>
  <c r="BD6" i="28"/>
  <c r="BE15" i="28" s="1"/>
  <c r="BE32" i="28" s="1"/>
  <c r="BG37" i="27" s="1"/>
  <c r="BD5" i="28"/>
  <c r="BE14" i="28" s="1"/>
  <c r="BU5" i="28" l="1"/>
  <c r="BT11" i="28"/>
  <c r="BE31" i="28"/>
  <c r="BE20" i="28"/>
  <c r="BE33" i="28"/>
  <c r="BG47" i="27" s="1"/>
  <c r="BE35" i="28"/>
  <c r="BG67" i="27" s="1"/>
  <c r="BD28" i="28"/>
  <c r="BV5" i="28" l="1"/>
  <c r="BV11" i="28" s="1"/>
  <c r="BU11" i="28"/>
  <c r="BE36" i="28"/>
  <c r="BG27" i="27"/>
  <c r="BG16" i="27" s="1"/>
  <c r="BF8" i="27"/>
  <c r="CC31" i="22"/>
  <c r="CC24" i="22"/>
  <c r="CC17" i="22"/>
  <c r="CC10" i="22"/>
  <c r="CC3" i="22"/>
  <c r="CN64" i="11"/>
  <c r="CN63" i="11"/>
  <c r="CN62" i="11"/>
  <c r="CN61" i="11"/>
  <c r="CN60" i="11"/>
  <c r="CN55" i="11"/>
  <c r="CN28" i="11"/>
  <c r="CN10" i="11"/>
  <c r="CN9" i="11"/>
  <c r="CO18" i="11" s="1"/>
  <c r="CN8" i="11"/>
  <c r="CO17" i="11" s="1"/>
  <c r="CN7" i="11"/>
  <c r="CO16" i="11" s="1"/>
  <c r="CN6" i="11"/>
  <c r="CO15" i="11" s="1"/>
  <c r="CN5" i="11"/>
  <c r="AR31" i="30"/>
  <c r="AR24" i="30"/>
  <c r="AR17" i="30"/>
  <c r="AR10" i="30"/>
  <c r="AR3" i="30"/>
  <c r="BD65" i="28"/>
  <c r="BD64" i="28"/>
  <c r="BD63" i="28"/>
  <c r="BD62" i="28"/>
  <c r="BD61" i="28"/>
  <c r="BD56" i="28"/>
  <c r="CO104" i="1"/>
  <c r="CO98" i="1"/>
  <c r="CO99" i="1" s="1"/>
  <c r="CO78" i="1"/>
  <c r="CO79" i="1" s="1"/>
  <c r="CO8" i="1"/>
  <c r="BF85" i="27"/>
  <c r="BF87" i="27" s="1"/>
  <c r="BF88" i="27" s="1"/>
  <c r="BF78" i="27"/>
  <c r="CO19" i="11" l="1"/>
  <c r="CO32" i="11" s="1"/>
  <c r="CP37" i="1" s="1"/>
  <c r="CN11" i="11"/>
  <c r="CO14" i="11"/>
  <c r="CN65" i="11"/>
  <c r="CN70" i="11" s="1"/>
  <c r="CO48" i="1" s="1"/>
  <c r="BD66" i="28"/>
  <c r="BD11" i="28"/>
  <c r="CO81" i="1"/>
  <c r="CO33" i="11" l="1"/>
  <c r="CP47" i="1" s="1"/>
  <c r="CN69" i="11"/>
  <c r="CO38" i="1" s="1"/>
  <c r="CO34" i="11"/>
  <c r="CP57" i="1" s="1"/>
  <c r="CO35" i="11"/>
  <c r="CP67" i="1" s="1"/>
  <c r="CO31" i="11"/>
  <c r="CO20" i="11"/>
  <c r="CN72" i="11"/>
  <c r="CO68" i="1" s="1"/>
  <c r="CN71" i="11"/>
  <c r="CO58" i="1" s="1"/>
  <c r="CN68" i="11"/>
  <c r="BD73" i="28"/>
  <c r="BF68" i="27" s="1"/>
  <c r="BD70" i="28"/>
  <c r="BF38" i="27" s="1"/>
  <c r="BD71" i="28"/>
  <c r="BF48" i="27" s="1"/>
  <c r="BD69" i="28"/>
  <c r="BD72" i="28"/>
  <c r="BF58" i="27" s="1"/>
  <c r="BC10" i="28"/>
  <c r="BD19" i="28" s="1"/>
  <c r="BC9" i="28"/>
  <c r="BD18" i="28" s="1"/>
  <c r="BC8" i="28"/>
  <c r="BD17" i="28" s="1"/>
  <c r="BD34" i="28" s="1"/>
  <c r="BF57" i="27" s="1"/>
  <c r="BC7" i="28"/>
  <c r="BD16" i="28" s="1"/>
  <c r="BC6" i="28"/>
  <c r="BD15" i="28" s="1"/>
  <c r="BD32" i="28" s="1"/>
  <c r="BF37" i="27" s="1"/>
  <c r="BC5" i="28"/>
  <c r="BD14" i="28" s="1"/>
  <c r="BD33" i="28" l="1"/>
  <c r="BF47" i="27" s="1"/>
  <c r="BD35" i="28"/>
  <c r="BF67" i="27" s="1"/>
  <c r="BD20" i="28"/>
  <c r="BD31" i="28"/>
  <c r="CP27" i="1"/>
  <c r="CP16" i="1" s="1"/>
  <c r="CO36" i="11"/>
  <c r="CN73" i="11"/>
  <c r="CO28" i="1"/>
  <c r="BD74" i="28"/>
  <c r="BF28" i="27"/>
  <c r="BE6" i="27"/>
  <c r="BD36" i="28" l="1"/>
  <c r="BF27" i="27"/>
  <c r="BF16" i="27" s="1"/>
  <c r="CO17" i="1"/>
  <c r="BF17" i="27"/>
  <c r="CB31" i="22"/>
  <c r="CB24" i="22"/>
  <c r="CB17" i="22"/>
  <c r="CB10" i="22"/>
  <c r="CB3" i="22"/>
  <c r="CM64" i="11"/>
  <c r="CM63" i="11"/>
  <c r="CM62" i="11"/>
  <c r="CM61" i="11"/>
  <c r="CM60" i="11"/>
  <c r="CM55" i="11"/>
  <c r="CM28" i="11"/>
  <c r="CM10" i="11"/>
  <c r="CN19" i="11" s="1"/>
  <c r="CM9" i="11"/>
  <c r="CM8" i="11"/>
  <c r="CN17" i="11" s="1"/>
  <c r="CN34" i="11" s="1"/>
  <c r="CO57" i="1" s="1"/>
  <c r="CM7" i="11"/>
  <c r="CN16" i="11" s="1"/>
  <c r="CM6" i="11"/>
  <c r="CN15" i="11" s="1"/>
  <c r="CN32" i="11" s="1"/>
  <c r="CO37" i="1" s="1"/>
  <c r="CM5" i="11"/>
  <c r="CN104" i="1"/>
  <c r="CN98" i="1"/>
  <c r="CN99" i="1" s="1"/>
  <c r="CN78" i="1"/>
  <c r="CN79" i="1" s="1"/>
  <c r="CN8" i="1"/>
  <c r="AQ31" i="30"/>
  <c r="AQ24" i="30"/>
  <c r="AQ17" i="30"/>
  <c r="AQ10" i="30"/>
  <c r="AQ3" i="30"/>
  <c r="BC65" i="28"/>
  <c r="BC64" i="28"/>
  <c r="BC63" i="28"/>
  <c r="BC62" i="28"/>
  <c r="BC61" i="28"/>
  <c r="BC56" i="28"/>
  <c r="BC28" i="28"/>
  <c r="BC11" i="28"/>
  <c r="BE88" i="27"/>
  <c r="BE78" i="27"/>
  <c r="BE8" i="27"/>
  <c r="CN33" i="11" l="1"/>
  <c r="CO47" i="1" s="1"/>
  <c r="CN14" i="11"/>
  <c r="CN18" i="11"/>
  <c r="CN35" i="11" s="1"/>
  <c r="CO67" i="1" s="1"/>
  <c r="CM65" i="11"/>
  <c r="CM70" i="11" s="1"/>
  <c r="CN48" i="1" s="1"/>
  <c r="CN81" i="1"/>
  <c r="CM72" i="11"/>
  <c r="CN68" i="1" s="1"/>
  <c r="CM11" i="11"/>
  <c r="BC66" i="28"/>
  <c r="BC71" i="28" s="1"/>
  <c r="BE48" i="27" s="1"/>
  <c r="BB10" i="28"/>
  <c r="BC19" i="28" s="1"/>
  <c r="BB9" i="28"/>
  <c r="BC18" i="28" s="1"/>
  <c r="BB8" i="28"/>
  <c r="BC17" i="28" s="1"/>
  <c r="BC34" i="28" s="1"/>
  <c r="BE57" i="27" s="1"/>
  <c r="BB7" i="28"/>
  <c r="BC16" i="28" s="1"/>
  <c r="BB6" i="28"/>
  <c r="BC15" i="28" s="1"/>
  <c r="BC32" i="28" s="1"/>
  <c r="BE37" i="27" s="1"/>
  <c r="BB5" i="28"/>
  <c r="BC14" i="28" s="1"/>
  <c r="CM68" i="11" l="1"/>
  <c r="CM69" i="11"/>
  <c r="CN38" i="1" s="1"/>
  <c r="BC31" i="28"/>
  <c r="BE27" i="27" s="1"/>
  <c r="BC33" i="28"/>
  <c r="BE47" i="27" s="1"/>
  <c r="BC35" i="28"/>
  <c r="BE67" i="27" s="1"/>
  <c r="BC20" i="28"/>
  <c r="CN31" i="11"/>
  <c r="CN20" i="11"/>
  <c r="CM71" i="11"/>
  <c r="CN58" i="1" s="1"/>
  <c r="CN28" i="1"/>
  <c r="BC73" i="28"/>
  <c r="BE68" i="27" s="1"/>
  <c r="BC72" i="28"/>
  <c r="BE58" i="27" s="1"/>
  <c r="BC69" i="28"/>
  <c r="BC70" i="28"/>
  <c r="BE38" i="27" s="1"/>
  <c r="BD6" i="27"/>
  <c r="CM73" i="11" l="1"/>
  <c r="BE16" i="27"/>
  <c r="BC36" i="28"/>
  <c r="CN36" i="11"/>
  <c r="CO27" i="1"/>
  <c r="CO16" i="1" s="1"/>
  <c r="CN17" i="1"/>
  <c r="BE28" i="27"/>
  <c r="BC74" i="28"/>
  <c r="CA31" i="22"/>
  <c r="CA24" i="22"/>
  <c r="CA17" i="22"/>
  <c r="CA10" i="22"/>
  <c r="CA3" i="22"/>
  <c r="CL64" i="11"/>
  <c r="CL63" i="11"/>
  <c r="CL62" i="11"/>
  <c r="CL61" i="11"/>
  <c r="CL60" i="11"/>
  <c r="CL55" i="11"/>
  <c r="CL28" i="11"/>
  <c r="CL10" i="11"/>
  <c r="CM19" i="11" s="1"/>
  <c r="CL9" i="11"/>
  <c r="CM18" i="11" s="1"/>
  <c r="CL8" i="11"/>
  <c r="CL7" i="11"/>
  <c r="CL6" i="11"/>
  <c r="CM15" i="11" s="1"/>
  <c r="CM32" i="11" s="1"/>
  <c r="CN37" i="1" s="1"/>
  <c r="CL5" i="11"/>
  <c r="AP31" i="30"/>
  <c r="AP24" i="30"/>
  <c r="AP17" i="30"/>
  <c r="AP10" i="30"/>
  <c r="AP3" i="30"/>
  <c r="BB65" i="28"/>
  <c r="BB64" i="28"/>
  <c r="BB63" i="28"/>
  <c r="BB62" i="28"/>
  <c r="BB61" i="28"/>
  <c r="BB56" i="28"/>
  <c r="BB28" i="28"/>
  <c r="CM104" i="1"/>
  <c r="CM98" i="1"/>
  <c r="CM99" i="1" s="1"/>
  <c r="CM78" i="1"/>
  <c r="CM79" i="1" s="1"/>
  <c r="CM81" i="1" s="1"/>
  <c r="CM8" i="1"/>
  <c r="CM17" i="11" l="1"/>
  <c r="CM34" i="11" s="1"/>
  <c r="CN57" i="1" s="1"/>
  <c r="CM14" i="11"/>
  <c r="CM16" i="11"/>
  <c r="CM33" i="11" s="1"/>
  <c r="CN47" i="1" s="1"/>
  <c r="CM35" i="11"/>
  <c r="CN67" i="1" s="1"/>
  <c r="BE17" i="27"/>
  <c r="BB66" i="28"/>
  <c r="BB71" i="28" s="1"/>
  <c r="CL65" i="11"/>
  <c r="CL72" i="11" s="1"/>
  <c r="CM68" i="1" s="1"/>
  <c r="CL11" i="11"/>
  <c r="BB73" i="28"/>
  <c r="BB11" i="28"/>
  <c r="BB70" i="28" l="1"/>
  <c r="BB72" i="28"/>
  <c r="BB69" i="28"/>
  <c r="CM20" i="11"/>
  <c r="CM31" i="11"/>
  <c r="CL70" i="11"/>
  <c r="CM48" i="1" s="1"/>
  <c r="CL69" i="11"/>
  <c r="CM38" i="1" s="1"/>
  <c r="CL68" i="11"/>
  <c r="CL71" i="11"/>
  <c r="CM58" i="1" s="1"/>
  <c r="BB74" i="28" l="1"/>
  <c r="CM36" i="11"/>
  <c r="CN27" i="1"/>
  <c r="CN16" i="1" s="1"/>
  <c r="CL73" i="11"/>
  <c r="CM28" i="1"/>
  <c r="CM17" i="1" l="1"/>
  <c r="BD85" i="27"/>
  <c r="BD78" i="27"/>
  <c r="BD68" i="27"/>
  <c r="BD58" i="27"/>
  <c r="BD48" i="27"/>
  <c r="BD38" i="27"/>
  <c r="BD28" i="27"/>
  <c r="BD8" i="27"/>
  <c r="BD87" i="27" l="1"/>
  <c r="BD88" i="27" s="1"/>
  <c r="BD17" i="27"/>
  <c r="BA10" i="28"/>
  <c r="BB19" i="28" s="1"/>
  <c r="BA9" i="28"/>
  <c r="BB18" i="28" s="1"/>
  <c r="BA8" i="28"/>
  <c r="BB17" i="28" s="1"/>
  <c r="BB34" i="28" s="1"/>
  <c r="BD57" i="27" s="1"/>
  <c r="BA7" i="28"/>
  <c r="BB16" i="28" s="1"/>
  <c r="BA6" i="28"/>
  <c r="BB15" i="28" s="1"/>
  <c r="BB32" i="28" s="1"/>
  <c r="BD37" i="27" s="1"/>
  <c r="BA5" i="28"/>
  <c r="BB14" i="28" s="1"/>
  <c r="BB33" i="28" l="1"/>
  <c r="BD47" i="27" s="1"/>
  <c r="BB35" i="28"/>
  <c r="BD67" i="27" s="1"/>
  <c r="BB31" i="28"/>
  <c r="BB20" i="28"/>
  <c r="BC6" i="27"/>
  <c r="BB36" i="28" l="1"/>
  <c r="BD27" i="27"/>
  <c r="BD16" i="27" s="1"/>
  <c r="BZ31" i="22"/>
  <c r="BZ24" i="22"/>
  <c r="BZ17" i="22"/>
  <c r="BZ10" i="22"/>
  <c r="BZ3" i="22"/>
  <c r="CK64" i="11"/>
  <c r="CK63" i="11"/>
  <c r="CK62" i="11"/>
  <c r="CK61" i="11"/>
  <c r="CK60" i="11"/>
  <c r="CK55" i="11"/>
  <c r="CK28" i="11"/>
  <c r="CK10" i="11"/>
  <c r="CL19" i="11" s="1"/>
  <c r="CK9" i="11"/>
  <c r="CK8" i="11"/>
  <c r="CL17" i="11" s="1"/>
  <c r="CL34" i="11" s="1"/>
  <c r="CM57" i="1" s="1"/>
  <c r="CK7" i="11"/>
  <c r="CL16" i="11" s="1"/>
  <c r="CK6" i="11"/>
  <c r="CL15" i="11" s="1"/>
  <c r="CL32" i="11" s="1"/>
  <c r="CM37" i="1" s="1"/>
  <c r="CK5" i="11"/>
  <c r="CL104" i="1"/>
  <c r="CL98" i="1"/>
  <c r="CL99" i="1" s="1"/>
  <c r="CL78" i="1"/>
  <c r="CL79" i="1" s="1"/>
  <c r="CL8" i="1"/>
  <c r="BC8" i="27"/>
  <c r="AO31" i="30"/>
  <c r="AO24" i="30"/>
  <c r="AO17" i="30"/>
  <c r="AO10" i="30"/>
  <c r="AO3" i="30"/>
  <c r="BA65" i="28"/>
  <c r="BA64" i="28"/>
  <c r="BA63" i="28"/>
  <c r="BA62" i="28"/>
  <c r="BA61" i="28"/>
  <c r="BA56" i="28"/>
  <c r="BA28" i="28"/>
  <c r="BC85" i="27"/>
  <c r="BC87" i="27" s="1"/>
  <c r="BC78" i="27"/>
  <c r="CL14" i="11" l="1"/>
  <c r="CL33" i="11"/>
  <c r="CM47" i="1" s="1"/>
  <c r="CL18" i="11"/>
  <c r="CL35" i="11" s="1"/>
  <c r="CM67" i="1" s="1"/>
  <c r="CK65" i="11"/>
  <c r="CK70" i="11" s="1"/>
  <c r="CL48" i="1" s="1"/>
  <c r="CK11" i="11"/>
  <c r="CL81" i="1"/>
  <c r="BA66" i="28"/>
  <c r="BA11" i="28"/>
  <c r="BC88" i="27"/>
  <c r="CK71" i="11" l="1"/>
  <c r="CL58" i="1" s="1"/>
  <c r="CL20" i="11"/>
  <c r="CL31" i="11"/>
  <c r="CK69" i="11"/>
  <c r="CL38" i="1" s="1"/>
  <c r="CK68" i="11"/>
  <c r="CK72" i="11"/>
  <c r="CL68" i="1" s="1"/>
  <c r="BA70" i="28"/>
  <c r="BC38" i="27" s="1"/>
  <c r="BA69" i="28"/>
  <c r="BA73" i="28"/>
  <c r="BC68" i="27" s="1"/>
  <c r="BA71" i="28"/>
  <c r="BC48" i="27" s="1"/>
  <c r="BA72" i="28"/>
  <c r="BC58" i="27" s="1"/>
  <c r="AZ10" i="28"/>
  <c r="BA19" i="28" s="1"/>
  <c r="AZ9" i="28"/>
  <c r="BA18" i="28" s="1"/>
  <c r="AZ8" i="28"/>
  <c r="BA17" i="28" s="1"/>
  <c r="BA34" i="28" s="1"/>
  <c r="BC57" i="27" s="1"/>
  <c r="AZ7" i="28"/>
  <c r="BA16" i="28" s="1"/>
  <c r="AZ6" i="28"/>
  <c r="BA15" i="28" s="1"/>
  <c r="BA32" i="28" s="1"/>
  <c r="BC37" i="27" s="1"/>
  <c r="AZ5" i="28"/>
  <c r="BA14" i="28" s="1"/>
  <c r="CL36" i="11" l="1"/>
  <c r="CM27" i="1"/>
  <c r="CM16" i="1" s="1"/>
  <c r="BA31" i="28"/>
  <c r="BA33" i="28"/>
  <c r="BC47" i="27" s="1"/>
  <c r="BA35" i="28"/>
  <c r="BC67" i="27" s="1"/>
  <c r="BA20" i="28"/>
  <c r="CL28" i="1"/>
  <c r="CK73" i="11"/>
  <c r="BA74" i="28"/>
  <c r="BC28" i="27"/>
  <c r="BB6" i="27"/>
  <c r="BA36" i="28" l="1"/>
  <c r="BC27" i="27"/>
  <c r="BC16" i="27" s="1"/>
  <c r="CL17" i="1"/>
  <c r="BC17" i="27"/>
  <c r="FE6" i="29"/>
  <c r="ER6" i="29"/>
  <c r="EZ6" i="29"/>
  <c r="EK6" i="29"/>
  <c r="EF6" i="29"/>
  <c r="EE6" i="29"/>
  <c r="ED6" i="29"/>
  <c r="CJ64" i="11" l="1"/>
  <c r="CJ63" i="11"/>
  <c r="CJ62" i="11"/>
  <c r="CJ61" i="11"/>
  <c r="CJ60" i="11"/>
  <c r="CJ55" i="11"/>
  <c r="CJ28" i="11"/>
  <c r="CJ10" i="11"/>
  <c r="CJ9" i="11"/>
  <c r="CJ8" i="11"/>
  <c r="CJ7" i="11"/>
  <c r="CK16" i="11" s="1"/>
  <c r="CJ6" i="11"/>
  <c r="CK15" i="11" s="1"/>
  <c r="CJ5" i="11"/>
  <c r="CK104" i="1"/>
  <c r="CK98" i="1"/>
  <c r="CK99" i="1" s="1"/>
  <c r="CK78" i="1"/>
  <c r="CK79" i="1" s="1"/>
  <c r="CK8" i="1"/>
  <c r="AZ65" i="28"/>
  <c r="AZ64" i="28"/>
  <c r="AZ63" i="28"/>
  <c r="AZ62" i="28"/>
  <c r="AZ61" i="28"/>
  <c r="AZ56" i="28"/>
  <c r="AZ28" i="28"/>
  <c r="BB85" i="27"/>
  <c r="BB78" i="27"/>
  <c r="BB8" i="27"/>
  <c r="CK17" i="11" l="1"/>
  <c r="CK19" i="11"/>
  <c r="CK32" i="11" s="1"/>
  <c r="CL37" i="1" s="1"/>
  <c r="BB87" i="27"/>
  <c r="BB88" i="27" s="1"/>
  <c r="CK14" i="11"/>
  <c r="CK33" i="11"/>
  <c r="CL47" i="1" s="1"/>
  <c r="CK18" i="11"/>
  <c r="CJ68" i="11"/>
  <c r="CJ65" i="11"/>
  <c r="CJ71" i="11" s="1"/>
  <c r="CK58" i="1" s="1"/>
  <c r="CJ11" i="11"/>
  <c r="CK81" i="1"/>
  <c r="AZ66" i="28"/>
  <c r="AZ69" i="28" s="1"/>
  <c r="AZ11" i="28"/>
  <c r="AY10" i="28"/>
  <c r="AZ19" i="28" s="1"/>
  <c r="AY9" i="28"/>
  <c r="AZ18" i="28" s="1"/>
  <c r="AY8" i="28"/>
  <c r="AZ17" i="28" s="1"/>
  <c r="AZ34" i="28" s="1"/>
  <c r="BB57" i="27" s="1"/>
  <c r="AY7" i="28"/>
  <c r="AZ16" i="28" s="1"/>
  <c r="AY6" i="28"/>
  <c r="AZ15" i="28" s="1"/>
  <c r="AZ32" i="28" s="1"/>
  <c r="BB37" i="27" s="1"/>
  <c r="AY5" i="28"/>
  <c r="AZ14" i="28" s="1"/>
  <c r="CK35" i="11" l="1"/>
  <c r="CL67" i="1" s="1"/>
  <c r="AZ31" i="28"/>
  <c r="BB27" i="27" s="1"/>
  <c r="AZ35" i="28"/>
  <c r="BB67" i="27" s="1"/>
  <c r="AZ20" i="28"/>
  <c r="AZ33" i="28"/>
  <c r="BB47" i="27" s="1"/>
  <c r="BB16" i="27" s="1"/>
  <c r="CK31" i="11"/>
  <c r="CK20" i="11"/>
  <c r="CK34" i="11"/>
  <c r="CL57" i="1" s="1"/>
  <c r="CJ69" i="11"/>
  <c r="CK38" i="1" s="1"/>
  <c r="CJ72" i="11"/>
  <c r="CK68" i="1" s="1"/>
  <c r="CJ70" i="11"/>
  <c r="CK48" i="1" s="1"/>
  <c r="CK28" i="1"/>
  <c r="BB28" i="27"/>
  <c r="AZ71" i="28"/>
  <c r="BB48" i="27" s="1"/>
  <c r="AZ73" i="28"/>
  <c r="BB68" i="27" s="1"/>
  <c r="AZ70" i="28"/>
  <c r="BB38" i="27" s="1"/>
  <c r="AZ36" i="28"/>
  <c r="AZ72" i="28"/>
  <c r="BB58" i="27" s="1"/>
  <c r="BA6" i="27"/>
  <c r="CK36" i="11" l="1"/>
  <c r="CL27" i="1"/>
  <c r="CL16" i="1" s="1"/>
  <c r="CK17" i="1"/>
  <c r="CJ73" i="11"/>
  <c r="BB17" i="27"/>
  <c r="AZ74" i="28"/>
  <c r="BA85" i="27"/>
  <c r="AN31" i="30" l="1"/>
  <c r="AN24" i="30"/>
  <c r="AN25" i="30" s="1"/>
  <c r="AN17" i="30"/>
  <c r="AN10" i="30"/>
  <c r="AN3" i="30"/>
  <c r="BY31" i="22"/>
  <c r="BY24" i="22"/>
  <c r="BY25" i="22" s="1"/>
  <c r="BZ25" i="22" s="1"/>
  <c r="BY17" i="22"/>
  <c r="BY10" i="22"/>
  <c r="BY3" i="22"/>
  <c r="BX31" i="22"/>
  <c r="BX24" i="22"/>
  <c r="BX17" i="22"/>
  <c r="BX10" i="22"/>
  <c r="BX3" i="22"/>
  <c r="CI64" i="11"/>
  <c r="CI63" i="11"/>
  <c r="CI62" i="11"/>
  <c r="CI61" i="11"/>
  <c r="CI60" i="11"/>
  <c r="CI55" i="11"/>
  <c r="CI28" i="11"/>
  <c r="CI10" i="11"/>
  <c r="CJ19" i="11" s="1"/>
  <c r="CI9" i="11"/>
  <c r="CI8" i="11"/>
  <c r="CJ17" i="11" s="1"/>
  <c r="CJ34" i="11" s="1"/>
  <c r="CK57" i="1" s="1"/>
  <c r="CI7" i="11"/>
  <c r="CJ16" i="11" s="1"/>
  <c r="CI6" i="11"/>
  <c r="CJ15" i="11" s="1"/>
  <c r="CJ32" i="11" s="1"/>
  <c r="CK37" i="1" s="1"/>
  <c r="CI5" i="11"/>
  <c r="CJ14" i="11" s="1"/>
  <c r="CJ104" i="1"/>
  <c r="CJ98" i="1"/>
  <c r="CJ99" i="1" s="1"/>
  <c r="CJ78" i="1"/>
  <c r="CJ79" i="1" s="1"/>
  <c r="CJ8" i="1"/>
  <c r="AM31" i="30"/>
  <c r="AM24" i="30"/>
  <c r="AM17" i="30"/>
  <c r="AM10" i="30"/>
  <c r="AM3" i="30"/>
  <c r="AY65" i="28"/>
  <c r="AY64" i="28"/>
  <c r="AY63" i="28"/>
  <c r="AY62" i="28"/>
  <c r="AY61" i="28"/>
  <c r="AY56" i="28"/>
  <c r="AY28" i="28"/>
  <c r="AY11" i="28"/>
  <c r="CJ33" i="11" l="1"/>
  <c r="CK47" i="1" s="1"/>
  <c r="CJ31" i="11"/>
  <c r="CJ18" i="11"/>
  <c r="CJ35" i="11" s="1"/>
  <c r="CK67" i="1" s="1"/>
  <c r="CI11" i="11"/>
  <c r="AN26" i="30"/>
  <c r="AO25" i="30"/>
  <c r="CA25" i="22"/>
  <c r="BY26" i="22"/>
  <c r="BY12" i="22"/>
  <c r="BZ12" i="22" s="1"/>
  <c r="CA12" i="22" s="1"/>
  <c r="BY32" i="22"/>
  <c r="BZ32" i="22" s="1"/>
  <c r="BY4" i="22"/>
  <c r="BZ4" i="22" s="1"/>
  <c r="AN4" i="30"/>
  <c r="AN27" i="30"/>
  <c r="AN28" i="30" s="1"/>
  <c r="AN29" i="30" s="1"/>
  <c r="BB59" i="27" s="1"/>
  <c r="BB60" i="27" s="1"/>
  <c r="BB61" i="27" s="1"/>
  <c r="AN32" i="30"/>
  <c r="AM20" i="30"/>
  <c r="AM21" i="30" s="1"/>
  <c r="AM22" i="30" s="1"/>
  <c r="AN18" i="30"/>
  <c r="AN11" i="30"/>
  <c r="BY18" i="22"/>
  <c r="BZ18" i="22" s="1"/>
  <c r="BY19" i="22"/>
  <c r="BZ19" i="22" s="1"/>
  <c r="BY11" i="22"/>
  <c r="BZ11" i="22" s="1"/>
  <c r="BY5" i="22"/>
  <c r="BZ5" i="22" s="1"/>
  <c r="BY33" i="22"/>
  <c r="BZ33" i="22" s="1"/>
  <c r="CA33" i="22" s="1"/>
  <c r="BX13" i="22"/>
  <c r="BX14" i="22" s="1"/>
  <c r="BX15" i="22" s="1"/>
  <c r="BX20" i="22"/>
  <c r="BX21" i="22" s="1"/>
  <c r="BX22" i="22" s="1"/>
  <c r="BX6" i="22"/>
  <c r="BX7" i="22" s="1"/>
  <c r="BX8" i="22" s="1"/>
  <c r="BX27" i="22"/>
  <c r="BX34" i="22"/>
  <c r="CI65" i="11"/>
  <c r="CI69" i="11" s="1"/>
  <c r="CJ38" i="1" s="1"/>
  <c r="CJ81" i="1"/>
  <c r="AM27" i="30"/>
  <c r="AM28" i="30" s="1"/>
  <c r="AM29" i="30" s="1"/>
  <c r="AY66" i="28"/>
  <c r="CJ20" i="11" l="1"/>
  <c r="CB33" i="22"/>
  <c r="CA11" i="22"/>
  <c r="CB11" i="22" s="1"/>
  <c r="BZ13" i="22"/>
  <c r="BZ14" i="22" s="1"/>
  <c r="BZ15" i="22" s="1"/>
  <c r="CL39" i="1" s="1"/>
  <c r="CL40" i="1" s="1"/>
  <c r="CL41" i="1" s="1"/>
  <c r="CA19" i="22"/>
  <c r="AN12" i="30"/>
  <c r="AN13" i="30" s="1"/>
  <c r="AN14" i="30" s="1"/>
  <c r="AN15" i="30" s="1"/>
  <c r="BB39" i="27" s="1"/>
  <c r="BB40" i="27" s="1"/>
  <c r="BB41" i="27" s="1"/>
  <c r="AO11" i="30"/>
  <c r="AN33" i="30"/>
  <c r="AN34" i="30" s="1"/>
  <c r="AN35" i="30" s="1"/>
  <c r="AN36" i="30" s="1"/>
  <c r="BB69" i="27" s="1"/>
  <c r="AO32" i="30"/>
  <c r="AN5" i="30"/>
  <c r="AN6" i="30" s="1"/>
  <c r="AN7" i="30" s="1"/>
  <c r="AN8" i="30" s="1"/>
  <c r="BB29" i="27" s="1"/>
  <c r="BB30" i="27" s="1"/>
  <c r="BB31" i="27" s="1"/>
  <c r="AO4" i="30"/>
  <c r="CA32" i="22"/>
  <c r="BZ34" i="22"/>
  <c r="BZ35" i="22" s="1"/>
  <c r="BZ36" i="22" s="1"/>
  <c r="CL69" i="1" s="1"/>
  <c r="BY27" i="22"/>
  <c r="BZ26" i="22"/>
  <c r="AO26" i="30"/>
  <c r="AP25" i="30"/>
  <c r="AO27" i="30"/>
  <c r="AO28" i="30" s="1"/>
  <c r="AO29" i="30" s="1"/>
  <c r="BC59" i="27" s="1"/>
  <c r="BC60" i="27" s="1"/>
  <c r="BC61" i="27" s="1"/>
  <c r="CA5" i="22"/>
  <c r="BY28" i="22"/>
  <c r="BY29" i="22" s="1"/>
  <c r="CK59" i="1" s="1"/>
  <c r="CK60" i="1" s="1"/>
  <c r="CK61" i="1" s="1"/>
  <c r="CA18" i="22"/>
  <c r="BZ20" i="22"/>
  <c r="BZ21" i="22" s="1"/>
  <c r="BZ22" i="22" s="1"/>
  <c r="CL49" i="1" s="1"/>
  <c r="CL50" i="1" s="1"/>
  <c r="CL51" i="1" s="1"/>
  <c r="AN19" i="30"/>
  <c r="AO18" i="30"/>
  <c r="BZ6" i="22"/>
  <c r="BZ7" i="22" s="1"/>
  <c r="BZ8" i="22" s="1"/>
  <c r="CL29" i="1" s="1"/>
  <c r="CL30" i="1" s="1"/>
  <c r="CL31" i="1" s="1"/>
  <c r="CA4" i="22"/>
  <c r="CA13" i="22"/>
  <c r="CB12" i="22"/>
  <c r="CC12" i="22" s="1"/>
  <c r="CD12" i="22" s="1"/>
  <c r="CE12" i="22" s="1"/>
  <c r="CF12" i="22" s="1"/>
  <c r="CA14" i="22"/>
  <c r="CA15" i="22" s="1"/>
  <c r="CM39" i="1" s="1"/>
  <c r="CM40" i="1" s="1"/>
  <c r="CM41" i="1" s="1"/>
  <c r="CB25" i="22"/>
  <c r="CC25" i="22" s="1"/>
  <c r="CJ36" i="11"/>
  <c r="CK27" i="1"/>
  <c r="CK16" i="1" s="1"/>
  <c r="BY13" i="22"/>
  <c r="BY14" i="22" s="1"/>
  <c r="BY15" i="22" s="1"/>
  <c r="CK39" i="1" s="1"/>
  <c r="CK40" i="1" s="1"/>
  <c r="CK41" i="1" s="1"/>
  <c r="BY6" i="22"/>
  <c r="BY7" i="22" s="1"/>
  <c r="BY8" i="22" s="1"/>
  <c r="CK29" i="1" s="1"/>
  <c r="CK30" i="1" s="1"/>
  <c r="CK31" i="1" s="1"/>
  <c r="BY34" i="22"/>
  <c r="BY35" i="22" s="1"/>
  <c r="BY36" i="22" s="1"/>
  <c r="CK69" i="1" s="1"/>
  <c r="BY20" i="22"/>
  <c r="BY21" i="22" s="1"/>
  <c r="BY22" i="22" s="1"/>
  <c r="CK49" i="1" s="1"/>
  <c r="CK50" i="1" s="1"/>
  <c r="CK51" i="1" s="1"/>
  <c r="AN20" i="30"/>
  <c r="AN21" i="30" s="1"/>
  <c r="AN22" i="30" s="1"/>
  <c r="BB49" i="27" s="1"/>
  <c r="BB50" i="27" s="1"/>
  <c r="BB51" i="27" s="1"/>
  <c r="BX35" i="22"/>
  <c r="BX36" i="22" s="1"/>
  <c r="BX28" i="22"/>
  <c r="BX29" i="22" s="1"/>
  <c r="CJ39" i="1"/>
  <c r="CJ40" i="1" s="1"/>
  <c r="CI70" i="11"/>
  <c r="CJ48" i="1" s="1"/>
  <c r="CJ49" i="1" s="1"/>
  <c r="CJ50" i="1" s="1"/>
  <c r="CI72" i="11"/>
  <c r="CJ68" i="1" s="1"/>
  <c r="CI71" i="11"/>
  <c r="CJ58" i="1" s="1"/>
  <c r="CI68" i="11"/>
  <c r="AM34" i="30"/>
  <c r="AM35" i="30" s="1"/>
  <c r="AM36" i="30" s="1"/>
  <c r="AM6" i="30"/>
  <c r="AM7" i="30" s="1"/>
  <c r="AM8" i="30" s="1"/>
  <c r="AM13" i="30"/>
  <c r="AM14" i="30" s="1"/>
  <c r="AM15" i="30" s="1"/>
  <c r="AY72" i="28"/>
  <c r="AY73" i="28"/>
  <c r="AY71" i="28"/>
  <c r="AY70" i="28"/>
  <c r="AY69" i="28"/>
  <c r="CD25" i="22" l="1"/>
  <c r="CA20" i="22"/>
  <c r="CB18" i="22"/>
  <c r="AQ25" i="30"/>
  <c r="AP26" i="30"/>
  <c r="CA26" i="22"/>
  <c r="BZ27" i="22"/>
  <c r="BZ28" i="22" s="1"/>
  <c r="BZ29" i="22" s="1"/>
  <c r="CL59" i="1" s="1"/>
  <c r="CL60" i="1" s="1"/>
  <c r="CL61" i="1" s="1"/>
  <c r="CL70" i="1"/>
  <c r="AP4" i="30"/>
  <c r="AO5" i="30"/>
  <c r="AO6" i="30" s="1"/>
  <c r="AO7" i="30" s="1"/>
  <c r="AO8" i="30" s="1"/>
  <c r="BC29" i="27" s="1"/>
  <c r="BC30" i="27" s="1"/>
  <c r="BC31" i="27" s="1"/>
  <c r="AP32" i="30"/>
  <c r="AO33" i="30"/>
  <c r="AO34" i="30" s="1"/>
  <c r="AO35" i="30" s="1"/>
  <c r="AO36" i="30" s="1"/>
  <c r="BC69" i="27" s="1"/>
  <c r="AO12" i="30"/>
  <c r="AP11" i="30"/>
  <c r="AO13" i="30"/>
  <c r="AO14" i="30" s="1"/>
  <c r="AO15" i="30" s="1"/>
  <c r="BC39" i="27" s="1"/>
  <c r="BC40" i="27" s="1"/>
  <c r="BC41" i="27" s="1"/>
  <c r="CA6" i="22"/>
  <c r="CB4" i="22"/>
  <c r="AO19" i="30"/>
  <c r="AP18" i="30"/>
  <c r="AO20" i="30"/>
  <c r="AO21" i="30" s="1"/>
  <c r="AO22" i="30" s="1"/>
  <c r="BC49" i="27" s="1"/>
  <c r="BC50" i="27" s="1"/>
  <c r="BC51" i="27" s="1"/>
  <c r="CB5" i="22"/>
  <c r="CC5" i="22" s="1"/>
  <c r="CA7" i="22"/>
  <c r="CA8" i="22" s="1"/>
  <c r="CM29" i="1" s="1"/>
  <c r="CM30" i="1" s="1"/>
  <c r="CM31" i="1" s="1"/>
  <c r="CA34" i="22"/>
  <c r="CA35" i="22" s="1"/>
  <c r="CA36" i="22" s="1"/>
  <c r="CM69" i="1" s="1"/>
  <c r="CB32" i="22"/>
  <c r="CB19" i="22"/>
  <c r="CC19" i="22" s="1"/>
  <c r="CA21" i="22"/>
  <c r="CA22" i="22" s="1"/>
  <c r="CM49" i="1" s="1"/>
  <c r="CM50" i="1" s="1"/>
  <c r="CM51" i="1" s="1"/>
  <c r="CB13" i="22"/>
  <c r="CB14" i="22" s="1"/>
  <c r="CB15" i="22" s="1"/>
  <c r="CN39" i="1" s="1"/>
  <c r="CN40" i="1" s="1"/>
  <c r="CN41" i="1" s="1"/>
  <c r="CC11" i="22"/>
  <c r="CC33" i="22"/>
  <c r="CD33" i="22" s="1"/>
  <c r="CE33" i="22" s="1"/>
  <c r="CF33" i="22" s="1"/>
  <c r="CK18" i="1"/>
  <c r="CK70" i="1"/>
  <c r="BB70" i="27"/>
  <c r="BB18" i="27"/>
  <c r="CJ59" i="1"/>
  <c r="CJ60" i="1" s="1"/>
  <c r="CJ28" i="1"/>
  <c r="CJ29" i="1" s="1"/>
  <c r="CJ30" i="1" s="1"/>
  <c r="CI73" i="11"/>
  <c r="CJ69" i="1"/>
  <c r="AY74" i="28"/>
  <c r="CL18" i="1" l="1"/>
  <c r="BC70" i="27"/>
  <c r="BC18" i="27"/>
  <c r="CC13" i="22"/>
  <c r="CC14" i="22" s="1"/>
  <c r="CC15" i="22" s="1"/>
  <c r="CO39" i="1" s="1"/>
  <c r="CO40" i="1" s="1"/>
  <c r="CO41" i="1" s="1"/>
  <c r="CD11" i="22"/>
  <c r="CC32" i="22"/>
  <c r="CB34" i="22"/>
  <c r="CB35" i="22" s="1"/>
  <c r="CB36" i="22" s="1"/>
  <c r="CN69" i="1" s="1"/>
  <c r="AQ18" i="30"/>
  <c r="AP19" i="30"/>
  <c r="AP20" i="30" s="1"/>
  <c r="AP21" i="30" s="1"/>
  <c r="AP22" i="30" s="1"/>
  <c r="BD49" i="27" s="1"/>
  <c r="BD50" i="27" s="1"/>
  <c r="BD51" i="27" s="1"/>
  <c r="CC4" i="22"/>
  <c r="CB6" i="22"/>
  <c r="CB7" i="22" s="1"/>
  <c r="CB8" i="22" s="1"/>
  <c r="CN29" i="1" s="1"/>
  <c r="CN30" i="1" s="1"/>
  <c r="CN31" i="1" s="1"/>
  <c r="AP5" i="30"/>
  <c r="AQ4" i="30"/>
  <c r="AP6" i="30"/>
  <c r="AP7" i="30" s="1"/>
  <c r="AP8" i="30" s="1"/>
  <c r="BD29" i="27" s="1"/>
  <c r="BD30" i="27" s="1"/>
  <c r="BD31" i="27" s="1"/>
  <c r="CB26" i="22"/>
  <c r="CA27" i="22"/>
  <c r="CA28" i="22" s="1"/>
  <c r="CA29" i="22" s="1"/>
  <c r="CM59" i="1" s="1"/>
  <c r="CM60" i="1" s="1"/>
  <c r="CM61" i="1" s="1"/>
  <c r="AR25" i="30"/>
  <c r="AQ26" i="30"/>
  <c r="CD19" i="22"/>
  <c r="CE19" i="22" s="1"/>
  <c r="CM70" i="1"/>
  <c r="CD5" i="22"/>
  <c r="CE5" i="22" s="1"/>
  <c r="AQ11" i="30"/>
  <c r="AP12" i="30"/>
  <c r="AQ32" i="30"/>
  <c r="AP33" i="30"/>
  <c r="AP34" i="30" s="1"/>
  <c r="AP35" i="30" s="1"/>
  <c r="AP36" i="30" s="1"/>
  <c r="BD69" i="27" s="1"/>
  <c r="CL71" i="1"/>
  <c r="CL19" i="1"/>
  <c r="AP27" i="30"/>
  <c r="AP28" i="30" s="1"/>
  <c r="AP29" i="30" s="1"/>
  <c r="BD59" i="27" s="1"/>
  <c r="BD60" i="27" s="1"/>
  <c r="BD61" i="27" s="1"/>
  <c r="CB20" i="22"/>
  <c r="CB21" i="22" s="1"/>
  <c r="CB22" i="22" s="1"/>
  <c r="CN49" i="1" s="1"/>
  <c r="CN50" i="1" s="1"/>
  <c r="CN51" i="1" s="1"/>
  <c r="CC18" i="22"/>
  <c r="CE25" i="22"/>
  <c r="CK19" i="1"/>
  <c r="CK71" i="1"/>
  <c r="BB71" i="27"/>
  <c r="BB19" i="27"/>
  <c r="CJ17" i="1"/>
  <c r="CJ18" i="1"/>
  <c r="CJ70" i="1"/>
  <c r="AY78" i="27"/>
  <c r="BA78" i="27"/>
  <c r="BA87" i="27"/>
  <c r="BA88" i="27" s="1"/>
  <c r="BA68" i="27"/>
  <c r="BA69" i="27" s="1"/>
  <c r="BA58" i="27"/>
  <c r="BA59" i="27" s="1"/>
  <c r="BA60" i="27" s="1"/>
  <c r="BA48" i="27"/>
  <c r="BA49" i="27" s="1"/>
  <c r="BA50" i="27" s="1"/>
  <c r="BA38" i="27"/>
  <c r="BA39" i="27" s="1"/>
  <c r="BA40" i="27" s="1"/>
  <c r="BA28" i="27"/>
  <c r="BA29" i="27" s="1"/>
  <c r="BA8" i="27"/>
  <c r="CM18" i="1" l="1"/>
  <c r="BD70" i="27"/>
  <c r="AP13" i="30"/>
  <c r="AP14" i="30" s="1"/>
  <c r="AP15" i="30" s="1"/>
  <c r="BD39" i="27" s="1"/>
  <c r="BD40" i="27" s="1"/>
  <c r="BD41" i="27" s="1"/>
  <c r="CD4" i="22"/>
  <c r="CC6" i="22"/>
  <c r="CC7" i="22" s="1"/>
  <c r="CC8" i="22" s="1"/>
  <c r="CO29" i="1" s="1"/>
  <c r="CO30" i="1" s="1"/>
  <c r="CO31" i="1" s="1"/>
  <c r="CN70" i="1"/>
  <c r="CF25" i="22"/>
  <c r="CC20" i="22"/>
  <c r="CC21" i="22" s="1"/>
  <c r="CC22" i="22" s="1"/>
  <c r="CO49" i="1" s="1"/>
  <c r="CO50" i="1" s="1"/>
  <c r="CO51" i="1" s="1"/>
  <c r="CD18" i="22"/>
  <c r="CL20" i="1"/>
  <c r="AQ33" i="30"/>
  <c r="AR32" i="30"/>
  <c r="AQ34" i="30"/>
  <c r="AQ12" i="30"/>
  <c r="AR11" i="30"/>
  <c r="AQ13" i="30"/>
  <c r="AQ14" i="30" s="1"/>
  <c r="AQ15" i="30" s="1"/>
  <c r="BE39" i="27" s="1"/>
  <c r="BE40" i="27" s="1"/>
  <c r="BE41" i="27" s="1"/>
  <c r="CF5" i="22"/>
  <c r="CM71" i="1"/>
  <c r="CM19" i="1"/>
  <c r="CF19" i="22"/>
  <c r="AQ27" i="30"/>
  <c r="AQ28" i="30" s="1"/>
  <c r="AQ29" i="30" s="1"/>
  <c r="BE59" i="27" s="1"/>
  <c r="BE60" i="27" s="1"/>
  <c r="BE61" i="27" s="1"/>
  <c r="AR26" i="30"/>
  <c r="AS25" i="30"/>
  <c r="AR27" i="30"/>
  <c r="AR28" i="30" s="1"/>
  <c r="AR29" i="30" s="1"/>
  <c r="BF59" i="27" s="1"/>
  <c r="BF60" i="27" s="1"/>
  <c r="BF61" i="27" s="1"/>
  <c r="CB27" i="22"/>
  <c r="CB28" i="22" s="1"/>
  <c r="CB29" i="22" s="1"/>
  <c r="CN59" i="1" s="1"/>
  <c r="CN60" i="1" s="1"/>
  <c r="CN61" i="1" s="1"/>
  <c r="CC26" i="22"/>
  <c r="AQ5" i="30"/>
  <c r="AR4" i="30"/>
  <c r="AQ6" i="30"/>
  <c r="AQ19" i="30"/>
  <c r="AQ20" i="30" s="1"/>
  <c r="AR18" i="30"/>
  <c r="CD32" i="22"/>
  <c r="CC34" i="22"/>
  <c r="CC35" i="22" s="1"/>
  <c r="CC36" i="22" s="1"/>
  <c r="CO69" i="1" s="1"/>
  <c r="CE11" i="22"/>
  <c r="CD13" i="22"/>
  <c r="CD14" i="22" s="1"/>
  <c r="CD15" i="22" s="1"/>
  <c r="CP39" i="1" s="1"/>
  <c r="CP40" i="1" s="1"/>
  <c r="CP41" i="1" s="1"/>
  <c r="BC19" i="27"/>
  <c r="BC71" i="27"/>
  <c r="BC20" i="27" s="1"/>
  <c r="CK20" i="1"/>
  <c r="BB20" i="27"/>
  <c r="BA17" i="27"/>
  <c r="CJ19" i="1"/>
  <c r="BA30" i="27"/>
  <c r="BA18" i="27"/>
  <c r="BA70" i="27"/>
  <c r="AX10" i="28"/>
  <c r="AY19" i="28" s="1"/>
  <c r="AX9" i="28"/>
  <c r="AY18" i="28" s="1"/>
  <c r="AX8" i="28"/>
  <c r="AY17" i="28" s="1"/>
  <c r="AX7" i="28"/>
  <c r="AY16" i="28" s="1"/>
  <c r="AX6" i="28"/>
  <c r="AY15" i="28" s="1"/>
  <c r="AY32" i="28" s="1"/>
  <c r="BA37" i="27" s="1"/>
  <c r="BA41" i="27" s="1"/>
  <c r="AX5" i="28"/>
  <c r="AY14" i="28" s="1"/>
  <c r="CN18" i="1" l="1"/>
  <c r="AY34" i="28"/>
  <c r="BA57" i="27" s="1"/>
  <c r="BA61" i="27" s="1"/>
  <c r="CE13" i="22"/>
  <c r="CE14" i="22" s="1"/>
  <c r="CE15" i="22" s="1"/>
  <c r="CQ39" i="1" s="1"/>
  <c r="CQ40" i="1" s="1"/>
  <c r="CQ41" i="1" s="1"/>
  <c r="CF11" i="22"/>
  <c r="CF13" i="22" s="1"/>
  <c r="CF14" i="22" s="1"/>
  <c r="CF15" i="22" s="1"/>
  <c r="CR39" i="1" s="1"/>
  <c r="CR40" i="1" s="1"/>
  <c r="CR41" i="1" s="1"/>
  <c r="CE32" i="22"/>
  <c r="CD34" i="22"/>
  <c r="CD35" i="22" s="1"/>
  <c r="CD36" i="22" s="1"/>
  <c r="CP69" i="1" s="1"/>
  <c r="AR19" i="30"/>
  <c r="AS18" i="30"/>
  <c r="AR20" i="30"/>
  <c r="AR21" i="30" s="1"/>
  <c r="AR22" i="30" s="1"/>
  <c r="BF49" i="27" s="1"/>
  <c r="BF50" i="27" s="1"/>
  <c r="BF51" i="27" s="1"/>
  <c r="AS4" i="30"/>
  <c r="AR5" i="30"/>
  <c r="CD26" i="22"/>
  <c r="CC27" i="22"/>
  <c r="CC28" i="22" s="1"/>
  <c r="CC29" i="22" s="1"/>
  <c r="CO59" i="1" s="1"/>
  <c r="CO60" i="1" s="1"/>
  <c r="CO61" i="1" s="1"/>
  <c r="AR33" i="30"/>
  <c r="AS32" i="30"/>
  <c r="AR34" i="30"/>
  <c r="BD19" i="27"/>
  <c r="BD71" i="27"/>
  <c r="BD20" i="27" s="1"/>
  <c r="AY31" i="28"/>
  <c r="AY20" i="28"/>
  <c r="AY33" i="28"/>
  <c r="BA47" i="27" s="1"/>
  <c r="BA51" i="27" s="1"/>
  <c r="AY35" i="28"/>
  <c r="BA67" i="27" s="1"/>
  <c r="CO18" i="1"/>
  <c r="CO70" i="1"/>
  <c r="AQ21" i="30"/>
  <c r="AQ22" i="30" s="1"/>
  <c r="BE49" i="27" s="1"/>
  <c r="BE50" i="27" s="1"/>
  <c r="BE51" i="27" s="1"/>
  <c r="AQ7" i="30"/>
  <c r="AQ8" i="30" s="1"/>
  <c r="BE29" i="27" s="1"/>
  <c r="BE30" i="27" s="1"/>
  <c r="BE31" i="27" s="1"/>
  <c r="AT25" i="30"/>
  <c r="AS26" i="30"/>
  <c r="CM20" i="1"/>
  <c r="AS11" i="30"/>
  <c r="AR12" i="30"/>
  <c r="AQ35" i="30"/>
  <c r="AQ36" i="30" s="1"/>
  <c r="BE69" i="27" s="1"/>
  <c r="CE18" i="22"/>
  <c r="CD20" i="22"/>
  <c r="CD21" i="22" s="1"/>
  <c r="CD22" i="22" s="1"/>
  <c r="CP49" i="1" s="1"/>
  <c r="CP50" i="1" s="1"/>
  <c r="CP51" i="1" s="1"/>
  <c r="CN19" i="1"/>
  <c r="CN71" i="1"/>
  <c r="CE4" i="22"/>
  <c r="CD6" i="22"/>
  <c r="CD7" i="22" s="1"/>
  <c r="CD8" i="22" s="1"/>
  <c r="CP29" i="1" s="1"/>
  <c r="CP30" i="1" s="1"/>
  <c r="CP31" i="1" s="1"/>
  <c r="BD18" i="27"/>
  <c r="BA19" i="27"/>
  <c r="AZ6" i="27"/>
  <c r="CE6" i="22" l="1"/>
  <c r="CE7" i="22" s="1"/>
  <c r="CE8" i="22" s="1"/>
  <c r="CQ29" i="1" s="1"/>
  <c r="CQ30" i="1" s="1"/>
  <c r="CQ31" i="1" s="1"/>
  <c r="CF4" i="22"/>
  <c r="CF6" i="22" s="1"/>
  <c r="CF7" i="22" s="1"/>
  <c r="CF8" i="22" s="1"/>
  <c r="CR29" i="1" s="1"/>
  <c r="CR30" i="1" s="1"/>
  <c r="CR31" i="1" s="1"/>
  <c r="CF18" i="22"/>
  <c r="CF20" i="22" s="1"/>
  <c r="CF21" i="22" s="1"/>
  <c r="CF22" i="22" s="1"/>
  <c r="CR49" i="1" s="1"/>
  <c r="CR50" i="1" s="1"/>
  <c r="CR51" i="1" s="1"/>
  <c r="CE20" i="22"/>
  <c r="CE21" i="22" s="1"/>
  <c r="CE22" i="22" s="1"/>
  <c r="CQ49" i="1" s="1"/>
  <c r="CQ50" i="1" s="1"/>
  <c r="CQ51" i="1" s="1"/>
  <c r="AR13" i="30"/>
  <c r="AR14" i="30" s="1"/>
  <c r="AR15" i="30" s="1"/>
  <c r="BF39" i="27" s="1"/>
  <c r="BF40" i="27" s="1"/>
  <c r="BF41" i="27" s="1"/>
  <c r="AR35" i="30"/>
  <c r="AR36" i="30" s="1"/>
  <c r="BF69" i="27" s="1"/>
  <c r="CE26" i="22"/>
  <c r="CD27" i="22"/>
  <c r="CD28" i="22" s="1"/>
  <c r="CD29" i="22" s="1"/>
  <c r="CP59" i="1" s="1"/>
  <c r="CP60" i="1" s="1"/>
  <c r="CP61" i="1" s="1"/>
  <c r="AS5" i="30"/>
  <c r="AT4" i="30"/>
  <c r="AS6" i="30"/>
  <c r="AS7" i="30" s="1"/>
  <c r="AS8" i="30" s="1"/>
  <c r="BG29" i="27" s="1"/>
  <c r="BG30" i="27" s="1"/>
  <c r="BG31" i="27" s="1"/>
  <c r="AS19" i="30"/>
  <c r="AT18" i="30"/>
  <c r="AS20" i="30"/>
  <c r="AS21" i="30" s="1"/>
  <c r="AS22" i="30" s="1"/>
  <c r="BG49" i="27" s="1"/>
  <c r="BG50" i="27" s="1"/>
  <c r="BG51" i="27" s="1"/>
  <c r="CP70" i="1"/>
  <c r="BA71" i="27"/>
  <c r="CN20" i="1"/>
  <c r="BE18" i="27"/>
  <c r="BE70" i="27"/>
  <c r="AS12" i="30"/>
  <c r="AT11" i="30"/>
  <c r="AS13" i="30"/>
  <c r="AS14" i="30" s="1"/>
  <c r="AS15" i="30" s="1"/>
  <c r="BG39" i="27" s="1"/>
  <c r="BG40" i="27" s="1"/>
  <c r="BG41" i="27" s="1"/>
  <c r="AS27" i="30"/>
  <c r="AS28" i="30" s="1"/>
  <c r="AS29" i="30" s="1"/>
  <c r="BG59" i="27" s="1"/>
  <c r="BG60" i="27" s="1"/>
  <c r="BG61" i="27" s="1"/>
  <c r="AT26" i="30"/>
  <c r="AU25" i="30"/>
  <c r="AT27" i="30"/>
  <c r="CO19" i="1"/>
  <c r="CO71" i="1"/>
  <c r="AY36" i="28"/>
  <c r="BA27" i="27"/>
  <c r="BA31" i="27" s="1"/>
  <c r="AS33" i="30"/>
  <c r="AT32" i="30"/>
  <c r="AS34" i="30"/>
  <c r="AS35" i="30" s="1"/>
  <c r="AS36" i="30" s="1"/>
  <c r="BG69" i="27" s="1"/>
  <c r="AR6" i="30"/>
  <c r="AR7" i="30" s="1"/>
  <c r="AR8" i="30" s="1"/>
  <c r="BF29" i="27" s="1"/>
  <c r="BF30" i="27" s="1"/>
  <c r="BF31" i="27" s="1"/>
  <c r="CF32" i="22"/>
  <c r="CF34" i="22" s="1"/>
  <c r="CF35" i="22" s="1"/>
  <c r="CF36" i="22" s="1"/>
  <c r="CR69" i="1" s="1"/>
  <c r="CE34" i="22"/>
  <c r="CE35" i="22" s="1"/>
  <c r="CE36" i="22" s="1"/>
  <c r="CQ69" i="1" s="1"/>
  <c r="BW31" i="22"/>
  <c r="BW24" i="22"/>
  <c r="BW17" i="22"/>
  <c r="BW10" i="22"/>
  <c r="BW3" i="22"/>
  <c r="CH64" i="11"/>
  <c r="CH63" i="11"/>
  <c r="CH62" i="11"/>
  <c r="CH61" i="11"/>
  <c r="CH60" i="11"/>
  <c r="CH55" i="11"/>
  <c r="CH28" i="11"/>
  <c r="CH10" i="11"/>
  <c r="CH9" i="11"/>
  <c r="CH8" i="11"/>
  <c r="CI17" i="11" s="1"/>
  <c r="CH7" i="11"/>
  <c r="CI16" i="11" s="1"/>
  <c r="CH6" i="11"/>
  <c r="CI15" i="11" s="1"/>
  <c r="CH5" i="11"/>
  <c r="AL31" i="30"/>
  <c r="AL24" i="30"/>
  <c r="AL17" i="30"/>
  <c r="AL10" i="30"/>
  <c r="AL3" i="30"/>
  <c r="AX65" i="28"/>
  <c r="AX64" i="28"/>
  <c r="AX63" i="28"/>
  <c r="AX62" i="28"/>
  <c r="AX61" i="28"/>
  <c r="AX56" i="28"/>
  <c r="AX28" i="28"/>
  <c r="CP18" i="1" l="1"/>
  <c r="BA20" i="27"/>
  <c r="BA16" i="27"/>
  <c r="CH11" i="11"/>
  <c r="CI14" i="11"/>
  <c r="CI18" i="11"/>
  <c r="CR70" i="1"/>
  <c r="BG18" i="27"/>
  <c r="BG70" i="27"/>
  <c r="AU26" i="30"/>
  <c r="AU27" i="30" s="1"/>
  <c r="AU28" i="30" s="1"/>
  <c r="AU29" i="30" s="1"/>
  <c r="BI59" i="27" s="1"/>
  <c r="BI60" i="27" s="1"/>
  <c r="BI61" i="27" s="1"/>
  <c r="AT12" i="30"/>
  <c r="AU11" i="30"/>
  <c r="AT13" i="30"/>
  <c r="AT14" i="30" s="1"/>
  <c r="AT15" i="30" s="1"/>
  <c r="BH39" i="27" s="1"/>
  <c r="BH40" i="27" s="1"/>
  <c r="BH41" i="27" s="1"/>
  <c r="BE71" i="27"/>
  <c r="BE20" i="27" s="1"/>
  <c r="BE19" i="27"/>
  <c r="AU18" i="30"/>
  <c r="AT19" i="30"/>
  <c r="CF26" i="22"/>
  <c r="CF27" i="22" s="1"/>
  <c r="CF28" i="22" s="1"/>
  <c r="CF29" i="22" s="1"/>
  <c r="CR59" i="1" s="1"/>
  <c r="CR60" i="1" s="1"/>
  <c r="CR61" i="1" s="1"/>
  <c r="CE27" i="22"/>
  <c r="CE28" i="22" s="1"/>
  <c r="CE29" i="22" s="1"/>
  <c r="CQ59" i="1" s="1"/>
  <c r="CI19" i="11"/>
  <c r="CI32" i="11" s="1"/>
  <c r="CJ37" i="1" s="1"/>
  <c r="CJ41" i="1" s="1"/>
  <c r="CQ70" i="1"/>
  <c r="AT33" i="30"/>
  <c r="AU32" i="30"/>
  <c r="AT34" i="30"/>
  <c r="AT35" i="30" s="1"/>
  <c r="AT36" i="30" s="1"/>
  <c r="BH69" i="27" s="1"/>
  <c r="CO20" i="1"/>
  <c r="AT28" i="30"/>
  <c r="AT29" i="30" s="1"/>
  <c r="BH59" i="27" s="1"/>
  <c r="BH60" i="27" s="1"/>
  <c r="BH61" i="27" s="1"/>
  <c r="CP71" i="1"/>
  <c r="CP19" i="1"/>
  <c r="AT5" i="30"/>
  <c r="AU4" i="30"/>
  <c r="AT6" i="30"/>
  <c r="AT7" i="30" s="1"/>
  <c r="AT8" i="30" s="1"/>
  <c r="BH29" i="27" s="1"/>
  <c r="BH30" i="27" s="1"/>
  <c r="BH31" i="27" s="1"/>
  <c r="BF18" i="27"/>
  <c r="BF70" i="27"/>
  <c r="AX66" i="28"/>
  <c r="AX70" i="28" s="1"/>
  <c r="CH65" i="11"/>
  <c r="CH68" i="11" s="1"/>
  <c r="AX11" i="28"/>
  <c r="CH69" i="11" l="1"/>
  <c r="CH70" i="11"/>
  <c r="CQ60" i="1"/>
  <c r="CQ61" i="1" s="1"/>
  <c r="CQ18" i="1"/>
  <c r="AU5" i="30"/>
  <c r="BH70" i="27"/>
  <c r="CQ19" i="1"/>
  <c r="CQ71" i="1"/>
  <c r="CI34" i="11"/>
  <c r="CJ57" i="1" s="1"/>
  <c r="CJ61" i="1" s="1"/>
  <c r="AU19" i="30"/>
  <c r="AU20" i="30" s="1"/>
  <c r="AU21" i="30" s="1"/>
  <c r="AU22" i="30" s="1"/>
  <c r="BI49" i="27" s="1"/>
  <c r="BI50" i="27" s="1"/>
  <c r="BI51" i="27" s="1"/>
  <c r="AU12" i="30"/>
  <c r="AU13" i="30" s="1"/>
  <c r="BG71" i="27"/>
  <c r="BG20" i="27" s="1"/>
  <c r="BG19" i="27"/>
  <c r="CR18" i="1"/>
  <c r="CI35" i="11"/>
  <c r="CJ67" i="1" s="1"/>
  <c r="CJ71" i="1" s="1"/>
  <c r="CI33" i="11"/>
  <c r="CJ47" i="1" s="1"/>
  <c r="CJ51" i="1" s="1"/>
  <c r="BF19" i="27"/>
  <c r="BF71" i="27"/>
  <c r="BF20" i="27" s="1"/>
  <c r="CP20" i="1"/>
  <c r="AU33" i="30"/>
  <c r="AU34" i="30" s="1"/>
  <c r="AT20" i="30"/>
  <c r="AT21" i="30" s="1"/>
  <c r="AT22" i="30" s="1"/>
  <c r="BH49" i="27" s="1"/>
  <c r="BH50" i="27" s="1"/>
  <c r="BH51" i="27" s="1"/>
  <c r="CR71" i="1"/>
  <c r="CR19" i="1"/>
  <c r="CI20" i="11"/>
  <c r="CI31" i="11"/>
  <c r="AX69" i="28"/>
  <c r="AX71" i="28"/>
  <c r="AX73" i="28"/>
  <c r="AX72" i="28"/>
  <c r="CH72" i="11"/>
  <c r="CH71" i="11"/>
  <c r="CR20" i="1" l="1"/>
  <c r="BH71" i="27"/>
  <c r="BH20" i="27" s="1"/>
  <c r="BH19" i="27"/>
  <c r="CI36" i="11"/>
  <c r="CJ27" i="1"/>
  <c r="AU35" i="30"/>
  <c r="AU36" i="30" s="1"/>
  <c r="BI69" i="27" s="1"/>
  <c r="AU14" i="30"/>
  <c r="AU15" i="30" s="1"/>
  <c r="BI39" i="27" s="1"/>
  <c r="BI40" i="27" s="1"/>
  <c r="BI41" i="27" s="1"/>
  <c r="CQ20" i="1"/>
  <c r="BH18" i="27"/>
  <c r="AU6" i="30"/>
  <c r="AU7" i="30" s="1"/>
  <c r="AU8" i="30" s="1"/>
  <c r="BI29" i="27" s="1"/>
  <c r="BI30" i="27" s="1"/>
  <c r="BI31" i="27" s="1"/>
  <c r="CH73" i="11"/>
  <c r="AX74" i="28"/>
  <c r="AM78" i="27"/>
  <c r="Y8" i="1"/>
  <c r="CI104" i="1"/>
  <c r="CI98" i="1"/>
  <c r="CI99" i="1" s="1"/>
  <c r="CI78" i="1"/>
  <c r="CI79" i="1" s="1"/>
  <c r="CI68" i="1"/>
  <c r="CI58" i="1"/>
  <c r="CI48" i="1"/>
  <c r="CI38" i="1"/>
  <c r="CI28" i="1"/>
  <c r="CI8" i="1"/>
  <c r="Z26" i="27"/>
  <c r="BI18" i="27" l="1"/>
  <c r="BI70" i="27"/>
  <c r="CJ16" i="1"/>
  <c r="CJ31" i="1"/>
  <c r="CI17" i="1"/>
  <c r="CI81" i="1"/>
  <c r="CJ20" i="1" l="1"/>
  <c r="BI19" i="27"/>
  <c r="BI71" i="27"/>
  <c r="BI20" i="27" s="1"/>
  <c r="AY84" i="27" l="1"/>
  <c r="AY6" i="27" l="1"/>
  <c r="AY8" i="27" s="1"/>
  <c r="AW10" i="28" l="1"/>
  <c r="AX19" i="28" s="1"/>
  <c r="AW9" i="28"/>
  <c r="AX18" i="28" s="1"/>
  <c r="AW8" i="28"/>
  <c r="AX17" i="28" s="1"/>
  <c r="AW7" i="28"/>
  <c r="AX16" i="28" s="1"/>
  <c r="AW6" i="28"/>
  <c r="AX15" i="28" s="1"/>
  <c r="AW5" i="28"/>
  <c r="AX14" i="28" s="1"/>
  <c r="AX32" i="28" l="1"/>
  <c r="AX34" i="28"/>
  <c r="AX33" i="28"/>
  <c r="AX35" i="28"/>
  <c r="AX20" i="28"/>
  <c r="AX31" i="28"/>
  <c r="BV31" i="22"/>
  <c r="BV24" i="22"/>
  <c r="BV17" i="22"/>
  <c r="BV10" i="22"/>
  <c r="BV3" i="22"/>
  <c r="CG64" i="11"/>
  <c r="CG63" i="11"/>
  <c r="CG62" i="11"/>
  <c r="CG61" i="11"/>
  <c r="CG60" i="11"/>
  <c r="CG55" i="11"/>
  <c r="CG28" i="11"/>
  <c r="CG10" i="11"/>
  <c r="CH19" i="11" s="1"/>
  <c r="CG9" i="11"/>
  <c r="CH18" i="11" s="1"/>
  <c r="CG8" i="11"/>
  <c r="CH17" i="11" s="1"/>
  <c r="CH34" i="11" s="1"/>
  <c r="CI57" i="1" s="1"/>
  <c r="CG7" i="11"/>
  <c r="CG6" i="11"/>
  <c r="CH15" i="11" s="1"/>
  <c r="CH32" i="11" s="1"/>
  <c r="CI37" i="1" s="1"/>
  <c r="CG5" i="11"/>
  <c r="AK31" i="30"/>
  <c r="AK24" i="30"/>
  <c r="AK17" i="30"/>
  <c r="AK10" i="30"/>
  <c r="AK3" i="30"/>
  <c r="CH104" i="1"/>
  <c r="CH98" i="1"/>
  <c r="CH99" i="1" s="1"/>
  <c r="CH78" i="1"/>
  <c r="CH79" i="1" s="1"/>
  <c r="CH81" i="1" s="1"/>
  <c r="CH8" i="1"/>
  <c r="CH35" i="11" l="1"/>
  <c r="CI67" i="1" s="1"/>
  <c r="AX36" i="28"/>
  <c r="CH14" i="11"/>
  <c r="CH16" i="11"/>
  <c r="CH33" i="11" s="1"/>
  <c r="CI47" i="1" s="1"/>
  <c r="CG65" i="11"/>
  <c r="CG72" i="11" s="1"/>
  <c r="CH68" i="1" s="1"/>
  <c r="CG11" i="11"/>
  <c r="CH20" i="11" l="1"/>
  <c r="CH31" i="11"/>
  <c r="CG71" i="11"/>
  <c r="CH58" i="1" s="1"/>
  <c r="CG70" i="11"/>
  <c r="CH48" i="1" s="1"/>
  <c r="CG69" i="11"/>
  <c r="CH38" i="1" s="1"/>
  <c r="CG68" i="11"/>
  <c r="CH36" i="11" l="1"/>
  <c r="CI27" i="1"/>
  <c r="CI16" i="1" s="1"/>
  <c r="CG73" i="11"/>
  <c r="CH28" i="1"/>
  <c r="CH17" i="1" l="1"/>
  <c r="AV10" i="28" l="1"/>
  <c r="AV9" i="28"/>
  <c r="AV8" i="28"/>
  <c r="AV7" i="28"/>
  <c r="AV6" i="28"/>
  <c r="AV5" i="28"/>
  <c r="AX6" i="27" l="1"/>
  <c r="BU31" i="22" l="1"/>
  <c r="BU24" i="22"/>
  <c r="BU17" i="22"/>
  <c r="BU10" i="22"/>
  <c r="BU3" i="22"/>
  <c r="CF64" i="11"/>
  <c r="CF63" i="11"/>
  <c r="CF62" i="11"/>
  <c r="CF61" i="11"/>
  <c r="CF60" i="11"/>
  <c r="CF55" i="11"/>
  <c r="CF28" i="11"/>
  <c r="CF10" i="11"/>
  <c r="CF9" i="11"/>
  <c r="CG18" i="11" s="1"/>
  <c r="CF8" i="11"/>
  <c r="CG17" i="11" s="1"/>
  <c r="CF7" i="11"/>
  <c r="CG16" i="11" s="1"/>
  <c r="CF6" i="11"/>
  <c r="CG15" i="11" s="1"/>
  <c r="CF5" i="11"/>
  <c r="CG104" i="1"/>
  <c r="CG98" i="1"/>
  <c r="CG99" i="1" s="1"/>
  <c r="CG78" i="1"/>
  <c r="CG79" i="1" s="1"/>
  <c r="CG8" i="1"/>
  <c r="AJ31" i="30"/>
  <c r="AJ24" i="30"/>
  <c r="AJ17" i="30"/>
  <c r="AJ10" i="30"/>
  <c r="AJ3" i="30"/>
  <c r="AV65" i="28"/>
  <c r="AV64" i="28"/>
  <c r="AV63" i="28"/>
  <c r="AV62" i="28"/>
  <c r="AV61" i="28"/>
  <c r="AV56" i="28"/>
  <c r="AV28" i="28"/>
  <c r="AK78" i="27"/>
  <c r="CG14" i="11" l="1"/>
  <c r="CG19" i="11"/>
  <c r="CG33" i="11" s="1"/>
  <c r="CH47" i="1" s="1"/>
  <c r="CF65" i="11"/>
  <c r="CF72" i="11" s="1"/>
  <c r="CG68" i="1" s="1"/>
  <c r="CF11" i="11"/>
  <c r="CG81" i="1"/>
  <c r="AV66" i="28"/>
  <c r="AV71" i="28" s="1"/>
  <c r="AV11" i="28"/>
  <c r="CG35" i="11" l="1"/>
  <c r="CH67" i="1" s="1"/>
  <c r="CG32" i="11"/>
  <c r="CH37" i="1" s="1"/>
  <c r="CG20" i="11"/>
  <c r="CG31" i="11"/>
  <c r="CG34" i="11"/>
  <c r="CH57" i="1" s="1"/>
  <c r="CF71" i="11"/>
  <c r="CG58" i="1" s="1"/>
  <c r="CF69" i="11"/>
  <c r="CG38" i="1" s="1"/>
  <c r="CF68" i="11"/>
  <c r="CF70" i="11"/>
  <c r="CG48" i="1" s="1"/>
  <c r="AV73" i="28"/>
  <c r="AV69" i="28"/>
  <c r="AV70" i="28"/>
  <c r="AV72" i="28"/>
  <c r="CH27" i="1" l="1"/>
  <c r="CH16" i="1" s="1"/>
  <c r="CG36" i="11"/>
  <c r="CG28" i="1"/>
  <c r="CF73" i="11"/>
  <c r="AV74" i="28"/>
  <c r="CG17" i="1" l="1"/>
  <c r="CX60" i="26" l="1"/>
  <c r="CW60" i="26"/>
  <c r="CX50" i="26"/>
  <c r="CW50" i="26"/>
  <c r="CX40" i="26"/>
  <c r="CW40" i="26"/>
  <c r="CX30" i="26"/>
  <c r="CW30" i="26"/>
  <c r="CX20" i="26"/>
  <c r="CW20" i="26"/>
  <c r="CU60" i="29"/>
  <c r="CT60" i="29"/>
  <c r="CU50" i="29"/>
  <c r="CT50" i="29"/>
  <c r="CU40" i="29"/>
  <c r="CT40" i="29"/>
  <c r="CU30" i="29"/>
  <c r="CT30" i="29"/>
  <c r="CU20" i="29"/>
  <c r="CT20" i="29"/>
  <c r="CV20" i="29" s="1"/>
  <c r="CV60" i="29" l="1"/>
  <c r="CY50" i="26"/>
  <c r="CV50" i="29"/>
  <c r="CV40" i="29"/>
  <c r="CV30" i="29"/>
  <c r="CY60" i="26"/>
  <c r="CY40" i="26"/>
  <c r="CY30" i="26"/>
  <c r="CY20" i="26"/>
  <c r="AU10" i="28" l="1"/>
  <c r="AV19" i="28" s="1"/>
  <c r="AU9" i="28"/>
  <c r="AV18" i="28" s="1"/>
  <c r="AU8" i="28"/>
  <c r="AV17" i="28" s="1"/>
  <c r="AV34" i="28" s="1"/>
  <c r="AU7" i="28"/>
  <c r="AV16" i="28" s="1"/>
  <c r="AU6" i="28"/>
  <c r="AV15" i="28" s="1"/>
  <c r="AV32" i="28" s="1"/>
  <c r="AU5" i="28"/>
  <c r="AV14" i="28" s="1"/>
  <c r="AV33" i="28" l="1"/>
  <c r="AX47" i="27" s="1"/>
  <c r="AV35" i="28"/>
  <c r="AV20" i="28"/>
  <c r="AV31" i="28"/>
  <c r="AV36" i="28" l="1"/>
  <c r="AW6" i="27"/>
  <c r="AI31" i="30" l="1"/>
  <c r="AI24" i="30"/>
  <c r="AI17" i="30"/>
  <c r="AI10" i="30"/>
  <c r="AI3" i="30"/>
  <c r="BT31" i="22"/>
  <c r="BT24" i="22"/>
  <c r="BT17" i="22"/>
  <c r="BT10" i="22"/>
  <c r="BT3" i="22"/>
  <c r="CE64" i="11"/>
  <c r="CE63" i="11"/>
  <c r="CE62" i="11"/>
  <c r="CE61" i="11"/>
  <c r="CE60" i="11"/>
  <c r="CE55" i="11"/>
  <c r="CE28" i="11"/>
  <c r="CE10" i="11"/>
  <c r="CF19" i="11" s="1"/>
  <c r="CE9" i="11"/>
  <c r="CE8" i="11"/>
  <c r="CF17" i="11" s="1"/>
  <c r="CF34" i="11" s="1"/>
  <c r="CG57" i="1" s="1"/>
  <c r="CE7" i="11"/>
  <c r="CF16" i="11" s="1"/>
  <c r="CE6" i="11"/>
  <c r="CF15" i="11" s="1"/>
  <c r="CF32" i="11" s="1"/>
  <c r="CG37" i="1" s="1"/>
  <c r="CE5" i="11"/>
  <c r="CF104" i="1"/>
  <c r="CF98" i="1"/>
  <c r="CF99" i="1" s="1"/>
  <c r="CF78" i="1"/>
  <c r="CF79" i="1" s="1"/>
  <c r="CF8" i="1"/>
  <c r="CE65" i="11" l="1"/>
  <c r="CE72" i="11" s="1"/>
  <c r="CF68" i="1" s="1"/>
  <c r="CE11" i="11"/>
  <c r="CF14" i="11"/>
  <c r="CF33" i="11"/>
  <c r="CG47" i="1" s="1"/>
  <c r="CF18" i="11"/>
  <c r="CF35" i="11" s="1"/>
  <c r="CG67" i="1" s="1"/>
  <c r="CE71" i="11"/>
  <c r="CF58" i="1" s="1"/>
  <c r="CE68" i="11"/>
  <c r="CE69" i="11"/>
  <c r="CF38" i="1" s="1"/>
  <c r="CE70" i="11"/>
  <c r="CF48" i="1" s="1"/>
  <c r="CF81" i="1"/>
  <c r="CF20" i="11" l="1"/>
  <c r="CF31" i="11"/>
  <c r="CE73" i="11"/>
  <c r="CF28" i="1"/>
  <c r="CF17" i="1" s="1"/>
  <c r="AT10" i="28"/>
  <c r="AT9" i="28"/>
  <c r="AT8" i="28"/>
  <c r="AT7" i="28"/>
  <c r="AT6" i="28"/>
  <c r="AT5" i="28"/>
  <c r="CF36" i="11" l="1"/>
  <c r="CG27" i="1"/>
  <c r="CG16" i="1" s="1"/>
  <c r="AV6" i="27" l="1"/>
  <c r="BS31" i="22" l="1"/>
  <c r="BS24" i="22"/>
  <c r="BS17" i="22"/>
  <c r="BS10" i="22"/>
  <c r="BS3" i="22"/>
  <c r="CD64" i="11"/>
  <c r="CD63" i="11"/>
  <c r="CD62" i="11"/>
  <c r="CD61" i="11"/>
  <c r="CD60" i="11"/>
  <c r="CD55" i="11"/>
  <c r="CD28" i="11"/>
  <c r="CD10" i="11"/>
  <c r="CD9" i="11"/>
  <c r="CD8" i="11"/>
  <c r="CE17" i="11" s="1"/>
  <c r="CD7" i="11"/>
  <c r="CE16" i="11" s="1"/>
  <c r="CD6" i="11"/>
  <c r="CE15" i="11" s="1"/>
  <c r="CD5" i="11"/>
  <c r="CE104" i="1"/>
  <c r="CE98" i="1"/>
  <c r="CE99" i="1" s="1"/>
  <c r="CE78" i="1"/>
  <c r="CE79" i="1" s="1"/>
  <c r="CE8" i="1"/>
  <c r="AH31" i="30"/>
  <c r="AH24" i="30"/>
  <c r="AH17" i="30"/>
  <c r="AH10" i="30"/>
  <c r="AH3" i="30"/>
  <c r="CE14" i="11" l="1"/>
  <c r="CE18" i="11"/>
  <c r="CE19" i="11"/>
  <c r="CE34" i="11" s="1"/>
  <c r="CF57" i="1" s="1"/>
  <c r="CD65" i="11"/>
  <c r="CD70" i="11" s="1"/>
  <c r="CE48" i="1" s="1"/>
  <c r="CD11" i="11"/>
  <c r="CE81" i="1"/>
  <c r="AS10" i="28"/>
  <c r="AS9" i="28"/>
  <c r="AS8" i="28"/>
  <c r="AS7" i="28"/>
  <c r="AS6" i="28"/>
  <c r="AS5" i="28"/>
  <c r="CE32" i="11" l="1"/>
  <c r="CF37" i="1" s="1"/>
  <c r="CE35" i="11"/>
  <c r="CF67" i="1" s="1"/>
  <c r="CE33" i="11"/>
  <c r="CF47" i="1" s="1"/>
  <c r="CE20" i="11"/>
  <c r="CE31" i="11"/>
  <c r="CD71" i="11"/>
  <c r="CE58" i="1" s="1"/>
  <c r="CD69" i="11"/>
  <c r="CE38" i="1" s="1"/>
  <c r="CD72" i="11"/>
  <c r="CE68" i="1" s="1"/>
  <c r="CD68" i="11"/>
  <c r="AU6" i="27"/>
  <c r="CE36" i="11" l="1"/>
  <c r="CF27" i="1"/>
  <c r="CF16" i="1" s="1"/>
  <c r="CE28" i="1"/>
  <c r="CD73" i="11"/>
  <c r="AU84" i="27"/>
  <c r="CE17" i="1" l="1"/>
  <c r="AG31" i="30"/>
  <c r="AG24" i="30"/>
  <c r="AG17" i="30"/>
  <c r="AG10" i="30"/>
  <c r="AG3" i="30"/>
  <c r="AT6" i="27"/>
  <c r="BR31" i="22"/>
  <c r="BR24" i="22"/>
  <c r="BR17" i="22"/>
  <c r="BR10" i="22"/>
  <c r="BR3" i="22"/>
  <c r="CC64" i="11"/>
  <c r="CC63" i="11"/>
  <c r="CC62" i="11"/>
  <c r="CC61" i="11"/>
  <c r="CC60" i="11"/>
  <c r="CC55" i="11"/>
  <c r="CC28" i="11"/>
  <c r="CC10" i="11"/>
  <c r="CC9" i="11"/>
  <c r="CC8" i="11"/>
  <c r="CD17" i="11" s="1"/>
  <c r="CC7" i="11"/>
  <c r="CD16" i="11" s="1"/>
  <c r="CC6" i="11"/>
  <c r="CD15" i="11" s="1"/>
  <c r="CC5" i="11"/>
  <c r="CD14" i="11" s="1"/>
  <c r="CD104" i="1"/>
  <c r="CD98" i="1"/>
  <c r="CD99" i="1" s="1"/>
  <c r="CD78" i="1"/>
  <c r="CD79" i="1" s="1"/>
  <c r="CD8" i="1"/>
  <c r="CD18" i="11" l="1"/>
  <c r="CC11" i="11"/>
  <c r="CD19" i="11"/>
  <c r="CD31" i="11" s="1"/>
  <c r="CC65" i="11"/>
  <c r="CC68" i="11" s="1"/>
  <c r="CD81" i="1"/>
  <c r="AR10" i="28"/>
  <c r="AR9" i="28"/>
  <c r="AR8" i="28"/>
  <c r="AR7" i="28"/>
  <c r="AR6" i="28"/>
  <c r="AR5" i="28"/>
  <c r="CE27" i="1" l="1"/>
  <c r="CD34" i="11"/>
  <c r="CE57" i="1" s="1"/>
  <c r="CD35" i="11"/>
  <c r="CE67" i="1" s="1"/>
  <c r="CD33" i="11"/>
  <c r="CE47" i="1" s="1"/>
  <c r="CD20" i="11"/>
  <c r="CD32" i="11"/>
  <c r="CE37" i="1" s="1"/>
  <c r="CD28" i="1"/>
  <c r="CC71" i="11"/>
  <c r="CD58" i="1" s="1"/>
  <c r="CC72" i="11"/>
  <c r="CD68" i="1" s="1"/>
  <c r="CC70" i="11"/>
  <c r="CD48" i="1" s="1"/>
  <c r="CC69" i="11"/>
  <c r="CD38" i="1" s="1"/>
  <c r="CE16" i="1" l="1"/>
  <c r="CD36" i="11"/>
  <c r="CC73" i="11"/>
  <c r="CD17" i="1"/>
  <c r="BQ31" i="22"/>
  <c r="BQ24" i="22"/>
  <c r="BQ17" i="22"/>
  <c r="BQ10" i="22"/>
  <c r="BQ3" i="22"/>
  <c r="AF31" i="30"/>
  <c r="AF24" i="30"/>
  <c r="AF17" i="30"/>
  <c r="AF10" i="30"/>
  <c r="AF3" i="30"/>
  <c r="CB5" i="11" l="1"/>
  <c r="CB6" i="11"/>
  <c r="CB7" i="11"/>
  <c r="CB8" i="11"/>
  <c r="CB9" i="11"/>
  <c r="CB64" i="11"/>
  <c r="CB63" i="11"/>
  <c r="CB62" i="11"/>
  <c r="CB61" i="11"/>
  <c r="CB60" i="11"/>
  <c r="CB55" i="11"/>
  <c r="CB28" i="11"/>
  <c r="CB10" i="11"/>
  <c r="CC19" i="11" s="1"/>
  <c r="CC17" i="11" l="1"/>
  <c r="CC34" i="11" s="1"/>
  <c r="CD57" i="1" s="1"/>
  <c r="CC15" i="11"/>
  <c r="CC32" i="11" s="1"/>
  <c r="CD37" i="1" s="1"/>
  <c r="CC18" i="11"/>
  <c r="CC35" i="11" s="1"/>
  <c r="CD67" i="1" s="1"/>
  <c r="CC16" i="11"/>
  <c r="CC33" i="11" s="1"/>
  <c r="CD47" i="1" s="1"/>
  <c r="CC14" i="11"/>
  <c r="CB65" i="11"/>
  <c r="CB68" i="11" s="1"/>
  <c r="CB11" i="11"/>
  <c r="CC20" i="11" l="1"/>
  <c r="CC31" i="11"/>
  <c r="CB69" i="11"/>
  <c r="CB72" i="11"/>
  <c r="CB71" i="11"/>
  <c r="CB70" i="11"/>
  <c r="CD27" i="1" l="1"/>
  <c r="CD16" i="1" s="1"/>
  <c r="CC36" i="11"/>
  <c r="CB73" i="11"/>
  <c r="CC104" i="1"/>
  <c r="CC98" i="1"/>
  <c r="CC99" i="1" s="1"/>
  <c r="CC78" i="1"/>
  <c r="CC79" i="1" s="1"/>
  <c r="CC68" i="1"/>
  <c r="CC58" i="1"/>
  <c r="CC48" i="1"/>
  <c r="CC38" i="1"/>
  <c r="CC28" i="1"/>
  <c r="CC8" i="1"/>
  <c r="CC17" i="1" l="1"/>
  <c r="CC81" i="1"/>
  <c r="AS6" i="27"/>
  <c r="AQ10" i="28" l="1"/>
  <c r="AQ9" i="28"/>
  <c r="AQ8" i="28"/>
  <c r="AQ7" i="28"/>
  <c r="AQ6" i="28"/>
  <c r="AQ5" i="28"/>
  <c r="CA10" i="11" l="1"/>
  <c r="CB19" i="11" s="1"/>
  <c r="CA9" i="11"/>
  <c r="CB18" i="11" s="1"/>
  <c r="CA8" i="11"/>
  <c r="CB17" i="11" s="1"/>
  <c r="CA7" i="11"/>
  <c r="CB16" i="11" s="1"/>
  <c r="CA6" i="11"/>
  <c r="CB15" i="11" s="1"/>
  <c r="CA5" i="11"/>
  <c r="CB14" i="11" s="1"/>
  <c r="CB32" i="11" l="1"/>
  <c r="CC37" i="1" s="1"/>
  <c r="CB34" i="11"/>
  <c r="CC57" i="1" s="1"/>
  <c r="CB33" i="11"/>
  <c r="CC47" i="1" s="1"/>
  <c r="CB35" i="11"/>
  <c r="CB31" i="11"/>
  <c r="CC27" i="1" s="1"/>
  <c r="CB20" i="11"/>
  <c r="CC67" i="1"/>
  <c r="AE31" i="30"/>
  <c r="AE24" i="30"/>
  <c r="AE17" i="30"/>
  <c r="AE10" i="30"/>
  <c r="AE3" i="30"/>
  <c r="BP31" i="22"/>
  <c r="BP24" i="22"/>
  <c r="BP17" i="22"/>
  <c r="BP10" i="22"/>
  <c r="BP3" i="22"/>
  <c r="CA64" i="11"/>
  <c r="CA63" i="11"/>
  <c r="CA62" i="11"/>
  <c r="CA61" i="11"/>
  <c r="CA60" i="11"/>
  <c r="CA55" i="11"/>
  <c r="CA28" i="11"/>
  <c r="CB104" i="1"/>
  <c r="CB98" i="1"/>
  <c r="CB99" i="1" s="1"/>
  <c r="CB78" i="1"/>
  <c r="CB79" i="1" s="1"/>
  <c r="CB81" i="1" s="1"/>
  <c r="CB8" i="1"/>
  <c r="CB36" i="11" l="1"/>
  <c r="CC16" i="1"/>
  <c r="CA65" i="11"/>
  <c r="CA72" i="11" s="1"/>
  <c r="CB68" i="1" s="1"/>
  <c r="CA11" i="11"/>
  <c r="AP10" i="28"/>
  <c r="AP9" i="28"/>
  <c r="AP8" i="28"/>
  <c r="AP7" i="28"/>
  <c r="AP6" i="28"/>
  <c r="AP5" i="28"/>
  <c r="CA70" i="11" l="1"/>
  <c r="CB48" i="1" s="1"/>
  <c r="CA69" i="11"/>
  <c r="CB38" i="1" s="1"/>
  <c r="CA68" i="11"/>
  <c r="CA71" i="11"/>
  <c r="CB58" i="1" s="1"/>
  <c r="CA73" i="11" l="1"/>
  <c r="CB28" i="1"/>
  <c r="AR6" i="27"/>
  <c r="CB17" i="1" l="1"/>
  <c r="BO17" i="22"/>
  <c r="BO31" i="22"/>
  <c r="BO24" i="22"/>
  <c r="BO10" i="22"/>
  <c r="BO3" i="22"/>
  <c r="BZ64" i="11"/>
  <c r="BZ63" i="11"/>
  <c r="BZ62" i="11"/>
  <c r="BZ61" i="11"/>
  <c r="BZ60" i="11"/>
  <c r="BZ55" i="11"/>
  <c r="BZ28" i="11"/>
  <c r="BZ10" i="11"/>
  <c r="BZ9" i="11"/>
  <c r="BZ8" i="11"/>
  <c r="CA17" i="11" s="1"/>
  <c r="BZ7" i="11"/>
  <c r="CA16" i="11" s="1"/>
  <c r="BZ6" i="11"/>
  <c r="CA15" i="11" s="1"/>
  <c r="BZ5" i="11"/>
  <c r="AD31" i="30"/>
  <c r="AD24" i="30"/>
  <c r="AD17" i="30"/>
  <c r="AD10" i="30"/>
  <c r="AD3" i="30"/>
  <c r="CA104" i="1"/>
  <c r="CA98" i="1"/>
  <c r="CA99" i="1" s="1"/>
  <c r="CA78" i="1"/>
  <c r="CA79" i="1" s="1"/>
  <c r="CA8" i="1"/>
  <c r="CA19" i="11" l="1"/>
  <c r="CA34" i="11" s="1"/>
  <c r="CB57" i="1" s="1"/>
  <c r="CA14" i="11"/>
  <c r="CA18" i="11"/>
  <c r="CA35" i="11" s="1"/>
  <c r="CB67" i="1" s="1"/>
  <c r="BZ65" i="11"/>
  <c r="BZ70" i="11" s="1"/>
  <c r="CA48" i="1" s="1"/>
  <c r="BZ11" i="11"/>
  <c r="CA81" i="1"/>
  <c r="CA33" i="11" l="1"/>
  <c r="CB47" i="1" s="1"/>
  <c r="CA32" i="11"/>
  <c r="CB37" i="1" s="1"/>
  <c r="CA20" i="11"/>
  <c r="CA31" i="11"/>
  <c r="BZ68" i="11"/>
  <c r="BZ69" i="11"/>
  <c r="CA38" i="1" s="1"/>
  <c r="BZ72" i="11"/>
  <c r="CA68" i="1" s="1"/>
  <c r="BZ71" i="11"/>
  <c r="CA58" i="1" s="1"/>
  <c r="CA36" i="11" l="1"/>
  <c r="CB27" i="1"/>
  <c r="CB16" i="1" s="1"/>
  <c r="CA28" i="1"/>
  <c r="BZ73" i="11"/>
  <c r="CA17" i="1" l="1"/>
  <c r="AO10" i="28" l="1"/>
  <c r="AO9" i="28"/>
  <c r="AO8" i="28"/>
  <c r="AO7" i="28"/>
  <c r="AO6" i="28"/>
  <c r="AO5" i="28"/>
  <c r="AQ6" i="27" l="1"/>
  <c r="BN31" i="22" l="1"/>
  <c r="BN24" i="22"/>
  <c r="BN17" i="22"/>
  <c r="BN10" i="22"/>
  <c r="BN3" i="22"/>
  <c r="BY64" i="11"/>
  <c r="BY63" i="11"/>
  <c r="BY62" i="11"/>
  <c r="BY61" i="11"/>
  <c r="BY60" i="11"/>
  <c r="BY55" i="11"/>
  <c r="BY28" i="11"/>
  <c r="BY10" i="11"/>
  <c r="BY9" i="11"/>
  <c r="BY8" i="11"/>
  <c r="BZ17" i="11" s="1"/>
  <c r="BY7" i="11"/>
  <c r="BZ16" i="11" s="1"/>
  <c r="BY6" i="11"/>
  <c r="BZ15" i="11" s="1"/>
  <c r="BY5" i="11"/>
  <c r="BZ104" i="1"/>
  <c r="BZ98" i="1"/>
  <c r="BZ99" i="1" s="1"/>
  <c r="BZ78" i="1"/>
  <c r="BZ79" i="1" s="1"/>
  <c r="BZ8" i="1"/>
  <c r="AC31" i="30"/>
  <c r="AC24" i="30"/>
  <c r="AC17" i="30"/>
  <c r="AC10" i="30"/>
  <c r="AC3" i="30"/>
  <c r="BZ19" i="11" l="1"/>
  <c r="BZ32" i="11" s="1"/>
  <c r="CA37" i="1" s="1"/>
  <c r="BZ14" i="11"/>
  <c r="BZ33" i="11"/>
  <c r="CA47" i="1" s="1"/>
  <c r="BZ18" i="11"/>
  <c r="BY65" i="11"/>
  <c r="BY11" i="11"/>
  <c r="BZ81" i="1"/>
  <c r="AN10" i="28"/>
  <c r="AN9" i="28"/>
  <c r="AN8" i="28"/>
  <c r="AN7" i="28"/>
  <c r="AN6" i="28"/>
  <c r="AN5" i="28"/>
  <c r="BX10" i="11"/>
  <c r="BY19" i="11" s="1"/>
  <c r="BX9" i="11"/>
  <c r="BY18" i="11" s="1"/>
  <c r="BX8" i="11"/>
  <c r="BY17" i="11" s="1"/>
  <c r="BY34" i="11" s="1"/>
  <c r="BZ57" i="1" s="1"/>
  <c r="BX7" i="11"/>
  <c r="BY16" i="11" s="1"/>
  <c r="BX6" i="11"/>
  <c r="BY15" i="11" s="1"/>
  <c r="BY32" i="11" s="1"/>
  <c r="BZ37" i="1" s="1"/>
  <c r="BX5" i="11"/>
  <c r="BY14" i="11" s="1"/>
  <c r="BZ35" i="11" l="1"/>
  <c r="CA67" i="1" s="1"/>
  <c r="BY33" i="11"/>
  <c r="BZ47" i="1" s="1"/>
  <c r="BY35" i="11"/>
  <c r="BZ67" i="1" s="1"/>
  <c r="BY31" i="11"/>
  <c r="BZ27" i="1" s="1"/>
  <c r="BY20" i="11"/>
  <c r="BZ34" i="11"/>
  <c r="CA57" i="1" s="1"/>
  <c r="BZ31" i="11"/>
  <c r="BZ20" i="11"/>
  <c r="BY69" i="11"/>
  <c r="BZ38" i="1" s="1"/>
  <c r="BY72" i="11"/>
  <c r="BZ68" i="1" s="1"/>
  <c r="BY68" i="11"/>
  <c r="BY70" i="11"/>
  <c r="BZ48" i="1" s="1"/>
  <c r="BY71" i="11"/>
  <c r="BZ58" i="1" s="1"/>
  <c r="AP6" i="27"/>
  <c r="BY36" i="11" l="1"/>
  <c r="BZ16" i="1"/>
  <c r="BZ36" i="11"/>
  <c r="CA27" i="1"/>
  <c r="CA16" i="1" s="1"/>
  <c r="BZ28" i="1"/>
  <c r="BY73" i="11"/>
  <c r="BZ17" i="1"/>
  <c r="AB3" i="30"/>
  <c r="AB31" i="30"/>
  <c r="AB32" i="30" s="1"/>
  <c r="AB24" i="30"/>
  <c r="AB25" i="30" s="1"/>
  <c r="AB17" i="30"/>
  <c r="AB10" i="30"/>
  <c r="AB11" i="30" s="1"/>
  <c r="AZ85" i="27"/>
  <c r="AZ87" i="27" s="1"/>
  <c r="AZ88" i="27" s="1"/>
  <c r="AZ68" i="27"/>
  <c r="AZ67" i="27"/>
  <c r="AZ58" i="27"/>
  <c r="AZ57" i="27"/>
  <c r="AZ48" i="27"/>
  <c r="AZ47" i="27"/>
  <c r="AZ38" i="27"/>
  <c r="AZ37" i="27"/>
  <c r="AZ28" i="27"/>
  <c r="AZ27" i="27"/>
  <c r="AZ8" i="27"/>
  <c r="AY85" i="27"/>
  <c r="AX85" i="27"/>
  <c r="AX87" i="27" s="1"/>
  <c r="AX88" i="27" s="1"/>
  <c r="AX78" i="27"/>
  <c r="AX68" i="27"/>
  <c r="AX67" i="27"/>
  <c r="AX58" i="27"/>
  <c r="AX57" i="27"/>
  <c r="AX48" i="27"/>
  <c r="AX38" i="27"/>
  <c r="AX37" i="27"/>
  <c r="AX28" i="27"/>
  <c r="AX27" i="27"/>
  <c r="AX8" i="27"/>
  <c r="AW85" i="27"/>
  <c r="AW87" i="27" s="1"/>
  <c r="AW88" i="27" s="1"/>
  <c r="AV85" i="27"/>
  <c r="AU85" i="27"/>
  <c r="AU87" i="27" s="1"/>
  <c r="AU88" i="27" s="1"/>
  <c r="AT85" i="27"/>
  <c r="AS85" i="27"/>
  <c r="AR85" i="27"/>
  <c r="AQ85" i="27"/>
  <c r="AP85" i="27"/>
  <c r="AO85" i="27"/>
  <c r="AO87" i="27" s="1"/>
  <c r="AO88" i="27" s="1"/>
  <c r="BM3" i="22"/>
  <c r="BM31" i="22"/>
  <c r="BM32" i="22" s="1"/>
  <c r="BN32" i="22" s="1"/>
  <c r="BM24" i="22"/>
  <c r="BM17" i="22"/>
  <c r="BM19" i="22" s="1"/>
  <c r="BN19" i="22" s="1"/>
  <c r="BM10" i="22"/>
  <c r="BM12" i="22" s="1"/>
  <c r="BN12" i="22" s="1"/>
  <c r="BO12" i="22" s="1"/>
  <c r="BP12" i="22" s="1"/>
  <c r="BX64" i="11"/>
  <c r="BX63" i="11"/>
  <c r="BX62" i="11"/>
  <c r="BX61" i="11"/>
  <c r="BX60" i="11"/>
  <c r="BX55" i="11"/>
  <c r="BX28" i="11"/>
  <c r="BX11" i="11"/>
  <c r="BY104" i="1"/>
  <c r="BY98" i="1"/>
  <c r="BY99" i="1" s="1"/>
  <c r="BY78" i="1"/>
  <c r="BY79" i="1" s="1"/>
  <c r="BY8" i="1"/>
  <c r="BO19" i="22" l="1"/>
  <c r="BO32" i="22"/>
  <c r="AB12" i="30"/>
  <c r="AC11" i="30"/>
  <c r="AB26" i="30"/>
  <c r="AC25" i="30"/>
  <c r="BQ12" i="22"/>
  <c r="BR12" i="22" s="1"/>
  <c r="BS12" i="22" s="1"/>
  <c r="AY87" i="27"/>
  <c r="AY88" i="27" s="1"/>
  <c r="AB33" i="30"/>
  <c r="AC32" i="30"/>
  <c r="AZ17" i="27"/>
  <c r="AZ16" i="27"/>
  <c r="AX16" i="27"/>
  <c r="AX17" i="27"/>
  <c r="BM11" i="22"/>
  <c r="BM18" i="22"/>
  <c r="BN18" i="22" s="1"/>
  <c r="BM26" i="22"/>
  <c r="BN26" i="22" s="1"/>
  <c r="BO26" i="22" s="1"/>
  <c r="BP26" i="22" s="1"/>
  <c r="BM4" i="22"/>
  <c r="BM25" i="22"/>
  <c r="BN25" i="22" s="1"/>
  <c r="BM5" i="22"/>
  <c r="BN5" i="22" s="1"/>
  <c r="BO5" i="22" s="1"/>
  <c r="BP5" i="22" s="1"/>
  <c r="BM33" i="22"/>
  <c r="AB4" i="30"/>
  <c r="AB18" i="30"/>
  <c r="AB13" i="30"/>
  <c r="AB14" i="30" s="1"/>
  <c r="AB15" i="30" s="1"/>
  <c r="AB27" i="30"/>
  <c r="AB28" i="30" s="1"/>
  <c r="AB29" i="30" s="1"/>
  <c r="AB34" i="30"/>
  <c r="AB35" i="30" s="1"/>
  <c r="AB36" i="30" s="1"/>
  <c r="BX65" i="11"/>
  <c r="BX69" i="11" s="1"/>
  <c r="BY38" i="1" s="1"/>
  <c r="BY81" i="1"/>
  <c r="BM20" i="22" l="1"/>
  <c r="BM21" i="22" s="1"/>
  <c r="BM22" i="22" s="1"/>
  <c r="BX70" i="11"/>
  <c r="BY48" i="1" s="1"/>
  <c r="AB19" i="30"/>
  <c r="AC18" i="30"/>
  <c r="BM34" i="22"/>
  <c r="BM35" i="22" s="1"/>
  <c r="BM36" i="22" s="1"/>
  <c r="BN33" i="22"/>
  <c r="BO25" i="22"/>
  <c r="BN27" i="22"/>
  <c r="BN28" i="22" s="1"/>
  <c r="BN29" i="22" s="1"/>
  <c r="BZ59" i="1" s="1"/>
  <c r="BZ60" i="1" s="1"/>
  <c r="BZ61" i="1" s="1"/>
  <c r="BQ26" i="22"/>
  <c r="BR26" i="22" s="1"/>
  <c r="BM13" i="22"/>
  <c r="BM14" i="22" s="1"/>
  <c r="BM15" i="22" s="1"/>
  <c r="BY39" i="1" s="1"/>
  <c r="BY40" i="1" s="1"/>
  <c r="BN11" i="22"/>
  <c r="AC33" i="30"/>
  <c r="AD32" i="30"/>
  <c r="AC34" i="30"/>
  <c r="AC26" i="30"/>
  <c r="AD25" i="30"/>
  <c r="AC27" i="30"/>
  <c r="AC12" i="30"/>
  <c r="AD11" i="30"/>
  <c r="AC13" i="30"/>
  <c r="AC14" i="30" s="1"/>
  <c r="AC15" i="30" s="1"/>
  <c r="BP32" i="22"/>
  <c r="AB5" i="30"/>
  <c r="AB6" i="30" s="1"/>
  <c r="AB7" i="30" s="1"/>
  <c r="AB8" i="30" s="1"/>
  <c r="AC4" i="30"/>
  <c r="BQ5" i="22"/>
  <c r="BR5" i="22" s="1"/>
  <c r="BM6" i="22"/>
  <c r="BN4" i="22"/>
  <c r="BO18" i="22"/>
  <c r="BN20" i="22"/>
  <c r="BN21" i="22" s="1"/>
  <c r="BN22" i="22" s="1"/>
  <c r="BZ49" i="1" s="1"/>
  <c r="BZ50" i="1" s="1"/>
  <c r="BZ51" i="1" s="1"/>
  <c r="BT12" i="22"/>
  <c r="BU12" i="22" s="1"/>
  <c r="BP19" i="22"/>
  <c r="BQ19" i="22" s="1"/>
  <c r="BM7" i="22"/>
  <c r="BM8" i="22" s="1"/>
  <c r="BM27" i="22"/>
  <c r="BM28" i="22" s="1"/>
  <c r="BM29" i="22" s="1"/>
  <c r="AB20" i="30"/>
  <c r="AB21" i="30" s="1"/>
  <c r="AB22" i="30" s="1"/>
  <c r="BX71" i="11"/>
  <c r="BY58" i="1" s="1"/>
  <c r="BX72" i="11"/>
  <c r="BY68" i="1" s="1"/>
  <c r="BX68" i="11"/>
  <c r="BY49" i="1" l="1"/>
  <c r="BY50" i="1" s="1"/>
  <c r="BR19" i="22"/>
  <c r="BS19" i="22" s="1"/>
  <c r="BV12" i="22"/>
  <c r="BO4" i="22"/>
  <c r="BN6" i="22"/>
  <c r="BN7" i="22" s="1"/>
  <c r="BN8" i="22" s="1"/>
  <c r="BZ29" i="1" s="1"/>
  <c r="BZ30" i="1" s="1"/>
  <c r="BZ31" i="1" s="1"/>
  <c r="AC5" i="30"/>
  <c r="AD4" i="30"/>
  <c r="AC6" i="30"/>
  <c r="AC7" i="30" s="1"/>
  <c r="AC8" i="30" s="1"/>
  <c r="AD26" i="30"/>
  <c r="AE25" i="30"/>
  <c r="AD27" i="30"/>
  <c r="AD28" i="30" s="1"/>
  <c r="AD29" i="30" s="1"/>
  <c r="AC35" i="30"/>
  <c r="AC36" i="30" s="1"/>
  <c r="BS26" i="22"/>
  <c r="BO33" i="22"/>
  <c r="BN34" i="22"/>
  <c r="BN35" i="22" s="1"/>
  <c r="BN36" i="22" s="1"/>
  <c r="BZ69" i="1" s="1"/>
  <c r="AC19" i="30"/>
  <c r="AD18" i="30"/>
  <c r="AC20" i="30"/>
  <c r="AC21" i="30" s="1"/>
  <c r="AC22" i="30" s="1"/>
  <c r="BP18" i="22"/>
  <c r="BO20" i="22"/>
  <c r="BO21" i="22" s="1"/>
  <c r="BO22" i="22" s="1"/>
  <c r="CA49" i="1" s="1"/>
  <c r="CA50" i="1" s="1"/>
  <c r="CA51" i="1" s="1"/>
  <c r="BS5" i="22"/>
  <c r="BT5" i="22" s="1"/>
  <c r="BU5" i="22" s="1"/>
  <c r="BV5" i="22" s="1"/>
  <c r="BQ32" i="22"/>
  <c r="AD12" i="30"/>
  <c r="AE11" i="30"/>
  <c r="AD13" i="30"/>
  <c r="AD14" i="30" s="1"/>
  <c r="AD15" i="30" s="1"/>
  <c r="AC28" i="30"/>
  <c r="AC29" i="30" s="1"/>
  <c r="AD33" i="30"/>
  <c r="AD34" i="30" s="1"/>
  <c r="AD35" i="30" s="1"/>
  <c r="AD36" i="30" s="1"/>
  <c r="AE32" i="30"/>
  <c r="BN13" i="22"/>
  <c r="BN14" i="22" s="1"/>
  <c r="BN15" i="22" s="1"/>
  <c r="BZ39" i="1" s="1"/>
  <c r="BZ40" i="1" s="1"/>
  <c r="BZ41" i="1" s="1"/>
  <c r="BO11" i="22"/>
  <c r="BP25" i="22"/>
  <c r="BO27" i="22"/>
  <c r="BO28" i="22" s="1"/>
  <c r="BO29" i="22" s="1"/>
  <c r="CA59" i="1" s="1"/>
  <c r="CA60" i="1" s="1"/>
  <c r="CA61" i="1" s="1"/>
  <c r="BY59" i="1"/>
  <c r="BY60" i="1" s="1"/>
  <c r="BX73" i="11"/>
  <c r="BY28" i="1"/>
  <c r="BY29" i="1" s="1"/>
  <c r="BY30" i="1" s="1"/>
  <c r="BY69" i="1"/>
  <c r="BZ70" i="1" l="1"/>
  <c r="BZ18" i="1"/>
  <c r="BO13" i="22"/>
  <c r="BO14" i="22" s="1"/>
  <c r="BO15" i="22" s="1"/>
  <c r="CA39" i="1" s="1"/>
  <c r="CA40" i="1" s="1"/>
  <c r="CA41" i="1" s="1"/>
  <c r="BP11" i="22"/>
  <c r="AE33" i="30"/>
  <c r="AF32" i="30"/>
  <c r="AE34" i="30"/>
  <c r="AE35" i="30" s="1"/>
  <c r="AE36" i="30" s="1"/>
  <c r="AF11" i="30"/>
  <c r="AE12" i="30"/>
  <c r="AE13" i="30" s="1"/>
  <c r="BR32" i="22"/>
  <c r="BW5" i="22"/>
  <c r="AD19" i="30"/>
  <c r="AE18" i="30"/>
  <c r="AD20" i="30"/>
  <c r="AD21" i="30" s="1"/>
  <c r="AD22" i="30" s="1"/>
  <c r="BP33" i="22"/>
  <c r="BO34" i="22"/>
  <c r="BO35" i="22" s="1"/>
  <c r="BO36" i="22" s="1"/>
  <c r="CA69" i="1" s="1"/>
  <c r="BT26" i="22"/>
  <c r="AD5" i="30"/>
  <c r="AE4" i="30"/>
  <c r="AD6" i="30"/>
  <c r="AD7" i="30" s="1"/>
  <c r="AD8" i="30" s="1"/>
  <c r="BQ25" i="22"/>
  <c r="BP27" i="22"/>
  <c r="BP28" i="22" s="1"/>
  <c r="BP29" i="22" s="1"/>
  <c r="CB59" i="1" s="1"/>
  <c r="CB60" i="1" s="1"/>
  <c r="CB61" i="1" s="1"/>
  <c r="BQ18" i="22"/>
  <c r="BP20" i="22"/>
  <c r="BP21" i="22" s="1"/>
  <c r="BP22" i="22" s="1"/>
  <c r="CB49" i="1" s="1"/>
  <c r="CB50" i="1" s="1"/>
  <c r="CB51" i="1" s="1"/>
  <c r="AF25" i="30"/>
  <c r="AE26" i="30"/>
  <c r="AE27" i="30" s="1"/>
  <c r="AE28" i="30" s="1"/>
  <c r="AE29" i="30" s="1"/>
  <c r="BO6" i="22"/>
  <c r="BO7" i="22" s="1"/>
  <c r="BO8" i="22" s="1"/>
  <c r="CA29" i="1" s="1"/>
  <c r="CA30" i="1" s="1"/>
  <c r="CA31" i="1" s="1"/>
  <c r="BP4" i="22"/>
  <c r="BW12" i="22"/>
  <c r="BT19" i="22"/>
  <c r="BY17" i="1"/>
  <c r="BY18" i="1"/>
  <c r="BY70" i="1"/>
  <c r="BU19" i="22" l="1"/>
  <c r="BU26" i="22"/>
  <c r="BV26" i="22" s="1"/>
  <c r="BW26" i="22" s="1"/>
  <c r="BQ33" i="22"/>
  <c r="BP34" i="22"/>
  <c r="BP35" i="22" s="1"/>
  <c r="BP36" i="22" s="1"/>
  <c r="CB69" i="1" s="1"/>
  <c r="AE19" i="30"/>
  <c r="AF18" i="30"/>
  <c r="AE20" i="30"/>
  <c r="AE21" i="30" s="1"/>
  <c r="AE22" i="30" s="1"/>
  <c r="AE14" i="30"/>
  <c r="AE15" i="30" s="1"/>
  <c r="AF12" i="30"/>
  <c r="AG11" i="30"/>
  <c r="AF13" i="30"/>
  <c r="AF33" i="30"/>
  <c r="AG32" i="30"/>
  <c r="AF34" i="30"/>
  <c r="AF35" i="30" s="1"/>
  <c r="AF36" i="30" s="1"/>
  <c r="BQ11" i="22"/>
  <c r="BP13" i="22"/>
  <c r="BP14" i="22" s="1"/>
  <c r="BP15" i="22" s="1"/>
  <c r="CB39" i="1" s="1"/>
  <c r="CB40" i="1" s="1"/>
  <c r="CB41" i="1" s="1"/>
  <c r="BP6" i="22"/>
  <c r="BP7" i="22" s="1"/>
  <c r="BP8" i="22" s="1"/>
  <c r="CB29" i="1" s="1"/>
  <c r="CB30" i="1" s="1"/>
  <c r="CB31" i="1" s="1"/>
  <c r="BQ4" i="22"/>
  <c r="AF26" i="30"/>
  <c r="AG25" i="30"/>
  <c r="AF27" i="30"/>
  <c r="AF28" i="30" s="1"/>
  <c r="AF29" i="30" s="1"/>
  <c r="BR18" i="22"/>
  <c r="BQ20" i="22"/>
  <c r="BQ21" i="22" s="1"/>
  <c r="BQ22" i="22" s="1"/>
  <c r="CC49" i="1" s="1"/>
  <c r="CC50" i="1" s="1"/>
  <c r="CC51" i="1" s="1"/>
  <c r="BR25" i="22"/>
  <c r="BQ27" i="22"/>
  <c r="BQ28" i="22" s="1"/>
  <c r="BQ29" i="22" s="1"/>
  <c r="CC59" i="1" s="1"/>
  <c r="CC60" i="1" s="1"/>
  <c r="CC61" i="1" s="1"/>
  <c r="AE5" i="30"/>
  <c r="AF4" i="30"/>
  <c r="AE6" i="30"/>
  <c r="AE7" i="30" s="1"/>
  <c r="AE8" i="30" s="1"/>
  <c r="CA70" i="1"/>
  <c r="CA18" i="1"/>
  <c r="BS32" i="22"/>
  <c r="BT32" i="22" s="1"/>
  <c r="BU32" i="22" s="1"/>
  <c r="BZ71" i="1"/>
  <c r="BZ20" i="1" s="1"/>
  <c r="BZ19" i="1"/>
  <c r="BY19" i="1"/>
  <c r="AM10" i="28"/>
  <c r="AM9" i="28"/>
  <c r="AM8" i="28"/>
  <c r="AM7" i="28"/>
  <c r="AM6" i="28"/>
  <c r="AM5" i="28"/>
  <c r="BW10" i="11"/>
  <c r="BX19" i="11" s="1"/>
  <c r="BW9" i="11"/>
  <c r="BX18" i="11" s="1"/>
  <c r="BW8" i="11"/>
  <c r="BX17" i="11" s="1"/>
  <c r="BX34" i="11" s="1"/>
  <c r="BY57" i="1" s="1"/>
  <c r="BY61" i="1" s="1"/>
  <c r="BW7" i="11"/>
  <c r="BX16" i="11" s="1"/>
  <c r="BW6" i="11"/>
  <c r="BX15" i="11" s="1"/>
  <c r="BX32" i="11" s="1"/>
  <c r="BY37" i="1" s="1"/>
  <c r="BY41" i="1" s="1"/>
  <c r="BW5" i="11"/>
  <c r="BX14" i="11" s="1"/>
  <c r="BV32" i="22" l="1"/>
  <c r="BW32" i="22" s="1"/>
  <c r="CA19" i="1"/>
  <c r="CA71" i="1"/>
  <c r="CA20" i="1" s="1"/>
  <c r="AF5" i="30"/>
  <c r="AG4" i="30"/>
  <c r="AF6" i="30"/>
  <c r="AF7" i="30" s="1"/>
  <c r="AF8" i="30" s="1"/>
  <c r="BQ13" i="22"/>
  <c r="BQ14" i="22" s="1"/>
  <c r="BQ15" i="22" s="1"/>
  <c r="CC39" i="1" s="1"/>
  <c r="CC40" i="1" s="1"/>
  <c r="CC41" i="1" s="1"/>
  <c r="BR11" i="22"/>
  <c r="AG33" i="30"/>
  <c r="AH32" i="30"/>
  <c r="AG34" i="30"/>
  <c r="AG35" i="30" s="1"/>
  <c r="AG36" i="30" s="1"/>
  <c r="AF14" i="30"/>
  <c r="AF15" i="30" s="1"/>
  <c r="BR33" i="22"/>
  <c r="BQ34" i="22"/>
  <c r="BQ35" i="22" s="1"/>
  <c r="BQ36" i="22" s="1"/>
  <c r="CC69" i="1" s="1"/>
  <c r="BX20" i="11"/>
  <c r="BX31" i="11"/>
  <c r="BX33" i="11"/>
  <c r="BY47" i="1" s="1"/>
  <c r="BY51" i="1" s="1"/>
  <c r="BX35" i="11"/>
  <c r="BY67" i="1" s="1"/>
  <c r="BS25" i="22"/>
  <c r="BR27" i="22"/>
  <c r="BR28" i="22" s="1"/>
  <c r="BR29" i="22" s="1"/>
  <c r="CD59" i="1" s="1"/>
  <c r="CD60" i="1" s="1"/>
  <c r="CD61" i="1" s="1"/>
  <c r="BR20" i="22"/>
  <c r="BR21" i="22" s="1"/>
  <c r="BR22" i="22" s="1"/>
  <c r="CD49" i="1" s="1"/>
  <c r="CD50" i="1" s="1"/>
  <c r="CD51" i="1" s="1"/>
  <c r="BS18" i="22"/>
  <c r="AG26" i="30"/>
  <c r="AG27" i="30" s="1"/>
  <c r="AH25" i="30"/>
  <c r="BR4" i="22"/>
  <c r="BQ6" i="22"/>
  <c r="BQ7" i="22" s="1"/>
  <c r="BQ8" i="22" s="1"/>
  <c r="CC29" i="1" s="1"/>
  <c r="CC30" i="1" s="1"/>
  <c r="CC31" i="1" s="1"/>
  <c r="AH11" i="30"/>
  <c r="AG12" i="30"/>
  <c r="AG18" i="30"/>
  <c r="AF19" i="30"/>
  <c r="AF20" i="30" s="1"/>
  <c r="CB70" i="1"/>
  <c r="CB18" i="1"/>
  <c r="BV19" i="22"/>
  <c r="CB19" i="1" l="1"/>
  <c r="CB71" i="1"/>
  <c r="CB20" i="1" s="1"/>
  <c r="AG13" i="30"/>
  <c r="AG14" i="30" s="1"/>
  <c r="AG15" i="30" s="1"/>
  <c r="AG28" i="30"/>
  <c r="AG29" i="30" s="1"/>
  <c r="BS27" i="22"/>
  <c r="BS28" i="22" s="1"/>
  <c r="BS29" i="22" s="1"/>
  <c r="CE59" i="1" s="1"/>
  <c r="CE60" i="1" s="1"/>
  <c r="CE61" i="1" s="1"/>
  <c r="BT25" i="22"/>
  <c r="BS33" i="22"/>
  <c r="BR34" i="22"/>
  <c r="BR35" i="22" s="1"/>
  <c r="BR36" i="22" s="1"/>
  <c r="CD69" i="1" s="1"/>
  <c r="AG5" i="30"/>
  <c r="AH4" i="30"/>
  <c r="AG6" i="30"/>
  <c r="BW19" i="22"/>
  <c r="AF21" i="30"/>
  <c r="AF22" i="30" s="1"/>
  <c r="AG19" i="30"/>
  <c r="AH18" i="30"/>
  <c r="AG20" i="30"/>
  <c r="AG21" i="30" s="1"/>
  <c r="AG22" i="30" s="1"/>
  <c r="AH12" i="30"/>
  <c r="AI11" i="30"/>
  <c r="AH13" i="30"/>
  <c r="AH14" i="30" s="1"/>
  <c r="AH15" i="30" s="1"/>
  <c r="BS4" i="22"/>
  <c r="BR6" i="22"/>
  <c r="BR7" i="22" s="1"/>
  <c r="BR8" i="22" s="1"/>
  <c r="CD29" i="1" s="1"/>
  <c r="CD30" i="1" s="1"/>
  <c r="CD31" i="1" s="1"/>
  <c r="AH26" i="30"/>
  <c r="AI25" i="30"/>
  <c r="AH27" i="30"/>
  <c r="BT18" i="22"/>
  <c r="BS20" i="22"/>
  <c r="BS21" i="22" s="1"/>
  <c r="BS22" i="22" s="1"/>
  <c r="CE49" i="1" s="1"/>
  <c r="CE50" i="1" s="1"/>
  <c r="CE51" i="1" s="1"/>
  <c r="BY71" i="1"/>
  <c r="BY27" i="1"/>
  <c r="BY31" i="1" s="1"/>
  <c r="BX36" i="11"/>
  <c r="CC18" i="1"/>
  <c r="CC70" i="1"/>
  <c r="AH33" i="30"/>
  <c r="AI32" i="30"/>
  <c r="AH34" i="30"/>
  <c r="AH35" i="30" s="1"/>
  <c r="AH36" i="30" s="1"/>
  <c r="BS11" i="22"/>
  <c r="BR13" i="22"/>
  <c r="BR14" i="22" s="1"/>
  <c r="BR15" i="22" s="1"/>
  <c r="CD39" i="1" s="1"/>
  <c r="CD40" i="1" s="1"/>
  <c r="CD41" i="1" s="1"/>
  <c r="AO6" i="27"/>
  <c r="BT11" i="22" l="1"/>
  <c r="BS13" i="22"/>
  <c r="BS14" i="22" s="1"/>
  <c r="BS15" i="22" s="1"/>
  <c r="CE39" i="1" s="1"/>
  <c r="CE40" i="1" s="1"/>
  <c r="CE41" i="1" s="1"/>
  <c r="AI33" i="30"/>
  <c r="AJ32" i="30"/>
  <c r="AI34" i="30"/>
  <c r="AI35" i="30" s="1"/>
  <c r="AI36" i="30" s="1"/>
  <c r="CC19" i="1"/>
  <c r="CC71" i="1"/>
  <c r="CC20" i="1" s="1"/>
  <c r="BY20" i="1"/>
  <c r="AH28" i="30"/>
  <c r="AH29" i="30" s="1"/>
  <c r="BT4" i="22"/>
  <c r="BS6" i="22"/>
  <c r="BS7" i="22" s="1"/>
  <c r="BS8" i="22" s="1"/>
  <c r="CE29" i="1" s="1"/>
  <c r="CE30" i="1" s="1"/>
  <c r="CE31" i="1" s="1"/>
  <c r="AI12" i="30"/>
  <c r="AJ11" i="30"/>
  <c r="AI13" i="30"/>
  <c r="AG7" i="30"/>
  <c r="AG8" i="30" s="1"/>
  <c r="BS34" i="22"/>
  <c r="BT33" i="22"/>
  <c r="BS35" i="22"/>
  <c r="BS36" i="22" s="1"/>
  <c r="CE69" i="1" s="1"/>
  <c r="BY16" i="1"/>
  <c r="BU18" i="22"/>
  <c r="BT20" i="22"/>
  <c r="BT21" i="22" s="1"/>
  <c r="BT22" i="22" s="1"/>
  <c r="CF49" i="1" s="1"/>
  <c r="CF50" i="1" s="1"/>
  <c r="CF51" i="1" s="1"/>
  <c r="AI26" i="30"/>
  <c r="AJ25" i="30"/>
  <c r="AI27" i="30"/>
  <c r="AI28" i="30" s="1"/>
  <c r="AI29" i="30" s="1"/>
  <c r="AH19" i="30"/>
  <c r="AI18" i="30"/>
  <c r="AH5" i="30"/>
  <c r="AI4" i="30"/>
  <c r="AH6" i="30"/>
  <c r="AH7" i="30" s="1"/>
  <c r="AH8" i="30" s="1"/>
  <c r="CD18" i="1"/>
  <c r="CD70" i="1"/>
  <c r="BU25" i="22"/>
  <c r="BT27" i="22"/>
  <c r="BT28" i="22" s="1"/>
  <c r="BT29" i="22" s="1"/>
  <c r="CF59" i="1" s="1"/>
  <c r="CF60" i="1" s="1"/>
  <c r="CF61" i="1" s="1"/>
  <c r="AH20" i="30" l="1"/>
  <c r="AH21" i="30" s="1"/>
  <c r="AH22" i="30" s="1"/>
  <c r="AJ26" i="30"/>
  <c r="AK25" i="30"/>
  <c r="AJ27" i="30"/>
  <c r="BV25" i="22"/>
  <c r="BU27" i="22"/>
  <c r="BU28" i="22" s="1"/>
  <c r="BU29" i="22" s="1"/>
  <c r="CG59" i="1" s="1"/>
  <c r="CG60" i="1" s="1"/>
  <c r="CG61" i="1" s="1"/>
  <c r="AI5" i="30"/>
  <c r="AJ4" i="30"/>
  <c r="AI6" i="30"/>
  <c r="AI7" i="30" s="1"/>
  <c r="AI8" i="30" s="1"/>
  <c r="AI19" i="30"/>
  <c r="AJ18" i="30"/>
  <c r="AI20" i="30"/>
  <c r="AI21" i="30" s="1"/>
  <c r="AI22" i="30" s="1"/>
  <c r="BV18" i="22"/>
  <c r="BU20" i="22"/>
  <c r="BU21" i="22" s="1"/>
  <c r="BU22" i="22" s="1"/>
  <c r="CG49" i="1" s="1"/>
  <c r="CG50" i="1" s="1"/>
  <c r="CG51" i="1" s="1"/>
  <c r="CE18" i="1"/>
  <c r="CE70" i="1"/>
  <c r="AI14" i="30"/>
  <c r="AI15" i="30" s="1"/>
  <c r="BU4" i="22"/>
  <c r="BT6" i="22"/>
  <c r="BT7" i="22" s="1"/>
  <c r="BT8" i="22" s="1"/>
  <c r="CF29" i="1" s="1"/>
  <c r="CF30" i="1" s="1"/>
  <c r="CF31" i="1" s="1"/>
  <c r="AJ33" i="30"/>
  <c r="AJ34" i="30" s="1"/>
  <c r="AJ35" i="30" s="1"/>
  <c r="AJ36" i="30" s="1"/>
  <c r="AX69" i="27" s="1"/>
  <c r="AK32" i="30"/>
  <c r="CD19" i="1"/>
  <c r="CD71" i="1"/>
  <c r="CD20" i="1" s="1"/>
  <c r="BT34" i="22"/>
  <c r="BU33" i="22"/>
  <c r="BT35" i="22"/>
  <c r="BT36" i="22" s="1"/>
  <c r="CF69" i="1" s="1"/>
  <c r="AJ12" i="30"/>
  <c r="AK11" i="30"/>
  <c r="AJ13" i="30"/>
  <c r="AJ14" i="30" s="1"/>
  <c r="AJ15" i="30" s="1"/>
  <c r="AX39" i="27" s="1"/>
  <c r="AX40" i="27" s="1"/>
  <c r="AX41" i="27" s="1"/>
  <c r="BT13" i="22"/>
  <c r="BT14" i="22" s="1"/>
  <c r="BT15" i="22" s="1"/>
  <c r="CF39" i="1" s="1"/>
  <c r="CF40" i="1" s="1"/>
  <c r="CF41" i="1" s="1"/>
  <c r="BU11" i="22"/>
  <c r="AL11" i="30" l="1"/>
  <c r="AK12" i="30"/>
  <c r="AK13" i="30" s="1"/>
  <c r="AK14" i="30" s="1"/>
  <c r="AK15" i="30" s="1"/>
  <c r="BV11" i="22"/>
  <c r="BU13" i="22"/>
  <c r="BU14" i="22" s="1"/>
  <c r="BU15" i="22" s="1"/>
  <c r="CG39" i="1" s="1"/>
  <c r="CG40" i="1" s="1"/>
  <c r="CG41" i="1" s="1"/>
  <c r="BV33" i="22"/>
  <c r="BU34" i="22"/>
  <c r="BU35" i="22" s="1"/>
  <c r="BU36" i="22" s="1"/>
  <c r="CG69" i="1" s="1"/>
  <c r="AK33" i="30"/>
  <c r="AL32" i="30"/>
  <c r="AK34" i="30"/>
  <c r="BW18" i="22"/>
  <c r="BW20" i="22" s="1"/>
  <c r="BW21" i="22" s="1"/>
  <c r="BW22" i="22" s="1"/>
  <c r="CI49" i="1" s="1"/>
  <c r="CI50" i="1" s="1"/>
  <c r="CI51" i="1" s="1"/>
  <c r="BV20" i="22"/>
  <c r="BV21" i="22" s="1"/>
  <c r="BV22" i="22" s="1"/>
  <c r="CH49" i="1" s="1"/>
  <c r="CH50" i="1" s="1"/>
  <c r="CH51" i="1" s="1"/>
  <c r="AJ19" i="30"/>
  <c r="AK18" i="30"/>
  <c r="AJ20" i="30"/>
  <c r="AJ21" i="30" s="1"/>
  <c r="AJ22" i="30" s="1"/>
  <c r="AX49" i="27" s="1"/>
  <c r="AX50" i="27" s="1"/>
  <c r="AX51" i="27" s="1"/>
  <c r="BW25" i="22"/>
  <c r="BW27" i="22" s="1"/>
  <c r="BW28" i="22" s="1"/>
  <c r="BW29" i="22" s="1"/>
  <c r="CI59" i="1" s="1"/>
  <c r="CI60" i="1" s="1"/>
  <c r="CI61" i="1" s="1"/>
  <c r="BV27" i="22"/>
  <c r="BV28" i="22" s="1"/>
  <c r="BV29" i="22" s="1"/>
  <c r="CH59" i="1" s="1"/>
  <c r="CH60" i="1" s="1"/>
  <c r="CH61" i="1" s="1"/>
  <c r="AL25" i="30"/>
  <c r="AK26" i="30"/>
  <c r="AK27" i="30" s="1"/>
  <c r="AK28" i="30" s="1"/>
  <c r="AK29" i="30" s="1"/>
  <c r="CF70" i="1"/>
  <c r="CF18" i="1"/>
  <c r="AX70" i="27"/>
  <c r="BV4" i="22"/>
  <c r="BU6" i="22"/>
  <c r="BU7" i="22" s="1"/>
  <c r="BU8" i="22" s="1"/>
  <c r="CG29" i="1" s="1"/>
  <c r="CG30" i="1" s="1"/>
  <c r="CG31" i="1" s="1"/>
  <c r="CE71" i="1"/>
  <c r="CE20" i="1" s="1"/>
  <c r="CE19" i="1"/>
  <c r="AJ5" i="30"/>
  <c r="AK4" i="30"/>
  <c r="AJ6" i="30"/>
  <c r="AJ7" i="30" s="1"/>
  <c r="AJ8" i="30" s="1"/>
  <c r="AX29" i="27" s="1"/>
  <c r="AX30" i="27" s="1"/>
  <c r="AX31" i="27" s="1"/>
  <c r="AJ28" i="30"/>
  <c r="AJ29" i="30" s="1"/>
  <c r="AX59" i="27" s="1"/>
  <c r="AX60" i="27" s="1"/>
  <c r="AX61" i="27" s="1"/>
  <c r="AJ85" i="27"/>
  <c r="AJ87" i="27" s="1"/>
  <c r="AJ88" i="27" s="1"/>
  <c r="AO78" i="27"/>
  <c r="AO8" i="27"/>
  <c r="AK5" i="30" l="1"/>
  <c r="AL4" i="30"/>
  <c r="AK6" i="30"/>
  <c r="AK7" i="30" s="1"/>
  <c r="AK8" i="30" s="1"/>
  <c r="AX19" i="27"/>
  <c r="AX71" i="27"/>
  <c r="AX20" i="27" s="1"/>
  <c r="AL26" i="30"/>
  <c r="AL27" i="30" s="1"/>
  <c r="AK19" i="30"/>
  <c r="AL18" i="30"/>
  <c r="AK20" i="30"/>
  <c r="AK21" i="30" s="1"/>
  <c r="AK22" i="30" s="1"/>
  <c r="AK35" i="30"/>
  <c r="AK36" i="30" s="1"/>
  <c r="BV34" i="22"/>
  <c r="BW33" i="22"/>
  <c r="BW34" i="22" s="1"/>
  <c r="BW35" i="22" s="1"/>
  <c r="BW36" i="22" s="1"/>
  <c r="CI69" i="1" s="1"/>
  <c r="BV35" i="22"/>
  <c r="BV36" i="22" s="1"/>
  <c r="CH69" i="1" s="1"/>
  <c r="BV13" i="22"/>
  <c r="BV14" i="22" s="1"/>
  <c r="BV15" i="22" s="1"/>
  <c r="CH39" i="1" s="1"/>
  <c r="CH40" i="1" s="1"/>
  <c r="CH41" i="1" s="1"/>
  <c r="BW11" i="22"/>
  <c r="BW13" i="22" s="1"/>
  <c r="BW14" i="22" s="1"/>
  <c r="BW15" i="22" s="1"/>
  <c r="CI39" i="1" s="1"/>
  <c r="CI40" i="1" s="1"/>
  <c r="CI41" i="1" s="1"/>
  <c r="BW4" i="22"/>
  <c r="BW6" i="22" s="1"/>
  <c r="BW7" i="22" s="1"/>
  <c r="BW8" i="22" s="1"/>
  <c r="CI29" i="1" s="1"/>
  <c r="CI30" i="1" s="1"/>
  <c r="CI31" i="1" s="1"/>
  <c r="BV6" i="22"/>
  <c r="BV7" i="22" s="1"/>
  <c r="BV8" i="22" s="1"/>
  <c r="CH29" i="1" s="1"/>
  <c r="CH30" i="1" s="1"/>
  <c r="CH31" i="1" s="1"/>
  <c r="AX18" i="27"/>
  <c r="CF71" i="1"/>
  <c r="CF20" i="1" s="1"/>
  <c r="CF19" i="1"/>
  <c r="AL33" i="30"/>
  <c r="AL34" i="30" s="1"/>
  <c r="AL35" i="30" s="1"/>
  <c r="AL36" i="30" s="1"/>
  <c r="AZ69" i="27" s="1"/>
  <c r="CG70" i="1"/>
  <c r="CG18" i="1"/>
  <c r="AL12" i="30"/>
  <c r="AL13" i="30" s="1"/>
  <c r="AL14" i="30" s="1"/>
  <c r="AL15" i="30" s="1"/>
  <c r="AZ39" i="27" s="1"/>
  <c r="AZ40" i="27" s="1"/>
  <c r="AZ41" i="27" s="1"/>
  <c r="AI78" i="27"/>
  <c r="BL3" i="22"/>
  <c r="BL31" i="22"/>
  <c r="BL24" i="22"/>
  <c r="BL27" i="22" s="1"/>
  <c r="BL17" i="22"/>
  <c r="BL10" i="22"/>
  <c r="AA3" i="30"/>
  <c r="AL19" i="30" l="1"/>
  <c r="AZ70" i="27"/>
  <c r="CI18" i="1"/>
  <c r="CI70" i="1"/>
  <c r="AL20" i="30"/>
  <c r="CG71" i="1"/>
  <c r="CG20" i="1" s="1"/>
  <c r="CG19" i="1"/>
  <c r="CH70" i="1"/>
  <c r="CH18" i="1"/>
  <c r="AL28" i="30"/>
  <c r="AL29" i="30" s="1"/>
  <c r="AZ59" i="27" s="1"/>
  <c r="AZ60" i="27" s="1"/>
  <c r="AZ61" i="27" s="1"/>
  <c r="AL5" i="30"/>
  <c r="AL6" i="30" s="1"/>
  <c r="BL28" i="22"/>
  <c r="BL29" i="22" s="1"/>
  <c r="BL20" i="22"/>
  <c r="BL21" i="22" s="1"/>
  <c r="BL22" i="22" s="1"/>
  <c r="BL13" i="22"/>
  <c r="BL14" i="22" s="1"/>
  <c r="BL15" i="22" s="1"/>
  <c r="BL6" i="22"/>
  <c r="BL7" i="22" s="1"/>
  <c r="BL8" i="22" s="1"/>
  <c r="BL34" i="22"/>
  <c r="BL35" i="22" s="1"/>
  <c r="BL36" i="22" s="1"/>
  <c r="AL21" i="30" l="1"/>
  <c r="AL22" i="30" s="1"/>
  <c r="AZ49" i="27" s="1"/>
  <c r="AZ50" i="27" s="1"/>
  <c r="AZ51" i="27" s="1"/>
  <c r="AL7" i="30"/>
  <c r="AL8" i="30" s="1"/>
  <c r="AZ29" i="27" s="1"/>
  <c r="AZ30" i="27" s="1"/>
  <c r="AZ31" i="27" s="1"/>
  <c r="CI71" i="1"/>
  <c r="CI20" i="1" s="1"/>
  <c r="CI19" i="1"/>
  <c r="CH71" i="1"/>
  <c r="CH20" i="1" s="1"/>
  <c r="CH19" i="1"/>
  <c r="AZ71" i="27"/>
  <c r="AA31" i="30"/>
  <c r="AA24" i="30"/>
  <c r="AA27" i="30" s="1"/>
  <c r="AA17" i="30"/>
  <c r="AA10" i="30"/>
  <c r="BW64" i="11"/>
  <c r="BW63" i="11"/>
  <c r="BW62" i="11"/>
  <c r="BW61" i="11"/>
  <c r="BW60" i="11"/>
  <c r="BW55" i="11"/>
  <c r="BW28" i="11"/>
  <c r="BX98" i="1"/>
  <c r="BX99" i="1" s="1"/>
  <c r="BX78" i="1"/>
  <c r="BX79" i="1" s="1"/>
  <c r="BX8" i="1"/>
  <c r="AZ20" i="27" l="1"/>
  <c r="AZ19" i="27"/>
  <c r="AZ18" i="27"/>
  <c r="AA13" i="30"/>
  <c r="AA14" i="30" s="1"/>
  <c r="AA15" i="30" s="1"/>
  <c r="AA28" i="30"/>
  <c r="AA29" i="30" s="1"/>
  <c r="AA20" i="30"/>
  <c r="AA21" i="30" s="1"/>
  <c r="AA22" i="30" s="1"/>
  <c r="AA6" i="30"/>
  <c r="AA7" i="30" s="1"/>
  <c r="AA8" i="30" s="1"/>
  <c r="AA34" i="30"/>
  <c r="AA35" i="30" s="1"/>
  <c r="AA36" i="30" s="1"/>
  <c r="BW65" i="11"/>
  <c r="BW71" i="11" s="1"/>
  <c r="BX58" i="1" s="1"/>
  <c r="BX59" i="1" s="1"/>
  <c r="BX60" i="1" s="1"/>
  <c r="BW11" i="11"/>
  <c r="BX104" i="1"/>
  <c r="BX81" i="1"/>
  <c r="AL10" i="28"/>
  <c r="AL9" i="28"/>
  <c r="AL8" i="28"/>
  <c r="AL7" i="28"/>
  <c r="AL6" i="28"/>
  <c r="AL5" i="28"/>
  <c r="BV10" i="11"/>
  <c r="BW19" i="11" s="1"/>
  <c r="BV9" i="11"/>
  <c r="BW18" i="11" s="1"/>
  <c r="BV8" i="11"/>
  <c r="BW17" i="11" s="1"/>
  <c r="BW34" i="11" s="1"/>
  <c r="BX57" i="1" s="1"/>
  <c r="BV7" i="11"/>
  <c r="BW16" i="11" s="1"/>
  <c r="BV6" i="11"/>
  <c r="BW15" i="11" s="1"/>
  <c r="BW32" i="11" s="1"/>
  <c r="BX37" i="1" s="1"/>
  <c r="BV5" i="11"/>
  <c r="BW14" i="11" s="1"/>
  <c r="BW31" i="11" l="1"/>
  <c r="BX27" i="1" s="1"/>
  <c r="BW33" i="11"/>
  <c r="BX47" i="1" s="1"/>
  <c r="BW35" i="11"/>
  <c r="BX67" i="1" s="1"/>
  <c r="BW20" i="11"/>
  <c r="BX61" i="1"/>
  <c r="BW68" i="11"/>
  <c r="BW69" i="11"/>
  <c r="BX38" i="1" s="1"/>
  <c r="BX39" i="1" s="1"/>
  <c r="BX40" i="1" s="1"/>
  <c r="BX41" i="1" s="1"/>
  <c r="BW72" i="11"/>
  <c r="BX68" i="1" s="1"/>
  <c r="BW70" i="11"/>
  <c r="BX48" i="1" s="1"/>
  <c r="BX49" i="1" s="1"/>
  <c r="BX50" i="1" s="1"/>
  <c r="AN6" i="27"/>
  <c r="BX51" i="1" l="1"/>
  <c r="BW36" i="11"/>
  <c r="BX16" i="1"/>
  <c r="BX69" i="1"/>
  <c r="BW73" i="11"/>
  <c r="BX28" i="1"/>
  <c r="BX29" i="1" s="1"/>
  <c r="BX30" i="1" s="1"/>
  <c r="BX31" i="1" s="1"/>
  <c r="BK31" i="22"/>
  <c r="BK24" i="22"/>
  <c r="BK17" i="22"/>
  <c r="BK10" i="22"/>
  <c r="BK3" i="22"/>
  <c r="BV64" i="11"/>
  <c r="BV63" i="11"/>
  <c r="BV62" i="11"/>
  <c r="BV61" i="11"/>
  <c r="BV60" i="11"/>
  <c r="BV55" i="11"/>
  <c r="BV28" i="11"/>
  <c r="Z31" i="30"/>
  <c r="Z24" i="30"/>
  <c r="Z17" i="30"/>
  <c r="Z10" i="30"/>
  <c r="Z3" i="30"/>
  <c r="AN85" i="27"/>
  <c r="AN87" i="27" s="1"/>
  <c r="BX17" i="1" l="1"/>
  <c r="BX70" i="1"/>
  <c r="BX18" i="1"/>
  <c r="BV65" i="11"/>
  <c r="BV68" i="11" s="1"/>
  <c r="BV11" i="11"/>
  <c r="BU9" i="11"/>
  <c r="BV18" i="11" s="1"/>
  <c r="BU8" i="11"/>
  <c r="BV17" i="11" s="1"/>
  <c r="BU7" i="11"/>
  <c r="BV16" i="11" s="1"/>
  <c r="BU6" i="11"/>
  <c r="BV15" i="11" s="1"/>
  <c r="BU5" i="11"/>
  <c r="BV14" i="11" s="1"/>
  <c r="BU10" i="11"/>
  <c r="BV19" i="11" s="1"/>
  <c r="BV31" i="11" l="1"/>
  <c r="BV33" i="11"/>
  <c r="BV35" i="11"/>
  <c r="BV32" i="11"/>
  <c r="BV34" i="11"/>
  <c r="BV20" i="11"/>
  <c r="BX71" i="1"/>
  <c r="BX19" i="1"/>
  <c r="BV69" i="11"/>
  <c r="BV72" i="11"/>
  <c r="BV71" i="11"/>
  <c r="BV70" i="11"/>
  <c r="AK10" i="28"/>
  <c r="AK9" i="28"/>
  <c r="AK8" i="28"/>
  <c r="AK7" i="28"/>
  <c r="AK6" i="28"/>
  <c r="AK5" i="28"/>
  <c r="BV36" i="11" l="1"/>
  <c r="BX20" i="1"/>
  <c r="BV73" i="11"/>
  <c r="K14" i="33"/>
  <c r="K3" i="33"/>
  <c r="K9" i="33" l="1"/>
  <c r="K10" i="33" s="1"/>
  <c r="K11" i="33" s="1"/>
  <c r="K15" i="33" s="1"/>
  <c r="AM6" i="27" s="1"/>
  <c r="Y31" i="30" l="1"/>
  <c r="Y24" i="30"/>
  <c r="Y17" i="30"/>
  <c r="Y10" i="30"/>
  <c r="Y3" i="30"/>
  <c r="AM85" i="27"/>
  <c r="BJ31" i="22"/>
  <c r="BJ24" i="22"/>
  <c r="BJ17" i="22"/>
  <c r="BJ10" i="22"/>
  <c r="BJ3" i="22"/>
  <c r="BU64" i="11"/>
  <c r="BU63" i="11"/>
  <c r="BU62" i="11"/>
  <c r="BU61" i="11"/>
  <c r="BU60" i="11"/>
  <c r="BU55" i="11"/>
  <c r="BU28" i="11"/>
  <c r="BU11" i="11" l="1"/>
  <c r="BU65" i="11"/>
  <c r="AJ10" i="28"/>
  <c r="AJ9" i="28"/>
  <c r="AJ8" i="28"/>
  <c r="AJ7" i="28"/>
  <c r="AJ6" i="28"/>
  <c r="AJ5" i="28"/>
  <c r="BT9" i="11"/>
  <c r="BU18" i="11" s="1"/>
  <c r="BT8" i="11"/>
  <c r="BU17" i="11" s="1"/>
  <c r="BT7" i="11"/>
  <c r="BU16" i="11" s="1"/>
  <c r="BT6" i="11"/>
  <c r="BU15" i="11" s="1"/>
  <c r="BT10" i="11"/>
  <c r="BU19" i="11" s="1"/>
  <c r="BT5" i="11"/>
  <c r="BU14" i="11" s="1"/>
  <c r="BU31" i="11" l="1"/>
  <c r="BU32" i="11"/>
  <c r="BU34" i="11"/>
  <c r="BU33" i="11"/>
  <c r="BU35" i="11"/>
  <c r="BU20" i="11"/>
  <c r="BU70" i="11"/>
  <c r="BU69" i="11"/>
  <c r="BU72" i="11"/>
  <c r="BU71" i="11"/>
  <c r="BU68" i="11"/>
  <c r="BU36" i="11" l="1"/>
  <c r="BU73" i="11"/>
  <c r="AL85" i="27" l="1"/>
  <c r="AJ78" i="1" l="1"/>
  <c r="AL78" i="1"/>
  <c r="AY78" i="1"/>
  <c r="BU34" i="29"/>
  <c r="BT34" i="29"/>
  <c r="BS34" i="29"/>
  <c r="BR34" i="29"/>
  <c r="BQ34" i="29"/>
  <c r="BP34" i="29"/>
  <c r="BO34" i="29"/>
  <c r="BN34" i="29"/>
  <c r="BM34" i="29"/>
  <c r="BL34" i="29"/>
  <c r="BK34" i="29"/>
  <c r="BJ34" i="29"/>
  <c r="BJ35" i="29" s="1"/>
  <c r="BJ36" i="29" s="1"/>
  <c r="AL5" i="27"/>
  <c r="BM15" i="29"/>
  <c r="BJ15" i="29"/>
  <c r="BJ37" i="29" l="1"/>
  <c r="BJ38" i="29" s="1"/>
  <c r="BK35" i="29" s="1"/>
  <c r="BK37" i="29" s="1"/>
  <c r="BK38" i="29" s="1"/>
  <c r="BL35" i="29" s="1"/>
  <c r="BL37" i="29" s="1"/>
  <c r="BL38" i="29" s="1"/>
  <c r="BM35" i="29" s="1"/>
  <c r="BM37" i="29" s="1"/>
  <c r="BM38" i="29" s="1"/>
  <c r="BN35" i="29" s="1"/>
  <c r="BN37" i="29" s="1"/>
  <c r="BN38" i="29" s="1"/>
  <c r="BO35" i="29" s="1"/>
  <c r="BO37" i="29" s="1"/>
  <c r="BO38" i="29" s="1"/>
  <c r="BP35" i="29" s="1"/>
  <c r="BP37" i="29" s="1"/>
  <c r="BP38" i="29" s="1"/>
  <c r="BQ35" i="29" s="1"/>
  <c r="BQ37" i="29" s="1"/>
  <c r="BQ38" i="29" s="1"/>
  <c r="BR35" i="29" s="1"/>
  <c r="BR37" i="29" s="1"/>
  <c r="BR38" i="29" s="1"/>
  <c r="BS35" i="29" s="1"/>
  <c r="BS37" i="29" s="1"/>
  <c r="BS38" i="29" s="1"/>
  <c r="BT35" i="29" s="1"/>
  <c r="BT37" i="29" s="1"/>
  <c r="BT38" i="29" s="1"/>
  <c r="BU35" i="29" s="1"/>
  <c r="BU37" i="29" s="1"/>
  <c r="BU38" i="29" s="1"/>
  <c r="BK36" i="29" l="1"/>
  <c r="BL36" i="29" s="1"/>
  <c r="BM36" i="29" s="1"/>
  <c r="BN36" i="29" s="1"/>
  <c r="BO36" i="29" s="1"/>
  <c r="BP36" i="29" s="1"/>
  <c r="BQ36" i="29" s="1"/>
  <c r="BR36" i="29" s="1"/>
  <c r="BS36" i="29" s="1"/>
  <c r="BT36" i="29" s="1"/>
  <c r="BU36" i="29" s="1"/>
  <c r="BU17" i="29" l="1"/>
  <c r="BT17" i="29"/>
  <c r="BS17" i="29"/>
  <c r="BR17" i="29"/>
  <c r="BQ17" i="29"/>
  <c r="BP17" i="29"/>
  <c r="BO17" i="29"/>
  <c r="BN17" i="29"/>
  <c r="BL17" i="29"/>
  <c r="BK17" i="29"/>
  <c r="BM17" i="29"/>
  <c r="BJ17" i="29"/>
  <c r="BJ19" i="29" s="1"/>
  <c r="BJ20" i="29" l="1"/>
  <c r="BJ21" i="29"/>
  <c r="BJ22" i="29" s="1"/>
  <c r="BK19" i="29" s="1"/>
  <c r="BK21" i="29" s="1"/>
  <c r="BK22" i="29" s="1"/>
  <c r="BL19" i="29" s="1"/>
  <c r="BL21" i="29" s="1"/>
  <c r="BL22" i="29" s="1"/>
  <c r="BM19" i="29" s="1"/>
  <c r="BM21" i="29" s="1"/>
  <c r="BM22" i="29" s="1"/>
  <c r="BK20" i="29" l="1"/>
  <c r="BL20" i="29" s="1"/>
  <c r="BM20" i="29" s="1"/>
  <c r="BA3" i="29" l="1"/>
  <c r="BA2" i="29"/>
  <c r="BM3" i="26"/>
  <c r="BM2" i="26"/>
  <c r="BI31" i="22"/>
  <c r="BI24" i="22"/>
  <c r="BI17" i="22"/>
  <c r="BI10" i="22"/>
  <c r="BI3" i="22"/>
  <c r="BT64" i="11"/>
  <c r="BT63" i="11"/>
  <c r="BT62" i="11"/>
  <c r="BT61" i="11"/>
  <c r="BT60" i="11"/>
  <c r="BT55" i="11"/>
  <c r="BT28" i="11"/>
  <c r="BT11" i="11"/>
  <c r="X31" i="30"/>
  <c r="X24" i="30"/>
  <c r="X17" i="30"/>
  <c r="X10" i="30"/>
  <c r="X3" i="30"/>
  <c r="BM1" i="26" l="1"/>
  <c r="BA1" i="29"/>
  <c r="BT65" i="11"/>
  <c r="BT68" i="11" s="1"/>
  <c r="BT72" i="11" l="1"/>
  <c r="BT71" i="11"/>
  <c r="BT70" i="11"/>
  <c r="BT69" i="11"/>
  <c r="BT73" i="11" l="1"/>
  <c r="AI10" i="28" l="1"/>
  <c r="AI9" i="28"/>
  <c r="AI8" i="28"/>
  <c r="AI7" i="28"/>
  <c r="AI6" i="28"/>
  <c r="AI5" i="28"/>
  <c r="BS10" i="11"/>
  <c r="BT19" i="11" s="1"/>
  <c r="BS9" i="11"/>
  <c r="BT18" i="11" s="1"/>
  <c r="BS8" i="11"/>
  <c r="BT17" i="11" s="1"/>
  <c r="BS7" i="11"/>
  <c r="BT16" i="11" s="1"/>
  <c r="BS6" i="11"/>
  <c r="BT15" i="11" s="1"/>
  <c r="BT32" i="11" s="1"/>
  <c r="BS5" i="11"/>
  <c r="BT14" i="11" s="1"/>
  <c r="BT34" i="11" l="1"/>
  <c r="BT31" i="11"/>
  <c r="BT20" i="11"/>
  <c r="BT33" i="11"/>
  <c r="BT35" i="11"/>
  <c r="AK6" i="27"/>
  <c r="BT36" i="11" l="1"/>
  <c r="BH31" i="22"/>
  <c r="BH24" i="22"/>
  <c r="BH17" i="22"/>
  <c r="BH10" i="22"/>
  <c r="BH3" i="22"/>
  <c r="W3" i="30"/>
  <c r="W31" i="30"/>
  <c r="W24" i="30"/>
  <c r="W17" i="30"/>
  <c r="W10" i="30"/>
  <c r="BS64" i="11"/>
  <c r="BS63" i="11"/>
  <c r="BS62" i="11"/>
  <c r="BS61" i="11"/>
  <c r="BS60" i="11"/>
  <c r="BS55" i="11"/>
  <c r="BS28" i="11"/>
  <c r="BS11" i="11"/>
  <c r="AK85" i="27"/>
  <c r="AK87" i="27" s="1"/>
  <c r="BS65" i="11" l="1"/>
  <c r="BS70" i="11" s="1"/>
  <c r="BS71" i="11" l="1"/>
  <c r="BS72" i="11"/>
  <c r="BS69" i="11"/>
  <c r="BS68" i="11"/>
  <c r="BS73" i="11" l="1"/>
  <c r="AC78" i="27" l="1"/>
  <c r="AJ6" i="27" l="1"/>
  <c r="BR10" i="11" l="1"/>
  <c r="BS19" i="11" s="1"/>
  <c r="BR9" i="11"/>
  <c r="BS18" i="11" s="1"/>
  <c r="BR8" i="11"/>
  <c r="BS17" i="11" s="1"/>
  <c r="BS34" i="11" s="1"/>
  <c r="BR7" i="11"/>
  <c r="BS16" i="11" s="1"/>
  <c r="BR6" i="11"/>
  <c r="BS15" i="11" s="1"/>
  <c r="BS32" i="11" s="1"/>
  <c r="BR5" i="11"/>
  <c r="BS14" i="11" s="1"/>
  <c r="AH10" i="28"/>
  <c r="AH9" i="28"/>
  <c r="AH8" i="28"/>
  <c r="AH7" i="28"/>
  <c r="AH6" i="28"/>
  <c r="AH5" i="28"/>
  <c r="BS33" i="11" l="1"/>
  <c r="BS35" i="11"/>
  <c r="BS31" i="11"/>
  <c r="BS20" i="11"/>
  <c r="AK88" i="27"/>
  <c r="AJ84" i="27"/>
  <c r="BS36" i="11" l="1"/>
  <c r="BG31" i="22"/>
  <c r="BG24" i="22"/>
  <c r="BG17" i="22"/>
  <c r="BG10" i="22"/>
  <c r="BG3" i="22"/>
  <c r="BR64" i="11"/>
  <c r="BR63" i="11"/>
  <c r="BR62" i="11"/>
  <c r="BR61" i="11"/>
  <c r="BR60" i="11"/>
  <c r="BR55" i="11"/>
  <c r="BR28" i="11"/>
  <c r="V31" i="30"/>
  <c r="V24" i="30"/>
  <c r="V17" i="30"/>
  <c r="V10" i="30"/>
  <c r="V3" i="30"/>
  <c r="BR65" i="11" l="1"/>
  <c r="BR70" i="11" s="1"/>
  <c r="BR11" i="11"/>
  <c r="BR71" i="11" l="1"/>
  <c r="BR69" i="11"/>
  <c r="BR72" i="11"/>
  <c r="BR68" i="11"/>
  <c r="BQ10" i="11"/>
  <c r="BR19" i="11" s="1"/>
  <c r="BQ9" i="11"/>
  <c r="BR18" i="11" s="1"/>
  <c r="BQ8" i="11"/>
  <c r="BR17" i="11" s="1"/>
  <c r="BR34" i="11" s="1"/>
  <c r="BQ7" i="11"/>
  <c r="BR16" i="11" s="1"/>
  <c r="BQ6" i="11"/>
  <c r="BR15" i="11" s="1"/>
  <c r="BR32" i="11" s="1"/>
  <c r="BQ5" i="11"/>
  <c r="BR14" i="11" s="1"/>
  <c r="AG10" i="28"/>
  <c r="AG9" i="28"/>
  <c r="AG8" i="28"/>
  <c r="AG7" i="28"/>
  <c r="AG6" i="28"/>
  <c r="AG5" i="28"/>
  <c r="BR33" i="11" l="1"/>
  <c r="BR35" i="11"/>
  <c r="BR31" i="11"/>
  <c r="BR20" i="11"/>
  <c r="BR73" i="11"/>
  <c r="BR36" i="11" l="1"/>
  <c r="BF31" i="22"/>
  <c r="BF24" i="22"/>
  <c r="BF17" i="22"/>
  <c r="BF10" i="22"/>
  <c r="BF3" i="22"/>
  <c r="BQ64" i="11"/>
  <c r="BQ63" i="11"/>
  <c r="BQ62" i="11"/>
  <c r="BQ61" i="11"/>
  <c r="BQ60" i="11"/>
  <c r="BQ55" i="11"/>
  <c r="BQ28" i="11"/>
  <c r="U31" i="30"/>
  <c r="U24" i="30"/>
  <c r="U17" i="30"/>
  <c r="U10" i="30"/>
  <c r="U3" i="30"/>
  <c r="AI85" i="27"/>
  <c r="BQ65" i="11" l="1"/>
  <c r="BQ72" i="11" s="1"/>
  <c r="BQ11" i="11"/>
  <c r="BQ68" i="11" l="1"/>
  <c r="BQ71" i="11"/>
  <c r="BQ69" i="11"/>
  <c r="BQ70" i="11"/>
  <c r="BQ73" i="11" l="1"/>
  <c r="AF10" i="28" l="1"/>
  <c r="AF9" i="28"/>
  <c r="AF8" i="28"/>
  <c r="AF7" i="28"/>
  <c r="AF6" i="28"/>
  <c r="AF5" i="28"/>
  <c r="BP10" i="11" l="1"/>
  <c r="BQ19" i="11" s="1"/>
  <c r="BP9" i="11"/>
  <c r="BQ18" i="11" s="1"/>
  <c r="BP8" i="11"/>
  <c r="BQ17" i="11" s="1"/>
  <c r="BP7" i="11"/>
  <c r="BQ16" i="11" s="1"/>
  <c r="BP6" i="11"/>
  <c r="BQ15" i="11" s="1"/>
  <c r="BP5" i="11"/>
  <c r="BQ14" i="11" s="1"/>
  <c r="BQ32" i="11" l="1"/>
  <c r="BQ34" i="11"/>
  <c r="BQ33" i="11"/>
  <c r="BQ35" i="11"/>
  <c r="BQ31" i="11"/>
  <c r="BQ20" i="11"/>
  <c r="BQ36" i="11" l="1"/>
  <c r="BW96" i="1"/>
  <c r="BL96" i="1"/>
  <c r="BW98" i="1"/>
  <c r="BW99" i="1" s="1"/>
  <c r="BW78" i="1"/>
  <c r="BW68" i="1"/>
  <c r="BW67" i="1"/>
  <c r="BW58" i="1"/>
  <c r="BW57" i="1"/>
  <c r="BW48" i="1"/>
  <c r="BW47" i="1"/>
  <c r="BW38" i="1"/>
  <c r="BW37" i="1"/>
  <c r="BW28" i="1"/>
  <c r="BW27" i="1"/>
  <c r="BW8" i="1"/>
  <c r="BV96" i="1"/>
  <c r="BV98" i="1" s="1"/>
  <c r="BV99" i="1" s="1"/>
  <c r="BV78" i="1"/>
  <c r="BV68" i="1"/>
  <c r="BV67" i="1"/>
  <c r="BV58" i="1"/>
  <c r="BV57" i="1"/>
  <c r="BV48" i="1"/>
  <c r="BV47" i="1"/>
  <c r="BV38" i="1"/>
  <c r="BV37" i="1"/>
  <c r="BV28" i="1"/>
  <c r="BV27" i="1"/>
  <c r="BV8" i="1"/>
  <c r="BU96" i="1"/>
  <c r="BU98" i="1" s="1"/>
  <c r="BU99" i="1" s="1"/>
  <c r="BU78" i="1"/>
  <c r="BU68" i="1"/>
  <c r="BU67" i="1"/>
  <c r="BU58" i="1"/>
  <c r="BU57" i="1"/>
  <c r="BU48" i="1"/>
  <c r="BU47" i="1"/>
  <c r="BU38" i="1"/>
  <c r="BU37" i="1"/>
  <c r="BU28" i="1"/>
  <c r="BU27" i="1"/>
  <c r="BU8" i="1"/>
  <c r="BT96" i="1"/>
  <c r="BT98" i="1" s="1"/>
  <c r="BT99" i="1" s="1"/>
  <c r="BT78" i="1"/>
  <c r="BT68" i="1"/>
  <c r="BT67" i="1"/>
  <c r="BT58" i="1"/>
  <c r="BT57" i="1"/>
  <c r="BT48" i="1"/>
  <c r="BT47" i="1"/>
  <c r="BT38" i="1"/>
  <c r="BT37" i="1"/>
  <c r="BT28" i="1"/>
  <c r="BT27" i="1"/>
  <c r="BT8" i="1"/>
  <c r="BS96" i="1"/>
  <c r="BS98" i="1" s="1"/>
  <c r="BS99" i="1" s="1"/>
  <c r="BS78" i="1"/>
  <c r="BS68" i="1"/>
  <c r="BS67" i="1"/>
  <c r="BS58" i="1"/>
  <c r="BS57" i="1"/>
  <c r="BS48" i="1"/>
  <c r="BS47" i="1"/>
  <c r="BS38" i="1"/>
  <c r="BS37" i="1"/>
  <c r="BS28" i="1"/>
  <c r="BS27" i="1"/>
  <c r="BS8" i="1"/>
  <c r="BR96" i="1"/>
  <c r="BR98" i="1" s="1"/>
  <c r="BR99" i="1" s="1"/>
  <c r="BR78" i="1"/>
  <c r="BR68" i="1"/>
  <c r="BR67" i="1"/>
  <c r="BR58" i="1"/>
  <c r="BR57" i="1"/>
  <c r="BR48" i="1"/>
  <c r="BR47" i="1"/>
  <c r="BR38" i="1"/>
  <c r="BR37" i="1"/>
  <c r="BR28" i="1"/>
  <c r="BR27" i="1"/>
  <c r="BR8" i="1"/>
  <c r="BW16" i="1" l="1"/>
  <c r="BW17" i="1"/>
  <c r="BV16" i="1"/>
  <c r="BV17" i="1"/>
  <c r="BU16" i="1"/>
  <c r="BU17" i="1"/>
  <c r="BT17" i="1"/>
  <c r="BT16" i="1"/>
  <c r="BS17" i="1"/>
  <c r="BS16" i="1"/>
  <c r="BR17" i="1"/>
  <c r="BR16" i="1"/>
  <c r="BE31" i="22" l="1"/>
  <c r="BE24" i="22"/>
  <c r="BE17" i="22"/>
  <c r="BE10" i="22"/>
  <c r="BE3" i="22"/>
  <c r="BP64" i="11"/>
  <c r="BP63" i="11"/>
  <c r="BP62" i="11"/>
  <c r="BP61" i="11"/>
  <c r="BP60" i="11"/>
  <c r="BP55" i="11"/>
  <c r="BP28" i="11"/>
  <c r="AH85" i="27"/>
  <c r="BQ96" i="1"/>
  <c r="BQ98" i="1" s="1"/>
  <c r="BQ99" i="1" s="1"/>
  <c r="BQ78" i="1"/>
  <c r="BQ8" i="1"/>
  <c r="T31" i="30"/>
  <c r="T24" i="30"/>
  <c r="T17" i="30"/>
  <c r="T10" i="30"/>
  <c r="T3" i="30"/>
  <c r="BP65" i="11" l="1"/>
  <c r="BP70" i="11" s="1"/>
  <c r="BQ48" i="1" s="1"/>
  <c r="BP11" i="11"/>
  <c r="BO9" i="11"/>
  <c r="BP18" i="11" s="1"/>
  <c r="BO8" i="11"/>
  <c r="BP17" i="11" s="1"/>
  <c r="BO7" i="11"/>
  <c r="BP16" i="11" s="1"/>
  <c r="BO6" i="11"/>
  <c r="BP15" i="11" s="1"/>
  <c r="BO10" i="11"/>
  <c r="BP19" i="11" s="1"/>
  <c r="BO5" i="11"/>
  <c r="BP14" i="11" s="1"/>
  <c r="AE10" i="28"/>
  <c r="AE9" i="28"/>
  <c r="AE8" i="28"/>
  <c r="AE7" i="28"/>
  <c r="AE6" i="28"/>
  <c r="AE5" i="28"/>
  <c r="BP72" i="11" l="1"/>
  <c r="BQ68" i="1" s="1"/>
  <c r="BP33" i="11"/>
  <c r="BQ47" i="1" s="1"/>
  <c r="BP35" i="11"/>
  <c r="BQ67" i="1" s="1"/>
  <c r="BP31" i="11"/>
  <c r="BQ27" i="1" s="1"/>
  <c r="BP32" i="11"/>
  <c r="BQ37" i="1" s="1"/>
  <c r="BP34" i="11"/>
  <c r="BQ57" i="1" s="1"/>
  <c r="BP20" i="11"/>
  <c r="BP71" i="11"/>
  <c r="BQ58" i="1" s="1"/>
  <c r="BP68" i="11"/>
  <c r="BQ28" i="1" s="1"/>
  <c r="BP69" i="11"/>
  <c r="BQ38" i="1" s="1"/>
  <c r="BP36" i="11" l="1"/>
  <c r="BQ16" i="1"/>
  <c r="BQ17" i="1"/>
  <c r="BP73" i="11"/>
  <c r="BD31" i="22" l="1"/>
  <c r="BD24" i="22"/>
  <c r="BD17" i="22"/>
  <c r="BD10" i="22"/>
  <c r="BD3" i="22"/>
  <c r="BO64" i="11"/>
  <c r="BO63" i="11"/>
  <c r="BO62" i="11"/>
  <c r="BO61" i="11"/>
  <c r="BO60" i="11"/>
  <c r="BO55" i="11"/>
  <c r="BO28" i="11"/>
  <c r="BP96" i="1"/>
  <c r="BP98" i="1" s="1"/>
  <c r="BP99" i="1" s="1"/>
  <c r="BP78" i="1"/>
  <c r="BP8" i="1"/>
  <c r="S31" i="30"/>
  <c r="S24" i="30"/>
  <c r="S17" i="30"/>
  <c r="S10" i="30"/>
  <c r="S3" i="30"/>
  <c r="AG85" i="27"/>
  <c r="BO65" i="11" l="1"/>
  <c r="BO68" i="11" s="1"/>
  <c r="BO11" i="11"/>
  <c r="BO71" i="11" l="1"/>
  <c r="BP58" i="1" s="1"/>
  <c r="BO69" i="11"/>
  <c r="BP38" i="1" s="1"/>
  <c r="BO72" i="11"/>
  <c r="BP68" i="1" s="1"/>
  <c r="BO70" i="11"/>
  <c r="BP48" i="1" s="1"/>
  <c r="BP28" i="1"/>
  <c r="BO73" i="11" l="1"/>
  <c r="BP17" i="1"/>
  <c r="AD10" i="28"/>
  <c r="AD9" i="28"/>
  <c r="AD8" i="28"/>
  <c r="AD7" i="28"/>
  <c r="AD6" i="28"/>
  <c r="AD5" i="28"/>
  <c r="BN10" i="11" l="1"/>
  <c r="BO19" i="11" s="1"/>
  <c r="BN9" i="11"/>
  <c r="BO18" i="11" s="1"/>
  <c r="BN8" i="11"/>
  <c r="BO17" i="11" s="1"/>
  <c r="BO34" i="11" s="1"/>
  <c r="BP57" i="1" s="1"/>
  <c r="BN7" i="11"/>
  <c r="BO16" i="11" s="1"/>
  <c r="BN6" i="11"/>
  <c r="BO15" i="11" s="1"/>
  <c r="BO32" i="11" s="1"/>
  <c r="BP37" i="1" s="1"/>
  <c r="BN5" i="11"/>
  <c r="BO14" i="11" s="1"/>
  <c r="BO33" i="11" l="1"/>
  <c r="BP47" i="1" s="1"/>
  <c r="BO35" i="11"/>
  <c r="BP67" i="1" s="1"/>
  <c r="BO31" i="11"/>
  <c r="BO20" i="11"/>
  <c r="AF6" i="27"/>
  <c r="AE6" i="27"/>
  <c r="BP27" i="1" l="1"/>
  <c r="BP16" i="1" s="1"/>
  <c r="BO36" i="11"/>
  <c r="AH6" i="27"/>
  <c r="AI6" i="27"/>
  <c r="AG6" i="27"/>
  <c r="R31" i="30"/>
  <c r="R24" i="30"/>
  <c r="R17" i="30"/>
  <c r="R10" i="30"/>
  <c r="R3" i="30"/>
  <c r="BC31" i="22"/>
  <c r="BC24" i="22"/>
  <c r="BC17" i="22"/>
  <c r="BC10" i="22"/>
  <c r="BC3" i="22"/>
  <c r="BN64" i="11"/>
  <c r="BN63" i="11"/>
  <c r="BN62" i="11"/>
  <c r="BN61" i="11"/>
  <c r="BN60" i="11"/>
  <c r="BN55" i="11"/>
  <c r="BN28" i="11"/>
  <c r="BO96" i="1"/>
  <c r="BO78" i="1"/>
  <c r="BO8" i="1"/>
  <c r="AF85" i="27"/>
  <c r="AF87" i="27" s="1"/>
  <c r="AF88" i="27" s="1"/>
  <c r="AF78" i="27"/>
  <c r="BO98" i="1" l="1"/>
  <c r="BO99" i="1" s="1"/>
  <c r="BN65" i="11"/>
  <c r="BN11" i="11"/>
  <c r="BN69" i="11" l="1"/>
  <c r="BO38" i="1" s="1"/>
  <c r="BN72" i="11"/>
  <c r="BO68" i="1" s="1"/>
  <c r="BN70" i="11"/>
  <c r="BO48" i="1" s="1"/>
  <c r="BN68" i="11"/>
  <c r="BN71" i="11"/>
  <c r="BO58" i="1" s="1"/>
  <c r="BO28" i="1" l="1"/>
  <c r="BN73" i="11"/>
  <c r="BO17" i="1" l="1"/>
  <c r="AF8" i="27" l="1"/>
  <c r="AS87" i="27"/>
  <c r="AS88" i="27" s="1"/>
  <c r="AP87" i="27"/>
  <c r="AP88" i="27" s="1"/>
  <c r="AH87" i="27"/>
  <c r="AH88" i="27" s="1"/>
  <c r="AV87" i="27"/>
  <c r="AV88" i="27" s="1"/>
  <c r="AT87" i="27"/>
  <c r="AT88" i="27" s="1"/>
  <c r="AR87" i="27"/>
  <c r="AR88" i="27" s="1"/>
  <c r="AQ87" i="27"/>
  <c r="AQ88" i="27" s="1"/>
  <c r="AN88" i="27"/>
  <c r="AM87" i="27"/>
  <c r="AM88" i="27" s="1"/>
  <c r="AL87" i="27"/>
  <c r="AL88" i="27" s="1"/>
  <c r="AI87" i="27"/>
  <c r="AI88" i="27" s="1"/>
  <c r="AG87" i="27"/>
  <c r="AG88" i="27" s="1"/>
  <c r="AW78" i="27"/>
  <c r="AV78" i="27"/>
  <c r="AU78" i="27"/>
  <c r="AT78" i="27"/>
  <c r="AS78" i="27"/>
  <c r="AR78" i="27"/>
  <c r="AQ78" i="27"/>
  <c r="AP78" i="27"/>
  <c r="AN78" i="27"/>
  <c r="AJ78" i="27"/>
  <c r="AH78" i="27"/>
  <c r="AG78" i="27"/>
  <c r="AT8" i="27"/>
  <c r="AS8" i="27"/>
  <c r="AQ8" i="27"/>
  <c r="AP8" i="27"/>
  <c r="AK8" i="27"/>
  <c r="AI8" i="27"/>
  <c r="AH8" i="27"/>
  <c r="AW8" i="27"/>
  <c r="AV8" i="27"/>
  <c r="AU8" i="27"/>
  <c r="AR8" i="27"/>
  <c r="AN8" i="27"/>
  <c r="AM8" i="27"/>
  <c r="AJ8" i="27"/>
  <c r="AG8" i="27"/>
  <c r="AC10" i="28" l="1"/>
  <c r="AC9" i="28"/>
  <c r="AC8" i="28"/>
  <c r="AC7" i="28"/>
  <c r="AC6" i="28"/>
  <c r="AC5" i="28"/>
  <c r="BM9" i="11"/>
  <c r="BN18" i="11" s="1"/>
  <c r="BM8" i="11"/>
  <c r="BN17" i="11" s="1"/>
  <c r="BM7" i="11"/>
  <c r="BN16" i="11" s="1"/>
  <c r="BM6" i="11"/>
  <c r="BN15" i="11" s="1"/>
  <c r="AD78" i="27" l="1"/>
  <c r="BN78" i="1"/>
  <c r="BM64" i="11" l="1"/>
  <c r="BM63" i="11"/>
  <c r="BM62" i="11"/>
  <c r="BM61" i="11"/>
  <c r="BM60" i="11"/>
  <c r="BM55" i="11"/>
  <c r="BM28" i="11"/>
  <c r="BM10" i="11"/>
  <c r="BN19" i="11" s="1"/>
  <c r="BM5" i="11"/>
  <c r="AE85" i="27"/>
  <c r="BB31" i="22"/>
  <c r="BB24" i="22"/>
  <c r="BB17" i="22"/>
  <c r="BB10" i="22"/>
  <c r="BB3" i="22"/>
  <c r="Q31" i="30"/>
  <c r="Q24" i="30"/>
  <c r="Q17" i="30"/>
  <c r="Q10" i="30"/>
  <c r="Q3" i="30"/>
  <c r="BN96" i="1"/>
  <c r="BN98" i="1" s="1"/>
  <c r="BN99" i="1" s="1"/>
  <c r="BN8" i="1"/>
  <c r="BN14" i="11" l="1"/>
  <c r="BN32" i="11"/>
  <c r="BO37" i="1" s="1"/>
  <c r="BN33" i="11"/>
  <c r="BO47" i="1" s="1"/>
  <c r="BN34" i="11"/>
  <c r="BO57" i="1" s="1"/>
  <c r="BN35" i="11"/>
  <c r="BO67" i="1" s="1"/>
  <c r="BM11" i="11"/>
  <c r="BM65" i="11"/>
  <c r="BM71" i="11" s="1"/>
  <c r="BN58" i="1" s="1"/>
  <c r="BN20" i="11" l="1"/>
  <c r="BN31" i="11"/>
  <c r="BM70" i="11"/>
  <c r="BN48" i="1" s="1"/>
  <c r="BM72" i="11"/>
  <c r="BN68" i="1" s="1"/>
  <c r="BM68" i="11"/>
  <c r="BM69" i="11"/>
  <c r="BN38" i="1" s="1"/>
  <c r="BN36" i="11" l="1"/>
  <c r="BO27" i="1"/>
  <c r="BO16" i="1" s="1"/>
  <c r="BM73" i="11"/>
  <c r="BN28" i="1"/>
  <c r="BN17" i="1" l="1"/>
  <c r="P85" i="1" l="1"/>
  <c r="AB10" i="28" l="1"/>
  <c r="AB9" i="28"/>
  <c r="AB8" i="28"/>
  <c r="AB7" i="28"/>
  <c r="AB6" i="28"/>
  <c r="AB5" i="28"/>
  <c r="BL8" i="11"/>
  <c r="BM17" i="11" s="1"/>
  <c r="BL7" i="11"/>
  <c r="BM16" i="11" s="1"/>
  <c r="BL6" i="11"/>
  <c r="BM15" i="11" s="1"/>
  <c r="BL10" i="11"/>
  <c r="BM19" i="11" s="1"/>
  <c r="BL9" i="11"/>
  <c r="BM18" i="11" s="1"/>
  <c r="BL5" i="11"/>
  <c r="BM14" i="11" s="1"/>
  <c r="BM31" i="11" l="1"/>
  <c r="BM20" i="11"/>
  <c r="BM33" i="11"/>
  <c r="BN47" i="1" s="1"/>
  <c r="BM35" i="11"/>
  <c r="BN67" i="1" s="1"/>
  <c r="BM32" i="11"/>
  <c r="BN37" i="1" s="1"/>
  <c r="BM34" i="11"/>
  <c r="BN57" i="1" s="1"/>
  <c r="AD6" i="27"/>
  <c r="AD8" i="27" s="1"/>
  <c r="BM6" i="1"/>
  <c r="BM8" i="1" s="1"/>
  <c r="BN27" i="1" l="1"/>
  <c r="BN16" i="1" s="1"/>
  <c r="BM36" i="11"/>
  <c r="AE87" i="27"/>
  <c r="AE88" i="27" s="1"/>
  <c r="AD85" i="27"/>
  <c r="AD87" i="27" s="1"/>
  <c r="AD88" i="27" s="1"/>
  <c r="BL64" i="11" l="1"/>
  <c r="BL63" i="11"/>
  <c r="BL62" i="11"/>
  <c r="BL61" i="11"/>
  <c r="BL60" i="11"/>
  <c r="BL55" i="11"/>
  <c r="BL28" i="11"/>
  <c r="BA31" i="22"/>
  <c r="BA24" i="22"/>
  <c r="BA17" i="22"/>
  <c r="BA18" i="22" s="1"/>
  <c r="BB18" i="22" s="1"/>
  <c r="BA10" i="22"/>
  <c r="BA12" i="22" s="1"/>
  <c r="BB12" i="22" s="1"/>
  <c r="BA3" i="22"/>
  <c r="P31" i="30"/>
  <c r="P24" i="30"/>
  <c r="P17" i="30"/>
  <c r="P18" i="30" s="1"/>
  <c r="P10" i="30"/>
  <c r="P3" i="30"/>
  <c r="BM96" i="1"/>
  <c r="BM98" i="1" s="1"/>
  <c r="BM99" i="1" s="1"/>
  <c r="BM78" i="1"/>
  <c r="P19" i="30" l="1"/>
  <c r="Q18" i="30"/>
  <c r="BC12" i="22"/>
  <c r="BC18" i="22"/>
  <c r="P25" i="30"/>
  <c r="P11" i="30"/>
  <c r="P4" i="30"/>
  <c r="P32" i="30"/>
  <c r="BA19" i="22"/>
  <c r="BL65" i="11"/>
  <c r="BL68" i="11" s="1"/>
  <c r="BA25" i="22"/>
  <c r="BA26" i="22"/>
  <c r="BB26" i="22" s="1"/>
  <c r="BA4" i="22"/>
  <c r="BA5" i="22"/>
  <c r="BB5" i="22" s="1"/>
  <c r="BA33" i="22"/>
  <c r="BB33" i="22" s="1"/>
  <c r="BC33" i="22" s="1"/>
  <c r="BD33" i="22" s="1"/>
  <c r="BE33" i="22" s="1"/>
  <c r="BA32" i="22"/>
  <c r="BL11" i="11"/>
  <c r="BA11" i="22"/>
  <c r="P20" i="30"/>
  <c r="P21" i="30" s="1"/>
  <c r="P22" i="30" s="1"/>
  <c r="BA13" i="22" l="1"/>
  <c r="BA14" i="22" s="1"/>
  <c r="BA15" i="22" s="1"/>
  <c r="BB11" i="22"/>
  <c r="BA34" i="22"/>
  <c r="BB32" i="22"/>
  <c r="BC5" i="22"/>
  <c r="BC26" i="22"/>
  <c r="BD26" i="22" s="1"/>
  <c r="BE26" i="22" s="1"/>
  <c r="BF26" i="22" s="1"/>
  <c r="BG26" i="22" s="1"/>
  <c r="BH26" i="22" s="1"/>
  <c r="BA20" i="22"/>
  <c r="BA21" i="22" s="1"/>
  <c r="BA22" i="22" s="1"/>
  <c r="BB19" i="22"/>
  <c r="P5" i="30"/>
  <c r="P6" i="30" s="1"/>
  <c r="P7" i="30" s="1"/>
  <c r="P8" i="30" s="1"/>
  <c r="Q4" i="30"/>
  <c r="P26" i="30"/>
  <c r="P27" i="30" s="1"/>
  <c r="Q25" i="30"/>
  <c r="Q19" i="30"/>
  <c r="R18" i="30"/>
  <c r="Q20" i="30"/>
  <c r="Q21" i="30" s="1"/>
  <c r="Q22" i="30" s="1"/>
  <c r="BF33" i="22"/>
  <c r="BA6" i="22"/>
  <c r="BA7" i="22" s="1"/>
  <c r="BA8" i="22" s="1"/>
  <c r="BB4" i="22"/>
  <c r="BA27" i="22"/>
  <c r="BA28" i="22" s="1"/>
  <c r="BA29" i="22" s="1"/>
  <c r="BB25" i="22"/>
  <c r="P33" i="30"/>
  <c r="P34" i="30" s="1"/>
  <c r="P35" i="30" s="1"/>
  <c r="P36" i="30" s="1"/>
  <c r="Q32" i="30"/>
  <c r="P12" i="30"/>
  <c r="P13" i="30" s="1"/>
  <c r="P14" i="30" s="1"/>
  <c r="P15" i="30" s="1"/>
  <c r="Q11" i="30"/>
  <c r="BD18" i="22"/>
  <c r="BD12" i="22"/>
  <c r="BE12" i="22" s="1"/>
  <c r="P28" i="30"/>
  <c r="P29" i="30" s="1"/>
  <c r="BL71" i="11"/>
  <c r="BM58" i="1" s="1"/>
  <c r="BA35" i="22"/>
  <c r="BA36" i="22" s="1"/>
  <c r="BL70" i="11"/>
  <c r="BM48" i="1" s="1"/>
  <c r="BM49" i="1" s="1"/>
  <c r="BM50" i="1" s="1"/>
  <c r="BL69" i="11"/>
  <c r="BM38" i="1" s="1"/>
  <c r="BM39" i="1" s="1"/>
  <c r="BM40" i="1" s="1"/>
  <c r="BM28" i="1"/>
  <c r="BL72" i="11"/>
  <c r="BM68" i="1" s="1"/>
  <c r="BM59" i="1" l="1"/>
  <c r="BM60" i="1" s="1"/>
  <c r="Q12" i="30"/>
  <c r="R11" i="30"/>
  <c r="Q13" i="30"/>
  <c r="Q14" i="30" s="1"/>
  <c r="Q15" i="30" s="1"/>
  <c r="Q33" i="30"/>
  <c r="R32" i="30"/>
  <c r="Q34" i="30"/>
  <c r="Q35" i="30" s="1"/>
  <c r="Q36" i="30" s="1"/>
  <c r="BC25" i="22"/>
  <c r="BB27" i="22"/>
  <c r="BB28" i="22" s="1"/>
  <c r="BB29" i="22" s="1"/>
  <c r="BN59" i="1" s="1"/>
  <c r="BN60" i="1" s="1"/>
  <c r="BN61" i="1" s="1"/>
  <c r="BC4" i="22"/>
  <c r="BB6" i="22"/>
  <c r="BB7" i="22" s="1"/>
  <c r="BB8" i="22" s="1"/>
  <c r="BN29" i="1" s="1"/>
  <c r="BN30" i="1" s="1"/>
  <c r="BN31" i="1" s="1"/>
  <c r="R19" i="30"/>
  <c r="S18" i="30"/>
  <c r="R20" i="30"/>
  <c r="Q26" i="30"/>
  <c r="R25" i="30"/>
  <c r="Q27" i="30"/>
  <c r="R4" i="30"/>
  <c r="Q5" i="30"/>
  <c r="BC19" i="22"/>
  <c r="BB20" i="22"/>
  <c r="BB21" i="22" s="1"/>
  <c r="BB22" i="22" s="1"/>
  <c r="BN49" i="1" s="1"/>
  <c r="BN50" i="1" s="1"/>
  <c r="BN51" i="1" s="1"/>
  <c r="BB34" i="22"/>
  <c r="BB35" i="22" s="1"/>
  <c r="BB36" i="22" s="1"/>
  <c r="BN69" i="1" s="1"/>
  <c r="BC32" i="22"/>
  <c r="BB13" i="22"/>
  <c r="BB14" i="22" s="1"/>
  <c r="BB15" i="22" s="1"/>
  <c r="BN39" i="1" s="1"/>
  <c r="BN40" i="1" s="1"/>
  <c r="BN41" i="1" s="1"/>
  <c r="BC11" i="22"/>
  <c r="BM29" i="1"/>
  <c r="BM30" i="1" s="1"/>
  <c r="BF12" i="22"/>
  <c r="BE18" i="22"/>
  <c r="BG33" i="22"/>
  <c r="BH33" i="22" s="1"/>
  <c r="BI26" i="22"/>
  <c r="BD5" i="22"/>
  <c r="BE5" i="22" s="1"/>
  <c r="BL73" i="11"/>
  <c r="BM69" i="1"/>
  <c r="BM17" i="1"/>
  <c r="BF5" i="22" l="1"/>
  <c r="BJ26" i="22"/>
  <c r="BK26" i="22" s="1"/>
  <c r="BG12" i="22"/>
  <c r="BH12" i="22" s="1"/>
  <c r="BC13" i="22"/>
  <c r="BC14" i="22" s="1"/>
  <c r="BC15" i="22" s="1"/>
  <c r="BO39" i="1" s="1"/>
  <c r="BO40" i="1" s="1"/>
  <c r="BO41" i="1" s="1"/>
  <c r="BD11" i="22"/>
  <c r="BD32" i="22"/>
  <c r="BC34" i="22"/>
  <c r="BC35" i="22" s="1"/>
  <c r="BC36" i="22" s="1"/>
  <c r="BO69" i="1" s="1"/>
  <c r="BD19" i="22"/>
  <c r="BC20" i="22"/>
  <c r="BC21" i="22" s="1"/>
  <c r="BC22" i="22" s="1"/>
  <c r="BO49" i="1" s="1"/>
  <c r="BO50" i="1" s="1"/>
  <c r="BO51" i="1" s="1"/>
  <c r="R5" i="30"/>
  <c r="S4" i="30"/>
  <c r="R6" i="30"/>
  <c r="R7" i="30" s="1"/>
  <c r="R8" i="30" s="1"/>
  <c r="R26" i="30"/>
  <c r="S25" i="30"/>
  <c r="R27" i="30"/>
  <c r="R21" i="30"/>
  <c r="R22" i="30" s="1"/>
  <c r="BD4" i="22"/>
  <c r="BC6" i="22"/>
  <c r="BC7" i="22" s="1"/>
  <c r="BC8" i="22" s="1"/>
  <c r="BO29" i="1" s="1"/>
  <c r="BO30" i="1" s="1"/>
  <c r="BO31" i="1" s="1"/>
  <c r="BD25" i="22"/>
  <c r="BC27" i="22"/>
  <c r="BC28" i="22" s="1"/>
  <c r="BC29" i="22" s="1"/>
  <c r="BO59" i="1" s="1"/>
  <c r="BO60" i="1" s="1"/>
  <c r="BO61" i="1" s="1"/>
  <c r="R33" i="30"/>
  <c r="S32" i="30"/>
  <c r="R34" i="30"/>
  <c r="R35" i="30" s="1"/>
  <c r="R36" i="30" s="1"/>
  <c r="BI33" i="22"/>
  <c r="BJ33" i="22" s="1"/>
  <c r="BK33" i="22" s="1"/>
  <c r="BF18" i="22"/>
  <c r="BN70" i="1"/>
  <c r="BN18" i="1"/>
  <c r="Q6" i="30"/>
  <c r="Q7" i="30" s="1"/>
  <c r="Q8" i="30" s="1"/>
  <c r="Q28" i="30"/>
  <c r="Q29" i="30" s="1"/>
  <c r="S19" i="30"/>
  <c r="T18" i="30"/>
  <c r="S20" i="30"/>
  <c r="S21" i="30" s="1"/>
  <c r="S22" i="30" s="1"/>
  <c r="S11" i="30"/>
  <c r="R12" i="30"/>
  <c r="R13" i="30" s="1"/>
  <c r="BM70" i="1"/>
  <c r="BM18" i="1"/>
  <c r="S12" i="30" l="1"/>
  <c r="T11" i="30"/>
  <c r="S13" i="30"/>
  <c r="S14" i="30" s="1"/>
  <c r="S15" i="30" s="1"/>
  <c r="T19" i="30"/>
  <c r="U18" i="30"/>
  <c r="T20" i="30"/>
  <c r="T21" i="30" s="1"/>
  <c r="T22" i="30" s="1"/>
  <c r="BN71" i="1"/>
  <c r="BN20" i="1" s="1"/>
  <c r="BN19" i="1"/>
  <c r="BG18" i="22"/>
  <c r="S33" i="30"/>
  <c r="T32" i="30"/>
  <c r="S34" i="30"/>
  <c r="S35" i="30" s="1"/>
  <c r="S36" i="30" s="1"/>
  <c r="S26" i="30"/>
  <c r="T25" i="30"/>
  <c r="S27" i="30"/>
  <c r="S28" i="30" s="1"/>
  <c r="S29" i="30" s="1"/>
  <c r="BO70" i="1"/>
  <c r="BO18" i="1"/>
  <c r="BE11" i="22"/>
  <c r="BD13" i="22"/>
  <c r="BD14" i="22" s="1"/>
  <c r="BD15" i="22" s="1"/>
  <c r="BP39" i="1" s="1"/>
  <c r="BP40" i="1" s="1"/>
  <c r="BP41" i="1" s="1"/>
  <c r="R14" i="30"/>
  <c r="R15" i="30" s="1"/>
  <c r="BD27" i="22"/>
  <c r="BD28" i="22" s="1"/>
  <c r="BD29" i="22" s="1"/>
  <c r="BP59" i="1" s="1"/>
  <c r="BP60" i="1" s="1"/>
  <c r="BP61" i="1" s="1"/>
  <c r="BE25" i="22"/>
  <c r="BE4" i="22"/>
  <c r="BD6" i="22"/>
  <c r="BD7" i="22" s="1"/>
  <c r="BD8" i="22" s="1"/>
  <c r="BP29" i="1" s="1"/>
  <c r="BP30" i="1" s="1"/>
  <c r="BP31" i="1" s="1"/>
  <c r="R28" i="30"/>
  <c r="R29" i="30" s="1"/>
  <c r="S5" i="30"/>
  <c r="T4" i="30"/>
  <c r="S6" i="30"/>
  <c r="S7" i="30" s="1"/>
  <c r="S8" i="30" s="1"/>
  <c r="BE19" i="22"/>
  <c r="BD20" i="22"/>
  <c r="BD21" i="22" s="1"/>
  <c r="BD22" i="22" s="1"/>
  <c r="BP49" i="1" s="1"/>
  <c r="BP50" i="1" s="1"/>
  <c r="BP51" i="1" s="1"/>
  <c r="BE32" i="22"/>
  <c r="BD34" i="22"/>
  <c r="BD35" i="22" s="1"/>
  <c r="BD36" i="22" s="1"/>
  <c r="BP69" i="1" s="1"/>
  <c r="BI12" i="22"/>
  <c r="BG5" i="22"/>
  <c r="BH5" i="22" s="1"/>
  <c r="BM19" i="1"/>
  <c r="BI5" i="22" l="1"/>
  <c r="BF32" i="22"/>
  <c r="BE34" i="22"/>
  <c r="BE35" i="22" s="1"/>
  <c r="BE36" i="22" s="1"/>
  <c r="BQ69" i="1" s="1"/>
  <c r="BF19" i="22"/>
  <c r="BE20" i="22"/>
  <c r="BE21" i="22" s="1"/>
  <c r="BE22" i="22" s="1"/>
  <c r="BQ49" i="1" s="1"/>
  <c r="BQ50" i="1" s="1"/>
  <c r="BQ51" i="1" s="1"/>
  <c r="T5" i="30"/>
  <c r="U4" i="30"/>
  <c r="T6" i="30"/>
  <c r="T7" i="30" s="1"/>
  <c r="T8" i="30" s="1"/>
  <c r="BF4" i="22"/>
  <c r="BE6" i="22"/>
  <c r="BE7" i="22" s="1"/>
  <c r="BE8" i="22" s="1"/>
  <c r="BQ29" i="1" s="1"/>
  <c r="BQ30" i="1" s="1"/>
  <c r="BQ31" i="1" s="1"/>
  <c r="T33" i="30"/>
  <c r="U32" i="30"/>
  <c r="T34" i="30"/>
  <c r="T35" i="30" s="1"/>
  <c r="T36" i="30" s="1"/>
  <c r="BH18" i="22"/>
  <c r="T12" i="30"/>
  <c r="U11" i="30"/>
  <c r="T13" i="30"/>
  <c r="T14" i="30" s="1"/>
  <c r="T15" i="30" s="1"/>
  <c r="BJ12" i="22"/>
  <c r="BP70" i="1"/>
  <c r="BP18" i="1"/>
  <c r="BF25" i="22"/>
  <c r="BE27" i="22"/>
  <c r="BE28" i="22" s="1"/>
  <c r="BE29" i="22" s="1"/>
  <c r="BQ59" i="1" s="1"/>
  <c r="BQ60" i="1" s="1"/>
  <c r="BQ61" i="1" s="1"/>
  <c r="BF11" i="22"/>
  <c r="BE13" i="22"/>
  <c r="BE14" i="22" s="1"/>
  <c r="BE15" i="22" s="1"/>
  <c r="BQ39" i="1" s="1"/>
  <c r="BQ40" i="1" s="1"/>
  <c r="BQ41" i="1" s="1"/>
  <c r="BO19" i="1"/>
  <c r="BO71" i="1"/>
  <c r="BO20" i="1" s="1"/>
  <c r="T26" i="30"/>
  <c r="U25" i="30"/>
  <c r="T27" i="30"/>
  <c r="T28" i="30" s="1"/>
  <c r="T29" i="30" s="1"/>
  <c r="U19" i="30"/>
  <c r="V18" i="30"/>
  <c r="U20" i="30"/>
  <c r="U21" i="30" s="1"/>
  <c r="U22" i="30" s="1"/>
  <c r="V19" i="30" l="1"/>
  <c r="W18" i="30"/>
  <c r="V20" i="30"/>
  <c r="V21" i="30" s="1"/>
  <c r="V22" i="30" s="1"/>
  <c r="BF13" i="22"/>
  <c r="BF14" i="22" s="1"/>
  <c r="BF15" i="22" s="1"/>
  <c r="BR39" i="1" s="1"/>
  <c r="BR40" i="1" s="1"/>
  <c r="BR41" i="1" s="1"/>
  <c r="BG11" i="22"/>
  <c r="BF27" i="22"/>
  <c r="BF28" i="22" s="1"/>
  <c r="BF29" i="22" s="1"/>
  <c r="BR59" i="1" s="1"/>
  <c r="BR60" i="1" s="1"/>
  <c r="BR61" i="1" s="1"/>
  <c r="BG25" i="22"/>
  <c r="BP71" i="1"/>
  <c r="BP20" i="1" s="1"/>
  <c r="BP19" i="1"/>
  <c r="BK12" i="22"/>
  <c r="U12" i="30"/>
  <c r="V11" i="30"/>
  <c r="U13" i="30"/>
  <c r="U14" i="30" s="1"/>
  <c r="U15" i="30" s="1"/>
  <c r="BI18" i="22"/>
  <c r="BF6" i="22"/>
  <c r="BF7" i="22" s="1"/>
  <c r="BF8" i="22" s="1"/>
  <c r="BR29" i="1" s="1"/>
  <c r="BR30" i="1" s="1"/>
  <c r="BR31" i="1" s="1"/>
  <c r="BG4" i="22"/>
  <c r="U5" i="30"/>
  <c r="V4" i="30"/>
  <c r="U6" i="30"/>
  <c r="BQ18" i="1"/>
  <c r="BQ70" i="1"/>
  <c r="U26" i="30"/>
  <c r="V25" i="30"/>
  <c r="U27" i="30"/>
  <c r="U28" i="30" s="1"/>
  <c r="U29" i="30" s="1"/>
  <c r="U33" i="30"/>
  <c r="V32" i="30"/>
  <c r="U34" i="30"/>
  <c r="U35" i="30" s="1"/>
  <c r="U36" i="30" s="1"/>
  <c r="BG19" i="22"/>
  <c r="BF20" i="22"/>
  <c r="BF21" i="22" s="1"/>
  <c r="BF22" i="22" s="1"/>
  <c r="BR49" i="1" s="1"/>
  <c r="BR50" i="1" s="1"/>
  <c r="BR51" i="1" s="1"/>
  <c r="BG32" i="22"/>
  <c r="BF34" i="22"/>
  <c r="BF35" i="22" s="1"/>
  <c r="BF36" i="22" s="1"/>
  <c r="BR69" i="1" s="1"/>
  <c r="BJ5" i="22"/>
  <c r="AW96" i="1"/>
  <c r="BR70" i="1" l="1"/>
  <c r="BR18" i="1"/>
  <c r="BH19" i="22"/>
  <c r="BG20" i="22"/>
  <c r="BG21" i="22" s="1"/>
  <c r="BG22" i="22" s="1"/>
  <c r="BS49" i="1" s="1"/>
  <c r="BS50" i="1" s="1"/>
  <c r="BS51" i="1" s="1"/>
  <c r="V33" i="30"/>
  <c r="W32" i="30"/>
  <c r="V34" i="30"/>
  <c r="V35" i="30" s="1"/>
  <c r="V36" i="30" s="1"/>
  <c r="W4" i="30"/>
  <c r="V5" i="30"/>
  <c r="BG6" i="22"/>
  <c r="BG7" i="22" s="1"/>
  <c r="BG8" i="22" s="1"/>
  <c r="BS29" i="1" s="1"/>
  <c r="BS30" i="1" s="1"/>
  <c r="BS31" i="1" s="1"/>
  <c r="BH4" i="22"/>
  <c r="BJ18" i="22"/>
  <c r="X18" i="30"/>
  <c r="W19" i="30"/>
  <c r="W20" i="30" s="1"/>
  <c r="W21" i="30" s="1"/>
  <c r="W22" i="30" s="1"/>
  <c r="BK5" i="22"/>
  <c r="BG34" i="22"/>
  <c r="BG35" i="22" s="1"/>
  <c r="BG36" i="22" s="1"/>
  <c r="BS69" i="1" s="1"/>
  <c r="BH32" i="22"/>
  <c r="W25" i="30"/>
  <c r="V26" i="30"/>
  <c r="BQ19" i="1"/>
  <c r="BQ71" i="1"/>
  <c r="BQ20" i="1" s="1"/>
  <c r="U7" i="30"/>
  <c r="U8" i="30" s="1"/>
  <c r="V12" i="30"/>
  <c r="W11" i="30"/>
  <c r="V13" i="30"/>
  <c r="V14" i="30" s="1"/>
  <c r="V15" i="30" s="1"/>
  <c r="BG27" i="22"/>
  <c r="BG28" i="22" s="1"/>
  <c r="BG29" i="22" s="1"/>
  <c r="BS59" i="1" s="1"/>
  <c r="BS60" i="1" s="1"/>
  <c r="BS61" i="1" s="1"/>
  <c r="BH25" i="22"/>
  <c r="BG13" i="22"/>
  <c r="BG14" i="22" s="1"/>
  <c r="BG15" i="22" s="1"/>
  <c r="BS39" i="1" s="1"/>
  <c r="BS40" i="1" s="1"/>
  <c r="BS41" i="1" s="1"/>
  <c r="BH11" i="22"/>
  <c r="AA10" i="28"/>
  <c r="AA9" i="28"/>
  <c r="AA8" i="28"/>
  <c r="AA7" i="28"/>
  <c r="AA6" i="28"/>
  <c r="AA5" i="28"/>
  <c r="W5" i="30" l="1"/>
  <c r="BH13" i="22"/>
  <c r="BH14" i="22" s="1"/>
  <c r="BH15" i="22" s="1"/>
  <c r="BT39" i="1" s="1"/>
  <c r="BT40" i="1" s="1"/>
  <c r="BT41" i="1" s="1"/>
  <c r="BI11" i="22"/>
  <c r="BH27" i="22"/>
  <c r="BH28" i="22" s="1"/>
  <c r="BH29" i="22" s="1"/>
  <c r="BT59" i="1" s="1"/>
  <c r="BT60" i="1" s="1"/>
  <c r="BT61" i="1" s="1"/>
  <c r="BI25" i="22"/>
  <c r="W12" i="30"/>
  <c r="X11" i="30"/>
  <c r="W13" i="30"/>
  <c r="W14" i="30" s="1"/>
  <c r="W15" i="30" s="1"/>
  <c r="W26" i="30"/>
  <c r="X25" i="30"/>
  <c r="W27" i="30"/>
  <c r="W28" i="30" s="1"/>
  <c r="W29" i="30" s="1"/>
  <c r="BS70" i="1"/>
  <c r="BS18" i="1"/>
  <c r="X19" i="30"/>
  <c r="Y18" i="30"/>
  <c r="X20" i="30"/>
  <c r="X21" i="30" s="1"/>
  <c r="X22" i="30" s="1"/>
  <c r="V27" i="30"/>
  <c r="V28" i="30" s="1"/>
  <c r="V29" i="30" s="1"/>
  <c r="BI32" i="22"/>
  <c r="BH34" i="22"/>
  <c r="BH35" i="22" s="1"/>
  <c r="BH36" i="22" s="1"/>
  <c r="BT69" i="1" s="1"/>
  <c r="BK18" i="22"/>
  <c r="BI4" i="22"/>
  <c r="BH6" i="22"/>
  <c r="BH7" i="22" s="1"/>
  <c r="BH8" i="22" s="1"/>
  <c r="BT29" i="1" s="1"/>
  <c r="BT30" i="1" s="1"/>
  <c r="BT31" i="1" s="1"/>
  <c r="V6" i="30"/>
  <c r="V7" i="30" s="1"/>
  <c r="V8" i="30" s="1"/>
  <c r="X4" i="30"/>
  <c r="W6" i="30"/>
  <c r="W7" i="30" s="1"/>
  <c r="W8" i="30" s="1"/>
  <c r="W33" i="30"/>
  <c r="X32" i="30"/>
  <c r="W34" i="30"/>
  <c r="BI19" i="22"/>
  <c r="BH20" i="22"/>
  <c r="BH21" i="22" s="1"/>
  <c r="BH22" i="22" s="1"/>
  <c r="BT49" i="1" s="1"/>
  <c r="BT50" i="1" s="1"/>
  <c r="BT51" i="1" s="1"/>
  <c r="BR19" i="1"/>
  <c r="BR71" i="1"/>
  <c r="BR20" i="1" s="1"/>
  <c r="BK8" i="11"/>
  <c r="BL17" i="11" s="1"/>
  <c r="BK7" i="11"/>
  <c r="BL16" i="11" s="1"/>
  <c r="BK6" i="11"/>
  <c r="BL15" i="11" s="1"/>
  <c r="BK10" i="11"/>
  <c r="BL19" i="11" s="1"/>
  <c r="BK9" i="11"/>
  <c r="BL18" i="11" s="1"/>
  <c r="BK5" i="11"/>
  <c r="BL14" i="11" s="1"/>
  <c r="BL35" i="11" l="1"/>
  <c r="BM67" i="1" s="1"/>
  <c r="BM71" i="1" s="1"/>
  <c r="BL32" i="11"/>
  <c r="BM37" i="1" s="1"/>
  <c r="BM41" i="1" s="1"/>
  <c r="BL34" i="11"/>
  <c r="BM57" i="1" s="1"/>
  <c r="BM61" i="1" s="1"/>
  <c r="W35" i="30"/>
  <c r="W36" i="30" s="1"/>
  <c r="X5" i="30"/>
  <c r="Y4" i="30"/>
  <c r="X6" i="30"/>
  <c r="X7" i="30" s="1"/>
  <c r="X8" i="30" s="1"/>
  <c r="BT18" i="1"/>
  <c r="BT70" i="1"/>
  <c r="Y19" i="30"/>
  <c r="Z18" i="30"/>
  <c r="Y20" i="30"/>
  <c r="Y21" i="30" s="1"/>
  <c r="Y22" i="30" s="1"/>
  <c r="Y11" i="30"/>
  <c r="X12" i="30"/>
  <c r="BJ25" i="22"/>
  <c r="BI27" i="22"/>
  <c r="BI28" i="22" s="1"/>
  <c r="BI29" i="22" s="1"/>
  <c r="BU59" i="1" s="1"/>
  <c r="BU60" i="1" s="1"/>
  <c r="BU61" i="1" s="1"/>
  <c r="BI13" i="22"/>
  <c r="BI14" i="22" s="1"/>
  <c r="BI15" i="22" s="1"/>
  <c r="BU39" i="1" s="1"/>
  <c r="BU40" i="1" s="1"/>
  <c r="BU41" i="1" s="1"/>
  <c r="BJ11" i="22"/>
  <c r="BL20" i="11"/>
  <c r="BL31" i="11"/>
  <c r="BL33" i="11"/>
  <c r="BM47" i="1" s="1"/>
  <c r="BM51" i="1" s="1"/>
  <c r="BJ19" i="22"/>
  <c r="BI20" i="22"/>
  <c r="BI21" i="22" s="1"/>
  <c r="BI22" i="22" s="1"/>
  <c r="BU49" i="1" s="1"/>
  <c r="BU50" i="1" s="1"/>
  <c r="BU51" i="1" s="1"/>
  <c r="X33" i="30"/>
  <c r="Y32" i="30"/>
  <c r="BI6" i="22"/>
  <c r="BI7" i="22" s="1"/>
  <c r="BI8" i="22" s="1"/>
  <c r="BU29" i="1" s="1"/>
  <c r="BU30" i="1" s="1"/>
  <c r="BU31" i="1" s="1"/>
  <c r="BJ4" i="22"/>
  <c r="BI34" i="22"/>
  <c r="BI35" i="22" s="1"/>
  <c r="BI36" i="22" s="1"/>
  <c r="BU69" i="1" s="1"/>
  <c r="BJ32" i="22"/>
  <c r="BS19" i="1"/>
  <c r="BS71" i="1"/>
  <c r="BS20" i="1" s="1"/>
  <c r="X26" i="30"/>
  <c r="Y25" i="30"/>
  <c r="X27" i="30"/>
  <c r="X28" i="30" s="1"/>
  <c r="X29" i="30" s="1"/>
  <c r="AZ31" i="22"/>
  <c r="AZ24" i="22"/>
  <c r="AZ17" i="22"/>
  <c r="AZ20" i="22" s="1"/>
  <c r="AZ21" i="22" s="1"/>
  <c r="AZ10" i="22"/>
  <c r="AZ3" i="22"/>
  <c r="AC85" i="27"/>
  <c r="AC87" i="27" s="1"/>
  <c r="AC88" i="27" s="1"/>
  <c r="AC89" i="27" s="1"/>
  <c r="AZ96" i="1"/>
  <c r="O31" i="30"/>
  <c r="O24" i="30"/>
  <c r="O17" i="30"/>
  <c r="O10" i="30"/>
  <c r="O3" i="30"/>
  <c r="Y26" i="30" l="1"/>
  <c r="Z25" i="30"/>
  <c r="Y27" i="30"/>
  <c r="Y28" i="30" s="1"/>
  <c r="Y29" i="30" s="1"/>
  <c r="BJ34" i="22"/>
  <c r="BJ35" i="22" s="1"/>
  <c r="BJ36" i="22" s="1"/>
  <c r="BV69" i="1" s="1"/>
  <c r="BK32" i="22"/>
  <c r="BK34" i="22" s="1"/>
  <c r="BK35" i="22" s="1"/>
  <c r="BK36" i="22" s="1"/>
  <c r="BW69" i="1" s="1"/>
  <c r="BK4" i="22"/>
  <c r="BK6" i="22" s="1"/>
  <c r="BK7" i="22" s="1"/>
  <c r="BK8" i="22" s="1"/>
  <c r="BW29" i="1" s="1"/>
  <c r="BW30" i="1" s="1"/>
  <c r="BW31" i="1" s="1"/>
  <c r="BJ6" i="22"/>
  <c r="BJ7" i="22" s="1"/>
  <c r="BJ8" i="22" s="1"/>
  <c r="BV29" i="1" s="1"/>
  <c r="BV30" i="1" s="1"/>
  <c r="BV31" i="1" s="1"/>
  <c r="Y33" i="30"/>
  <c r="Z32" i="30"/>
  <c r="Y34" i="30"/>
  <c r="Y35" i="30" s="1"/>
  <c r="Y36" i="30" s="1"/>
  <c r="BJ27" i="22"/>
  <c r="BJ28" i="22" s="1"/>
  <c r="BJ29" i="22" s="1"/>
  <c r="BV59" i="1" s="1"/>
  <c r="BV60" i="1" s="1"/>
  <c r="BV61" i="1" s="1"/>
  <c r="BK25" i="22"/>
  <c r="BK27" i="22" s="1"/>
  <c r="BK28" i="22" s="1"/>
  <c r="BK29" i="22" s="1"/>
  <c r="BW59" i="1" s="1"/>
  <c r="BW60" i="1" s="1"/>
  <c r="BW61" i="1" s="1"/>
  <c r="Y12" i="30"/>
  <c r="Z11" i="30"/>
  <c r="Y13" i="30"/>
  <c r="Z19" i="30"/>
  <c r="Z20" i="30" s="1"/>
  <c r="Z21" i="30" s="1"/>
  <c r="Z22" i="30" s="1"/>
  <c r="BT71" i="1"/>
  <c r="BT20" i="1" s="1"/>
  <c r="BT19" i="1"/>
  <c r="Y5" i="30"/>
  <c r="Z4" i="30"/>
  <c r="Y6" i="30"/>
  <c r="Y7" i="30" s="1"/>
  <c r="Y8" i="30" s="1"/>
  <c r="BU70" i="1"/>
  <c r="BU18" i="1"/>
  <c r="X34" i="30"/>
  <c r="X35" i="30" s="1"/>
  <c r="X36" i="30" s="1"/>
  <c r="BK19" i="22"/>
  <c r="BJ20" i="22"/>
  <c r="BJ21" i="22" s="1"/>
  <c r="BJ22" i="22" s="1"/>
  <c r="BV49" i="1" s="1"/>
  <c r="BV50" i="1" s="1"/>
  <c r="BV51" i="1" s="1"/>
  <c r="BM27" i="1"/>
  <c r="BL36" i="11"/>
  <c r="BK11" i="22"/>
  <c r="BK13" i="22" s="1"/>
  <c r="BK14" i="22" s="1"/>
  <c r="BK15" i="22" s="1"/>
  <c r="BW39" i="1" s="1"/>
  <c r="BW40" i="1" s="1"/>
  <c r="BW41" i="1" s="1"/>
  <c r="BJ13" i="22"/>
  <c r="BJ14" i="22" s="1"/>
  <c r="BJ15" i="22" s="1"/>
  <c r="BV39" i="1" s="1"/>
  <c r="BV40" i="1" s="1"/>
  <c r="BV41" i="1" s="1"/>
  <c r="X13" i="30"/>
  <c r="X14" i="30" s="1"/>
  <c r="X15" i="30" s="1"/>
  <c r="AC90" i="27"/>
  <c r="AC91" i="27"/>
  <c r="AC92" i="27" s="1"/>
  <c r="AD89" i="27" s="1"/>
  <c r="AD91" i="27" s="1"/>
  <c r="AD92" i="27" s="1"/>
  <c r="AE89" i="27" s="1"/>
  <c r="AZ22" i="22"/>
  <c r="AZ6" i="22"/>
  <c r="AZ7" i="22" s="1"/>
  <c r="AZ8" i="22" s="1"/>
  <c r="AZ34" i="22"/>
  <c r="AZ35" i="22" s="1"/>
  <c r="AZ36" i="22" s="1"/>
  <c r="AZ27" i="22"/>
  <c r="AZ28" i="22" s="1"/>
  <c r="AZ29" i="22" s="1"/>
  <c r="O27" i="30"/>
  <c r="O20" i="30"/>
  <c r="O21" i="30" s="1"/>
  <c r="O22" i="30" s="1"/>
  <c r="O34" i="30"/>
  <c r="O35" i="30" s="1"/>
  <c r="O36" i="30" s="1"/>
  <c r="BM16" i="1" l="1"/>
  <c r="BM31" i="1"/>
  <c r="BM20" i="1" s="1"/>
  <c r="BK20" i="22"/>
  <c r="BK21" i="22" s="1"/>
  <c r="BK22" i="22" s="1"/>
  <c r="BW49" i="1" s="1"/>
  <c r="BU19" i="1"/>
  <c r="BU71" i="1"/>
  <c r="BU20" i="1" s="1"/>
  <c r="Z5" i="30"/>
  <c r="Z6" i="30" s="1"/>
  <c r="Z7" i="30" s="1"/>
  <c r="Z8" i="30" s="1"/>
  <c r="Y14" i="30"/>
  <c r="Y15" i="30" s="1"/>
  <c r="Z33" i="30"/>
  <c r="Z34" i="30" s="1"/>
  <c r="Z35" i="30" s="1"/>
  <c r="Z36" i="30" s="1"/>
  <c r="BW70" i="1"/>
  <c r="Z12" i="30"/>
  <c r="BV18" i="1"/>
  <c r="BV70" i="1"/>
  <c r="Z26" i="30"/>
  <c r="AE91" i="27"/>
  <c r="AE92" i="27" s="1"/>
  <c r="AF89" i="27" s="1"/>
  <c r="AF91" i="27" s="1"/>
  <c r="AF92" i="27" s="1"/>
  <c r="AG89" i="27" s="1"/>
  <c r="AD90" i="27"/>
  <c r="AE90" i="27" s="1"/>
  <c r="O28" i="30"/>
  <c r="O29" i="30" s="1"/>
  <c r="AZ13" i="22"/>
  <c r="AZ14" i="22" s="1"/>
  <c r="AZ15" i="22" s="1"/>
  <c r="O13" i="30"/>
  <c r="O14" i="30" s="1"/>
  <c r="O15" i="30" s="1"/>
  <c r="O6" i="30"/>
  <c r="O7" i="30" s="1"/>
  <c r="O8" i="30" s="1"/>
  <c r="BW50" i="1" l="1"/>
  <c r="BW51" i="1" s="1"/>
  <c r="BW18" i="1"/>
  <c r="AF90" i="27"/>
  <c r="Z27" i="30"/>
  <c r="Z28" i="30" s="1"/>
  <c r="Z29" i="30" s="1"/>
  <c r="BV71" i="1"/>
  <c r="BV20" i="1" s="1"/>
  <c r="BV19" i="1"/>
  <c r="Z13" i="30"/>
  <c r="Z14" i="30" s="1"/>
  <c r="Z15" i="30" s="1"/>
  <c r="BW71" i="1"/>
  <c r="AG90" i="27"/>
  <c r="AG91" i="27"/>
  <c r="AG92" i="27" s="1"/>
  <c r="AH89" i="27" s="1"/>
  <c r="BK64" i="11"/>
  <c r="BK63" i="11"/>
  <c r="BK62" i="11"/>
  <c r="BK61" i="11"/>
  <c r="BK60" i="11"/>
  <c r="BK55" i="11"/>
  <c r="BK28" i="11"/>
  <c r="BL98" i="1"/>
  <c r="BL99" i="1" s="1"/>
  <c r="BL78" i="1"/>
  <c r="BL8" i="1"/>
  <c r="BW20" i="1" l="1"/>
  <c r="BW19" i="1"/>
  <c r="AH91" i="27"/>
  <c r="AH92" i="27" s="1"/>
  <c r="AI89" i="27" s="1"/>
  <c r="AI91" i="27" s="1"/>
  <c r="AI92" i="27" s="1"/>
  <c r="AJ89" i="27" s="1"/>
  <c r="AJ91" i="27" s="1"/>
  <c r="AJ92" i="27" s="1"/>
  <c r="AK89" i="27" s="1"/>
  <c r="AK91" i="27" s="1"/>
  <c r="AK92" i="27" s="1"/>
  <c r="AH90" i="27"/>
  <c r="BK11" i="11"/>
  <c r="BK65" i="11"/>
  <c r="BK70" i="11" s="1"/>
  <c r="BL48" i="1" s="1"/>
  <c r="BL49" i="1" s="1"/>
  <c r="BL50" i="1" s="1"/>
  <c r="BK72" i="11" l="1"/>
  <c r="BL68" i="1" s="1"/>
  <c r="BL69" i="1" s="1"/>
  <c r="AI90" i="27"/>
  <c r="AJ90" i="27" s="1"/>
  <c r="AK90" i="27" s="1"/>
  <c r="BK71" i="11"/>
  <c r="BL58" i="1" s="1"/>
  <c r="BL59" i="1" s="1"/>
  <c r="BL60" i="1" s="1"/>
  <c r="BK69" i="11"/>
  <c r="BL38" i="1" s="1"/>
  <c r="BL39" i="1" s="1"/>
  <c r="BL40" i="1" s="1"/>
  <c r="BK68" i="11"/>
  <c r="BK73" i="11" l="1"/>
  <c r="BL28" i="1"/>
  <c r="BL29" i="1" s="1"/>
  <c r="BL30" i="1" s="1"/>
  <c r="BL70" i="1"/>
  <c r="BL17" i="1" l="1"/>
  <c r="BL19" i="1"/>
  <c r="BL18" i="1"/>
  <c r="AL89" i="27" l="1"/>
  <c r="AB87" i="27"/>
  <c r="AB88" i="27" s="1"/>
  <c r="AL91" i="27" l="1"/>
  <c r="AL92" i="27" s="1"/>
  <c r="AM89" i="27" s="1"/>
  <c r="AM91" i="27" s="1"/>
  <c r="AM92" i="27" s="1"/>
  <c r="AN89" i="27" s="1"/>
  <c r="AL90" i="27"/>
  <c r="AE78" i="27"/>
  <c r="Z78" i="1"/>
  <c r="AN91" i="27" l="1"/>
  <c r="AN92" i="27" s="1"/>
  <c r="AM90" i="27"/>
  <c r="AN90" i="27" s="1"/>
  <c r="AB78" i="27"/>
  <c r="AB79" i="27" s="1"/>
  <c r="AB80" i="27" s="1"/>
  <c r="AK78" i="1"/>
  <c r="Z10" i="28" l="1"/>
  <c r="Z9" i="28"/>
  <c r="Z8" i="28"/>
  <c r="Z7" i="28"/>
  <c r="Z6" i="28"/>
  <c r="Z5" i="28"/>
  <c r="BJ6" i="11" l="1"/>
  <c r="BK15" i="11" s="1"/>
  <c r="BJ7" i="11"/>
  <c r="BK16" i="11" s="1"/>
  <c r="BJ8" i="11"/>
  <c r="BK17" i="11" s="1"/>
  <c r="BJ9" i="11"/>
  <c r="BK18" i="11" s="1"/>
  <c r="BJ10" i="11"/>
  <c r="BK19" i="11" s="1"/>
  <c r="BJ5" i="11"/>
  <c r="BK14" i="11" s="1"/>
  <c r="BK35" i="11" l="1"/>
  <c r="BL67" i="1" s="1"/>
  <c r="BL71" i="1" s="1"/>
  <c r="BK33" i="11"/>
  <c r="BL47" i="1" s="1"/>
  <c r="BL51" i="1" s="1"/>
  <c r="BK31" i="11"/>
  <c r="BK20" i="11"/>
  <c r="BK34" i="11"/>
  <c r="BL57" i="1" s="1"/>
  <c r="BL61" i="1" s="1"/>
  <c r="BK32" i="11"/>
  <c r="BL37" i="1" s="1"/>
  <c r="BL41" i="1" s="1"/>
  <c r="AB81" i="27"/>
  <c r="AB82" i="27" s="1"/>
  <c r="AC79" i="27" s="1"/>
  <c r="BL27" i="1" l="1"/>
  <c r="BK36" i="11"/>
  <c r="AC81" i="27"/>
  <c r="AC82" i="27" s="1"/>
  <c r="AC80" i="27"/>
  <c r="AY3" i="22"/>
  <c r="AY31" i="22"/>
  <c r="AY24" i="22"/>
  <c r="AY17" i="22"/>
  <c r="AY10" i="22"/>
  <c r="N31" i="30"/>
  <c r="N24" i="30"/>
  <c r="N17" i="30"/>
  <c r="N10" i="30"/>
  <c r="N3" i="30"/>
  <c r="BJ64" i="11"/>
  <c r="BJ63" i="11"/>
  <c r="BJ62" i="11"/>
  <c r="BJ61" i="11"/>
  <c r="BJ60" i="11"/>
  <c r="BJ55" i="11"/>
  <c r="BJ28" i="11"/>
  <c r="BK96" i="1"/>
  <c r="BK98" i="1" s="1"/>
  <c r="BK99" i="1" s="1"/>
  <c r="BK78" i="1"/>
  <c r="BK8" i="1"/>
  <c r="BL16" i="1" l="1"/>
  <c r="BL31" i="1"/>
  <c r="BL20" i="1" s="1"/>
  <c r="BJ65" i="11"/>
  <c r="BJ70" i="11" s="1"/>
  <c r="BK48" i="1" s="1"/>
  <c r="BJ11" i="11"/>
  <c r="AD79" i="27" l="1"/>
  <c r="AD80" i="27" s="1"/>
  <c r="BJ68" i="11"/>
  <c r="BK28" i="1" s="1"/>
  <c r="BJ72" i="11"/>
  <c r="BK68" i="1" s="1"/>
  <c r="BJ69" i="11"/>
  <c r="BK38" i="1" s="1"/>
  <c r="BJ71" i="11"/>
  <c r="BK58" i="1" s="1"/>
  <c r="AD81" i="27" l="1"/>
  <c r="AD82" i="27" s="1"/>
  <c r="AE79" i="27" s="1"/>
  <c r="AE81" i="27" s="1"/>
  <c r="AE82" i="27" s="1"/>
  <c r="AF79" i="27" s="1"/>
  <c r="AF81" i="27" s="1"/>
  <c r="AF82" i="27" s="1"/>
  <c r="AG79" i="27" s="1"/>
  <c r="AG81" i="27" s="1"/>
  <c r="AG82" i="27" s="1"/>
  <c r="AH79" i="27" s="1"/>
  <c r="AH81" i="27" s="1"/>
  <c r="AH82" i="27" s="1"/>
  <c r="BJ73" i="11"/>
  <c r="BK17" i="1"/>
  <c r="AE80" i="27" l="1"/>
  <c r="AF80" i="27" s="1"/>
  <c r="AG80" i="27" s="1"/>
  <c r="AH80" i="27" s="1"/>
  <c r="AI79" i="27"/>
  <c r="AI81" i="27" s="1"/>
  <c r="AI82" i="27" s="1"/>
  <c r="AJ79" i="27" s="1"/>
  <c r="AI80" i="27" l="1"/>
  <c r="AJ80" i="27" s="1"/>
  <c r="AJ81" i="27"/>
  <c r="AJ82" i="27" s="1"/>
  <c r="AK79" i="27" s="1"/>
  <c r="BJ8" i="1"/>
  <c r="BI8" i="1"/>
  <c r="AK81" i="27" l="1"/>
  <c r="AK82" i="27" s="1"/>
  <c r="AK80" i="27"/>
  <c r="BV35" i="29"/>
  <c r="BW35" i="29" s="1"/>
  <c r="AL76" i="27" s="1"/>
  <c r="AL79" i="27" l="1"/>
  <c r="AL81" i="27" s="1"/>
  <c r="AL82" i="27" s="1"/>
  <c r="AM79" i="27" s="1"/>
  <c r="AM81" i="27" s="1"/>
  <c r="AM82" i="27" s="1"/>
  <c r="AN79" i="27" s="1"/>
  <c r="AN81" i="27" s="1"/>
  <c r="AN82" i="27" s="1"/>
  <c r="AO79" i="27" s="1"/>
  <c r="Y10" i="28"/>
  <c r="Y9" i="28"/>
  <c r="Y8" i="28"/>
  <c r="Y7" i="28"/>
  <c r="Y6" i="28"/>
  <c r="Y5" i="28"/>
  <c r="AL80" i="27" l="1"/>
  <c r="AO81" i="27"/>
  <c r="AO82" i="27" s="1"/>
  <c r="AP79" i="27" s="1"/>
  <c r="AP81" i="27" s="1"/>
  <c r="AP82" i="27" s="1"/>
  <c r="AQ79" i="27" s="1"/>
  <c r="AQ81" i="27" s="1"/>
  <c r="AQ82" i="27" s="1"/>
  <c r="AR79" i="27" s="1"/>
  <c r="AR81" i="27" s="1"/>
  <c r="AR82" i="27" s="1"/>
  <c r="AS79" i="27" s="1"/>
  <c r="AS81" i="27" s="1"/>
  <c r="AS82" i="27" s="1"/>
  <c r="AT79" i="27" s="1"/>
  <c r="AT81" i="27" s="1"/>
  <c r="AT82" i="27" s="1"/>
  <c r="AU79" i="27" s="1"/>
  <c r="AU81" i="27" s="1"/>
  <c r="AU82" i="27" s="1"/>
  <c r="AV79" i="27" s="1"/>
  <c r="AV81" i="27" s="1"/>
  <c r="AV82" i="27" s="1"/>
  <c r="AW79" i="27" s="1"/>
  <c r="AW81" i="27" s="1"/>
  <c r="AW82" i="27" s="1"/>
  <c r="AX79" i="27" s="1"/>
  <c r="AX81" i="27" s="1"/>
  <c r="AX82" i="27" s="1"/>
  <c r="AY79" i="27" s="1"/>
  <c r="AY81" i="27" s="1"/>
  <c r="AY82" i="27" s="1"/>
  <c r="AM80" i="27"/>
  <c r="AN80" i="27" s="1"/>
  <c r="BI10" i="11"/>
  <c r="BJ19" i="11" s="1"/>
  <c r="BI9" i="11"/>
  <c r="BJ18" i="11" s="1"/>
  <c r="BI8" i="11"/>
  <c r="BJ17" i="11" s="1"/>
  <c r="BJ34" i="11" s="1"/>
  <c r="BK57" i="1" s="1"/>
  <c r="BI7" i="11"/>
  <c r="BJ16" i="11" s="1"/>
  <c r="BI6" i="11"/>
  <c r="BJ15" i="11" s="1"/>
  <c r="BJ32" i="11" s="1"/>
  <c r="BK37" i="1" s="1"/>
  <c r="BI5" i="11"/>
  <c r="BJ14" i="11" s="1"/>
  <c r="BJ20" i="11" l="1"/>
  <c r="BJ31" i="11"/>
  <c r="BJ33" i="11"/>
  <c r="BK47" i="1" s="1"/>
  <c r="BJ35" i="11"/>
  <c r="BK67" i="1" s="1"/>
  <c r="AO80" i="27"/>
  <c r="AP80" i="27" s="1"/>
  <c r="AQ80" i="27" s="1"/>
  <c r="AR80" i="27" s="1"/>
  <c r="AS80" i="27" s="1"/>
  <c r="AT80" i="27" s="1"/>
  <c r="AU80" i="27" s="1"/>
  <c r="AV80" i="27" s="1"/>
  <c r="AW80" i="27" s="1"/>
  <c r="AX80" i="27" s="1"/>
  <c r="AY80" i="27" s="1"/>
  <c r="M31" i="30"/>
  <c r="M24" i="30"/>
  <c r="M17" i="30"/>
  <c r="M10" i="30"/>
  <c r="M3" i="30"/>
  <c r="AX31" i="22"/>
  <c r="AX24" i="22"/>
  <c r="AX17" i="22"/>
  <c r="AX10" i="22"/>
  <c r="AX3" i="22"/>
  <c r="BK27" i="1" l="1"/>
  <c r="BK16" i="1" s="1"/>
  <c r="BJ36" i="11"/>
  <c r="DY80" i="29"/>
  <c r="DZ80" i="29" s="1"/>
  <c r="BI64" i="11" l="1"/>
  <c r="BI63" i="11"/>
  <c r="BI62" i="11"/>
  <c r="BI61" i="11"/>
  <c r="BI60" i="11"/>
  <c r="BI55" i="11"/>
  <c r="BI28" i="11"/>
  <c r="BI11" i="11"/>
  <c r="BI65" i="11" l="1"/>
  <c r="BI71" i="11" s="1"/>
  <c r="BI70" i="11" l="1"/>
  <c r="BI69" i="11"/>
  <c r="BI72" i="11"/>
  <c r="BI68" i="11"/>
  <c r="BH10" i="11"/>
  <c r="BI19" i="11" s="1"/>
  <c r="BH9" i="11"/>
  <c r="BI18" i="11" s="1"/>
  <c r="BH8" i="11"/>
  <c r="BI17" i="11" s="1"/>
  <c r="BI34" i="11" s="1"/>
  <c r="BH7" i="11"/>
  <c r="BI16" i="11" s="1"/>
  <c r="BH6" i="11"/>
  <c r="BI15" i="11" s="1"/>
  <c r="BI32" i="11" s="1"/>
  <c r="BH5" i="11"/>
  <c r="BI14" i="11" s="1"/>
  <c r="X10" i="28"/>
  <c r="X9" i="28"/>
  <c r="X8" i="28"/>
  <c r="X7" i="28"/>
  <c r="X6" i="28"/>
  <c r="X5" i="28"/>
  <c r="BI20" i="11" l="1"/>
  <c r="BI31" i="11"/>
  <c r="BI33" i="11"/>
  <c r="BI35" i="11"/>
  <c r="BI73" i="11"/>
  <c r="Z66" i="27"/>
  <c r="Z56" i="27"/>
  <c r="BI36" i="11" l="1"/>
  <c r="Z46" i="27"/>
  <c r="Z36" i="27"/>
  <c r="Z15" i="27"/>
  <c r="L31" i="30" l="1"/>
  <c r="L24" i="30"/>
  <c r="L17" i="30"/>
  <c r="L10" i="30"/>
  <c r="L3" i="30"/>
  <c r="AW31" i="22"/>
  <c r="AW24" i="22"/>
  <c r="AW17" i="22"/>
  <c r="AW10" i="22"/>
  <c r="AW3" i="22"/>
  <c r="BH64" i="11"/>
  <c r="BH63" i="11"/>
  <c r="BH62" i="11"/>
  <c r="BH61" i="11"/>
  <c r="BH60" i="11"/>
  <c r="BH55" i="11"/>
  <c r="BH28" i="11"/>
  <c r="BH11" i="11"/>
  <c r="BH65" i="11" l="1"/>
  <c r="BH69" i="11" s="1"/>
  <c r="BH71" i="11" l="1"/>
  <c r="BH68" i="11"/>
  <c r="BH70" i="11"/>
  <c r="BH72" i="11"/>
  <c r="BH73" i="11" l="1"/>
  <c r="BG9" i="11"/>
  <c r="BH18" i="11" s="1"/>
  <c r="BG8" i="11"/>
  <c r="BH17" i="11" s="1"/>
  <c r="BG7" i="11"/>
  <c r="BH16" i="11" s="1"/>
  <c r="BG6" i="11"/>
  <c r="BH15" i="11" s="1"/>
  <c r="BG10" i="11"/>
  <c r="BH19" i="11" s="1"/>
  <c r="BG5" i="11"/>
  <c r="BH14" i="11" s="1"/>
  <c r="W10" i="28"/>
  <c r="W9" i="28"/>
  <c r="W8" i="28"/>
  <c r="W7" i="28"/>
  <c r="W6" i="28"/>
  <c r="W5" i="28"/>
  <c r="BH32" i="11" l="1"/>
  <c r="BH34" i="11"/>
  <c r="BH20" i="11"/>
  <c r="BH31" i="11"/>
  <c r="BH33" i="11"/>
  <c r="BH35" i="11"/>
  <c r="BG64" i="11"/>
  <c r="BG63" i="11"/>
  <c r="BG62" i="11"/>
  <c r="BG61" i="11"/>
  <c r="BG60" i="11"/>
  <c r="BG55" i="11"/>
  <c r="BG28" i="11"/>
  <c r="BG11" i="11"/>
  <c r="AV31" i="22"/>
  <c r="AV24" i="22"/>
  <c r="AV17" i="22"/>
  <c r="AV10" i="22"/>
  <c r="AV3" i="22"/>
  <c r="K31" i="30"/>
  <c r="K24" i="30"/>
  <c r="K17" i="30"/>
  <c r="K10" i="30"/>
  <c r="K3" i="30"/>
  <c r="BH78" i="1"/>
  <c r="BH36" i="11" l="1"/>
  <c r="BG65" i="11"/>
  <c r="BG69" i="11" s="1"/>
  <c r="BG72" i="11" l="1"/>
  <c r="BG71" i="11"/>
  <c r="BG68" i="11"/>
  <c r="BG70" i="11"/>
  <c r="BG73" i="11" l="1"/>
  <c r="BF8" i="11" l="1"/>
  <c r="BG17" i="11" s="1"/>
  <c r="BF7" i="11"/>
  <c r="BG16" i="11" s="1"/>
  <c r="BF10" i="11"/>
  <c r="BG19" i="11" s="1"/>
  <c r="BF9" i="11"/>
  <c r="BG18" i="11" s="1"/>
  <c r="BF6" i="11"/>
  <c r="BG15" i="11" s="1"/>
  <c r="BG32" i="11" s="1"/>
  <c r="BF5" i="11"/>
  <c r="BG14" i="11" s="1"/>
  <c r="V10" i="28"/>
  <c r="V9" i="28"/>
  <c r="V8" i="28"/>
  <c r="V7" i="28"/>
  <c r="V6" i="28"/>
  <c r="V5" i="28"/>
  <c r="BG35" i="11" l="1"/>
  <c r="BG33" i="11"/>
  <c r="BG31" i="11"/>
  <c r="BG20" i="11"/>
  <c r="BG34" i="11"/>
  <c r="AT31" i="22"/>
  <c r="AU31" i="22"/>
  <c r="AU24" i="22"/>
  <c r="AU17" i="22"/>
  <c r="AU10" i="22"/>
  <c r="AU3" i="22"/>
  <c r="BF64" i="11"/>
  <c r="BF63" i="11"/>
  <c r="BF62" i="11"/>
  <c r="BF61" i="11"/>
  <c r="BF60" i="11"/>
  <c r="BF55" i="11"/>
  <c r="BF28" i="11"/>
  <c r="J31" i="30"/>
  <c r="J24" i="30"/>
  <c r="J17" i="30"/>
  <c r="J10" i="30"/>
  <c r="J3" i="30"/>
  <c r="BG36" i="11" l="1"/>
  <c r="BF11" i="11"/>
  <c r="BF65" i="11"/>
  <c r="BF68" i="11" s="1"/>
  <c r="BF72" i="11" l="1"/>
  <c r="BF70" i="11"/>
  <c r="BF69" i="11"/>
  <c r="BF71" i="11"/>
  <c r="BF73" i="11" l="1"/>
  <c r="W84" i="27" l="1"/>
  <c r="U10" i="28" l="1"/>
  <c r="U9" i="28"/>
  <c r="U8" i="28"/>
  <c r="U7" i="28"/>
  <c r="U6" i="28"/>
  <c r="U5" i="28"/>
  <c r="BE10" i="11"/>
  <c r="BF19" i="11" s="1"/>
  <c r="BE9" i="11"/>
  <c r="BF18" i="11" s="1"/>
  <c r="BE8" i="11"/>
  <c r="BF17" i="11" s="1"/>
  <c r="BF34" i="11" s="1"/>
  <c r="BE7" i="11"/>
  <c r="BF16" i="11" s="1"/>
  <c r="BE6" i="11"/>
  <c r="BF15" i="11" s="1"/>
  <c r="BF32" i="11" s="1"/>
  <c r="BE5" i="11"/>
  <c r="BF14" i="11" s="1"/>
  <c r="BF33" i="11" l="1"/>
  <c r="BF35" i="11"/>
  <c r="BF20" i="11"/>
  <c r="BF31" i="11"/>
  <c r="I31" i="30"/>
  <c r="I24" i="30"/>
  <c r="I17" i="30"/>
  <c r="I10" i="30"/>
  <c r="I3" i="30"/>
  <c r="AT24" i="22"/>
  <c r="AT17" i="22"/>
  <c r="AT10" i="22"/>
  <c r="AT3" i="22"/>
  <c r="BE64" i="11"/>
  <c r="BE63" i="11"/>
  <c r="BE62" i="11"/>
  <c r="BE61" i="11"/>
  <c r="BE60" i="11"/>
  <c r="BE55" i="11"/>
  <c r="BE28" i="11"/>
  <c r="BE11" i="11"/>
  <c r="BF36" i="11" l="1"/>
  <c r="BE65" i="11"/>
  <c r="BE69" i="11" s="1"/>
  <c r="BE68" i="11" l="1"/>
  <c r="BE72" i="11"/>
  <c r="BE70" i="11"/>
  <c r="BE71" i="11"/>
  <c r="BE73" i="11" l="1"/>
  <c r="T10" i="28" l="1"/>
  <c r="T9" i="28"/>
  <c r="T8" i="28"/>
  <c r="T7" i="28"/>
  <c r="T6" i="28"/>
  <c r="T5" i="28"/>
  <c r="BD9" i="11" l="1"/>
  <c r="BE18" i="11" s="1"/>
  <c r="BD8" i="11"/>
  <c r="BE17" i="11" s="1"/>
  <c r="BD7" i="11"/>
  <c r="BE16" i="11" s="1"/>
  <c r="BD6" i="11"/>
  <c r="BE15" i="11" s="1"/>
  <c r="BD10" i="11"/>
  <c r="BE19" i="11" s="1"/>
  <c r="BD5" i="11"/>
  <c r="BE14" i="11" s="1"/>
  <c r="BE32" i="11" l="1"/>
  <c r="BE34" i="11"/>
  <c r="BE20" i="11"/>
  <c r="BE31" i="11"/>
  <c r="BE33" i="11"/>
  <c r="BE35" i="11"/>
  <c r="H31" i="30"/>
  <c r="H24" i="30"/>
  <c r="H17" i="30"/>
  <c r="H10" i="30"/>
  <c r="H3" i="30"/>
  <c r="AS31" i="22"/>
  <c r="AS24" i="22"/>
  <c r="AS17" i="22"/>
  <c r="AS10" i="22"/>
  <c r="AS3" i="22"/>
  <c r="BD64" i="11"/>
  <c r="BD63" i="11"/>
  <c r="BD62" i="11"/>
  <c r="BD61" i="11"/>
  <c r="BD60" i="11"/>
  <c r="BD55" i="11"/>
  <c r="BD28" i="11"/>
  <c r="BE36" i="11" l="1"/>
  <c r="BD11" i="11"/>
  <c r="BD65" i="11"/>
  <c r="BD70" i="11" s="1"/>
  <c r="BD72" i="11" l="1"/>
  <c r="BD68" i="11"/>
  <c r="BD69" i="11"/>
  <c r="BD71" i="11"/>
  <c r="BD73" i="11" l="1"/>
  <c r="BC9" i="11" l="1"/>
  <c r="BD18" i="11" s="1"/>
  <c r="BC8" i="11"/>
  <c r="BD17" i="11" s="1"/>
  <c r="BC7" i="11"/>
  <c r="BD16" i="11" s="1"/>
  <c r="BC6" i="11"/>
  <c r="BD15" i="11" s="1"/>
  <c r="BC10" i="11"/>
  <c r="BD19" i="11" s="1"/>
  <c r="BC5" i="11"/>
  <c r="BD14" i="11" s="1"/>
  <c r="BD32" i="11" l="1"/>
  <c r="BD34" i="11"/>
  <c r="BD31" i="11"/>
  <c r="BD20" i="11"/>
  <c r="BD33" i="11"/>
  <c r="BD35" i="11"/>
  <c r="S10" i="28"/>
  <c r="S9" i="28"/>
  <c r="S8" i="28"/>
  <c r="S7" i="28"/>
  <c r="S6" i="28"/>
  <c r="S5" i="28"/>
  <c r="BD36" i="11" l="1"/>
  <c r="AR31" i="22"/>
  <c r="AR24" i="22"/>
  <c r="AR17" i="22"/>
  <c r="AR10" i="22"/>
  <c r="AR3" i="22"/>
  <c r="G31" i="30"/>
  <c r="G24" i="30"/>
  <c r="G17" i="30"/>
  <c r="G10" i="30"/>
  <c r="G3" i="30"/>
  <c r="BC64" i="11"/>
  <c r="BC63" i="11"/>
  <c r="BC62" i="11"/>
  <c r="BC61" i="11"/>
  <c r="BC60" i="11"/>
  <c r="BC55" i="11"/>
  <c r="BC28" i="11"/>
  <c r="BC65" i="11" l="1"/>
  <c r="BC70" i="11" s="1"/>
  <c r="BC11" i="11"/>
  <c r="T8" i="27"/>
  <c r="BC71" i="11" l="1"/>
  <c r="BC72" i="11"/>
  <c r="BC68" i="11"/>
  <c r="BC69" i="11"/>
  <c r="BB9" i="11"/>
  <c r="BC18" i="11" s="1"/>
  <c r="BB8" i="11"/>
  <c r="BC17" i="11" s="1"/>
  <c r="BB7" i="11"/>
  <c r="BC16" i="11" s="1"/>
  <c r="BB6" i="11"/>
  <c r="BC15" i="11" s="1"/>
  <c r="BB10" i="11"/>
  <c r="BC19" i="11" s="1"/>
  <c r="BB5" i="11"/>
  <c r="BC14" i="11" s="1"/>
  <c r="R10" i="28"/>
  <c r="R9" i="28"/>
  <c r="R8" i="28"/>
  <c r="R7" i="28"/>
  <c r="R6" i="28"/>
  <c r="R5" i="28"/>
  <c r="BC33" i="11" l="1"/>
  <c r="BC35" i="11"/>
  <c r="BC31" i="11"/>
  <c r="BC20" i="11"/>
  <c r="BC32" i="11"/>
  <c r="BC34" i="11"/>
  <c r="BC73" i="11"/>
  <c r="F31" i="30"/>
  <c r="F24" i="30"/>
  <c r="F17" i="30"/>
  <c r="F10" i="30"/>
  <c r="F3" i="30"/>
  <c r="AQ31" i="22"/>
  <c r="AQ24" i="22"/>
  <c r="AQ17" i="22"/>
  <c r="AQ10" i="22"/>
  <c r="AQ3" i="22"/>
  <c r="BB64" i="11"/>
  <c r="BB63" i="11"/>
  <c r="BB62" i="11"/>
  <c r="BB61" i="11"/>
  <c r="BB60" i="11"/>
  <c r="BB55" i="11"/>
  <c r="BB28" i="11"/>
  <c r="BC36" i="11" l="1"/>
  <c r="BB65" i="11"/>
  <c r="BB70" i="11" s="1"/>
  <c r="BB11" i="11"/>
  <c r="BA9" i="11"/>
  <c r="BA8" i="11"/>
  <c r="BB17" i="11" s="1"/>
  <c r="BA6" i="11"/>
  <c r="BB15" i="11" s="1"/>
  <c r="BA7" i="11"/>
  <c r="BA5" i="11"/>
  <c r="BA10" i="11"/>
  <c r="BB19" i="11" s="1"/>
  <c r="BB71" i="11" l="1"/>
  <c r="BB32" i="11"/>
  <c r="BB34" i="11"/>
  <c r="BB14" i="11"/>
  <c r="BB18" i="11"/>
  <c r="BB35" i="11" s="1"/>
  <c r="BB16" i="11"/>
  <c r="BB33" i="11" s="1"/>
  <c r="BB68" i="11"/>
  <c r="BB72" i="11"/>
  <c r="BB69" i="11"/>
  <c r="BB31" i="11" l="1"/>
  <c r="BB36" i="11" s="1"/>
  <c r="BB20" i="11"/>
  <c r="BB73" i="11"/>
  <c r="AZ6" i="11" l="1"/>
  <c r="BA15" i="11" s="1"/>
  <c r="AZ7" i="11"/>
  <c r="BA16" i="11" s="1"/>
  <c r="Q10" i="28" l="1"/>
  <c r="Q9" i="28"/>
  <c r="Q8" i="28"/>
  <c r="Q7" i="28"/>
  <c r="Q6" i="28"/>
  <c r="Q5" i="28"/>
  <c r="AP31" i="22" l="1"/>
  <c r="AP24" i="22"/>
  <c r="AP17" i="22"/>
  <c r="AP10" i="22"/>
  <c r="AP3" i="22"/>
  <c r="E31" i="30"/>
  <c r="E24" i="30"/>
  <c r="E17" i="30"/>
  <c r="E10" i="30"/>
  <c r="E3" i="30"/>
  <c r="BA64" i="11"/>
  <c r="BA63" i="11"/>
  <c r="BA62" i="11"/>
  <c r="BA61" i="11"/>
  <c r="BA60" i="11"/>
  <c r="BA55" i="11"/>
  <c r="BA28" i="11"/>
  <c r="BA65" i="11" l="1"/>
  <c r="BA70" i="11" s="1"/>
  <c r="BA11" i="11"/>
  <c r="BA69" i="11" l="1"/>
  <c r="BA68" i="11"/>
  <c r="BA71" i="11"/>
  <c r="BA72" i="11"/>
  <c r="BA73" i="11" l="1"/>
  <c r="P10" i="28" l="1"/>
  <c r="P9" i="28"/>
  <c r="P8" i="28"/>
  <c r="P7" i="28"/>
  <c r="P6" i="28"/>
  <c r="P5" i="28"/>
  <c r="AZ10" i="11" l="1"/>
  <c r="BA19" i="11" s="1"/>
  <c r="AZ9" i="11"/>
  <c r="BA18" i="11" s="1"/>
  <c r="AZ8" i="11"/>
  <c r="BA17" i="11" s="1"/>
  <c r="AZ5" i="11"/>
  <c r="BA14" i="11" s="1"/>
  <c r="BA34" i="11" l="1"/>
  <c r="BA35" i="11"/>
  <c r="BB67" i="1" s="1"/>
  <c r="BA20" i="11"/>
  <c r="BA31" i="11"/>
  <c r="BA33" i="11"/>
  <c r="BA32" i="11"/>
  <c r="D31" i="30"/>
  <c r="D32" i="30" s="1"/>
  <c r="D24" i="30"/>
  <c r="D25" i="30" s="1"/>
  <c r="D17" i="30"/>
  <c r="D18" i="30" s="1"/>
  <c r="D10" i="30"/>
  <c r="D11" i="30" s="1"/>
  <c r="D3" i="30"/>
  <c r="D4" i="30" s="1"/>
  <c r="AO31" i="22"/>
  <c r="AO32" i="22" s="1"/>
  <c r="AP32" i="22" s="1"/>
  <c r="AO24" i="22"/>
  <c r="AO25" i="22" s="1"/>
  <c r="AP25" i="22" s="1"/>
  <c r="AO17" i="22"/>
  <c r="AO18" i="22" s="1"/>
  <c r="AP18" i="22" s="1"/>
  <c r="AO10" i="22"/>
  <c r="AO11" i="22" s="1"/>
  <c r="AP11" i="22" s="1"/>
  <c r="AO3" i="22"/>
  <c r="AO4" i="22" s="1"/>
  <c r="AP4" i="22" s="1"/>
  <c r="AZ60" i="11"/>
  <c r="AZ64" i="11"/>
  <c r="AZ63" i="11"/>
  <c r="AZ62" i="11"/>
  <c r="AZ61" i="11"/>
  <c r="AZ55" i="11"/>
  <c r="AZ28" i="11"/>
  <c r="AQ4" i="22" l="1"/>
  <c r="AQ18" i="22"/>
  <c r="AQ32" i="22"/>
  <c r="E11" i="30"/>
  <c r="D12" i="30"/>
  <c r="E25" i="30"/>
  <c r="D26" i="30"/>
  <c r="AQ11" i="22"/>
  <c r="AR11" i="22" s="1"/>
  <c r="AQ25" i="22"/>
  <c r="E4" i="30"/>
  <c r="D5" i="30"/>
  <c r="D6" i="30" s="1"/>
  <c r="D7" i="30" s="1"/>
  <c r="D8" i="30" s="1"/>
  <c r="E18" i="30"/>
  <c r="D19" i="30"/>
  <c r="E32" i="30"/>
  <c r="D33" i="30"/>
  <c r="D34" i="30" s="1"/>
  <c r="D35" i="30" s="1"/>
  <c r="D36" i="30" s="1"/>
  <c r="AO5" i="22"/>
  <c r="AP5" i="22" s="1"/>
  <c r="AP6" i="22" s="1"/>
  <c r="AO12" i="22"/>
  <c r="AP12" i="22" s="1"/>
  <c r="AO19" i="22"/>
  <c r="AP19" i="22" s="1"/>
  <c r="AO26" i="22"/>
  <c r="AP26" i="22" s="1"/>
  <c r="AP27" i="22" s="1"/>
  <c r="AO33" i="22"/>
  <c r="AP33" i="22" s="1"/>
  <c r="AQ33" i="22" s="1"/>
  <c r="BA36" i="11"/>
  <c r="D27" i="30"/>
  <c r="D28" i="30" s="1"/>
  <c r="D29" i="30" s="1"/>
  <c r="D20" i="30"/>
  <c r="D21" i="30" s="1"/>
  <c r="D22" i="30" s="1"/>
  <c r="D13" i="30"/>
  <c r="D14" i="30" s="1"/>
  <c r="D15" i="30" s="1"/>
  <c r="AO34" i="22"/>
  <c r="AO35" i="22" s="1"/>
  <c r="AO36" i="22" s="1"/>
  <c r="AZ65" i="11"/>
  <c r="AZ70" i="11" s="1"/>
  <c r="AZ11" i="11"/>
  <c r="AO20" i="22" l="1"/>
  <c r="AO21" i="22" s="1"/>
  <c r="AO22" i="22" s="1"/>
  <c r="AO6" i="22"/>
  <c r="AO7" i="22" s="1"/>
  <c r="AO8" i="22" s="1"/>
  <c r="AO13" i="22"/>
  <c r="AO14" i="22" s="1"/>
  <c r="AO15" i="22" s="1"/>
  <c r="AO27" i="22"/>
  <c r="AO28" i="22" s="1"/>
  <c r="AO29" i="22" s="1"/>
  <c r="AP28" i="22"/>
  <c r="AP29" i="22" s="1"/>
  <c r="AQ26" i="22"/>
  <c r="AQ12" i="22"/>
  <c r="AQ27" i="22"/>
  <c r="AR25" i="22"/>
  <c r="AP13" i="22"/>
  <c r="AP14" i="22" s="1"/>
  <c r="AP15" i="22" s="1"/>
  <c r="AQ34" i="22"/>
  <c r="AR32" i="22"/>
  <c r="AR18" i="22"/>
  <c r="AR33" i="22"/>
  <c r="AQ35" i="22"/>
  <c r="AQ36" i="22" s="1"/>
  <c r="AQ19" i="22"/>
  <c r="AR19" i="22" s="1"/>
  <c r="AS19" i="22" s="1"/>
  <c r="AT19" i="22" s="1"/>
  <c r="AQ5" i="22"/>
  <c r="AQ6" i="22" s="1"/>
  <c r="AP7" i="22"/>
  <c r="AP8" i="22" s="1"/>
  <c r="E33" i="30"/>
  <c r="F32" i="30"/>
  <c r="E34" i="30"/>
  <c r="E35" i="30" s="1"/>
  <c r="E36" i="30" s="1"/>
  <c r="E19" i="30"/>
  <c r="F18" i="30"/>
  <c r="E20" i="30"/>
  <c r="E5" i="30"/>
  <c r="F4" i="30"/>
  <c r="E6" i="30"/>
  <c r="AS11" i="22"/>
  <c r="AT11" i="22" s="1"/>
  <c r="AU11" i="22" s="1"/>
  <c r="E26" i="30"/>
  <c r="F25" i="30"/>
  <c r="E27" i="30"/>
  <c r="E28" i="30" s="1"/>
  <c r="E29" i="30" s="1"/>
  <c r="E12" i="30"/>
  <c r="F11" i="30"/>
  <c r="E13" i="30"/>
  <c r="AP34" i="22"/>
  <c r="AP35" i="22" s="1"/>
  <c r="AP36" i="22" s="1"/>
  <c r="AP20" i="22"/>
  <c r="AP21" i="22" s="1"/>
  <c r="AP22" i="22" s="1"/>
  <c r="AR4" i="22"/>
  <c r="AZ71" i="11"/>
  <c r="AZ72" i="11"/>
  <c r="AZ68" i="11"/>
  <c r="AZ69" i="11"/>
  <c r="AQ20" i="22" l="1"/>
  <c r="AQ21" i="22" s="1"/>
  <c r="AQ22" i="22" s="1"/>
  <c r="AS4" i="22"/>
  <c r="F12" i="30"/>
  <c r="G11" i="30"/>
  <c r="F13" i="30"/>
  <c r="E14" i="30"/>
  <c r="E15" i="30" s="1"/>
  <c r="F26" i="30"/>
  <c r="G25" i="30"/>
  <c r="F27" i="30"/>
  <c r="F28" i="30" s="1"/>
  <c r="F29" i="30" s="1"/>
  <c r="E7" i="30"/>
  <c r="E8" i="30" s="1"/>
  <c r="F19" i="30"/>
  <c r="G18" i="30"/>
  <c r="F20" i="30"/>
  <c r="AR5" i="22"/>
  <c r="AQ7" i="22"/>
  <c r="AQ8" i="22" s="1"/>
  <c r="AU19" i="22"/>
  <c r="AS33" i="22"/>
  <c r="AS18" i="22"/>
  <c r="AR20" i="22"/>
  <c r="AR21" i="22" s="1"/>
  <c r="AR22" i="22" s="1"/>
  <c r="AS25" i="22"/>
  <c r="AQ28" i="22"/>
  <c r="AQ29" i="22" s="1"/>
  <c r="AR26" i="22"/>
  <c r="AR27" i="22" s="1"/>
  <c r="AV11" i="22"/>
  <c r="F5" i="30"/>
  <c r="G4" i="30"/>
  <c r="F6" i="30"/>
  <c r="F7" i="30" s="1"/>
  <c r="F8" i="30" s="1"/>
  <c r="E21" i="30"/>
  <c r="E22" i="30" s="1"/>
  <c r="F33" i="30"/>
  <c r="G32" i="30"/>
  <c r="F34" i="30"/>
  <c r="F35" i="30" s="1"/>
  <c r="F36" i="30" s="1"/>
  <c r="AR34" i="22"/>
  <c r="AR35" i="22" s="1"/>
  <c r="AR36" i="22" s="1"/>
  <c r="AS32" i="22"/>
  <c r="AQ13" i="22"/>
  <c r="AR12" i="22"/>
  <c r="AQ14" i="22"/>
  <c r="AQ15" i="22" s="1"/>
  <c r="AZ73" i="11"/>
  <c r="G33" i="30" l="1"/>
  <c r="H32" i="30"/>
  <c r="G34" i="30"/>
  <c r="G5" i="30"/>
  <c r="H4" i="30"/>
  <c r="G6" i="30"/>
  <c r="G7" i="30" s="1"/>
  <c r="G8" i="30" s="1"/>
  <c r="AW11" i="22"/>
  <c r="AR28" i="22"/>
  <c r="AR29" i="22" s="1"/>
  <c r="AS26" i="22"/>
  <c r="AS27" i="22" s="1"/>
  <c r="AT25" i="22"/>
  <c r="AS5" i="22"/>
  <c r="AT5" i="22" s="1"/>
  <c r="G19" i="30"/>
  <c r="H18" i="30"/>
  <c r="G20" i="30"/>
  <c r="G21" i="30" s="1"/>
  <c r="G22" i="30" s="1"/>
  <c r="G26" i="30"/>
  <c r="H25" i="30"/>
  <c r="G27" i="30"/>
  <c r="G28" i="30" s="1"/>
  <c r="G29" i="30" s="1"/>
  <c r="G12" i="30"/>
  <c r="H11" i="30"/>
  <c r="G13" i="30"/>
  <c r="G14" i="30" s="1"/>
  <c r="G15" i="30" s="1"/>
  <c r="AR6" i="22"/>
  <c r="AR7" i="22" s="1"/>
  <c r="AR8" i="22" s="1"/>
  <c r="AS12" i="22"/>
  <c r="AR13" i="22"/>
  <c r="AR14" i="22" s="1"/>
  <c r="AR15" i="22" s="1"/>
  <c r="AS34" i="22"/>
  <c r="AS35" i="22" s="1"/>
  <c r="AS36" i="22" s="1"/>
  <c r="AT32" i="22"/>
  <c r="AT18" i="22"/>
  <c r="AS20" i="22"/>
  <c r="AS21" i="22" s="1"/>
  <c r="AS22" i="22" s="1"/>
  <c r="AT33" i="22"/>
  <c r="AU33" i="22" s="1"/>
  <c r="AV33" i="22" s="1"/>
  <c r="AW33" i="22" s="1"/>
  <c r="AX33" i="22" s="1"/>
  <c r="AV19" i="22"/>
  <c r="AW19" i="22" s="1"/>
  <c r="AX19" i="22" s="1"/>
  <c r="F21" i="30"/>
  <c r="F22" i="30" s="1"/>
  <c r="F14" i="30"/>
  <c r="F15" i="30" s="1"/>
  <c r="AS6" i="22"/>
  <c r="AS7" i="22" s="1"/>
  <c r="AS8" i="22" s="1"/>
  <c r="AT4" i="22"/>
  <c r="AY10" i="11"/>
  <c r="AZ19" i="11" s="1"/>
  <c r="AY9" i="11"/>
  <c r="AZ18" i="11" s="1"/>
  <c r="AY8" i="11"/>
  <c r="AZ17" i="11" s="1"/>
  <c r="AY7" i="11"/>
  <c r="AZ16" i="11" s="1"/>
  <c r="AY6" i="11"/>
  <c r="AZ15" i="11" s="1"/>
  <c r="AZ32" i="11" s="1"/>
  <c r="AY5" i="11"/>
  <c r="AZ14" i="11" s="1"/>
  <c r="AZ34" i="11" l="1"/>
  <c r="AZ33" i="11"/>
  <c r="AZ20" i="11"/>
  <c r="AZ31" i="11"/>
  <c r="AZ35" i="11"/>
  <c r="AT6" i="22"/>
  <c r="AU4" i="22"/>
  <c r="AY19" i="22"/>
  <c r="AU32" i="22"/>
  <c r="AT34" i="22"/>
  <c r="AT35" i="22" s="1"/>
  <c r="AT36" i="22" s="1"/>
  <c r="H12" i="30"/>
  <c r="I11" i="30"/>
  <c r="H13" i="30"/>
  <c r="H19" i="30"/>
  <c r="I18" i="30"/>
  <c r="H20" i="30"/>
  <c r="H21" i="30" s="1"/>
  <c r="H22" i="30" s="1"/>
  <c r="AU25" i="22"/>
  <c r="AT26" i="22"/>
  <c r="AS28" i="22"/>
  <c r="AS29" i="22" s="1"/>
  <c r="AX11" i="22"/>
  <c r="H33" i="30"/>
  <c r="I32" i="30"/>
  <c r="H34" i="30"/>
  <c r="H35" i="30" s="1"/>
  <c r="H36" i="30" s="1"/>
  <c r="AY33" i="22"/>
  <c r="AU18" i="22"/>
  <c r="AT20" i="22"/>
  <c r="AT21" i="22" s="1"/>
  <c r="AT22" i="22" s="1"/>
  <c r="AS13" i="22"/>
  <c r="AT12" i="22"/>
  <c r="AS14" i="22"/>
  <c r="AS15" i="22" s="1"/>
  <c r="H26" i="30"/>
  <c r="I25" i="30"/>
  <c r="H27" i="30"/>
  <c r="H28" i="30" s="1"/>
  <c r="H29" i="30" s="1"/>
  <c r="AU5" i="22"/>
  <c r="AV5" i="22" s="1"/>
  <c r="AT7" i="22"/>
  <c r="AT8" i="22" s="1"/>
  <c r="H5" i="30"/>
  <c r="I4" i="30"/>
  <c r="H6" i="30"/>
  <c r="H7" i="30" s="1"/>
  <c r="H8" i="30" s="1"/>
  <c r="G35" i="30"/>
  <c r="G36" i="30" s="1"/>
  <c r="O10" i="28"/>
  <c r="O9" i="28"/>
  <c r="O8" i="28"/>
  <c r="O7" i="28"/>
  <c r="O6" i="28"/>
  <c r="O5" i="28"/>
  <c r="AZ36" i="11" l="1"/>
  <c r="AT13" i="22"/>
  <c r="AU12" i="22"/>
  <c r="AT14" i="22"/>
  <c r="AT15" i="22" s="1"/>
  <c r="AU26" i="22"/>
  <c r="AV26" i="22" s="1"/>
  <c r="AW26" i="22" s="1"/>
  <c r="AT27" i="22"/>
  <c r="AT28" i="22" s="1"/>
  <c r="AT29" i="22" s="1"/>
  <c r="I19" i="30"/>
  <c r="J18" i="30"/>
  <c r="I20" i="30"/>
  <c r="I21" i="30" s="1"/>
  <c r="I22" i="30" s="1"/>
  <c r="H14" i="30"/>
  <c r="H15" i="30" s="1"/>
  <c r="AU34" i="22"/>
  <c r="AU35" i="22" s="1"/>
  <c r="AU36" i="22" s="1"/>
  <c r="AV32" i="22"/>
  <c r="I5" i="30"/>
  <c r="J4" i="30"/>
  <c r="I6" i="30"/>
  <c r="AW5" i="22"/>
  <c r="J25" i="30"/>
  <c r="I26" i="30"/>
  <c r="I27" i="30" s="1"/>
  <c r="I28" i="30" s="1"/>
  <c r="I29" i="30" s="1"/>
  <c r="AU20" i="22"/>
  <c r="AU21" i="22" s="1"/>
  <c r="AU22" i="22" s="1"/>
  <c r="AV18" i="22"/>
  <c r="I33" i="30"/>
  <c r="J32" i="30"/>
  <c r="I34" i="30"/>
  <c r="AY11" i="22"/>
  <c r="AV25" i="22"/>
  <c r="J11" i="30"/>
  <c r="I12" i="30"/>
  <c r="I13" i="30" s="1"/>
  <c r="I14" i="30" s="1"/>
  <c r="I15" i="30" s="1"/>
  <c r="AV4" i="22"/>
  <c r="AW4" i="22" s="1"/>
  <c r="AU6" i="22"/>
  <c r="AU7" i="22" s="1"/>
  <c r="AU8" i="22" s="1"/>
  <c r="BJ96" i="1"/>
  <c r="BI96" i="1"/>
  <c r="BH96" i="1"/>
  <c r="BG96" i="1"/>
  <c r="BG98" i="1" s="1"/>
  <c r="BF96" i="1"/>
  <c r="BE96" i="1"/>
  <c r="BD96" i="1"/>
  <c r="BC96" i="1"/>
  <c r="BB96" i="1"/>
  <c r="BA96" i="1"/>
  <c r="AU27" i="22" l="1"/>
  <c r="AU28" i="22" s="1"/>
  <c r="AU29" i="22" s="1"/>
  <c r="AW6" i="22"/>
  <c r="AW7" i="22" s="1"/>
  <c r="AW8" i="22" s="1"/>
  <c r="AX4" i="22"/>
  <c r="J12" i="30"/>
  <c r="K11" i="30"/>
  <c r="J13" i="30"/>
  <c r="J14" i="30" s="1"/>
  <c r="J15" i="30" s="1"/>
  <c r="AW25" i="22"/>
  <c r="AV27" i="22"/>
  <c r="AV28" i="22" s="1"/>
  <c r="AV29" i="22" s="1"/>
  <c r="J33" i="30"/>
  <c r="K32" i="30"/>
  <c r="J34" i="30"/>
  <c r="J35" i="30" s="1"/>
  <c r="J36" i="30" s="1"/>
  <c r="J26" i="30"/>
  <c r="K25" i="30"/>
  <c r="J27" i="30"/>
  <c r="J28" i="30" s="1"/>
  <c r="J29" i="30" s="1"/>
  <c r="AV6" i="22"/>
  <c r="AV7" i="22" s="1"/>
  <c r="AV8" i="22" s="1"/>
  <c r="J5" i="30"/>
  <c r="K4" i="30"/>
  <c r="J6" i="30"/>
  <c r="J7" i="30" s="1"/>
  <c r="J8" i="30" s="1"/>
  <c r="AW32" i="22"/>
  <c r="AV34" i="22"/>
  <c r="AV35" i="22" s="1"/>
  <c r="AV36" i="22" s="1"/>
  <c r="J19" i="30"/>
  <c r="K18" i="30"/>
  <c r="J20" i="30"/>
  <c r="J21" i="30" s="1"/>
  <c r="J22" i="30" s="1"/>
  <c r="AV12" i="22"/>
  <c r="AU13" i="22"/>
  <c r="AU14" i="22" s="1"/>
  <c r="AU15" i="22" s="1"/>
  <c r="BF98" i="1"/>
  <c r="BF99" i="1" s="1"/>
  <c r="I35" i="30"/>
  <c r="I36" i="30" s="1"/>
  <c r="AW18" i="22"/>
  <c r="AV20" i="22"/>
  <c r="AV21" i="22" s="1"/>
  <c r="AV22" i="22" s="1"/>
  <c r="AX5" i="22"/>
  <c r="I7" i="30"/>
  <c r="I8" i="30" s="1"/>
  <c r="AX26" i="22"/>
  <c r="C31" i="30"/>
  <c r="C24" i="30"/>
  <c r="C17" i="30"/>
  <c r="C10" i="30"/>
  <c r="C3" i="30"/>
  <c r="AN3" i="22"/>
  <c r="AY26" i="22" l="1"/>
  <c r="AY5" i="22"/>
  <c r="AX18" i="22"/>
  <c r="AW20" i="22"/>
  <c r="AW21" i="22" s="1"/>
  <c r="AW22" i="22" s="1"/>
  <c r="AW12" i="22"/>
  <c r="AV13" i="22"/>
  <c r="AV14" i="22" s="1"/>
  <c r="AV15" i="22" s="1"/>
  <c r="K19" i="30"/>
  <c r="L18" i="30"/>
  <c r="K20" i="30"/>
  <c r="K21" i="30" s="1"/>
  <c r="K22" i="30" s="1"/>
  <c r="K33" i="30"/>
  <c r="L32" i="30"/>
  <c r="K34" i="30"/>
  <c r="K35" i="30" s="1"/>
  <c r="K36" i="30" s="1"/>
  <c r="AW27" i="22"/>
  <c r="AW28" i="22" s="1"/>
  <c r="AW29" i="22" s="1"/>
  <c r="AX25" i="22"/>
  <c r="K12" i="30"/>
  <c r="L11" i="30"/>
  <c r="K13" i="30"/>
  <c r="AX6" i="22"/>
  <c r="AX7" i="22" s="1"/>
  <c r="AX8" i="22" s="1"/>
  <c r="AY4" i="22"/>
  <c r="AX32" i="22"/>
  <c r="AW34" i="22"/>
  <c r="AW35" i="22" s="1"/>
  <c r="AW36" i="22" s="1"/>
  <c r="L4" i="30"/>
  <c r="K5" i="30"/>
  <c r="K26" i="30"/>
  <c r="L25" i="30"/>
  <c r="C6" i="30"/>
  <c r="C7" i="30" s="1"/>
  <c r="C8" i="30" s="1"/>
  <c r="C13" i="30"/>
  <c r="C14" i="30" s="1"/>
  <c r="C15" i="30" s="1"/>
  <c r="C20" i="30"/>
  <c r="C21" i="30" s="1"/>
  <c r="C22" i="30" s="1"/>
  <c r="C27" i="30"/>
  <c r="C28" i="30" s="1"/>
  <c r="C29" i="30" s="1"/>
  <c r="C34" i="30"/>
  <c r="C35" i="30" s="1"/>
  <c r="C36" i="30" s="1"/>
  <c r="K27" i="30" l="1"/>
  <c r="K28" i="30" s="1"/>
  <c r="K29" i="30" s="1"/>
  <c r="L5" i="30"/>
  <c r="M4" i="30"/>
  <c r="L6" i="30"/>
  <c r="AX34" i="22"/>
  <c r="AX35" i="22" s="1"/>
  <c r="AX36" i="22" s="1"/>
  <c r="AY32" i="22"/>
  <c r="AY34" i="22" s="1"/>
  <c r="AY35" i="22" s="1"/>
  <c r="AY36" i="22" s="1"/>
  <c r="BK69" i="1" s="1"/>
  <c r="L12" i="30"/>
  <c r="M11" i="30"/>
  <c r="L13" i="30"/>
  <c r="L14" i="30" s="1"/>
  <c r="L15" i="30" s="1"/>
  <c r="AY25" i="22"/>
  <c r="AY27" i="22" s="1"/>
  <c r="AY28" i="22" s="1"/>
  <c r="AY29" i="22" s="1"/>
  <c r="BK59" i="1" s="1"/>
  <c r="BK60" i="1" s="1"/>
  <c r="BK61" i="1" s="1"/>
  <c r="AX27" i="22"/>
  <c r="AX28" i="22" s="1"/>
  <c r="AX29" i="22" s="1"/>
  <c r="L19" i="30"/>
  <c r="M18" i="30"/>
  <c r="L20" i="30"/>
  <c r="L21" i="30" s="1"/>
  <c r="L22" i="30" s="1"/>
  <c r="L26" i="30"/>
  <c r="M25" i="30"/>
  <c r="L27" i="30"/>
  <c r="L28" i="30" s="1"/>
  <c r="L29" i="30" s="1"/>
  <c r="K6" i="30"/>
  <c r="K7" i="30" s="1"/>
  <c r="K8" i="30" s="1"/>
  <c r="K14" i="30"/>
  <c r="K15" i="30" s="1"/>
  <c r="L33" i="30"/>
  <c r="L34" i="30" s="1"/>
  <c r="L35" i="30" s="1"/>
  <c r="L36" i="30" s="1"/>
  <c r="M32" i="30"/>
  <c r="AX12" i="22"/>
  <c r="AW13" i="22"/>
  <c r="AW14" i="22" s="1"/>
  <c r="AW15" i="22" s="1"/>
  <c r="AY18" i="22"/>
  <c r="AY20" i="22" s="1"/>
  <c r="AY21" i="22" s="1"/>
  <c r="AY22" i="22" s="1"/>
  <c r="BK49" i="1" s="1"/>
  <c r="BK50" i="1" s="1"/>
  <c r="BK51" i="1" s="1"/>
  <c r="AX20" i="22"/>
  <c r="AX21" i="22" s="1"/>
  <c r="AX22" i="22" s="1"/>
  <c r="AY6" i="22"/>
  <c r="AY7" i="22" s="1"/>
  <c r="AY8" i="22" s="1"/>
  <c r="BK29" i="1" s="1"/>
  <c r="BK30" i="1" s="1"/>
  <c r="BK31" i="1" s="1"/>
  <c r="AN31" i="22"/>
  <c r="AN24" i="22"/>
  <c r="AN17" i="22"/>
  <c r="AN10" i="22"/>
  <c r="AY64" i="11"/>
  <c r="AY63" i="11"/>
  <c r="AY62" i="11"/>
  <c r="AY61" i="11"/>
  <c r="AY60" i="11"/>
  <c r="AY55" i="11"/>
  <c r="AY28" i="11"/>
  <c r="AY96" i="1"/>
  <c r="M19" i="30" l="1"/>
  <c r="N18" i="30"/>
  <c r="M20" i="30"/>
  <c r="M21" i="30" s="1"/>
  <c r="M22" i="30" s="1"/>
  <c r="M5" i="30"/>
  <c r="N4" i="30"/>
  <c r="M6" i="30"/>
  <c r="AY12" i="22"/>
  <c r="AX13" i="22"/>
  <c r="AX14" i="22" s="1"/>
  <c r="AX15" i="22" s="1"/>
  <c r="M33" i="30"/>
  <c r="N32" i="30"/>
  <c r="M34" i="30"/>
  <c r="N25" i="30"/>
  <c r="M26" i="30"/>
  <c r="N11" i="30"/>
  <c r="M12" i="30"/>
  <c r="M13" i="30" s="1"/>
  <c r="M14" i="30" s="1"/>
  <c r="M15" i="30" s="1"/>
  <c r="BK70" i="1"/>
  <c r="L7" i="30"/>
  <c r="L8" i="30" s="1"/>
  <c r="AN13" i="22"/>
  <c r="AN14" i="22" s="1"/>
  <c r="AN15" i="22" s="1"/>
  <c r="AN20" i="22"/>
  <c r="AN21" i="22" s="1"/>
  <c r="AN22" i="22" s="1"/>
  <c r="AN27" i="22"/>
  <c r="AN6" i="22"/>
  <c r="AN7" i="22" s="1"/>
  <c r="AN8" i="22" s="1"/>
  <c r="AN34" i="22"/>
  <c r="AY65" i="11"/>
  <c r="AY70" i="11" s="1"/>
  <c r="AY11" i="11"/>
  <c r="BK71" i="1" l="1"/>
  <c r="N12" i="30"/>
  <c r="N13" i="30" s="1"/>
  <c r="N14" i="30" s="1"/>
  <c r="N15" i="30" s="1"/>
  <c r="N26" i="30"/>
  <c r="N33" i="30"/>
  <c r="N34" i="30" s="1"/>
  <c r="N35" i="30" s="1"/>
  <c r="N36" i="30" s="1"/>
  <c r="M7" i="30"/>
  <c r="M8" i="30" s="1"/>
  <c r="N19" i="30"/>
  <c r="N20" i="30" s="1"/>
  <c r="N21" i="30" s="1"/>
  <c r="N22" i="30" s="1"/>
  <c r="M27" i="30"/>
  <c r="M28" i="30" s="1"/>
  <c r="M29" i="30" s="1"/>
  <c r="M35" i="30"/>
  <c r="M36" i="30" s="1"/>
  <c r="AY13" i="22"/>
  <c r="AY14" i="22" s="1"/>
  <c r="AY15" i="22" s="1"/>
  <c r="BK39" i="1" s="1"/>
  <c r="N5" i="30"/>
  <c r="N6" i="30" s="1"/>
  <c r="N7" i="30" s="1"/>
  <c r="N8" i="30" s="1"/>
  <c r="AN28" i="22"/>
  <c r="AN29" i="22" s="1"/>
  <c r="AN35" i="22"/>
  <c r="AN36" i="22" s="1"/>
  <c r="AY71" i="11"/>
  <c r="AY72" i="11"/>
  <c r="AY68" i="11"/>
  <c r="AY69" i="11"/>
  <c r="BK40" i="1" l="1"/>
  <c r="BK18" i="1"/>
  <c r="N27" i="30"/>
  <c r="N28" i="30" s="1"/>
  <c r="N29" i="30" s="1"/>
  <c r="AY73" i="11"/>
  <c r="BK41" i="1" l="1"/>
  <c r="BK20" i="1" s="1"/>
  <c r="BK19" i="1"/>
  <c r="N5" i="28"/>
  <c r="N6" i="28"/>
  <c r="N7" i="28" l="1"/>
  <c r="N8" i="28"/>
  <c r="AX10" i="11" l="1"/>
  <c r="AY19" i="11" s="1"/>
  <c r="AX9" i="11"/>
  <c r="AY18" i="11" s="1"/>
  <c r="AY35" i="11" l="1"/>
  <c r="N10" i="28"/>
  <c r="N9" i="28"/>
  <c r="AX8" i="11" l="1"/>
  <c r="AY17" i="11" s="1"/>
  <c r="AY34" i="11" s="1"/>
  <c r="AX7" i="11"/>
  <c r="AY16" i="11" s="1"/>
  <c r="AY33" i="11" s="1"/>
  <c r="AX6" i="11"/>
  <c r="AY15" i="11" s="1"/>
  <c r="AY32" i="11" s="1"/>
  <c r="AX5" i="11"/>
  <c r="AY14" i="11" s="1"/>
  <c r="AY20" i="11" l="1"/>
  <c r="AY31" i="11"/>
  <c r="AY36" i="11" s="1"/>
  <c r="AY8" i="1"/>
  <c r="AX64" i="11"/>
  <c r="AX63" i="11"/>
  <c r="AX62" i="11"/>
  <c r="AX61" i="11"/>
  <c r="AX60" i="11"/>
  <c r="AX55" i="11"/>
  <c r="AX28" i="11"/>
  <c r="AX65" i="11" l="1"/>
  <c r="AX70" i="11" s="1"/>
  <c r="AX11" i="11"/>
  <c r="AX69" i="11" l="1"/>
  <c r="AX72" i="11"/>
  <c r="AX71" i="11"/>
  <c r="AX68" i="11"/>
  <c r="AX73" i="11" l="1"/>
  <c r="AW10" i="11"/>
  <c r="AX19" i="11" s="1"/>
  <c r="AW9" i="11"/>
  <c r="AX18" i="11" s="1"/>
  <c r="AW8" i="11"/>
  <c r="AX17" i="11" s="1"/>
  <c r="AX34" i="11" s="1"/>
  <c r="AW7" i="11"/>
  <c r="AX16" i="11" s="1"/>
  <c r="AW6" i="11"/>
  <c r="AX15" i="11" s="1"/>
  <c r="AX32" i="11" s="1"/>
  <c r="AX33" i="11" l="1"/>
  <c r="AX35" i="11"/>
  <c r="AW5" i="11"/>
  <c r="AX14" i="11" s="1"/>
  <c r="AX20" i="11" s="1"/>
  <c r="AX31" i="11" l="1"/>
  <c r="AX36" i="11" s="1"/>
  <c r="AV10" i="11" l="1"/>
  <c r="AV9" i="11"/>
  <c r="AV8" i="11"/>
  <c r="AV7" i="11"/>
  <c r="AV6" i="11"/>
  <c r="AV5" i="11"/>
  <c r="L14" i="28" l="1"/>
  <c r="L19" i="28"/>
  <c r="L18" i="28"/>
  <c r="L17" i="28"/>
  <c r="L16" i="28"/>
  <c r="L15" i="28"/>
  <c r="K14" i="28"/>
  <c r="AV85" i="1"/>
  <c r="BC98" i="1" l="1"/>
  <c r="BC99" i="1" s="1"/>
  <c r="BD98" i="1"/>
  <c r="BD99" i="1" s="1"/>
  <c r="BH98" i="1"/>
  <c r="BH99" i="1" s="1"/>
  <c r="BI98" i="1"/>
  <c r="BI99" i="1" s="1"/>
  <c r="AW98" i="1"/>
  <c r="AW99" i="1" s="1"/>
  <c r="BJ98" i="1"/>
  <c r="BJ99" i="1" s="1"/>
  <c r="BG99" i="1"/>
  <c r="BE98" i="1"/>
  <c r="BE99" i="1" s="1"/>
  <c r="BB98" i="1"/>
  <c r="BB99" i="1" s="1"/>
  <c r="BA98" i="1"/>
  <c r="BA99" i="1" s="1"/>
  <c r="AZ98" i="1"/>
  <c r="AZ99" i="1" s="1"/>
  <c r="AY98" i="1"/>
  <c r="AY99" i="1" s="1"/>
  <c r="AX96" i="1"/>
  <c r="AX98" i="1" s="1"/>
  <c r="AX99" i="1" s="1"/>
  <c r="AV87" i="1"/>
  <c r="AV88" i="1" s="1"/>
  <c r="J84" i="29" l="1"/>
  <c r="J91" i="29" s="1"/>
  <c r="J47" i="29" s="1"/>
  <c r="I84" i="29"/>
  <c r="I91" i="29" s="1"/>
  <c r="I47" i="29" s="1"/>
  <c r="H84" i="29"/>
  <c r="H87" i="29" s="1"/>
  <c r="H7" i="29" s="1"/>
  <c r="G84" i="29"/>
  <c r="F84" i="29"/>
  <c r="F90" i="29" s="1"/>
  <c r="F37" i="29" s="1"/>
  <c r="E84" i="29"/>
  <c r="E87" i="29" s="1"/>
  <c r="E7" i="29" s="1"/>
  <c r="D84" i="29"/>
  <c r="D88" i="29" s="1"/>
  <c r="D17" i="29" s="1"/>
  <c r="C84" i="29"/>
  <c r="C76" i="29"/>
  <c r="J67" i="29"/>
  <c r="I67" i="29"/>
  <c r="H67" i="29"/>
  <c r="G67" i="29"/>
  <c r="F67" i="29"/>
  <c r="E67" i="29"/>
  <c r="D67" i="29"/>
  <c r="C67" i="29"/>
  <c r="G87" i="29" l="1"/>
  <c r="G7" i="29" s="1"/>
  <c r="G89" i="29"/>
  <c r="G27" i="29" s="1"/>
  <c r="C88" i="29"/>
  <c r="C17" i="29" s="1"/>
  <c r="C89" i="29"/>
  <c r="C27" i="29" s="1"/>
  <c r="F89" i="29"/>
  <c r="F27" i="29" s="1"/>
  <c r="C91" i="29"/>
  <c r="C47" i="29" s="1"/>
  <c r="C90" i="29"/>
  <c r="C37" i="29" s="1"/>
  <c r="D89" i="29"/>
  <c r="D27" i="29" s="1"/>
  <c r="D90" i="29"/>
  <c r="D37" i="29" s="1"/>
  <c r="E91" i="29"/>
  <c r="E47" i="29" s="1"/>
  <c r="E89" i="29"/>
  <c r="E27" i="29" s="1"/>
  <c r="E90" i="29"/>
  <c r="E37" i="29" s="1"/>
  <c r="F88" i="29"/>
  <c r="F17" i="29" s="1"/>
  <c r="E88" i="29"/>
  <c r="E17" i="29" s="1"/>
  <c r="I89" i="29"/>
  <c r="I27" i="29" s="1"/>
  <c r="C87" i="29"/>
  <c r="I87" i="29"/>
  <c r="F87" i="29"/>
  <c r="F7" i="29" s="1"/>
  <c r="H91" i="29"/>
  <c r="H47" i="29" s="1"/>
  <c r="I90" i="29"/>
  <c r="I37" i="29" s="1"/>
  <c r="I88" i="29"/>
  <c r="I17" i="29" s="1"/>
  <c r="G91" i="29"/>
  <c r="G47" i="29" s="1"/>
  <c r="H88" i="29"/>
  <c r="H17" i="29" s="1"/>
  <c r="F91" i="29"/>
  <c r="H89" i="29"/>
  <c r="H27" i="29" s="1"/>
  <c r="D87" i="29"/>
  <c r="D7" i="29" s="1"/>
  <c r="J90" i="29"/>
  <c r="J37" i="29" s="1"/>
  <c r="G88" i="29"/>
  <c r="G17" i="29" s="1"/>
  <c r="D91" i="29"/>
  <c r="D47" i="29" s="1"/>
  <c r="H90" i="29"/>
  <c r="H37" i="29" s="1"/>
  <c r="G90" i="29"/>
  <c r="G37" i="29" s="1"/>
  <c r="J88" i="29"/>
  <c r="J17" i="29" s="1"/>
  <c r="J89" i="29"/>
  <c r="J27" i="29" s="1"/>
  <c r="J87" i="29"/>
  <c r="J7" i="29" s="1"/>
  <c r="E76" i="29"/>
  <c r="D76" i="29"/>
  <c r="G76" i="29"/>
  <c r="H76" i="29"/>
  <c r="I76" i="29"/>
  <c r="F76" i="29"/>
  <c r="J76" i="29"/>
  <c r="AP51" i="26"/>
  <c r="AO52" i="26"/>
  <c r="AO51" i="26"/>
  <c r="C92" i="29" l="1"/>
  <c r="F92" i="29"/>
  <c r="F47" i="29"/>
  <c r="C7" i="29"/>
  <c r="E92" i="29"/>
  <c r="I92" i="29"/>
  <c r="I7" i="29"/>
  <c r="G92" i="29"/>
  <c r="J92" i="29"/>
  <c r="H92" i="29"/>
  <c r="D92" i="29"/>
  <c r="AU10" i="11" l="1"/>
  <c r="AV19" i="11" s="1"/>
  <c r="AU9" i="11"/>
  <c r="AU8" i="11"/>
  <c r="AU7" i="11"/>
  <c r="AU6" i="11"/>
  <c r="AU5" i="11"/>
  <c r="AV14" i="11" s="1"/>
  <c r="AU60" i="11" l="1"/>
  <c r="AU61" i="11"/>
  <c r="AU62" i="11"/>
  <c r="AU63" i="11"/>
  <c r="AU64" i="11"/>
  <c r="AR56" i="26" l="1"/>
  <c r="AQ56" i="26"/>
  <c r="AP56" i="26"/>
  <c r="AO56" i="26"/>
  <c r="AN56" i="26"/>
  <c r="AM56" i="26"/>
  <c r="AL56" i="26"/>
  <c r="AK56" i="26"/>
  <c r="AJ56" i="26"/>
  <c r="AI56" i="26"/>
  <c r="AH56" i="26"/>
  <c r="AG56" i="26"/>
  <c r="AF56" i="26"/>
  <c r="AE56" i="26"/>
  <c r="AD56" i="26"/>
  <c r="AC56" i="26"/>
  <c r="AB56" i="26"/>
  <c r="AA56" i="26"/>
  <c r="Z56" i="26"/>
  <c r="Y56" i="26"/>
  <c r="X56" i="26"/>
  <c r="W56" i="26"/>
  <c r="U56" i="26"/>
  <c r="T56" i="26"/>
  <c r="S56" i="26"/>
  <c r="R56" i="26"/>
  <c r="Q56" i="26"/>
  <c r="P56" i="26"/>
  <c r="O56" i="26"/>
  <c r="N56" i="26"/>
  <c r="M56" i="26"/>
  <c r="L56" i="26"/>
  <c r="K56" i="26"/>
  <c r="J56" i="26"/>
  <c r="I56" i="26"/>
  <c r="H56" i="26"/>
  <c r="G56" i="26"/>
  <c r="F56" i="26"/>
  <c r="E56" i="26"/>
  <c r="AR55" i="26"/>
  <c r="AQ55" i="26"/>
  <c r="AP55" i="26"/>
  <c r="AO55" i="26"/>
  <c r="AN55" i="26"/>
  <c r="AM55" i="26"/>
  <c r="AL55" i="26"/>
  <c r="AK55" i="26"/>
  <c r="AJ55" i="26"/>
  <c r="AI55" i="26"/>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I55" i="26"/>
  <c r="H55" i="26"/>
  <c r="G55" i="26"/>
  <c r="F55" i="26"/>
  <c r="E55" i="26"/>
  <c r="AR54" i="26"/>
  <c r="AQ54" i="26"/>
  <c r="AP54" i="26"/>
  <c r="AO54" i="26"/>
  <c r="AN54" i="26"/>
  <c r="AM54" i="26"/>
  <c r="AL54" i="26"/>
  <c r="AK54" i="26"/>
  <c r="AJ54" i="26"/>
  <c r="AI54"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I54" i="26"/>
  <c r="H54" i="26"/>
  <c r="G54" i="26"/>
  <c r="F54" i="26"/>
  <c r="E54" i="26"/>
  <c r="AR53" i="26"/>
  <c r="AQ53" i="26"/>
  <c r="AP53" i="26"/>
  <c r="AO53" i="26"/>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AR52" i="26"/>
  <c r="AQ52" i="26"/>
  <c r="AP52" i="26"/>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AR51" i="26"/>
  <c r="AR57" i="26" s="1"/>
  <c r="AR31" i="26" s="1"/>
  <c r="AQ51" i="26"/>
  <c r="AP57" i="26"/>
  <c r="AP31" i="26" s="1"/>
  <c r="AO57" i="26"/>
  <c r="AO31" i="26" s="1"/>
  <c r="AN51" i="26"/>
  <c r="AN57" i="26" s="1"/>
  <c r="AN31" i="26" s="1"/>
  <c r="AM51" i="26"/>
  <c r="AM57" i="26" s="1"/>
  <c r="AM31" i="26" s="1"/>
  <c r="AL51" i="26"/>
  <c r="AL57" i="26" s="1"/>
  <c r="AL31" i="26" s="1"/>
  <c r="AK51" i="26"/>
  <c r="AK57" i="26" s="1"/>
  <c r="AK31" i="26" s="1"/>
  <c r="AJ51" i="26"/>
  <c r="AJ57" i="26" s="1"/>
  <c r="AJ31" i="26" s="1"/>
  <c r="AI51" i="26"/>
  <c r="AI57" i="26" s="1"/>
  <c r="AI31" i="26" s="1"/>
  <c r="AH51" i="26"/>
  <c r="AH57" i="26" s="1"/>
  <c r="AH31" i="26" s="1"/>
  <c r="AG51" i="26"/>
  <c r="AG57" i="26" s="1"/>
  <c r="AG31" i="26" s="1"/>
  <c r="AF51" i="26"/>
  <c r="AF57" i="26" s="1"/>
  <c r="AF31" i="26" s="1"/>
  <c r="AE51" i="26"/>
  <c r="AE57" i="26" s="1"/>
  <c r="AE31" i="26" s="1"/>
  <c r="AD51" i="26"/>
  <c r="AD57" i="26" s="1"/>
  <c r="AD31" i="26" s="1"/>
  <c r="AC51" i="26"/>
  <c r="AC57" i="26" s="1"/>
  <c r="AC31" i="26" s="1"/>
  <c r="AB51" i="26"/>
  <c r="AB57" i="26" s="1"/>
  <c r="AB31" i="26" s="1"/>
  <c r="AA51" i="26"/>
  <c r="AA57" i="26" s="1"/>
  <c r="AA31" i="26" s="1"/>
  <c r="Z51" i="26"/>
  <c r="Z57" i="26" s="1"/>
  <c r="Z31" i="26" s="1"/>
  <c r="Y51" i="26"/>
  <c r="Y57" i="26" s="1"/>
  <c r="Y31" i="26" s="1"/>
  <c r="X51" i="26"/>
  <c r="X57" i="26" s="1"/>
  <c r="X31" i="26" s="1"/>
  <c r="W51" i="26"/>
  <c r="W57" i="26" s="1"/>
  <c r="W31" i="26" s="1"/>
  <c r="V51" i="26"/>
  <c r="U51" i="26"/>
  <c r="U57" i="26" s="1"/>
  <c r="U31" i="26" s="1"/>
  <c r="T51" i="26"/>
  <c r="T57" i="26" s="1"/>
  <c r="T31" i="26" s="1"/>
  <c r="S51" i="26"/>
  <c r="S57" i="26" s="1"/>
  <c r="S31" i="26" s="1"/>
  <c r="R51" i="26"/>
  <c r="R57" i="26" s="1"/>
  <c r="R31" i="26" s="1"/>
  <c r="Q51" i="26"/>
  <c r="P51" i="26"/>
  <c r="P57" i="26" s="1"/>
  <c r="P31" i="26" s="1"/>
  <c r="O51" i="26"/>
  <c r="O57" i="26" s="1"/>
  <c r="O31" i="26" s="1"/>
  <c r="N51" i="26"/>
  <c r="N57" i="26" s="1"/>
  <c r="N31" i="26" s="1"/>
  <c r="N35" i="26" s="1"/>
  <c r="M51" i="26"/>
  <c r="M57" i="26" s="1"/>
  <c r="M31" i="26" s="1"/>
  <c r="M35" i="26" s="1"/>
  <c r="L51" i="26"/>
  <c r="L57" i="26" s="1"/>
  <c r="L31" i="26" s="1"/>
  <c r="L35" i="26" s="1"/>
  <c r="K51" i="26"/>
  <c r="K57" i="26" s="1"/>
  <c r="K31" i="26" s="1"/>
  <c r="K35" i="26" s="1"/>
  <c r="J51" i="26"/>
  <c r="J57" i="26" s="1"/>
  <c r="J31" i="26" s="1"/>
  <c r="J35" i="26" s="1"/>
  <c r="I51" i="26"/>
  <c r="I57" i="26" s="1"/>
  <c r="I31" i="26" s="1"/>
  <c r="I35" i="26" s="1"/>
  <c r="H51" i="26"/>
  <c r="H57" i="26" s="1"/>
  <c r="H31" i="26" s="1"/>
  <c r="H35" i="26" s="1"/>
  <c r="G51" i="26"/>
  <c r="G57" i="26" s="1"/>
  <c r="G31" i="26" s="1"/>
  <c r="G35" i="26" s="1"/>
  <c r="F51" i="26"/>
  <c r="F57" i="26" s="1"/>
  <c r="F31" i="26" s="1"/>
  <c r="F35" i="26" s="1"/>
  <c r="E51" i="26"/>
  <c r="E57" i="26" s="1"/>
  <c r="E31" i="26" s="1"/>
  <c r="E35" i="26" s="1"/>
  <c r="AR48" i="26"/>
  <c r="AQ48" i="26"/>
  <c r="AP48" i="26"/>
  <c r="AO48" i="26"/>
  <c r="AN48" i="26"/>
  <c r="AM48" i="26"/>
  <c r="AL48" i="26"/>
  <c r="AK48" i="26"/>
  <c r="AJ48" i="26"/>
  <c r="AI48" i="26"/>
  <c r="AH48" i="26"/>
  <c r="AG48" i="26"/>
  <c r="AF48" i="26"/>
  <c r="AE48" i="26"/>
  <c r="AD48" i="26"/>
  <c r="AC48" i="26"/>
  <c r="AB48" i="26"/>
  <c r="AA48" i="26"/>
  <c r="Z48" i="26"/>
  <c r="Y48" i="26"/>
  <c r="X48" i="26"/>
  <c r="W48" i="26"/>
  <c r="V48" i="26"/>
  <c r="U48" i="26"/>
  <c r="T48" i="26"/>
  <c r="S48" i="26"/>
  <c r="R48" i="26"/>
  <c r="Q48" i="26"/>
  <c r="P48" i="26"/>
  <c r="O48" i="26"/>
  <c r="N48" i="26"/>
  <c r="M48" i="26"/>
  <c r="L48" i="26"/>
  <c r="K48" i="26"/>
  <c r="J48" i="26"/>
  <c r="I48" i="26"/>
  <c r="H48" i="26"/>
  <c r="G48" i="26"/>
  <c r="F48" i="26"/>
  <c r="E48" i="26"/>
  <c r="V56" i="26"/>
  <c r="AQ57" i="26" l="1"/>
  <c r="AQ31" i="26" s="1"/>
  <c r="E36" i="26"/>
  <c r="E37" i="26" s="1"/>
  <c r="V57" i="26"/>
  <c r="V31" i="26" s="1"/>
  <c r="Q57" i="26"/>
  <c r="Q31" i="26" s="1"/>
  <c r="E38" i="26" l="1"/>
  <c r="E39" i="26" s="1"/>
  <c r="F36" i="26" l="1"/>
  <c r="F38" i="26" l="1"/>
  <c r="F39" i="26" s="1"/>
  <c r="G36" i="26" s="1"/>
  <c r="G38" i="26" s="1"/>
  <c r="G39" i="26" s="1"/>
  <c r="H36" i="26" s="1"/>
  <c r="H38" i="26" s="1"/>
  <c r="H39" i="26" s="1"/>
  <c r="I36" i="26" s="1"/>
  <c r="I38" i="26" s="1"/>
  <c r="I39" i="26" s="1"/>
  <c r="J36" i="26" s="1"/>
  <c r="J38" i="26" s="1"/>
  <c r="J39" i="26" s="1"/>
  <c r="F37" i="26"/>
  <c r="G37" i="26" l="1"/>
  <c r="H37" i="26" s="1"/>
  <c r="I37" i="26" s="1"/>
  <c r="J37" i="26" s="1"/>
  <c r="K36" i="26"/>
  <c r="K38" i="26" s="1"/>
  <c r="K39" i="26" s="1"/>
  <c r="K37" i="26" l="1"/>
  <c r="L36" i="26"/>
  <c r="L38" i="26" s="1"/>
  <c r="L39" i="26" s="1"/>
  <c r="L37" i="26" l="1"/>
  <c r="M36" i="26"/>
  <c r="M38" i="26" s="1"/>
  <c r="M39" i="26" s="1"/>
  <c r="M37" i="26" l="1"/>
  <c r="N36" i="26"/>
  <c r="N38" i="26" s="1"/>
  <c r="N39" i="26" s="1"/>
  <c r="N37" i="26" l="1"/>
  <c r="E14" i="28" l="1"/>
  <c r="AW65" i="28"/>
  <c r="AU65" i="28"/>
  <c r="AT65" i="28"/>
  <c r="AS65" i="28"/>
  <c r="AR65" i="28"/>
  <c r="AQ65" i="28"/>
  <c r="AP65" i="28"/>
  <c r="AO65" i="28"/>
  <c r="AN65" i="28"/>
  <c r="AM65" i="28"/>
  <c r="AL65" i="28"/>
  <c r="AK65" i="28"/>
  <c r="AJ65" i="28"/>
  <c r="AI65" i="28"/>
  <c r="AH65" i="28"/>
  <c r="AG65"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AW64" i="28"/>
  <c r="AU64" i="28"/>
  <c r="AT64" i="28"/>
  <c r="AS64" i="28"/>
  <c r="AR64" i="28"/>
  <c r="AQ64" i="28"/>
  <c r="AP64" i="28"/>
  <c r="AO64" i="28"/>
  <c r="AN64" i="28"/>
  <c r="AM64" i="28"/>
  <c r="AL64" i="28"/>
  <c r="AK64" i="28"/>
  <c r="AJ64" i="28"/>
  <c r="AI64" i="28"/>
  <c r="AH64" i="28"/>
  <c r="AG64" i="28"/>
  <c r="AF64" i="28"/>
  <c r="AE64" i="28"/>
  <c r="AD64" i="28"/>
  <c r="AC64" i="28"/>
  <c r="AB64" i="28"/>
  <c r="AA64" i="28"/>
  <c r="Z64" i="28"/>
  <c r="Y64" i="28"/>
  <c r="X64" i="28"/>
  <c r="W64" i="28"/>
  <c r="V64" i="28"/>
  <c r="U64" i="28"/>
  <c r="T64" i="28"/>
  <c r="S64" i="28"/>
  <c r="R64" i="28"/>
  <c r="Q64" i="28"/>
  <c r="P64" i="28"/>
  <c r="O64" i="28"/>
  <c r="N64" i="28"/>
  <c r="M64" i="28"/>
  <c r="L64" i="28"/>
  <c r="K64" i="28"/>
  <c r="J64" i="28"/>
  <c r="I64" i="28"/>
  <c r="H64" i="28"/>
  <c r="G64" i="28"/>
  <c r="F64" i="28"/>
  <c r="E64" i="28"/>
  <c r="D64" i="28"/>
  <c r="AW63" i="28"/>
  <c r="AU63" i="28"/>
  <c r="AT63" i="28"/>
  <c r="AS63" i="28"/>
  <c r="AR63" i="28"/>
  <c r="AQ63" i="28"/>
  <c r="AP63" i="28"/>
  <c r="AO63" i="28"/>
  <c r="AN63" i="28"/>
  <c r="AM63" i="28"/>
  <c r="AL63" i="28"/>
  <c r="AK63" i="28"/>
  <c r="AJ63" i="28"/>
  <c r="AI63" i="28"/>
  <c r="AH63" i="28"/>
  <c r="AG63"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AW62" i="28"/>
  <c r="AU62" i="28"/>
  <c r="AT62" i="28"/>
  <c r="AS62" i="28"/>
  <c r="AR62" i="28"/>
  <c r="AQ62" i="28"/>
  <c r="AP62" i="28"/>
  <c r="AO62" i="28"/>
  <c r="AN62" i="28"/>
  <c r="AM62" i="28"/>
  <c r="AL62" i="28"/>
  <c r="AK62" i="28"/>
  <c r="AJ62" i="28"/>
  <c r="AI62" i="28"/>
  <c r="AH62" i="28"/>
  <c r="AG62" i="28"/>
  <c r="AF62" i="28"/>
  <c r="AE62" i="28"/>
  <c r="AD62" i="28"/>
  <c r="AC62" i="28"/>
  <c r="AB62" i="28"/>
  <c r="AA62" i="28"/>
  <c r="Z62" i="28"/>
  <c r="Y62" i="28"/>
  <c r="X62" i="28"/>
  <c r="W62" i="28"/>
  <c r="V62" i="28"/>
  <c r="U62" i="28"/>
  <c r="T62" i="28"/>
  <c r="S62" i="28"/>
  <c r="R62" i="28"/>
  <c r="Q62" i="28"/>
  <c r="P62" i="28"/>
  <c r="O62" i="28"/>
  <c r="N62" i="28"/>
  <c r="M62" i="28"/>
  <c r="L62" i="28"/>
  <c r="K62" i="28"/>
  <c r="J62" i="28"/>
  <c r="I62" i="28"/>
  <c r="H62" i="28"/>
  <c r="G62" i="28"/>
  <c r="F62" i="28"/>
  <c r="E62" i="28"/>
  <c r="D62" i="28"/>
  <c r="AW61" i="28"/>
  <c r="AU61" i="28"/>
  <c r="AT61" i="28"/>
  <c r="AS61" i="28"/>
  <c r="AR61" i="28"/>
  <c r="AQ61" i="28"/>
  <c r="AP61" i="28"/>
  <c r="AO61" i="28"/>
  <c r="AN61" i="28"/>
  <c r="AM61" i="28"/>
  <c r="AL61" i="28"/>
  <c r="AK61" i="28"/>
  <c r="AJ61" i="28"/>
  <c r="AI61" i="28"/>
  <c r="AH61" i="28"/>
  <c r="AG61"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AW56" i="28"/>
  <c r="AU56" i="28"/>
  <c r="AT56" i="28"/>
  <c r="AS56" i="28"/>
  <c r="AR56" i="28"/>
  <c r="AQ56" i="28"/>
  <c r="AP56" i="28"/>
  <c r="AO56" i="28"/>
  <c r="AN56" i="28"/>
  <c r="AM56" i="28"/>
  <c r="AL56" i="28"/>
  <c r="AK56" i="28"/>
  <c r="AJ56" i="28"/>
  <c r="AI56" i="28"/>
  <c r="AH56" i="28"/>
  <c r="AG56" i="28"/>
  <c r="AF56" i="28"/>
  <c r="AE56" i="28"/>
  <c r="AD56" i="28"/>
  <c r="AC56" i="28"/>
  <c r="AB56" i="28"/>
  <c r="AA56" i="28"/>
  <c r="Z56" i="28"/>
  <c r="Y56" i="28"/>
  <c r="X56" i="28"/>
  <c r="W56" i="28"/>
  <c r="V56" i="28"/>
  <c r="U56" i="28"/>
  <c r="T56" i="28"/>
  <c r="S56" i="28"/>
  <c r="R56" i="28"/>
  <c r="P56" i="28"/>
  <c r="O56" i="28"/>
  <c r="N56" i="28"/>
  <c r="M56" i="28"/>
  <c r="L56" i="28"/>
  <c r="K56" i="28"/>
  <c r="J56" i="28"/>
  <c r="I56" i="28"/>
  <c r="H56" i="28"/>
  <c r="G56" i="28"/>
  <c r="F56" i="28"/>
  <c r="E56" i="28"/>
  <c r="D56" i="28"/>
  <c r="AW28" i="28"/>
  <c r="AU28" i="28"/>
  <c r="AT28" i="28"/>
  <c r="AS28" i="28"/>
  <c r="AR28" i="28"/>
  <c r="AQ28" i="28"/>
  <c r="AP28" i="28"/>
  <c r="AO28" i="28"/>
  <c r="AN28" i="28"/>
  <c r="AM28" i="28"/>
  <c r="AL28" i="28"/>
  <c r="AK28" i="28"/>
  <c r="AJ28" i="28"/>
  <c r="AI28" i="28"/>
  <c r="AH28" i="28"/>
  <c r="AG28" i="28"/>
  <c r="AF28" i="28"/>
  <c r="AE28" i="28"/>
  <c r="AD28" i="28"/>
  <c r="AC28" i="28"/>
  <c r="AB28" i="28"/>
  <c r="AA28" i="28"/>
  <c r="Z28" i="28"/>
  <c r="Y28" i="28"/>
  <c r="X28" i="28"/>
  <c r="W28" i="28"/>
  <c r="V28" i="28"/>
  <c r="U28" i="28"/>
  <c r="T28" i="28"/>
  <c r="S28" i="28"/>
  <c r="R28" i="28"/>
  <c r="Q28" i="28"/>
  <c r="P28" i="28"/>
  <c r="O28" i="28"/>
  <c r="N28" i="28"/>
  <c r="M28" i="28"/>
  <c r="L28" i="28"/>
  <c r="L35" i="28" s="1"/>
  <c r="N67" i="27" s="1"/>
  <c r="K28" i="28"/>
  <c r="J28" i="28"/>
  <c r="I28" i="28"/>
  <c r="H28" i="28"/>
  <c r="G28" i="28"/>
  <c r="F28" i="28"/>
  <c r="E28" i="28"/>
  <c r="D28" i="28"/>
  <c r="AW19" i="28"/>
  <c r="AU19" i="28"/>
  <c r="AT19" i="28"/>
  <c r="AS19" i="28"/>
  <c r="AR19" i="28"/>
  <c r="AQ19" i="28"/>
  <c r="AP19" i="28"/>
  <c r="AO19" i="28"/>
  <c r="AN19" i="28"/>
  <c r="AM19" i="28"/>
  <c r="AL19" i="28"/>
  <c r="AK19" i="28"/>
  <c r="AJ19" i="28"/>
  <c r="AI19" i="28"/>
  <c r="AH19" i="28"/>
  <c r="AG19" i="28"/>
  <c r="AF19" i="28"/>
  <c r="AE19" i="28"/>
  <c r="AD19" i="28"/>
  <c r="AC19" i="28"/>
  <c r="AB19" i="28"/>
  <c r="AA19" i="28"/>
  <c r="Z19" i="28"/>
  <c r="Y19" i="28"/>
  <c r="X19" i="28"/>
  <c r="W19" i="28"/>
  <c r="V19" i="28"/>
  <c r="S19" i="28"/>
  <c r="R19" i="28"/>
  <c r="Q19" i="28"/>
  <c r="P19" i="28"/>
  <c r="O19" i="28"/>
  <c r="N19" i="28"/>
  <c r="M19" i="28"/>
  <c r="K19" i="28"/>
  <c r="K31" i="28" s="1"/>
  <c r="J19" i="28"/>
  <c r="I19" i="28"/>
  <c r="H19" i="28"/>
  <c r="G19" i="28"/>
  <c r="F19" i="28"/>
  <c r="E19" i="28"/>
  <c r="D19" i="28"/>
  <c r="AW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V18" i="28"/>
  <c r="U18" i="28"/>
  <c r="T18" i="28"/>
  <c r="S18" i="28"/>
  <c r="R18" i="28"/>
  <c r="Q18" i="28"/>
  <c r="P18" i="28"/>
  <c r="O18" i="28"/>
  <c r="N18" i="28"/>
  <c r="M18" i="28"/>
  <c r="K18" i="28"/>
  <c r="J18" i="28"/>
  <c r="I18" i="28"/>
  <c r="H18" i="28"/>
  <c r="G18" i="28"/>
  <c r="F18" i="28"/>
  <c r="E18" i="28"/>
  <c r="D18" i="28"/>
  <c r="AW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S17" i="28"/>
  <c r="R17" i="28"/>
  <c r="Q17" i="28"/>
  <c r="P17" i="28"/>
  <c r="O17" i="28"/>
  <c r="N17" i="28"/>
  <c r="M17" i="28"/>
  <c r="L34" i="28"/>
  <c r="N57" i="27" s="1"/>
  <c r="K17" i="28"/>
  <c r="J17" i="28"/>
  <c r="J34" i="28" s="1"/>
  <c r="L57" i="27" s="1"/>
  <c r="I17" i="28"/>
  <c r="H17" i="28"/>
  <c r="H34" i="28" s="1"/>
  <c r="J57" i="27" s="1"/>
  <c r="G17" i="28"/>
  <c r="F17" i="28"/>
  <c r="F34" i="28" s="1"/>
  <c r="H57" i="27" s="1"/>
  <c r="E17" i="28"/>
  <c r="D17" i="28"/>
  <c r="AW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U16" i="28"/>
  <c r="T16" i="28"/>
  <c r="S16" i="28"/>
  <c r="R16" i="28"/>
  <c r="Q16" i="28"/>
  <c r="P16" i="28"/>
  <c r="O16" i="28"/>
  <c r="N16" i="28"/>
  <c r="M16" i="28"/>
  <c r="K16" i="28"/>
  <c r="J16" i="28"/>
  <c r="I16" i="28"/>
  <c r="H16" i="28"/>
  <c r="G16" i="28"/>
  <c r="F16" i="28"/>
  <c r="E16" i="28"/>
  <c r="D16" i="28"/>
  <c r="AW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W15" i="28"/>
  <c r="V15" i="28"/>
  <c r="U15" i="28"/>
  <c r="T15" i="28"/>
  <c r="S15" i="28"/>
  <c r="R15" i="28"/>
  <c r="Q15" i="28"/>
  <c r="P15" i="28"/>
  <c r="O15" i="28"/>
  <c r="N15" i="28"/>
  <c r="M15" i="28"/>
  <c r="L32" i="28"/>
  <c r="N37" i="27" s="1"/>
  <c r="K15" i="28"/>
  <c r="K32" i="28" s="1"/>
  <c r="M37" i="27" s="1"/>
  <c r="J15" i="28"/>
  <c r="J32" i="28" s="1"/>
  <c r="L37" i="27" s="1"/>
  <c r="I15" i="28"/>
  <c r="H15" i="28"/>
  <c r="H32" i="28" s="1"/>
  <c r="J37" i="27" s="1"/>
  <c r="G15" i="28"/>
  <c r="G32" i="28" s="1"/>
  <c r="I37" i="27" s="1"/>
  <c r="F15" i="28"/>
  <c r="F32" i="28" s="1"/>
  <c r="H37" i="27" s="1"/>
  <c r="E15" i="28"/>
  <c r="E32" i="28" s="1"/>
  <c r="D15" i="28"/>
  <c r="D32" i="28" s="1"/>
  <c r="AW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V14" i="28"/>
  <c r="U14" i="28"/>
  <c r="T14" i="28"/>
  <c r="S14" i="28"/>
  <c r="R14" i="28"/>
  <c r="Q14" i="28"/>
  <c r="P14" i="28"/>
  <c r="O14" i="28"/>
  <c r="N14" i="28"/>
  <c r="M14" i="28"/>
  <c r="J14" i="28"/>
  <c r="J31" i="28" s="1"/>
  <c r="I14" i="28"/>
  <c r="H14" i="28"/>
  <c r="H31" i="28" s="1"/>
  <c r="J27" i="27" s="1"/>
  <c r="G14" i="28"/>
  <c r="G31" i="28" s="1"/>
  <c r="I27" i="27" s="1"/>
  <c r="F14" i="28"/>
  <c r="D14" i="28"/>
  <c r="AW11" i="28"/>
  <c r="AU11" i="28"/>
  <c r="AT11" i="28"/>
  <c r="AS11" i="28"/>
  <c r="AR11" i="28"/>
  <c r="AQ11" i="28"/>
  <c r="AP11" i="28"/>
  <c r="AO11" i="28"/>
  <c r="AN11" i="28"/>
  <c r="AM11" i="28"/>
  <c r="AL11" i="28"/>
  <c r="AK11" i="28"/>
  <c r="AJ11" i="28"/>
  <c r="AI11" i="28"/>
  <c r="AH11" i="28"/>
  <c r="AG11" i="28"/>
  <c r="AF11" i="28"/>
  <c r="AE11" i="28"/>
  <c r="AD11" i="28"/>
  <c r="AC11" i="28"/>
  <c r="AB11" i="28"/>
  <c r="AA11" i="28"/>
  <c r="Z11" i="28"/>
  <c r="Y11" i="28"/>
  <c r="X11" i="28"/>
  <c r="W11" i="28"/>
  <c r="V11" i="28"/>
  <c r="U11" i="28"/>
  <c r="S11" i="28"/>
  <c r="R11" i="28"/>
  <c r="Q11" i="28"/>
  <c r="P11" i="28"/>
  <c r="O11" i="28"/>
  <c r="N11" i="28"/>
  <c r="M11" i="28"/>
  <c r="L11" i="28"/>
  <c r="K11" i="28"/>
  <c r="J11" i="28"/>
  <c r="I11" i="28"/>
  <c r="H11" i="28"/>
  <c r="G11" i="28"/>
  <c r="F11" i="28"/>
  <c r="E11" i="28"/>
  <c r="D11" i="28"/>
  <c r="U19" i="28"/>
  <c r="F37" i="27" l="1"/>
  <c r="G34" i="28"/>
  <c r="I57" i="27" s="1"/>
  <c r="K34" i="28"/>
  <c r="M57" i="27" s="1"/>
  <c r="L31" i="28"/>
  <c r="N27" i="27" s="1"/>
  <c r="P31" i="28"/>
  <c r="R27" i="27" s="1"/>
  <c r="R31" i="28"/>
  <c r="T27" i="27" s="1"/>
  <c r="AF31" i="28"/>
  <c r="AH27" i="27" s="1"/>
  <c r="AJ31" i="28"/>
  <c r="AL27" i="27" s="1"/>
  <c r="AL31" i="28"/>
  <c r="AN27" i="27" s="1"/>
  <c r="AP31" i="28"/>
  <c r="AR27" i="27" s="1"/>
  <c r="O32" i="28"/>
  <c r="Q37" i="27" s="1"/>
  <c r="AM32" i="28"/>
  <c r="AO37" i="27" s="1"/>
  <c r="AQ32" i="28"/>
  <c r="AS37" i="27" s="1"/>
  <c r="H33" i="28"/>
  <c r="J47" i="27" s="1"/>
  <c r="L33" i="28"/>
  <c r="N47" i="27" s="1"/>
  <c r="P33" i="28"/>
  <c r="R47" i="27" s="1"/>
  <c r="V33" i="28"/>
  <c r="X47" i="27" s="1"/>
  <c r="AF33" i="28"/>
  <c r="AH47" i="27" s="1"/>
  <c r="AN33" i="28"/>
  <c r="AP47" i="27" s="1"/>
  <c r="O34" i="28"/>
  <c r="Q57" i="27" s="1"/>
  <c r="H35" i="28"/>
  <c r="J67" i="27" s="1"/>
  <c r="R35" i="28"/>
  <c r="T67" i="27" s="1"/>
  <c r="AJ35" i="28"/>
  <c r="AL67" i="27" s="1"/>
  <c r="AP35" i="28"/>
  <c r="AR67" i="27" s="1"/>
  <c r="AM31" i="28"/>
  <c r="AO27" i="27" s="1"/>
  <c r="AQ31" i="28"/>
  <c r="AS27" i="27" s="1"/>
  <c r="N32" i="28"/>
  <c r="P37" i="27" s="1"/>
  <c r="P32" i="28"/>
  <c r="R37" i="27" s="1"/>
  <c r="AF32" i="28"/>
  <c r="AH37" i="27" s="1"/>
  <c r="G33" i="28"/>
  <c r="I47" i="27" s="1"/>
  <c r="AA33" i="28"/>
  <c r="AC47" i="27" s="1"/>
  <c r="AE33" i="28"/>
  <c r="AG47" i="27" s="1"/>
  <c r="AQ33" i="28"/>
  <c r="AS47" i="27" s="1"/>
  <c r="N34" i="28"/>
  <c r="P57" i="27" s="1"/>
  <c r="P34" i="28"/>
  <c r="R57" i="27" s="1"/>
  <c r="AJ34" i="28"/>
  <c r="AL57" i="27" s="1"/>
  <c r="AA35" i="28"/>
  <c r="AC67" i="27" s="1"/>
  <c r="AE35" i="28"/>
  <c r="AG67" i="27" s="1"/>
  <c r="E66" i="28"/>
  <c r="E70" i="28" s="1"/>
  <c r="Y66" i="28"/>
  <c r="Y70" i="28" s="1"/>
  <c r="AA38" i="27" s="1"/>
  <c r="AA39" i="27" s="1"/>
  <c r="AK66" i="28"/>
  <c r="AK70" i="28" s="1"/>
  <c r="AM38" i="27" s="1"/>
  <c r="AM39" i="27" s="1"/>
  <c r="AM40" i="27" s="1"/>
  <c r="Y71" i="28"/>
  <c r="AA48" i="27" s="1"/>
  <c r="AA49" i="27" s="1"/>
  <c r="E73" i="28"/>
  <c r="Y73" i="28"/>
  <c r="AA68" i="27" s="1"/>
  <c r="AA69" i="27" s="1"/>
  <c r="E72" i="28"/>
  <c r="Y72" i="28"/>
  <c r="AA58" i="27" s="1"/>
  <c r="AA59" i="27" s="1"/>
  <c r="AK72" i="28"/>
  <c r="AM58" i="27" s="1"/>
  <c r="AM59" i="27" s="1"/>
  <c r="AM60" i="27" s="1"/>
  <c r="AW35" i="28"/>
  <c r="AY67" i="27" s="1"/>
  <c r="AW32" i="28"/>
  <c r="AY37" i="27" s="1"/>
  <c r="AW34" i="28"/>
  <c r="AY57" i="27" s="1"/>
  <c r="AW33" i="28"/>
  <c r="AY47" i="27" s="1"/>
  <c r="AW66" i="28"/>
  <c r="AW72" i="28" s="1"/>
  <c r="AY58" i="27" s="1"/>
  <c r="AY59" i="27" s="1"/>
  <c r="AY60" i="27" s="1"/>
  <c r="AU33" i="28"/>
  <c r="AW47" i="27" s="1"/>
  <c r="AU31" i="28"/>
  <c r="AW27" i="27" s="1"/>
  <c r="AU66" i="28"/>
  <c r="AU69" i="28" s="1"/>
  <c r="AU32" i="28"/>
  <c r="AW37" i="27" s="1"/>
  <c r="AU35" i="28"/>
  <c r="AW67" i="27" s="1"/>
  <c r="AU34" i="28"/>
  <c r="AW57" i="27" s="1"/>
  <c r="AT31" i="28"/>
  <c r="AV27" i="27" s="1"/>
  <c r="AT35" i="28"/>
  <c r="AV67" i="27" s="1"/>
  <c r="AT66" i="28"/>
  <c r="AT72" i="28" s="1"/>
  <c r="AV58" i="27" s="1"/>
  <c r="AV59" i="27" s="1"/>
  <c r="AV60" i="27" s="1"/>
  <c r="AT33" i="28"/>
  <c r="AV47" i="27" s="1"/>
  <c r="AT34" i="28"/>
  <c r="AV57" i="27" s="1"/>
  <c r="AT32" i="28"/>
  <c r="AV37" i="27" s="1"/>
  <c r="AS34" i="28"/>
  <c r="AU57" i="27" s="1"/>
  <c r="AS33" i="28"/>
  <c r="AU47" i="27" s="1"/>
  <c r="AS66" i="28"/>
  <c r="AS71" i="28" s="1"/>
  <c r="AU48" i="27" s="1"/>
  <c r="AU49" i="27" s="1"/>
  <c r="AU50" i="27" s="1"/>
  <c r="AS32" i="28"/>
  <c r="AU37" i="27" s="1"/>
  <c r="AS35" i="28"/>
  <c r="AU67" i="27" s="1"/>
  <c r="AR32" i="28"/>
  <c r="AT37" i="27" s="1"/>
  <c r="AR33" i="28"/>
  <c r="AT47" i="27" s="1"/>
  <c r="AR35" i="28"/>
  <c r="AT67" i="27" s="1"/>
  <c r="AR66" i="28"/>
  <c r="AR70" i="28" s="1"/>
  <c r="AT38" i="27" s="1"/>
  <c r="AT39" i="27" s="1"/>
  <c r="AT40" i="27" s="1"/>
  <c r="AR34" i="28"/>
  <c r="AT57" i="27" s="1"/>
  <c r="AQ35" i="28"/>
  <c r="AS67" i="27" s="1"/>
  <c r="AQ34" i="28"/>
  <c r="AS57" i="27" s="1"/>
  <c r="AQ66" i="28"/>
  <c r="AQ69" i="28" s="1"/>
  <c r="AP34" i="28"/>
  <c r="AR57" i="27" s="1"/>
  <c r="AP33" i="28"/>
  <c r="AR47" i="27" s="1"/>
  <c r="AP66" i="28"/>
  <c r="AP32" i="28"/>
  <c r="AR37" i="27" s="1"/>
  <c r="AO33" i="28"/>
  <c r="AQ47" i="27" s="1"/>
  <c r="AO66" i="28"/>
  <c r="AO71" i="28" s="1"/>
  <c r="AQ48" i="27" s="1"/>
  <c r="AQ49" i="27" s="1"/>
  <c r="AQ50" i="27" s="1"/>
  <c r="AO32" i="28"/>
  <c r="AQ37" i="27" s="1"/>
  <c r="AO35" i="28"/>
  <c r="AQ67" i="27" s="1"/>
  <c r="AO34" i="28"/>
  <c r="AQ57" i="27" s="1"/>
  <c r="AN32" i="28"/>
  <c r="AP37" i="27" s="1"/>
  <c r="AN31" i="28"/>
  <c r="AP27" i="27" s="1"/>
  <c r="AN35" i="28"/>
  <c r="AP67" i="27" s="1"/>
  <c r="AN34" i="28"/>
  <c r="AP57" i="27" s="1"/>
  <c r="AM35" i="28"/>
  <c r="AO67" i="27" s="1"/>
  <c r="AM34" i="28"/>
  <c r="AO57" i="27" s="1"/>
  <c r="AM33" i="28"/>
  <c r="AO47" i="27" s="1"/>
  <c r="AL33" i="28"/>
  <c r="AN47" i="27" s="1"/>
  <c r="AJ33" i="28"/>
  <c r="AL47" i="27" s="1"/>
  <c r="AJ32" i="28"/>
  <c r="AL37" i="27" s="1"/>
  <c r="AI33" i="28"/>
  <c r="AK47" i="27" s="1"/>
  <c r="AI34" i="28"/>
  <c r="AK57" i="27" s="1"/>
  <c r="AI32" i="28"/>
  <c r="AK37" i="27" s="1"/>
  <c r="AI35" i="28"/>
  <c r="AK67" i="27" s="1"/>
  <c r="AH31" i="28"/>
  <c r="AJ27" i="27" s="1"/>
  <c r="AH35" i="28"/>
  <c r="AJ67" i="27" s="1"/>
  <c r="AI20" i="28"/>
  <c r="AH66" i="28"/>
  <c r="AG66" i="28"/>
  <c r="AF34" i="28"/>
  <c r="AH57" i="27" s="1"/>
  <c r="AF35" i="28"/>
  <c r="AH67" i="27" s="1"/>
  <c r="AE20" i="28"/>
  <c r="AD33" i="28"/>
  <c r="AF47" i="27" s="1"/>
  <c r="AD20" i="28"/>
  <c r="AC66" i="28"/>
  <c r="AB33" i="28"/>
  <c r="AD47" i="27" s="1"/>
  <c r="AB32" i="28"/>
  <c r="AD37" i="27" s="1"/>
  <c r="AB35" i="28"/>
  <c r="AD67" i="27" s="1"/>
  <c r="AB31" i="28"/>
  <c r="AD27" i="27" s="1"/>
  <c r="AB34" i="28"/>
  <c r="AD57" i="27" s="1"/>
  <c r="Z35" i="28"/>
  <c r="AB67" i="27" s="1"/>
  <c r="AA20" i="28"/>
  <c r="Z20" i="28"/>
  <c r="X34" i="28"/>
  <c r="Z57" i="27" s="1"/>
  <c r="X33" i="28"/>
  <c r="Z47" i="27" s="1"/>
  <c r="X32" i="28"/>
  <c r="Z37" i="27" s="1"/>
  <c r="X31" i="28"/>
  <c r="Z27" i="27" s="1"/>
  <c r="X35" i="28"/>
  <c r="Z67" i="27" s="1"/>
  <c r="W33" i="28"/>
  <c r="Y47" i="27" s="1"/>
  <c r="W31" i="28"/>
  <c r="Y27" i="27" s="1"/>
  <c r="W35" i="28"/>
  <c r="Y67" i="27" s="1"/>
  <c r="V31" i="28"/>
  <c r="X27" i="27" s="1"/>
  <c r="V66" i="28"/>
  <c r="U66" i="28"/>
  <c r="S32" i="28"/>
  <c r="U37" i="27" s="1"/>
  <c r="S33" i="28"/>
  <c r="U47" i="27" s="1"/>
  <c r="S35" i="28"/>
  <c r="U67" i="27" s="1"/>
  <c r="S34" i="28"/>
  <c r="U57" i="27" s="1"/>
  <c r="S20" i="28"/>
  <c r="R32" i="28"/>
  <c r="T37" i="27" s="1"/>
  <c r="R34" i="28"/>
  <c r="T57" i="27" s="1"/>
  <c r="R66" i="28"/>
  <c r="R73" i="28" s="1"/>
  <c r="T68" i="27" s="1"/>
  <c r="T69" i="27" s="1"/>
  <c r="Q31" i="28"/>
  <c r="S27" i="27" s="1"/>
  <c r="Q66" i="28"/>
  <c r="P35" i="28"/>
  <c r="R67" i="27" s="1"/>
  <c r="O33" i="28"/>
  <c r="Q47" i="27" s="1"/>
  <c r="O35" i="28"/>
  <c r="Q67" i="27" s="1"/>
  <c r="O20" i="28"/>
  <c r="N33" i="28"/>
  <c r="P47" i="27" s="1"/>
  <c r="M66" i="28"/>
  <c r="N20" i="28"/>
  <c r="K20" i="28"/>
  <c r="K33" i="28"/>
  <c r="M47" i="27" s="1"/>
  <c r="K35" i="28"/>
  <c r="M67" i="27" s="1"/>
  <c r="J33" i="28"/>
  <c r="L47" i="27" s="1"/>
  <c r="J35" i="28"/>
  <c r="L67" i="27" s="1"/>
  <c r="J20" i="28"/>
  <c r="I66" i="28"/>
  <c r="G35" i="28"/>
  <c r="I67" i="27" s="1"/>
  <c r="F31" i="28"/>
  <c r="H27" i="27" s="1"/>
  <c r="F33" i="28"/>
  <c r="H47" i="27" s="1"/>
  <c r="D33" i="28"/>
  <c r="D31" i="28"/>
  <c r="S31" i="28"/>
  <c r="U27" i="27" s="1"/>
  <c r="W32" i="28"/>
  <c r="Y37" i="27" s="1"/>
  <c r="AA32" i="28"/>
  <c r="AC37" i="27" s="1"/>
  <c r="AE32" i="28"/>
  <c r="AG37" i="27" s="1"/>
  <c r="W34" i="28"/>
  <c r="Y57" i="27" s="1"/>
  <c r="AA34" i="28"/>
  <c r="AC57" i="27" s="1"/>
  <c r="AE34" i="28"/>
  <c r="AG57" i="27" s="1"/>
  <c r="U32" i="28"/>
  <c r="W37" i="27" s="1"/>
  <c r="D20" i="28"/>
  <c r="D34" i="28"/>
  <c r="D35" i="28"/>
  <c r="F66" i="28"/>
  <c r="AL66" i="28"/>
  <c r="D66" i="28"/>
  <c r="H66" i="28"/>
  <c r="L66" i="28"/>
  <c r="P66" i="28"/>
  <c r="T66" i="28"/>
  <c r="X66" i="28"/>
  <c r="X71" i="28" s="1"/>
  <c r="Z48" i="27" s="1"/>
  <c r="Z49" i="27" s="1"/>
  <c r="AB66" i="28"/>
  <c r="AB71" i="28" s="1"/>
  <c r="AD48" i="27" s="1"/>
  <c r="AD49" i="27" s="1"/>
  <c r="AF66" i="28"/>
  <c r="AJ66" i="28"/>
  <c r="AJ69" i="28" s="1"/>
  <c r="AL28" i="27" s="1"/>
  <c r="AL29" i="27" s="1"/>
  <c r="AL30" i="27" s="1"/>
  <c r="AL31" i="27" s="1"/>
  <c r="AN66" i="28"/>
  <c r="J66" i="28"/>
  <c r="N66" i="28"/>
  <c r="N70" i="28" s="1"/>
  <c r="P38" i="27" s="1"/>
  <c r="P39" i="27" s="1"/>
  <c r="Z66" i="28"/>
  <c r="Z69" i="28" s="1"/>
  <c r="AB28" i="27" s="1"/>
  <c r="AB29" i="27" s="1"/>
  <c r="AD66" i="28"/>
  <c r="Z33" i="28"/>
  <c r="AB47" i="27" s="1"/>
  <c r="AL35" i="28"/>
  <c r="AN67" i="27" s="1"/>
  <c r="AJ20" i="28"/>
  <c r="AD35" i="28"/>
  <c r="AF67" i="27" s="1"/>
  <c r="H36" i="28"/>
  <c r="X20" i="28"/>
  <c r="F35" i="28"/>
  <c r="H67" i="27" s="1"/>
  <c r="N35" i="28"/>
  <c r="P67" i="27" s="1"/>
  <c r="R33" i="28"/>
  <c r="T47" i="27" s="1"/>
  <c r="AI31" i="28"/>
  <c r="V35" i="28"/>
  <c r="X67" i="27" s="1"/>
  <c r="AH33" i="28"/>
  <c r="AJ47" i="27" s="1"/>
  <c r="E20" i="28"/>
  <c r="M20" i="28"/>
  <c r="Q20" i="28"/>
  <c r="Y20" i="28"/>
  <c r="AC20" i="28"/>
  <c r="AK20" i="28"/>
  <c r="G37" i="27"/>
  <c r="AK32" i="28"/>
  <c r="AM37" i="27" s="1"/>
  <c r="I32" i="28"/>
  <c r="K37" i="27" s="1"/>
  <c r="M32" i="28"/>
  <c r="O37" i="27" s="1"/>
  <c r="Q32" i="28"/>
  <c r="S37" i="27" s="1"/>
  <c r="Y32" i="28"/>
  <c r="AA37" i="27" s="1"/>
  <c r="AC32" i="28"/>
  <c r="AE37" i="27" s="1"/>
  <c r="AG32" i="28"/>
  <c r="AI37" i="27" s="1"/>
  <c r="E34" i="28"/>
  <c r="G57" i="27" s="1"/>
  <c r="I34" i="28"/>
  <c r="K57" i="27" s="1"/>
  <c r="M34" i="28"/>
  <c r="O57" i="27" s="1"/>
  <c r="Q34" i="28"/>
  <c r="S57" i="27" s="1"/>
  <c r="U34" i="28"/>
  <c r="W57" i="27" s="1"/>
  <c r="Y34" i="28"/>
  <c r="AA57" i="27" s="1"/>
  <c r="AC34" i="28"/>
  <c r="AE57" i="27" s="1"/>
  <c r="AG34" i="28"/>
  <c r="AI57" i="27" s="1"/>
  <c r="AK34" i="28"/>
  <c r="AM57" i="27" s="1"/>
  <c r="H20" i="28"/>
  <c r="AN20" i="28"/>
  <c r="AD31" i="28"/>
  <c r="AF27" i="27" s="1"/>
  <c r="P36" i="28"/>
  <c r="AR31" i="28"/>
  <c r="AR20" i="28"/>
  <c r="V32" i="28"/>
  <c r="X37" i="27" s="1"/>
  <c r="AD32" i="28"/>
  <c r="AF37" i="27" s="1"/>
  <c r="Z34" i="28"/>
  <c r="AB57" i="27" s="1"/>
  <c r="AH34" i="28"/>
  <c r="AJ57" i="27" s="1"/>
  <c r="L20" i="28"/>
  <c r="AB20" i="28"/>
  <c r="AT20" i="28"/>
  <c r="N31" i="28"/>
  <c r="P27" i="27" s="1"/>
  <c r="Z32" i="28"/>
  <c r="AB37" i="27" s="1"/>
  <c r="AH32" i="28"/>
  <c r="AJ37" i="27" s="1"/>
  <c r="AL32" i="28"/>
  <c r="AN37" i="27" s="1"/>
  <c r="V34" i="28"/>
  <c r="X57" i="27" s="1"/>
  <c r="AD34" i="28"/>
  <c r="AF57" i="27" s="1"/>
  <c r="AL34" i="28"/>
  <c r="AN57" i="27" s="1"/>
  <c r="P20" i="28"/>
  <c r="AF20" i="28"/>
  <c r="I31" i="28"/>
  <c r="K27" i="27" s="1"/>
  <c r="U31" i="28"/>
  <c r="W27" i="27" s="1"/>
  <c r="AG31" i="28"/>
  <c r="AI27" i="27" s="1"/>
  <c r="AS31" i="28"/>
  <c r="AS20" i="28"/>
  <c r="E33" i="28"/>
  <c r="G47" i="27" s="1"/>
  <c r="I33" i="28"/>
  <c r="K47" i="27" s="1"/>
  <c r="M33" i="28"/>
  <c r="O47" i="27" s="1"/>
  <c r="Q33" i="28"/>
  <c r="S47" i="27" s="1"/>
  <c r="U33" i="28"/>
  <c r="W47" i="27" s="1"/>
  <c r="Y33" i="28"/>
  <c r="AA47" i="27" s="1"/>
  <c r="AC33" i="28"/>
  <c r="AE47" i="27" s="1"/>
  <c r="AG33" i="28"/>
  <c r="AI47" i="27" s="1"/>
  <c r="AK33" i="28"/>
  <c r="AM47" i="27" s="1"/>
  <c r="E35" i="28"/>
  <c r="G67" i="27" s="1"/>
  <c r="I35" i="28"/>
  <c r="K67" i="27" s="1"/>
  <c r="M35" i="28"/>
  <c r="O67" i="27" s="1"/>
  <c r="Q35" i="28"/>
  <c r="S67" i="27" s="1"/>
  <c r="U35" i="28"/>
  <c r="W67" i="27" s="1"/>
  <c r="Y35" i="28"/>
  <c r="AA67" i="27" s="1"/>
  <c r="AC35" i="28"/>
  <c r="AE67" i="27" s="1"/>
  <c r="AG35" i="28"/>
  <c r="AI67" i="27" s="1"/>
  <c r="AK35" i="28"/>
  <c r="AM67" i="27" s="1"/>
  <c r="I20" i="28"/>
  <c r="U20" i="28"/>
  <c r="AG20" i="28"/>
  <c r="AP20" i="28"/>
  <c r="AU20" i="28"/>
  <c r="L27" i="27"/>
  <c r="O31" i="28"/>
  <c r="Q27" i="27" s="1"/>
  <c r="Z31" i="28"/>
  <c r="AB27" i="27" s="1"/>
  <c r="AE31" i="28"/>
  <c r="AG27" i="27" s="1"/>
  <c r="E31" i="28"/>
  <c r="G27" i="27" s="1"/>
  <c r="M31" i="28"/>
  <c r="O27" i="27" s="1"/>
  <c r="AC31" i="28"/>
  <c r="AE27" i="27" s="1"/>
  <c r="AO31" i="28"/>
  <c r="AO20" i="28"/>
  <c r="T11" i="28"/>
  <c r="T19" i="28"/>
  <c r="T32" i="28" s="1"/>
  <c r="V37" i="27" s="1"/>
  <c r="F20" i="28"/>
  <c r="R20" i="28"/>
  <c r="V20" i="28"/>
  <c r="AH20" i="28"/>
  <c r="AL20" i="28"/>
  <c r="AQ20" i="28"/>
  <c r="M27" i="27"/>
  <c r="AA31" i="28"/>
  <c r="AC27" i="27" s="1"/>
  <c r="Y31" i="28"/>
  <c r="AA27" i="27" s="1"/>
  <c r="AK31" i="28"/>
  <c r="AM27" i="27" s="1"/>
  <c r="AW31" i="28"/>
  <c r="AW20" i="28"/>
  <c r="G20" i="28"/>
  <c r="W20" i="28"/>
  <c r="AM20" i="28"/>
  <c r="Q56" i="28"/>
  <c r="G66" i="28"/>
  <c r="K66" i="28"/>
  <c r="O66" i="28"/>
  <c r="S66" i="28"/>
  <c r="W66" i="28"/>
  <c r="AA66" i="28"/>
  <c r="AE66" i="28"/>
  <c r="AI66" i="28"/>
  <c r="AM66" i="28"/>
  <c r="AY27" i="1"/>
  <c r="AZ27" i="1"/>
  <c r="BA27" i="1"/>
  <c r="BB27" i="1"/>
  <c r="BC27" i="1"/>
  <c r="BD27" i="1"/>
  <c r="BE27" i="1"/>
  <c r="BF27" i="1"/>
  <c r="BG27" i="1"/>
  <c r="BH27" i="1"/>
  <c r="BI27" i="1"/>
  <c r="BJ27" i="1"/>
  <c r="AY28" i="1"/>
  <c r="AZ28" i="1"/>
  <c r="AZ29" i="1" s="1"/>
  <c r="AZ30" i="1" s="1"/>
  <c r="BA28" i="1"/>
  <c r="BA29" i="1" s="1"/>
  <c r="BA30" i="1" s="1"/>
  <c r="BB28" i="1"/>
  <c r="BB29" i="1" s="1"/>
  <c r="BB30" i="1" s="1"/>
  <c r="BC28" i="1"/>
  <c r="BC29" i="1" s="1"/>
  <c r="BC30" i="1" s="1"/>
  <c r="BD28" i="1"/>
  <c r="BD29" i="1" s="1"/>
  <c r="BD30" i="1" s="1"/>
  <c r="BE28" i="1"/>
  <c r="BF28" i="1"/>
  <c r="BF29" i="1" s="1"/>
  <c r="BF30" i="1" s="1"/>
  <c r="BG28" i="1"/>
  <c r="BG29" i="1" s="1"/>
  <c r="BG30" i="1" s="1"/>
  <c r="BH28" i="1"/>
  <c r="BH29" i="1" s="1"/>
  <c r="BH30" i="1" s="1"/>
  <c r="BI28" i="1"/>
  <c r="BI29" i="1" s="1"/>
  <c r="BJ28" i="1"/>
  <c r="BJ29" i="1" s="1"/>
  <c r="BJ30" i="1" s="1"/>
  <c r="BE29" i="1"/>
  <c r="BE30" i="1" s="1"/>
  <c r="AY37" i="1"/>
  <c r="AZ37" i="1"/>
  <c r="BA37" i="1"/>
  <c r="BB37" i="1"/>
  <c r="BC37" i="1"/>
  <c r="BD37" i="1"/>
  <c r="BE37" i="1"/>
  <c r="BF37" i="1"/>
  <c r="BG37" i="1"/>
  <c r="BH37" i="1"/>
  <c r="BI37" i="1"/>
  <c r="BJ37" i="1"/>
  <c r="AY38" i="1"/>
  <c r="AZ38" i="1"/>
  <c r="AZ39" i="1" s="1"/>
  <c r="AZ40" i="1" s="1"/>
  <c r="BA38" i="1"/>
  <c r="BA39" i="1" s="1"/>
  <c r="BA40" i="1" s="1"/>
  <c r="BB38" i="1"/>
  <c r="BB39" i="1" s="1"/>
  <c r="BB40" i="1" s="1"/>
  <c r="BC38" i="1"/>
  <c r="BC39" i="1" s="1"/>
  <c r="BC40" i="1" s="1"/>
  <c r="BD38" i="1"/>
  <c r="BD39" i="1" s="1"/>
  <c r="BD40" i="1" s="1"/>
  <c r="BE38" i="1"/>
  <c r="BF38" i="1"/>
  <c r="BF39" i="1" s="1"/>
  <c r="BF40" i="1" s="1"/>
  <c r="BG38" i="1"/>
  <c r="BG39" i="1" s="1"/>
  <c r="BG40" i="1" s="1"/>
  <c r="BH38" i="1"/>
  <c r="BH39" i="1" s="1"/>
  <c r="BH40" i="1" s="1"/>
  <c r="BI38" i="1"/>
  <c r="BI39" i="1" s="1"/>
  <c r="BJ38" i="1"/>
  <c r="BJ39" i="1" s="1"/>
  <c r="BJ40" i="1" s="1"/>
  <c r="BE39" i="1"/>
  <c r="BE40" i="1" s="1"/>
  <c r="AY47" i="1"/>
  <c r="AZ47" i="1"/>
  <c r="BA47" i="1"/>
  <c r="BB47" i="1"/>
  <c r="BC47" i="1"/>
  <c r="BD47" i="1"/>
  <c r="BE47" i="1"/>
  <c r="BF47" i="1"/>
  <c r="BG47" i="1"/>
  <c r="BH47" i="1"/>
  <c r="BI47" i="1"/>
  <c r="BJ47" i="1"/>
  <c r="AY48" i="1"/>
  <c r="AZ48" i="1"/>
  <c r="AZ49" i="1" s="1"/>
  <c r="AZ50" i="1" s="1"/>
  <c r="BA48" i="1"/>
  <c r="BA49" i="1" s="1"/>
  <c r="BA50" i="1" s="1"/>
  <c r="BB48" i="1"/>
  <c r="BB49" i="1" s="1"/>
  <c r="BB50" i="1" s="1"/>
  <c r="BC48" i="1"/>
  <c r="BC49" i="1" s="1"/>
  <c r="BC50" i="1" s="1"/>
  <c r="BD48" i="1"/>
  <c r="BD49" i="1" s="1"/>
  <c r="BD50" i="1" s="1"/>
  <c r="BE48" i="1"/>
  <c r="BE49" i="1" s="1"/>
  <c r="BE50" i="1" s="1"/>
  <c r="BF48" i="1"/>
  <c r="BF49" i="1" s="1"/>
  <c r="BF50" i="1" s="1"/>
  <c r="BG48" i="1"/>
  <c r="BG49" i="1" s="1"/>
  <c r="BG50" i="1" s="1"/>
  <c r="BH48" i="1"/>
  <c r="BH49" i="1" s="1"/>
  <c r="BH50" i="1" s="1"/>
  <c r="BI48" i="1"/>
  <c r="BI49" i="1" s="1"/>
  <c r="BJ48" i="1"/>
  <c r="BJ49" i="1" s="1"/>
  <c r="BJ50" i="1" s="1"/>
  <c r="AY57" i="1"/>
  <c r="AZ57" i="1"/>
  <c r="BA57" i="1"/>
  <c r="BB57" i="1"/>
  <c r="BC57" i="1"/>
  <c r="BD57" i="1"/>
  <c r="BE57" i="1"/>
  <c r="BF57" i="1"/>
  <c r="BG57" i="1"/>
  <c r="BH57" i="1"/>
  <c r="BI57" i="1"/>
  <c r="BJ57" i="1"/>
  <c r="AY58" i="1"/>
  <c r="AZ58" i="1"/>
  <c r="AZ59" i="1" s="1"/>
  <c r="AZ60" i="1" s="1"/>
  <c r="BA58" i="1"/>
  <c r="BA59" i="1" s="1"/>
  <c r="BA60" i="1" s="1"/>
  <c r="BB58" i="1"/>
  <c r="BB59" i="1" s="1"/>
  <c r="BB60" i="1" s="1"/>
  <c r="BC58" i="1"/>
  <c r="BC59" i="1" s="1"/>
  <c r="BC60" i="1" s="1"/>
  <c r="BC61" i="1" s="1"/>
  <c r="BD58" i="1"/>
  <c r="BD59" i="1" s="1"/>
  <c r="BD60" i="1" s="1"/>
  <c r="BE58" i="1"/>
  <c r="BE59" i="1" s="1"/>
  <c r="BE60" i="1" s="1"/>
  <c r="BF58" i="1"/>
  <c r="BF59" i="1" s="1"/>
  <c r="BF60" i="1" s="1"/>
  <c r="BG58" i="1"/>
  <c r="BG59" i="1" s="1"/>
  <c r="BG60" i="1" s="1"/>
  <c r="BH58" i="1"/>
  <c r="BH59" i="1" s="1"/>
  <c r="BH60" i="1" s="1"/>
  <c r="BI58" i="1"/>
  <c r="BI59" i="1" s="1"/>
  <c r="BJ58" i="1"/>
  <c r="BJ59" i="1" s="1"/>
  <c r="BJ60" i="1" s="1"/>
  <c r="AY67" i="1"/>
  <c r="AZ67" i="1"/>
  <c r="BA67" i="1"/>
  <c r="BC67" i="1"/>
  <c r="BD67" i="1"/>
  <c r="BE67" i="1"/>
  <c r="BF67" i="1"/>
  <c r="BG67" i="1"/>
  <c r="BH67" i="1"/>
  <c r="BI67" i="1"/>
  <c r="BJ67" i="1"/>
  <c r="AY68" i="1"/>
  <c r="AZ68" i="1"/>
  <c r="AZ69" i="1" s="1"/>
  <c r="BA68" i="1"/>
  <c r="BA69" i="1" s="1"/>
  <c r="BB68" i="1"/>
  <c r="BB69" i="1" s="1"/>
  <c r="BC68" i="1"/>
  <c r="BC69" i="1" s="1"/>
  <c r="BD68" i="1"/>
  <c r="BD69" i="1" s="1"/>
  <c r="BE68" i="1"/>
  <c r="BE69" i="1" s="1"/>
  <c r="BF68" i="1"/>
  <c r="BF69" i="1" s="1"/>
  <c r="BG68" i="1"/>
  <c r="BG69" i="1" s="1"/>
  <c r="BH68" i="1"/>
  <c r="BH69" i="1" s="1"/>
  <c r="BI68" i="1"/>
  <c r="BI69" i="1" s="1"/>
  <c r="BJ68" i="1"/>
  <c r="BJ69" i="1" s="1"/>
  <c r="AC3" i="22"/>
  <c r="AC5" i="22" s="1"/>
  <c r="AD3" i="22"/>
  <c r="AE3" i="22"/>
  <c r="AF3" i="22"/>
  <c r="AG3" i="22"/>
  <c r="AH3" i="22"/>
  <c r="AI3" i="22"/>
  <c r="AJ3" i="22"/>
  <c r="AK3" i="22"/>
  <c r="AL3" i="22"/>
  <c r="AM3" i="22"/>
  <c r="AD10" i="22"/>
  <c r="AE10" i="22"/>
  <c r="AF10" i="22"/>
  <c r="AG10" i="22"/>
  <c r="AH10" i="22"/>
  <c r="AI10" i="22"/>
  <c r="AJ10" i="22"/>
  <c r="AK10" i="22"/>
  <c r="AL10" i="22"/>
  <c r="AM10" i="22"/>
  <c r="AD17" i="22"/>
  <c r="AE17" i="22"/>
  <c r="AF17" i="22"/>
  <c r="AG17" i="22"/>
  <c r="AH17" i="22"/>
  <c r="AI17" i="22"/>
  <c r="AJ17" i="22"/>
  <c r="AK17" i="22"/>
  <c r="AL17" i="22"/>
  <c r="AM17" i="22"/>
  <c r="AD24" i="22"/>
  <c r="AE24" i="22"/>
  <c r="AF24" i="22"/>
  <c r="AG24" i="22"/>
  <c r="AH24" i="22"/>
  <c r="AI24" i="22"/>
  <c r="AJ24" i="22"/>
  <c r="AK24" i="22"/>
  <c r="AL24" i="22"/>
  <c r="AM24" i="22"/>
  <c r="AD31" i="22"/>
  <c r="AE31" i="22"/>
  <c r="AF31" i="22"/>
  <c r="AG31" i="22"/>
  <c r="AH31" i="22"/>
  <c r="AI31" i="22"/>
  <c r="AJ31" i="22"/>
  <c r="AK31" i="22"/>
  <c r="AL31" i="22"/>
  <c r="AM31" i="22"/>
  <c r="AC31" i="22"/>
  <c r="AC24" i="22"/>
  <c r="AC17" i="22"/>
  <c r="AC19" i="22" s="1"/>
  <c r="AC10" i="22"/>
  <c r="F57" i="27" l="1"/>
  <c r="F27" i="27"/>
  <c r="BG40" i="28"/>
  <c r="F47" i="27"/>
  <c r="AM61" i="27"/>
  <c r="AC4" i="22"/>
  <c r="AC6" i="22"/>
  <c r="AC7" i="22" s="1"/>
  <c r="AC8" i="22" s="1"/>
  <c r="AD19" i="22"/>
  <c r="AD4" i="22"/>
  <c r="AT41" i="27"/>
  <c r="AU70" i="28"/>
  <c r="AW38" i="27" s="1"/>
  <c r="AW39" i="27" s="1"/>
  <c r="AW40" i="27" s="1"/>
  <c r="AW41" i="27" s="1"/>
  <c r="L36" i="28"/>
  <c r="AU72" i="28"/>
  <c r="AW58" i="27" s="1"/>
  <c r="AW59" i="27" s="1"/>
  <c r="AW60" i="27" s="1"/>
  <c r="AW61" i="27" s="1"/>
  <c r="AK71" i="28"/>
  <c r="AM48" i="27" s="1"/>
  <c r="AM49" i="27" s="1"/>
  <c r="AM50" i="27" s="1"/>
  <c r="AM51" i="27" s="1"/>
  <c r="E71" i="28"/>
  <c r="E69" i="28"/>
  <c r="G28" i="27" s="1"/>
  <c r="G29" i="27" s="1"/>
  <c r="G30" i="27" s="1"/>
  <c r="AQ71" i="28"/>
  <c r="AS48" i="27" s="1"/>
  <c r="AS49" i="27" s="1"/>
  <c r="AS50" i="27" s="1"/>
  <c r="AS51" i="27" s="1"/>
  <c r="AJ36" i="28"/>
  <c r="AM41" i="27"/>
  <c r="G36" i="28"/>
  <c r="AO73" i="28"/>
  <c r="AQ68" i="27" s="1"/>
  <c r="AQ73" i="28"/>
  <c r="AS68" i="27" s="1"/>
  <c r="AS69" i="27" s="1"/>
  <c r="AU71" i="28"/>
  <c r="AW48" i="27" s="1"/>
  <c r="AW49" i="27" s="1"/>
  <c r="AW50" i="27" s="1"/>
  <c r="AW51" i="27" s="1"/>
  <c r="AU73" i="28"/>
  <c r="AW68" i="27" s="1"/>
  <c r="AW69" i="27" s="1"/>
  <c r="AK73" i="28"/>
  <c r="AM68" i="27" s="1"/>
  <c r="AK69" i="28"/>
  <c r="AM28" i="27" s="1"/>
  <c r="AM29" i="27" s="1"/>
  <c r="AM30" i="27" s="1"/>
  <c r="AM31" i="27" s="1"/>
  <c r="AE4" i="22"/>
  <c r="AF4" i="22" s="1"/>
  <c r="BJ16" i="1"/>
  <c r="AM71" i="28"/>
  <c r="AO48" i="27" s="1"/>
  <c r="AO49" i="27" s="1"/>
  <c r="AO50" i="27" s="1"/>
  <c r="AO51" i="27" s="1"/>
  <c r="AM72" i="28"/>
  <c r="AO58" i="27" s="1"/>
  <c r="AO59" i="27" s="1"/>
  <c r="AO60" i="27" s="1"/>
  <c r="AM70" i="28"/>
  <c r="AO38" i="27" s="1"/>
  <c r="AO39" i="27" s="1"/>
  <c r="AO40" i="27" s="1"/>
  <c r="AO41" i="27" s="1"/>
  <c r="AM69" i="28"/>
  <c r="AO28" i="27" s="1"/>
  <c r="AO29" i="27" s="1"/>
  <c r="AO30" i="27" s="1"/>
  <c r="AO31" i="27" s="1"/>
  <c r="AM73" i="28"/>
  <c r="AO68" i="27" s="1"/>
  <c r="AE69" i="28"/>
  <c r="AG28" i="27" s="1"/>
  <c r="AG29" i="27" s="1"/>
  <c r="AG30" i="27" s="1"/>
  <c r="AG31" i="27" s="1"/>
  <c r="AE71" i="28"/>
  <c r="AG48" i="27" s="1"/>
  <c r="AG49" i="27" s="1"/>
  <c r="AG50" i="27" s="1"/>
  <c r="AG51" i="27" s="1"/>
  <c r="AE72" i="28"/>
  <c r="AG58" i="27" s="1"/>
  <c r="AG59" i="27" s="1"/>
  <c r="AG60" i="27" s="1"/>
  <c r="AG61" i="27" s="1"/>
  <c r="AE70" i="28"/>
  <c r="AG38" i="27" s="1"/>
  <c r="AG39" i="27" s="1"/>
  <c r="AG40" i="27" s="1"/>
  <c r="AG41" i="27" s="1"/>
  <c r="AE73" i="28"/>
  <c r="AG68" i="27" s="1"/>
  <c r="W71" i="28"/>
  <c r="Y48" i="27" s="1"/>
  <c r="Y49" i="27" s="1"/>
  <c r="W72" i="28"/>
  <c r="Y58" i="27" s="1"/>
  <c r="Y59" i="27" s="1"/>
  <c r="W70" i="28"/>
  <c r="Y38" i="27" s="1"/>
  <c r="Y39" i="27" s="1"/>
  <c r="W69" i="28"/>
  <c r="Y28" i="27" s="1"/>
  <c r="Y29" i="27" s="1"/>
  <c r="W73" i="28"/>
  <c r="Y68" i="27" s="1"/>
  <c r="Y69" i="27" s="1"/>
  <c r="O71" i="28"/>
  <c r="Q48" i="27" s="1"/>
  <c r="Q49" i="27" s="1"/>
  <c r="O72" i="28"/>
  <c r="Q58" i="27" s="1"/>
  <c r="Q59" i="27" s="1"/>
  <c r="O70" i="28"/>
  <c r="Q38" i="27" s="1"/>
  <c r="Q39" i="27" s="1"/>
  <c r="O69" i="28"/>
  <c r="Q28" i="27" s="1"/>
  <c r="Q29" i="27" s="1"/>
  <c r="O73" i="28"/>
  <c r="Q68" i="27" s="1"/>
  <c r="Q69" i="27" s="1"/>
  <c r="G71" i="28"/>
  <c r="G72" i="28"/>
  <c r="G70" i="28"/>
  <c r="G69" i="28"/>
  <c r="G73" i="28"/>
  <c r="AD69" i="28"/>
  <c r="AF28" i="27" s="1"/>
  <c r="AF29" i="27" s="1"/>
  <c r="AF30" i="27" s="1"/>
  <c r="AD72" i="28"/>
  <c r="AF58" i="27" s="1"/>
  <c r="AF59" i="27" s="1"/>
  <c r="AF60" i="27" s="1"/>
  <c r="AD73" i="28"/>
  <c r="AF68" i="27" s="1"/>
  <c r="AD70" i="28"/>
  <c r="AF38" i="27" s="1"/>
  <c r="AF39" i="27" s="1"/>
  <c r="AF40" i="27" s="1"/>
  <c r="AF41" i="27" s="1"/>
  <c r="AD71" i="28"/>
  <c r="AF48" i="27" s="1"/>
  <c r="AF49" i="27" s="1"/>
  <c r="AF50" i="27" s="1"/>
  <c r="AF51" i="27" s="1"/>
  <c r="AN69" i="28"/>
  <c r="AP28" i="27" s="1"/>
  <c r="AP29" i="27" s="1"/>
  <c r="AP30" i="27" s="1"/>
  <c r="AN72" i="28"/>
  <c r="AP58" i="27" s="1"/>
  <c r="AP59" i="27" s="1"/>
  <c r="AP60" i="27" s="1"/>
  <c r="AN73" i="28"/>
  <c r="AP68" i="27" s="1"/>
  <c r="AN70" i="28"/>
  <c r="AP38" i="27" s="1"/>
  <c r="AP39" i="27" s="1"/>
  <c r="AP40" i="27" s="1"/>
  <c r="AN71" i="28"/>
  <c r="AP48" i="27" s="1"/>
  <c r="AP49" i="27" s="1"/>
  <c r="AP50" i="27" s="1"/>
  <c r="AP51" i="27" s="1"/>
  <c r="AF70" i="28"/>
  <c r="AH38" i="27" s="1"/>
  <c r="AH39" i="27" s="1"/>
  <c r="AH40" i="27" s="1"/>
  <c r="AH41" i="27" s="1"/>
  <c r="AF71" i="28"/>
  <c r="AH48" i="27" s="1"/>
  <c r="AH49" i="27" s="1"/>
  <c r="AH50" i="27" s="1"/>
  <c r="AH51" i="27" s="1"/>
  <c r="AF69" i="28"/>
  <c r="AH28" i="27" s="1"/>
  <c r="AH29" i="27" s="1"/>
  <c r="AH30" i="27" s="1"/>
  <c r="AH31" i="27" s="1"/>
  <c r="AF72" i="28"/>
  <c r="AH58" i="27" s="1"/>
  <c r="AH59" i="27" s="1"/>
  <c r="AH60" i="27" s="1"/>
  <c r="AH61" i="27" s="1"/>
  <c r="P69" i="28"/>
  <c r="P72" i="28"/>
  <c r="R58" i="27" s="1"/>
  <c r="R59" i="27" s="1"/>
  <c r="P73" i="28"/>
  <c r="R68" i="27" s="1"/>
  <c r="R69" i="27" s="1"/>
  <c r="P71" i="28"/>
  <c r="R48" i="27" s="1"/>
  <c r="R49" i="27" s="1"/>
  <c r="P70" i="28"/>
  <c r="R38" i="27" s="1"/>
  <c r="R39" i="27" s="1"/>
  <c r="H71" i="28"/>
  <c r="H70" i="28"/>
  <c r="H69" i="28"/>
  <c r="H72" i="28"/>
  <c r="AL70" i="28"/>
  <c r="AN38" i="27" s="1"/>
  <c r="AN39" i="27" s="1"/>
  <c r="AN40" i="27" s="1"/>
  <c r="AN41" i="27" s="1"/>
  <c r="AL71" i="28"/>
  <c r="AN48" i="27" s="1"/>
  <c r="AN49" i="27" s="1"/>
  <c r="AN50" i="27" s="1"/>
  <c r="AN51" i="27" s="1"/>
  <c r="AL69" i="28"/>
  <c r="AN28" i="27" s="1"/>
  <c r="AN29" i="27" s="1"/>
  <c r="AN30" i="27" s="1"/>
  <c r="AN31" i="27" s="1"/>
  <c r="AL72" i="28"/>
  <c r="AN58" i="27" s="1"/>
  <c r="AN59" i="27" s="1"/>
  <c r="AN60" i="27" s="1"/>
  <c r="AN61" i="27" s="1"/>
  <c r="N71" i="28"/>
  <c r="P48" i="27" s="1"/>
  <c r="P49" i="27" s="1"/>
  <c r="V70" i="28"/>
  <c r="X38" i="27" s="1"/>
  <c r="X39" i="27" s="1"/>
  <c r="V71" i="28"/>
  <c r="X48" i="27" s="1"/>
  <c r="X49" i="27" s="1"/>
  <c r="V69" i="28"/>
  <c r="X28" i="27" s="1"/>
  <c r="X29" i="27" s="1"/>
  <c r="V72" i="28"/>
  <c r="X58" i="27" s="1"/>
  <c r="X59" i="27" s="1"/>
  <c r="X72" i="28"/>
  <c r="Z58" i="27" s="1"/>
  <c r="Z59" i="27" s="1"/>
  <c r="AB72" i="28"/>
  <c r="AD58" i="27" s="1"/>
  <c r="AD59" i="27" s="1"/>
  <c r="AB69" i="28"/>
  <c r="AD28" i="27" s="1"/>
  <c r="AD29" i="27" s="1"/>
  <c r="AC70" i="28"/>
  <c r="AE38" i="27" s="1"/>
  <c r="AE39" i="27" s="1"/>
  <c r="AC73" i="28"/>
  <c r="AE68" i="27" s="1"/>
  <c r="AE69" i="27" s="1"/>
  <c r="AC69" i="28"/>
  <c r="AE28" i="27" s="1"/>
  <c r="AE29" i="27" s="1"/>
  <c r="AC71" i="28"/>
  <c r="AE48" i="27" s="1"/>
  <c r="AE49" i="27" s="1"/>
  <c r="AC72" i="28"/>
  <c r="AE58" i="27" s="1"/>
  <c r="AE59" i="27" s="1"/>
  <c r="AH69" i="28"/>
  <c r="AJ28" i="27" s="1"/>
  <c r="AJ29" i="27" s="1"/>
  <c r="AJ30" i="27" s="1"/>
  <c r="AJ31" i="27" s="1"/>
  <c r="AH72" i="28"/>
  <c r="AJ58" i="27" s="1"/>
  <c r="AJ59" i="27" s="1"/>
  <c r="AJ60" i="27" s="1"/>
  <c r="AJ61" i="27" s="1"/>
  <c r="AH73" i="28"/>
  <c r="AJ68" i="27" s="1"/>
  <c r="AH70" i="28"/>
  <c r="AJ38" i="27" s="1"/>
  <c r="AJ39" i="27" s="1"/>
  <c r="AJ40" i="27" s="1"/>
  <c r="AJ41" i="27" s="1"/>
  <c r="AH71" i="28"/>
  <c r="AJ48" i="27" s="1"/>
  <c r="AJ49" i="27" s="1"/>
  <c r="AJ50" i="27" s="1"/>
  <c r="AJ51" i="27" s="1"/>
  <c r="AO61" i="27"/>
  <c r="AP61" i="27"/>
  <c r="AP31" i="27"/>
  <c r="AP70" i="28"/>
  <c r="AR38" i="27" s="1"/>
  <c r="AR39" i="27" s="1"/>
  <c r="AR40" i="27" s="1"/>
  <c r="AR41" i="27" s="1"/>
  <c r="AP71" i="28"/>
  <c r="AR48" i="27" s="1"/>
  <c r="AR49" i="27" s="1"/>
  <c r="AR50" i="27" s="1"/>
  <c r="AR51" i="27" s="1"/>
  <c r="AP69" i="28"/>
  <c r="AP72" i="28"/>
  <c r="AR58" i="27" s="1"/>
  <c r="AR59" i="27" s="1"/>
  <c r="AR60" i="27" s="1"/>
  <c r="AR61" i="27" s="1"/>
  <c r="AP73" i="28"/>
  <c r="AR68" i="27" s="1"/>
  <c r="AF73" i="28"/>
  <c r="AH68" i="27" s="1"/>
  <c r="H73" i="28"/>
  <c r="AI69" i="28"/>
  <c r="AK28" i="27" s="1"/>
  <c r="AK29" i="27" s="1"/>
  <c r="AK30" i="27" s="1"/>
  <c r="AI71" i="28"/>
  <c r="AK48" i="27" s="1"/>
  <c r="AK49" i="27" s="1"/>
  <c r="AK50" i="27" s="1"/>
  <c r="AI72" i="28"/>
  <c r="AK58" i="27" s="1"/>
  <c r="AK59" i="27" s="1"/>
  <c r="AK60" i="27" s="1"/>
  <c r="AK61" i="27" s="1"/>
  <c r="AI70" i="28"/>
  <c r="AK38" i="27" s="1"/>
  <c r="AK39" i="27" s="1"/>
  <c r="AK40" i="27" s="1"/>
  <c r="AK41" i="27" s="1"/>
  <c r="AI73" i="28"/>
  <c r="AK68" i="27" s="1"/>
  <c r="AA69" i="28"/>
  <c r="AC28" i="27" s="1"/>
  <c r="AC29" i="27" s="1"/>
  <c r="AA71" i="28"/>
  <c r="AC48" i="27" s="1"/>
  <c r="AC49" i="27" s="1"/>
  <c r="AA72" i="28"/>
  <c r="AC58" i="27" s="1"/>
  <c r="AC59" i="27" s="1"/>
  <c r="AA70" i="28"/>
  <c r="AC38" i="27" s="1"/>
  <c r="AC39" i="27" s="1"/>
  <c r="AA73" i="28"/>
  <c r="AC68" i="27" s="1"/>
  <c r="AC69" i="27" s="1"/>
  <c r="S71" i="28"/>
  <c r="U48" i="27" s="1"/>
  <c r="U49" i="27" s="1"/>
  <c r="S72" i="28"/>
  <c r="U58" i="27" s="1"/>
  <c r="U59" i="27" s="1"/>
  <c r="S70" i="28"/>
  <c r="U38" i="27" s="1"/>
  <c r="U39" i="27" s="1"/>
  <c r="S69" i="28"/>
  <c r="U28" i="27" s="1"/>
  <c r="U29" i="27" s="1"/>
  <c r="S73" i="28"/>
  <c r="U68" i="27" s="1"/>
  <c r="U69" i="27" s="1"/>
  <c r="K71" i="28"/>
  <c r="K72" i="28"/>
  <c r="K70" i="28"/>
  <c r="K69" i="28"/>
  <c r="K73" i="28"/>
  <c r="AF61" i="27"/>
  <c r="AF31" i="27"/>
  <c r="J69" i="28"/>
  <c r="J72" i="28"/>
  <c r="J73" i="28"/>
  <c r="J71" i="28"/>
  <c r="J70" i="28"/>
  <c r="T69" i="28"/>
  <c r="V28" i="27" s="1"/>
  <c r="V29" i="27" s="1"/>
  <c r="T72" i="28"/>
  <c r="V58" i="27" s="1"/>
  <c r="V59" i="27" s="1"/>
  <c r="T73" i="28"/>
  <c r="V68" i="27" s="1"/>
  <c r="V69" i="27" s="1"/>
  <c r="T70" i="28"/>
  <c r="V38" i="27" s="1"/>
  <c r="V39" i="27" s="1"/>
  <c r="T71" i="28"/>
  <c r="V48" i="27" s="1"/>
  <c r="V49" i="27" s="1"/>
  <c r="L71" i="28"/>
  <c r="N48" i="27" s="1"/>
  <c r="N49" i="27" s="1"/>
  <c r="L70" i="28"/>
  <c r="N38" i="27" s="1"/>
  <c r="N39" i="27" s="1"/>
  <c r="L69" i="28"/>
  <c r="L72" i="28"/>
  <c r="N58" i="27" s="1"/>
  <c r="N59" i="27" s="1"/>
  <c r="D71" i="28"/>
  <c r="D70" i="28"/>
  <c r="D69" i="28"/>
  <c r="D72" i="28"/>
  <c r="F69" i="28"/>
  <c r="F72" i="28"/>
  <c r="F73" i="28"/>
  <c r="F71" i="28"/>
  <c r="F70" i="28"/>
  <c r="I70" i="28"/>
  <c r="I69" i="28"/>
  <c r="I73" i="28"/>
  <c r="I71" i="28"/>
  <c r="I72" i="28"/>
  <c r="M70" i="28"/>
  <c r="O38" i="27" s="1"/>
  <c r="O39" i="27" s="1"/>
  <c r="M69" i="28"/>
  <c r="O28" i="27" s="1"/>
  <c r="O29" i="27" s="1"/>
  <c r="M73" i="28"/>
  <c r="O68" i="27" s="1"/>
  <c r="O69" i="27" s="1"/>
  <c r="M71" i="28"/>
  <c r="O48" i="27" s="1"/>
  <c r="O49" i="27" s="1"/>
  <c r="M72" i="28"/>
  <c r="O58" i="27" s="1"/>
  <c r="O59" i="27" s="1"/>
  <c r="N69" i="28"/>
  <c r="P28" i="27" s="1"/>
  <c r="P29" i="27" s="1"/>
  <c r="Q70" i="28"/>
  <c r="S38" i="27" s="1"/>
  <c r="S39" i="27" s="1"/>
  <c r="Q69" i="28"/>
  <c r="S28" i="27" s="1"/>
  <c r="S29" i="27" s="1"/>
  <c r="Q73" i="28"/>
  <c r="S68" i="27" s="1"/>
  <c r="S69" i="27" s="1"/>
  <c r="Q71" i="28"/>
  <c r="S48" i="27" s="1"/>
  <c r="S49" i="27" s="1"/>
  <c r="Q72" i="28"/>
  <c r="S58" i="27" s="1"/>
  <c r="S59" i="27" s="1"/>
  <c r="R70" i="28"/>
  <c r="T38" i="27" s="1"/>
  <c r="T39" i="27" s="1"/>
  <c r="R71" i="28"/>
  <c r="T48" i="27" s="1"/>
  <c r="T49" i="27" s="1"/>
  <c r="R69" i="28"/>
  <c r="T28" i="27" s="1"/>
  <c r="T29" i="27" s="1"/>
  <c r="R72" i="28"/>
  <c r="T58" i="27" s="1"/>
  <c r="T59" i="27" s="1"/>
  <c r="U70" i="28"/>
  <c r="W38" i="27" s="1"/>
  <c r="W39" i="27" s="1"/>
  <c r="U69" i="28"/>
  <c r="W28" i="27" s="1"/>
  <c r="W29" i="27" s="1"/>
  <c r="U73" i="28"/>
  <c r="W68" i="27" s="1"/>
  <c r="W69" i="27" s="1"/>
  <c r="U71" i="28"/>
  <c r="W48" i="27" s="1"/>
  <c r="W49" i="27" s="1"/>
  <c r="U72" i="28"/>
  <c r="W58" i="27" s="1"/>
  <c r="W59" i="27" s="1"/>
  <c r="X70" i="28"/>
  <c r="Z38" i="27" s="1"/>
  <c r="Z39" i="27" s="1"/>
  <c r="Z40" i="27" s="1"/>
  <c r="Z41" i="27" s="1"/>
  <c r="Z70" i="28"/>
  <c r="AB38" i="27" s="1"/>
  <c r="AB39" i="27" s="1"/>
  <c r="AB73" i="28"/>
  <c r="AD68" i="27" s="1"/>
  <c r="AD69" i="27" s="1"/>
  <c r="AG70" i="28"/>
  <c r="AI38" i="27" s="1"/>
  <c r="AI39" i="27" s="1"/>
  <c r="AI40" i="27" s="1"/>
  <c r="AI41" i="27" s="1"/>
  <c r="AG73" i="28"/>
  <c r="AI68" i="27" s="1"/>
  <c r="AG69" i="28"/>
  <c r="AI28" i="27" s="1"/>
  <c r="AI29" i="27" s="1"/>
  <c r="AI30" i="27" s="1"/>
  <c r="AI31" i="27" s="1"/>
  <c r="AG71" i="28"/>
  <c r="AI48" i="27" s="1"/>
  <c r="AI49" i="27" s="1"/>
  <c r="AI50" i="27" s="1"/>
  <c r="AI51" i="27" s="1"/>
  <c r="AG72" i="28"/>
  <c r="AI58" i="27" s="1"/>
  <c r="AI59" i="27" s="1"/>
  <c r="AI60" i="27" s="1"/>
  <c r="AI61" i="27" s="1"/>
  <c r="AK51" i="27"/>
  <c r="AP41" i="27"/>
  <c r="AO72" i="28"/>
  <c r="AQ58" i="27" s="1"/>
  <c r="AQ59" i="27" s="1"/>
  <c r="AQ60" i="27" s="1"/>
  <c r="AQ61" i="27" s="1"/>
  <c r="AO69" i="28"/>
  <c r="AQ28" i="27" s="1"/>
  <c r="AQ29" i="27" s="1"/>
  <c r="AQ30" i="27" s="1"/>
  <c r="AQ70" i="28"/>
  <c r="AS38" i="27" s="1"/>
  <c r="AS39" i="27" s="1"/>
  <c r="AS40" i="27" s="1"/>
  <c r="AS41" i="27" s="1"/>
  <c r="AQ72" i="28"/>
  <c r="AS58" i="27" s="1"/>
  <c r="AS59" i="27" s="1"/>
  <c r="AS60" i="27" s="1"/>
  <c r="AS61" i="27" s="1"/>
  <c r="AS16" i="27"/>
  <c r="AW69" i="28"/>
  <c r="AY28" i="27" s="1"/>
  <c r="AY29" i="27" s="1"/>
  <c r="AY30" i="27" s="1"/>
  <c r="AW73" i="28"/>
  <c r="AY68" i="27" s="1"/>
  <c r="AY69" i="27" s="1"/>
  <c r="AW70" i="28"/>
  <c r="AY38" i="27" s="1"/>
  <c r="AY39" i="27" s="1"/>
  <c r="AY40" i="27" s="1"/>
  <c r="AY41" i="27" s="1"/>
  <c r="AL73" i="28"/>
  <c r="AN68" i="27" s="1"/>
  <c r="V73" i="28"/>
  <c r="X68" i="27" s="1"/>
  <c r="X69" i="27" s="1"/>
  <c r="L73" i="28"/>
  <c r="N68" i="27" s="1"/>
  <c r="N69" i="27" s="1"/>
  <c r="D73" i="28"/>
  <c r="D18" i="29"/>
  <c r="G38" i="27"/>
  <c r="G39" i="27" s="1"/>
  <c r="G40" i="27" s="1"/>
  <c r="D38" i="29"/>
  <c r="G58" i="27"/>
  <c r="G59" i="27" s="1"/>
  <c r="G60" i="27" s="1"/>
  <c r="D28" i="29"/>
  <c r="G48" i="27"/>
  <c r="G49" i="27" s="1"/>
  <c r="G50" i="27" s="1"/>
  <c r="Y69" i="28"/>
  <c r="AM69" i="27"/>
  <c r="D48" i="29"/>
  <c r="G68" i="27"/>
  <c r="G69" i="27" s="1"/>
  <c r="G70" i="27" s="1"/>
  <c r="D8" i="29"/>
  <c r="AY61" i="27"/>
  <c r="AW71" i="28"/>
  <c r="AY48" i="27" s="1"/>
  <c r="AY49" i="27" s="1"/>
  <c r="AY50" i="27" s="1"/>
  <c r="AY51" i="27" s="1"/>
  <c r="AW36" i="28"/>
  <c r="AY27" i="27"/>
  <c r="AU36" i="28"/>
  <c r="AW16" i="27"/>
  <c r="AW28" i="27"/>
  <c r="AW29" i="27" s="1"/>
  <c r="AW30" i="27" s="1"/>
  <c r="AU74" i="28"/>
  <c r="AT73" i="28"/>
  <c r="AV68" i="27" s="1"/>
  <c r="AT69" i="28"/>
  <c r="AT70" i="28"/>
  <c r="AV38" i="27" s="1"/>
  <c r="AV39" i="27" s="1"/>
  <c r="AV40" i="27" s="1"/>
  <c r="AV41" i="27" s="1"/>
  <c r="AV61" i="27"/>
  <c r="AT71" i="28"/>
  <c r="AV48" i="27" s="1"/>
  <c r="AV49" i="27" s="1"/>
  <c r="AV50" i="27" s="1"/>
  <c r="AV51" i="27" s="1"/>
  <c r="AV16" i="27"/>
  <c r="AT36" i="28"/>
  <c r="AU51" i="27"/>
  <c r="AS72" i="28"/>
  <c r="AU58" i="27" s="1"/>
  <c r="AU59" i="27" s="1"/>
  <c r="AU60" i="27" s="1"/>
  <c r="AU61" i="27" s="1"/>
  <c r="AS73" i="28"/>
  <c r="AU68" i="27" s="1"/>
  <c r="AS69" i="28"/>
  <c r="AS70" i="28"/>
  <c r="AU38" i="27" s="1"/>
  <c r="AU39" i="27" s="1"/>
  <c r="AU40" i="27" s="1"/>
  <c r="AU41" i="27" s="1"/>
  <c r="AS36" i="28"/>
  <c r="AU27" i="27"/>
  <c r="AU16" i="27" s="1"/>
  <c r="AR71" i="28"/>
  <c r="AT48" i="27" s="1"/>
  <c r="AT49" i="27" s="1"/>
  <c r="AT50" i="27" s="1"/>
  <c r="AT51" i="27" s="1"/>
  <c r="AR72" i="28"/>
  <c r="AT58" i="27" s="1"/>
  <c r="AT59" i="27" s="1"/>
  <c r="AT60" i="27" s="1"/>
  <c r="AT61" i="27" s="1"/>
  <c r="AR69" i="28"/>
  <c r="AT28" i="27" s="1"/>
  <c r="AT29" i="27" s="1"/>
  <c r="AT30" i="27" s="1"/>
  <c r="AR73" i="28"/>
  <c r="AT68" i="27" s="1"/>
  <c r="AR36" i="28"/>
  <c r="AT27" i="27"/>
  <c r="AQ36" i="28"/>
  <c r="AS28" i="27"/>
  <c r="AS29" i="27" s="1"/>
  <c r="AS30" i="27" s="1"/>
  <c r="AS31" i="27" s="1"/>
  <c r="AP36" i="28"/>
  <c r="AR16" i="27"/>
  <c r="AQ51" i="27"/>
  <c r="AQ69" i="27"/>
  <c r="AO70" i="28"/>
  <c r="AQ38" i="27" s="1"/>
  <c r="AQ39" i="27" s="1"/>
  <c r="AQ40" i="27" s="1"/>
  <c r="AQ41" i="27" s="1"/>
  <c r="AO36" i="28"/>
  <c r="AQ27" i="27"/>
  <c r="AQ16" i="27" s="1"/>
  <c r="AN36" i="28"/>
  <c r="AP16" i="27"/>
  <c r="AO16" i="27"/>
  <c r="AM36" i="28"/>
  <c r="AN16" i="27"/>
  <c r="AM16" i="27"/>
  <c r="AL16" i="27"/>
  <c r="AJ70" i="28"/>
  <c r="AL38" i="27" s="1"/>
  <c r="AL39" i="27" s="1"/>
  <c r="AL40" i="27" s="1"/>
  <c r="AL41" i="27" s="1"/>
  <c r="AJ71" i="28"/>
  <c r="AL48" i="27" s="1"/>
  <c r="AL49" i="27" s="1"/>
  <c r="AL50" i="27" s="1"/>
  <c r="AL51" i="27" s="1"/>
  <c r="AJ72" i="28"/>
  <c r="AL58" i="27" s="1"/>
  <c r="AL59" i="27" s="1"/>
  <c r="AL60" i="27" s="1"/>
  <c r="AL61" i="27" s="1"/>
  <c r="AJ73" i="28"/>
  <c r="AL68" i="27" s="1"/>
  <c r="AI36" i="28"/>
  <c r="AK27" i="27"/>
  <c r="AJ16" i="27"/>
  <c r="AI16" i="27"/>
  <c r="AH16" i="27"/>
  <c r="AF36" i="28"/>
  <c r="AG16" i="27"/>
  <c r="AF16" i="27"/>
  <c r="AB36" i="28"/>
  <c r="AB70" i="28"/>
  <c r="AD38" i="27" s="1"/>
  <c r="AD39" i="27" s="1"/>
  <c r="Z16" i="27"/>
  <c r="AZ18" i="1"/>
  <c r="Z71" i="28"/>
  <c r="AB48" i="27" s="1"/>
  <c r="AB49" i="27" s="1"/>
  <c r="Z72" i="28"/>
  <c r="AB58" i="27" s="1"/>
  <c r="AB59" i="27" s="1"/>
  <c r="Z73" i="28"/>
  <c r="AB68" i="27" s="1"/>
  <c r="AB69" i="27" s="1"/>
  <c r="BJ31" i="1"/>
  <c r="BJ61" i="1"/>
  <c r="BJ41" i="1"/>
  <c r="BJ51" i="1"/>
  <c r="BI30" i="1"/>
  <c r="BI31" i="1" s="1"/>
  <c r="BI60" i="1"/>
  <c r="BI61" i="1" s="1"/>
  <c r="BI40" i="1"/>
  <c r="BI41" i="1" s="1"/>
  <c r="BI50" i="1"/>
  <c r="BI51" i="1" s="1"/>
  <c r="X36" i="28"/>
  <c r="X73" i="28"/>
  <c r="Z68" i="27" s="1"/>
  <c r="X69" i="28"/>
  <c r="BI18" i="1"/>
  <c r="BH61" i="1"/>
  <c r="BH51" i="1"/>
  <c r="BH31" i="1"/>
  <c r="BH41" i="1"/>
  <c r="BH18" i="1"/>
  <c r="BG61" i="1"/>
  <c r="BG51" i="1"/>
  <c r="W36" i="28"/>
  <c r="BG31" i="1"/>
  <c r="BG41" i="1"/>
  <c r="BF61" i="1"/>
  <c r="BF41" i="1"/>
  <c r="BF31" i="1"/>
  <c r="BE61" i="1"/>
  <c r="BE18" i="1"/>
  <c r="BE41" i="1"/>
  <c r="BE31" i="1"/>
  <c r="BD18" i="1"/>
  <c r="BD41" i="1"/>
  <c r="BD31" i="1"/>
  <c r="BD61" i="1"/>
  <c r="BD51" i="1"/>
  <c r="S36" i="28"/>
  <c r="BC31" i="1"/>
  <c r="BC51" i="1"/>
  <c r="BC41" i="1"/>
  <c r="BB16" i="1"/>
  <c r="BF51" i="1"/>
  <c r="BE51" i="1"/>
  <c r="BE70" i="1"/>
  <c r="BE19" i="1" s="1"/>
  <c r="BB31" i="1"/>
  <c r="BB41" i="1"/>
  <c r="BB61" i="1"/>
  <c r="BB51" i="1"/>
  <c r="BA41" i="1"/>
  <c r="BA61" i="1"/>
  <c r="BA18" i="1"/>
  <c r="AZ61" i="1"/>
  <c r="AZ51" i="1"/>
  <c r="AZ41" i="1"/>
  <c r="AZ31" i="1"/>
  <c r="BA31" i="1"/>
  <c r="BA51" i="1"/>
  <c r="N72" i="28"/>
  <c r="P58" i="27" s="1"/>
  <c r="P59" i="27" s="1"/>
  <c r="N73" i="28"/>
  <c r="P68" i="27" s="1"/>
  <c r="P69" i="27" s="1"/>
  <c r="BA70" i="1"/>
  <c r="AZ70" i="1"/>
  <c r="AZ19" i="1" s="1"/>
  <c r="BH70" i="1"/>
  <c r="BH19" i="1" s="1"/>
  <c r="F36" i="28"/>
  <c r="AE19" i="22"/>
  <c r="AF19" i="22" s="1"/>
  <c r="AG19" i="22" s="1"/>
  <c r="AH19" i="22" s="1"/>
  <c r="AD5" i="22"/>
  <c r="AE5" i="22" s="1"/>
  <c r="D36" i="28"/>
  <c r="F67" i="27"/>
  <c r="F16" i="27" s="1"/>
  <c r="R36" i="28"/>
  <c r="AA36" i="28"/>
  <c r="AE36" i="28"/>
  <c r="K36" i="28"/>
  <c r="O36" i="28"/>
  <c r="AH36" i="28"/>
  <c r="J36" i="28"/>
  <c r="S74" i="28"/>
  <c r="AK36" i="28"/>
  <c r="AC36" i="28"/>
  <c r="V36" i="28"/>
  <c r="Z36" i="28"/>
  <c r="N36" i="28"/>
  <c r="AD36" i="28"/>
  <c r="AL36" i="28"/>
  <c r="AK74" i="28"/>
  <c r="AH74" i="28"/>
  <c r="Y36" i="28"/>
  <c r="M36" i="28"/>
  <c r="AG36" i="28"/>
  <c r="R74" i="28"/>
  <c r="G74" i="28"/>
  <c r="Q36" i="28"/>
  <c r="E36" i="28"/>
  <c r="U36" i="28"/>
  <c r="T34" i="28"/>
  <c r="V57" i="27" s="1"/>
  <c r="T20" i="28"/>
  <c r="AC74" i="28"/>
  <c r="I36" i="28"/>
  <c r="T33" i="28"/>
  <c r="V47" i="27" s="1"/>
  <c r="T31" i="28"/>
  <c r="V27" i="27" s="1"/>
  <c r="T35" i="28"/>
  <c r="V67" i="27" s="1"/>
  <c r="AC33" i="22"/>
  <c r="AD33" i="22" s="1"/>
  <c r="AE33" i="22" s="1"/>
  <c r="BF18" i="1"/>
  <c r="BF70" i="1"/>
  <c r="BC18" i="1"/>
  <c r="BC70" i="1"/>
  <c r="BG18" i="1"/>
  <c r="BG70" i="1"/>
  <c r="BB18" i="1"/>
  <c r="BB70" i="1"/>
  <c r="BJ18" i="1"/>
  <c r="BJ70" i="1"/>
  <c r="BI70" i="1"/>
  <c r="BD70" i="1"/>
  <c r="AC11" i="22"/>
  <c r="AC25" i="22"/>
  <c r="AD25" i="22" s="1"/>
  <c r="AC12" i="22"/>
  <c r="AD12" i="22" s="1"/>
  <c r="AE12" i="22" s="1"/>
  <c r="AF12" i="22" s="1"/>
  <c r="AC26" i="22"/>
  <c r="AD26" i="22" s="1"/>
  <c r="AE26" i="22" s="1"/>
  <c r="AF26" i="22" s="1"/>
  <c r="AG26" i="22" s="1"/>
  <c r="AC18" i="22"/>
  <c r="AC32" i="22"/>
  <c r="BG41" i="28" l="1"/>
  <c r="BG43" i="28"/>
  <c r="BG39" i="28"/>
  <c r="BG42" i="28"/>
  <c r="AE6" i="22"/>
  <c r="AE7" i="22" s="1"/>
  <c r="AE8" i="22" s="1"/>
  <c r="Z74" i="28"/>
  <c r="AA74" i="28"/>
  <c r="E74" i="28"/>
  <c r="AB74" i="28"/>
  <c r="AW17" i="27"/>
  <c r="G19" i="27"/>
  <c r="AM17" i="27"/>
  <c r="T18" i="27"/>
  <c r="AL74" i="28"/>
  <c r="J74" i="28"/>
  <c r="M74" i="28"/>
  <c r="AG74" i="28"/>
  <c r="O74" i="28"/>
  <c r="U74" i="28"/>
  <c r="T74" i="28"/>
  <c r="AD74" i="28"/>
  <c r="AN74" i="28"/>
  <c r="Q74" i="28"/>
  <c r="V74" i="28"/>
  <c r="G18" i="27"/>
  <c r="AK31" i="27"/>
  <c r="AQ74" i="28"/>
  <c r="AH26" i="22"/>
  <c r="AI26" i="22" s="1"/>
  <c r="AJ26" i="22" s="1"/>
  <c r="AK26" i="22" s="1"/>
  <c r="AF33" i="22"/>
  <c r="AG33" i="22" s="1"/>
  <c r="AH33" i="22" s="1"/>
  <c r="AI33" i="22" s="1"/>
  <c r="AJ33" i="22" s="1"/>
  <c r="AK33" i="22" s="1"/>
  <c r="AG12" i="22"/>
  <c r="AH12" i="22" s="1"/>
  <c r="AI12" i="22" s="1"/>
  <c r="AJ12" i="22" s="1"/>
  <c r="AI19" i="22"/>
  <c r="AJ19" i="22" s="1"/>
  <c r="AG4" i="22"/>
  <c r="AC20" i="22"/>
  <c r="AC21" i="22" s="1"/>
  <c r="AC22" i="22" s="1"/>
  <c r="AD18" i="22"/>
  <c r="AD27" i="22"/>
  <c r="AD28" i="22" s="1"/>
  <c r="AD29" i="22" s="1"/>
  <c r="AF5" i="22"/>
  <c r="AG5" i="22" s="1"/>
  <c r="AC34" i="22"/>
  <c r="AC35" i="22" s="1"/>
  <c r="AC36" i="22" s="1"/>
  <c r="N74" i="28"/>
  <c r="AA28" i="27"/>
  <c r="AA29" i="27" s="1"/>
  <c r="Y74" i="28"/>
  <c r="D31" i="29"/>
  <c r="D29" i="29"/>
  <c r="D30" i="29" s="1"/>
  <c r="D39" i="29"/>
  <c r="D40" i="29" s="1"/>
  <c r="D41" i="29"/>
  <c r="D19" i="29"/>
  <c r="D20" i="29" s="1"/>
  <c r="D21" i="29"/>
  <c r="AN69" i="27"/>
  <c r="AN17" i="27"/>
  <c r="AI69" i="27"/>
  <c r="AI17" i="27"/>
  <c r="H28" i="29"/>
  <c r="K48" i="27"/>
  <c r="K49" i="27" s="1"/>
  <c r="K50" i="27" s="1"/>
  <c r="H8" i="29"/>
  <c r="K28" i="27"/>
  <c r="K29" i="27" s="1"/>
  <c r="K30" i="27" s="1"/>
  <c r="I74" i="28"/>
  <c r="E28" i="29"/>
  <c r="H48" i="27"/>
  <c r="H49" i="27" s="1"/>
  <c r="H50" i="27" s="1"/>
  <c r="E38" i="29"/>
  <c r="H58" i="27"/>
  <c r="H59" i="27" s="1"/>
  <c r="H60" i="27" s="1"/>
  <c r="C38" i="29"/>
  <c r="F58" i="27"/>
  <c r="F59" i="27" s="1"/>
  <c r="F60" i="27" s="1"/>
  <c r="C18" i="29"/>
  <c r="F38" i="27"/>
  <c r="F39" i="27" s="1"/>
  <c r="F40" i="27" s="1"/>
  <c r="I28" i="29"/>
  <c r="L48" i="27"/>
  <c r="L49" i="27" s="1"/>
  <c r="L50" i="27" s="1"/>
  <c r="I38" i="29"/>
  <c r="L58" i="27"/>
  <c r="L59" i="27" s="1"/>
  <c r="L60" i="27" s="1"/>
  <c r="G31" i="27"/>
  <c r="J8" i="29"/>
  <c r="M28" i="27"/>
  <c r="J38" i="29"/>
  <c r="M58" i="27"/>
  <c r="M59" i="27" s="1"/>
  <c r="M60" i="27" s="1"/>
  <c r="AK69" i="27"/>
  <c r="AK17" i="27"/>
  <c r="AH69" i="27"/>
  <c r="AH17" i="27"/>
  <c r="AR28" i="27"/>
  <c r="AR29" i="27" s="1"/>
  <c r="AR30" i="27" s="1"/>
  <c r="AR31" i="27" s="1"/>
  <c r="AP74" i="28"/>
  <c r="AJ69" i="27"/>
  <c r="AJ17" i="27"/>
  <c r="G8" i="29"/>
  <c r="J28" i="27"/>
  <c r="J29" i="27" s="1"/>
  <c r="J30" i="27" s="1"/>
  <c r="H74" i="28"/>
  <c r="G28" i="29"/>
  <c r="J48" i="27"/>
  <c r="J49" i="27" s="1"/>
  <c r="J50" i="27" s="1"/>
  <c r="AP17" i="27"/>
  <c r="AP69" i="27"/>
  <c r="F48" i="29"/>
  <c r="I68" i="27"/>
  <c r="I69" i="27" s="1"/>
  <c r="F18" i="29"/>
  <c r="I38" i="27"/>
  <c r="I39" i="27" s="1"/>
  <c r="I40" i="27" s="1"/>
  <c r="F28" i="29"/>
  <c r="I48" i="27"/>
  <c r="I49" i="27" s="1"/>
  <c r="I50" i="27" s="1"/>
  <c r="AO69" i="27"/>
  <c r="AO17" i="27"/>
  <c r="AC13" i="22"/>
  <c r="AC14" i="22" s="1"/>
  <c r="AC15" i="22" s="1"/>
  <c r="AD11" i="22"/>
  <c r="AY31" i="27"/>
  <c r="D9" i="29"/>
  <c r="D10" i="29" s="1"/>
  <c r="D11" i="29"/>
  <c r="D49" i="29"/>
  <c r="D50" i="29" s="1"/>
  <c r="D51" i="29"/>
  <c r="AM70" i="27"/>
  <c r="AM18" i="27"/>
  <c r="C48" i="29"/>
  <c r="F68" i="27"/>
  <c r="F69" i="27" s="1"/>
  <c r="H38" i="29"/>
  <c r="K58" i="27"/>
  <c r="K59" i="27" s="1"/>
  <c r="K60" i="27" s="1"/>
  <c r="H48" i="29"/>
  <c r="K68" i="27"/>
  <c r="K69" i="27" s="1"/>
  <c r="H18" i="29"/>
  <c r="K38" i="27"/>
  <c r="K39" i="27" s="1"/>
  <c r="K40" i="27" s="1"/>
  <c r="E18" i="29"/>
  <c r="H38" i="27"/>
  <c r="H39" i="27" s="1"/>
  <c r="H40" i="27" s="1"/>
  <c r="E48" i="29"/>
  <c r="H68" i="27"/>
  <c r="H69" i="27" s="1"/>
  <c r="E8" i="29"/>
  <c r="H28" i="27"/>
  <c r="H29" i="27" s="1"/>
  <c r="H30" i="27" s="1"/>
  <c r="F74" i="28"/>
  <c r="C8" i="29"/>
  <c r="F28" i="27"/>
  <c r="F29" i="27" s="1"/>
  <c r="F30" i="27" s="1"/>
  <c r="C28" i="29"/>
  <c r="F48" i="27"/>
  <c r="F49" i="27" s="1"/>
  <c r="F50" i="27" s="1"/>
  <c r="N28" i="27"/>
  <c r="N29" i="27" s="1"/>
  <c r="N30" i="27" s="1"/>
  <c r="N31" i="27" s="1"/>
  <c r="L74" i="28"/>
  <c r="I18" i="29"/>
  <c r="L38" i="27"/>
  <c r="L39" i="27" s="1"/>
  <c r="L40" i="27" s="1"/>
  <c r="I48" i="29"/>
  <c r="L68" i="27"/>
  <c r="L69" i="27" s="1"/>
  <c r="I8" i="29"/>
  <c r="L28" i="27"/>
  <c r="L29" i="27" s="1"/>
  <c r="L30" i="27" s="1"/>
  <c r="J48" i="29"/>
  <c r="M68" i="27"/>
  <c r="M69" i="27" s="1"/>
  <c r="J18" i="29"/>
  <c r="M38" i="27"/>
  <c r="M39" i="27" s="1"/>
  <c r="M40" i="27" s="1"/>
  <c r="J28" i="29"/>
  <c r="M48" i="27"/>
  <c r="M49" i="27" s="1"/>
  <c r="M50" i="27" s="1"/>
  <c r="G48" i="29"/>
  <c r="J68" i="27"/>
  <c r="J69" i="27" s="1"/>
  <c r="AR69" i="27"/>
  <c r="AR17" i="27"/>
  <c r="G38" i="29"/>
  <c r="J58" i="27"/>
  <c r="J59" i="27" s="1"/>
  <c r="J60" i="27" s="1"/>
  <c r="G18" i="29"/>
  <c r="J38" i="27"/>
  <c r="J39" i="27" s="1"/>
  <c r="J40" i="27" s="1"/>
  <c r="R28" i="27"/>
  <c r="R29" i="27" s="1"/>
  <c r="R18" i="27" s="1"/>
  <c r="P74" i="28"/>
  <c r="AF17" i="27"/>
  <c r="AF69" i="27"/>
  <c r="F8" i="29"/>
  <c r="I28" i="27"/>
  <c r="I29" i="27" s="1"/>
  <c r="I30" i="27" s="1"/>
  <c r="F38" i="29"/>
  <c r="I58" i="27"/>
  <c r="I59" i="27" s="1"/>
  <c r="I60" i="27" s="1"/>
  <c r="AG69" i="27"/>
  <c r="AG17" i="27"/>
  <c r="AE25" i="22"/>
  <c r="AD32" i="22"/>
  <c r="AY17" i="27"/>
  <c r="AY70" i="27"/>
  <c r="AY18" i="27"/>
  <c r="AW74" i="28"/>
  <c r="AY16" i="27"/>
  <c r="AW31" i="27"/>
  <c r="AW70" i="27"/>
  <c r="AW71" i="27" s="1"/>
  <c r="AW18" i="27"/>
  <c r="AV28" i="27"/>
  <c r="AV29" i="27" s="1"/>
  <c r="AT74" i="28"/>
  <c r="AV69" i="27"/>
  <c r="AU28" i="27"/>
  <c r="AU29" i="27" s="1"/>
  <c r="AU30" i="27" s="1"/>
  <c r="AU31" i="27" s="1"/>
  <c r="AS74" i="28"/>
  <c r="AU69" i="27"/>
  <c r="AT69" i="27"/>
  <c r="AT17" i="27"/>
  <c r="AR74" i="28"/>
  <c r="AT31" i="27"/>
  <c r="AT16" i="27"/>
  <c r="AS17" i="27"/>
  <c r="AS70" i="27"/>
  <c r="AS18" i="27"/>
  <c r="AO74" i="28"/>
  <c r="AQ17" i="27"/>
  <c r="AQ31" i="27"/>
  <c r="AQ70" i="27"/>
  <c r="AQ18" i="27"/>
  <c r="AL69" i="27"/>
  <c r="AL17" i="27"/>
  <c r="AK16" i="27"/>
  <c r="Z69" i="27"/>
  <c r="BE71" i="1"/>
  <c r="BE20" i="1" s="1"/>
  <c r="Z28" i="27"/>
  <c r="Z29" i="27" s="1"/>
  <c r="Z30" i="27" s="1"/>
  <c r="Z31" i="27" s="1"/>
  <c r="X74" i="28"/>
  <c r="BH71" i="1"/>
  <c r="AZ71" i="1"/>
  <c r="BA19" i="1"/>
  <c r="BA71" i="1"/>
  <c r="AD6" i="22"/>
  <c r="AD7" i="22" s="1"/>
  <c r="AD8" i="22" s="1"/>
  <c r="AM74" i="28"/>
  <c r="AI74" i="28"/>
  <c r="AF74" i="28"/>
  <c r="W74" i="28"/>
  <c r="AJ74" i="28"/>
  <c r="D74" i="28"/>
  <c r="T36" i="28"/>
  <c r="BG44" i="28" s="1"/>
  <c r="AE74" i="28"/>
  <c r="K74" i="28"/>
  <c r="AC27" i="22"/>
  <c r="AC28" i="22" s="1"/>
  <c r="AC29" i="22" s="1"/>
  <c r="BI19" i="1"/>
  <c r="BI71" i="1"/>
  <c r="BB19" i="1"/>
  <c r="BB71" i="1"/>
  <c r="BJ19" i="1"/>
  <c r="BJ71" i="1"/>
  <c r="BD19" i="1"/>
  <c r="BD71" i="1"/>
  <c r="BG19" i="1"/>
  <c r="BG71" i="1"/>
  <c r="BC19" i="1"/>
  <c r="BC71" i="1"/>
  <c r="BF19" i="1"/>
  <c r="BF71" i="1"/>
  <c r="F39" i="29" l="1"/>
  <c r="F40" i="29" s="1"/>
  <c r="F41" i="29"/>
  <c r="AU17" i="27"/>
  <c r="AV17" i="27"/>
  <c r="AE32" i="22"/>
  <c r="AD34" i="22"/>
  <c r="AD35" i="22" s="1"/>
  <c r="AD36" i="22" s="1"/>
  <c r="AF70" i="27"/>
  <c r="AF18" i="27"/>
  <c r="J70" i="27"/>
  <c r="J19" i="27" s="1"/>
  <c r="J18" i="27"/>
  <c r="M70" i="27"/>
  <c r="L70" i="27"/>
  <c r="L19" i="27" s="1"/>
  <c r="L18" i="27"/>
  <c r="E11" i="29"/>
  <c r="E9" i="29"/>
  <c r="E10" i="29" s="1"/>
  <c r="E49" i="29"/>
  <c r="E50" i="29" s="1"/>
  <c r="E51" i="29"/>
  <c r="E19" i="29"/>
  <c r="E20" i="29" s="1"/>
  <c r="E21" i="29"/>
  <c r="H19" i="29"/>
  <c r="H20" i="29" s="1"/>
  <c r="H21" i="29"/>
  <c r="H49" i="29"/>
  <c r="H50" i="29" s="1"/>
  <c r="H51" i="29"/>
  <c r="H39" i="29"/>
  <c r="H40" i="29" s="1"/>
  <c r="H41" i="29"/>
  <c r="C49" i="29"/>
  <c r="C50" i="29" s="1"/>
  <c r="C51" i="29"/>
  <c r="AM19" i="27"/>
  <c r="AM71" i="27"/>
  <c r="AM20" i="27" s="1"/>
  <c r="AD13" i="22"/>
  <c r="AD14" i="22" s="1"/>
  <c r="AD15" i="22" s="1"/>
  <c r="AE11" i="22"/>
  <c r="I70" i="27"/>
  <c r="I19" i="27" s="1"/>
  <c r="I18" i="27"/>
  <c r="AP70" i="27"/>
  <c r="AP18" i="27"/>
  <c r="G9" i="29"/>
  <c r="G10" i="29" s="1"/>
  <c r="G11" i="29"/>
  <c r="AJ70" i="27"/>
  <c r="AJ18" i="27"/>
  <c r="AH18" i="27"/>
  <c r="AH70" i="27"/>
  <c r="AK70" i="27"/>
  <c r="AK18" i="27"/>
  <c r="J39" i="29"/>
  <c r="J40" i="29" s="1"/>
  <c r="J41" i="29"/>
  <c r="J9" i="29"/>
  <c r="J10" i="29" s="1"/>
  <c r="J11" i="29"/>
  <c r="H11" i="29"/>
  <c r="H9" i="29"/>
  <c r="H10" i="29" s="1"/>
  <c r="H29" i="29"/>
  <c r="H30" i="29" s="1"/>
  <c r="H31" i="29"/>
  <c r="AI70" i="27"/>
  <c r="AI18" i="27"/>
  <c r="AN70" i="27"/>
  <c r="AN18" i="27"/>
  <c r="AH5" i="22"/>
  <c r="AI5" i="22" s="1"/>
  <c r="AJ5" i="22" s="1"/>
  <c r="AK5" i="22" s="1"/>
  <c r="AD20" i="22"/>
  <c r="AD21" i="22" s="1"/>
  <c r="AD22" i="22" s="1"/>
  <c r="AE18" i="22"/>
  <c r="AF6" i="22"/>
  <c r="AF7" i="22" s="1"/>
  <c r="AF8" i="22" s="1"/>
  <c r="AK19" i="22"/>
  <c r="AL19" i="22" s="1"/>
  <c r="AK12" i="22"/>
  <c r="AL33" i="22"/>
  <c r="AM33" i="22" s="1"/>
  <c r="AL26" i="22"/>
  <c r="AM26" i="22" s="1"/>
  <c r="AF25" i="22"/>
  <c r="AE27" i="22"/>
  <c r="AE28" i="22" s="1"/>
  <c r="AE29" i="22" s="1"/>
  <c r="AG70" i="27"/>
  <c r="AG18" i="27"/>
  <c r="F9" i="29"/>
  <c r="F10" i="29" s="1"/>
  <c r="F11" i="29"/>
  <c r="G19" i="29"/>
  <c r="G20" i="29" s="1"/>
  <c r="G21" i="29"/>
  <c r="G39" i="29"/>
  <c r="G40" i="29" s="1"/>
  <c r="G41" i="29"/>
  <c r="AR70" i="27"/>
  <c r="AR18" i="27"/>
  <c r="G49" i="29"/>
  <c r="G50" i="29" s="1"/>
  <c r="G51" i="29"/>
  <c r="J29" i="29"/>
  <c r="J30" i="29" s="1"/>
  <c r="J31" i="29"/>
  <c r="J19" i="29"/>
  <c r="J20" i="29" s="1"/>
  <c r="J21" i="29"/>
  <c r="J49" i="29"/>
  <c r="J50" i="29" s="1"/>
  <c r="J51" i="29"/>
  <c r="I9" i="29"/>
  <c r="I10" i="29" s="1"/>
  <c r="I11" i="29"/>
  <c r="I49" i="29"/>
  <c r="I50" i="29" s="1"/>
  <c r="I51" i="29"/>
  <c r="I19" i="29"/>
  <c r="I20" i="29" s="1"/>
  <c r="I21" i="29"/>
  <c r="C29" i="29"/>
  <c r="C30" i="29" s="1"/>
  <c r="C31" i="29"/>
  <c r="C32" i="29" s="1"/>
  <c r="C33" i="29" s="1"/>
  <c r="C34" i="29" s="1"/>
  <c r="D32" i="29" s="1"/>
  <c r="D33" i="29" s="1"/>
  <c r="D34" i="29" s="1"/>
  <c r="C9" i="29"/>
  <c r="C10" i="29" s="1"/>
  <c r="C11" i="29"/>
  <c r="C12" i="29" s="1"/>
  <c r="C13" i="29" s="1"/>
  <c r="C14" i="29" s="1"/>
  <c r="D12" i="29" s="1"/>
  <c r="D13" i="29" s="1"/>
  <c r="D14" i="29" s="1"/>
  <c r="H70" i="27"/>
  <c r="H19" i="27" s="1"/>
  <c r="H18" i="27"/>
  <c r="K70" i="27"/>
  <c r="K19" i="27" s="1"/>
  <c r="K18" i="27"/>
  <c r="F70" i="27"/>
  <c r="F19" i="27" s="1"/>
  <c r="F18" i="27"/>
  <c r="AO70" i="27"/>
  <c r="AO18" i="27"/>
  <c r="F29" i="29"/>
  <c r="F30" i="29" s="1"/>
  <c r="F31" i="29"/>
  <c r="F19" i="29"/>
  <c r="F20" i="29" s="1"/>
  <c r="F21" i="29"/>
  <c r="F49" i="29"/>
  <c r="F50" i="29" s="1"/>
  <c r="F51" i="29"/>
  <c r="G29" i="29"/>
  <c r="G30" i="29" s="1"/>
  <c r="G31" i="29"/>
  <c r="M29" i="27"/>
  <c r="M30" i="27" s="1"/>
  <c r="M31" i="27"/>
  <c r="I39" i="29"/>
  <c r="I40" i="29" s="1"/>
  <c r="I41" i="29"/>
  <c r="I29" i="29"/>
  <c r="I30" i="29" s="1"/>
  <c r="I31" i="29"/>
  <c r="C19" i="29"/>
  <c r="C20" i="29" s="1"/>
  <c r="C21" i="29"/>
  <c r="C39" i="29"/>
  <c r="C40" i="29" s="1"/>
  <c r="C41" i="29"/>
  <c r="E39" i="29"/>
  <c r="E40" i="29" s="1"/>
  <c r="E41" i="29"/>
  <c r="E29" i="29"/>
  <c r="E30" i="29" s="1"/>
  <c r="E31" i="29"/>
  <c r="N18" i="27"/>
  <c r="AH4" i="22"/>
  <c r="AG6" i="22"/>
  <c r="AG7" i="22" s="1"/>
  <c r="AG8" i="22" s="1"/>
  <c r="AY19" i="27"/>
  <c r="AY71" i="27"/>
  <c r="AV30" i="27"/>
  <c r="AV31" i="27" s="1"/>
  <c r="AW19" i="27"/>
  <c r="AV70" i="27"/>
  <c r="AV18" i="27"/>
  <c r="AU70" i="27"/>
  <c r="AU18" i="27"/>
  <c r="AT70" i="27"/>
  <c r="AT18" i="27"/>
  <c r="AS19" i="27"/>
  <c r="AS71" i="27"/>
  <c r="AQ19" i="27"/>
  <c r="AQ71" i="27"/>
  <c r="AL70" i="27"/>
  <c r="AL18" i="27"/>
  <c r="Z17" i="27"/>
  <c r="Z18" i="27"/>
  <c r="BH20" i="1"/>
  <c r="AZ20" i="1"/>
  <c r="BA20" i="1"/>
  <c r="BC20" i="1"/>
  <c r="BD20" i="1"/>
  <c r="BJ20" i="1"/>
  <c r="BB20" i="1"/>
  <c r="BI20" i="1"/>
  <c r="BF20" i="1"/>
  <c r="BG20" i="1"/>
  <c r="E32" i="29" l="1"/>
  <c r="E33" i="29" s="1"/>
  <c r="E34" i="29" s="1"/>
  <c r="AO19" i="27"/>
  <c r="AO71" i="27"/>
  <c r="AO20" i="27" s="1"/>
  <c r="AH6" i="22"/>
  <c r="AH7" i="22" s="1"/>
  <c r="AH8" i="22" s="1"/>
  <c r="AI4" i="22"/>
  <c r="C42" i="29"/>
  <c r="C43" i="29" s="1"/>
  <c r="C44" i="29" s="1"/>
  <c r="D42" i="29" s="1"/>
  <c r="D43" i="29" s="1"/>
  <c r="D44" i="29" s="1"/>
  <c r="E42" i="29" s="1"/>
  <c r="E43" i="29" s="1"/>
  <c r="E44" i="29" s="1"/>
  <c r="F42" i="29" s="1"/>
  <c r="F43" i="29" s="1"/>
  <c r="F44" i="29" s="1"/>
  <c r="G42" i="29" s="1"/>
  <c r="G43" i="29" s="1"/>
  <c r="G44" i="29" s="1"/>
  <c r="H42" i="29" s="1"/>
  <c r="H43" i="29" s="1"/>
  <c r="H44" i="29" s="1"/>
  <c r="I42" i="29" s="1"/>
  <c r="I43" i="29" s="1"/>
  <c r="I44" i="29" s="1"/>
  <c r="J42" i="29" s="1"/>
  <c r="J43" i="29" s="1"/>
  <c r="J44" i="29" s="1"/>
  <c r="C22" i="29"/>
  <c r="C23" i="29" s="1"/>
  <c r="C24" i="29" s="1"/>
  <c r="D22" i="29" s="1"/>
  <c r="D23" i="29" s="1"/>
  <c r="D24" i="29" s="1"/>
  <c r="E22" i="29" s="1"/>
  <c r="E23" i="29" s="1"/>
  <c r="E24" i="29" s="1"/>
  <c r="F22" i="29" s="1"/>
  <c r="F23" i="29" s="1"/>
  <c r="F24" i="29" s="1"/>
  <c r="G22" i="29" s="1"/>
  <c r="G23" i="29" s="1"/>
  <c r="G24" i="29" s="1"/>
  <c r="H22" i="29" s="1"/>
  <c r="H23" i="29" s="1"/>
  <c r="H24" i="29" s="1"/>
  <c r="I22" i="29" s="1"/>
  <c r="I23" i="29" s="1"/>
  <c r="I24" i="29" s="1"/>
  <c r="J22" i="29" s="1"/>
  <c r="J23" i="29" s="1"/>
  <c r="J24" i="29" s="1"/>
  <c r="F32" i="29"/>
  <c r="F33" i="29" s="1"/>
  <c r="F34" i="29" s="1"/>
  <c r="G32" i="29" s="1"/>
  <c r="G33" i="29" s="1"/>
  <c r="G34" i="29" s="1"/>
  <c r="H32" i="29" s="1"/>
  <c r="H33" i="29" s="1"/>
  <c r="H34" i="29" s="1"/>
  <c r="I32" i="29" s="1"/>
  <c r="I33" i="29" s="1"/>
  <c r="I34" i="29" s="1"/>
  <c r="J32" i="29" s="1"/>
  <c r="J33" i="29" s="1"/>
  <c r="J34" i="29" s="1"/>
  <c r="AR19" i="27"/>
  <c r="AR71" i="27"/>
  <c r="AR20" i="27" s="1"/>
  <c r="AG19" i="27"/>
  <c r="AG71" i="27"/>
  <c r="AG20" i="27" s="1"/>
  <c r="AG25" i="22"/>
  <c r="AF27" i="22"/>
  <c r="AF28" i="22" s="1"/>
  <c r="AF29" i="22" s="1"/>
  <c r="AL12" i="22"/>
  <c r="AM19" i="22"/>
  <c r="AF18" i="22"/>
  <c r="AE20" i="22"/>
  <c r="AE21" i="22" s="1"/>
  <c r="AE22" i="22" s="1"/>
  <c r="AL5" i="22"/>
  <c r="AM5" i="22" s="1"/>
  <c r="AN19" i="27"/>
  <c r="AN71" i="27"/>
  <c r="AN20" i="27" s="1"/>
  <c r="AI19" i="27"/>
  <c r="AI71" i="27"/>
  <c r="AI20" i="27" s="1"/>
  <c r="AH19" i="27"/>
  <c r="AH71" i="27"/>
  <c r="AH20" i="27" s="1"/>
  <c r="AF11" i="22"/>
  <c r="AE13" i="22"/>
  <c r="AE14" i="22" s="1"/>
  <c r="AE15" i="22" s="1"/>
  <c r="C52" i="29"/>
  <c r="C53" i="29" s="1"/>
  <c r="C54" i="29" s="1"/>
  <c r="D52" i="29" s="1"/>
  <c r="D53" i="29" s="1"/>
  <c r="D54" i="29" s="1"/>
  <c r="E52" i="29" s="1"/>
  <c r="E53" i="29" s="1"/>
  <c r="E54" i="29" s="1"/>
  <c r="F52" i="29" s="1"/>
  <c r="F53" i="29" s="1"/>
  <c r="F54" i="29" s="1"/>
  <c r="G52" i="29" s="1"/>
  <c r="G53" i="29" s="1"/>
  <c r="G54" i="29" s="1"/>
  <c r="H52" i="29" s="1"/>
  <c r="H53" i="29" s="1"/>
  <c r="H54" i="29" s="1"/>
  <c r="I52" i="29" s="1"/>
  <c r="I53" i="29" s="1"/>
  <c r="I54" i="29" s="1"/>
  <c r="J52" i="29" s="1"/>
  <c r="J53" i="29" s="1"/>
  <c r="J54" i="29" s="1"/>
  <c r="M18" i="27"/>
  <c r="AK19" i="27"/>
  <c r="AK71" i="27"/>
  <c r="AK20" i="27" s="1"/>
  <c r="AJ19" i="27"/>
  <c r="AJ71" i="27"/>
  <c r="AJ20" i="27" s="1"/>
  <c r="AP19" i="27"/>
  <c r="AP71" i="27"/>
  <c r="AP20" i="27" s="1"/>
  <c r="E12" i="29"/>
  <c r="E13" i="29" s="1"/>
  <c r="E14" i="29" s="1"/>
  <c r="F12" i="29" s="1"/>
  <c r="F13" i="29" s="1"/>
  <c r="F14" i="29" s="1"/>
  <c r="G12" i="29" s="1"/>
  <c r="G13" i="29" s="1"/>
  <c r="G14" i="29" s="1"/>
  <c r="H12" i="29" s="1"/>
  <c r="H13" i="29" s="1"/>
  <c r="H14" i="29" s="1"/>
  <c r="I12" i="29" s="1"/>
  <c r="I13" i="29" s="1"/>
  <c r="I14" i="29" s="1"/>
  <c r="J12" i="29" s="1"/>
  <c r="J13" i="29" s="1"/>
  <c r="J14" i="29" s="1"/>
  <c r="M19" i="27"/>
  <c r="AF19" i="27"/>
  <c r="AF71" i="27"/>
  <c r="AF20" i="27" s="1"/>
  <c r="AF32" i="22"/>
  <c r="AE34" i="22"/>
  <c r="AE35" i="22" s="1"/>
  <c r="AE36" i="22" s="1"/>
  <c r="AY20" i="27"/>
  <c r="AW20" i="27"/>
  <c r="AV19" i="27"/>
  <c r="AV71" i="27"/>
  <c r="AU19" i="27"/>
  <c r="AU71" i="27"/>
  <c r="AT19" i="27"/>
  <c r="AT71" i="27"/>
  <c r="AS20" i="27"/>
  <c r="AQ20" i="27"/>
  <c r="AL19" i="27"/>
  <c r="AL71" i="27"/>
  <c r="AJ4" i="22" l="1"/>
  <c r="AI6" i="22"/>
  <c r="AI7" i="22" s="1"/>
  <c r="AI8" i="22" s="1"/>
  <c r="AG32" i="22"/>
  <c r="AF34" i="22"/>
  <c r="AF35" i="22" s="1"/>
  <c r="AF36" i="22" s="1"/>
  <c r="AG11" i="22"/>
  <c r="AF13" i="22"/>
  <c r="AF14" i="22" s="1"/>
  <c r="AF15" i="22" s="1"/>
  <c r="AF20" i="22"/>
  <c r="AF21" i="22" s="1"/>
  <c r="AF22" i="22" s="1"/>
  <c r="AG18" i="22"/>
  <c r="AM12" i="22"/>
  <c r="AH25" i="22"/>
  <c r="AG27" i="22"/>
  <c r="AG28" i="22" s="1"/>
  <c r="AG29" i="22" s="1"/>
  <c r="AV20" i="27"/>
  <c r="AU20" i="27"/>
  <c r="AT20" i="27"/>
  <c r="AL20" i="27"/>
  <c r="AI25" i="22" l="1"/>
  <c r="AH27" i="22"/>
  <c r="AH28" i="22" s="1"/>
  <c r="AH29" i="22" s="1"/>
  <c r="AH11" i="22"/>
  <c r="AG13" i="22"/>
  <c r="AG14" i="22" s="1"/>
  <c r="AG15" i="22" s="1"/>
  <c r="AH32" i="22"/>
  <c r="AG34" i="22"/>
  <c r="AG35" i="22" s="1"/>
  <c r="AG36" i="22" s="1"/>
  <c r="AK4" i="22"/>
  <c r="AJ6" i="22"/>
  <c r="AJ7" i="22" s="1"/>
  <c r="AJ8" i="22" s="1"/>
  <c r="AG20" i="22"/>
  <c r="AG21" i="22" s="1"/>
  <c r="AG22" i="22" s="1"/>
  <c r="AH18" i="22"/>
  <c r="AB3" i="22"/>
  <c r="AB10" i="22"/>
  <c r="AB17" i="22"/>
  <c r="AB24" i="22"/>
  <c r="AB31" i="22"/>
  <c r="AK6" i="22" l="1"/>
  <c r="AK7" i="22" s="1"/>
  <c r="AK8" i="22" s="1"/>
  <c r="AL4" i="22"/>
  <c r="AH34" i="22"/>
  <c r="AH35" i="22" s="1"/>
  <c r="AH36" i="22" s="1"/>
  <c r="AI32" i="22"/>
  <c r="AI11" i="22"/>
  <c r="AH13" i="22"/>
  <c r="AH14" i="22" s="1"/>
  <c r="AH15" i="22" s="1"/>
  <c r="AI18" i="22"/>
  <c r="AH20" i="22"/>
  <c r="AH21" i="22" s="1"/>
  <c r="AH22" i="22" s="1"/>
  <c r="AJ25" i="22"/>
  <c r="AI27" i="22"/>
  <c r="AI28" i="22" s="1"/>
  <c r="AI29" i="22" s="1"/>
  <c r="AJ32" i="22" l="1"/>
  <c r="AI34" i="22"/>
  <c r="AI35" i="22" s="1"/>
  <c r="AI36" i="22" s="1"/>
  <c r="AM4" i="22"/>
  <c r="AM6" i="22" s="1"/>
  <c r="AM7" i="22" s="1"/>
  <c r="AM8" i="22" s="1"/>
  <c r="AY29" i="1" s="1"/>
  <c r="AY30" i="1" s="1"/>
  <c r="AY31" i="1" s="1"/>
  <c r="AL6" i="22"/>
  <c r="AL7" i="22" s="1"/>
  <c r="AL8" i="22" s="1"/>
  <c r="AJ27" i="22"/>
  <c r="AJ28" i="22" s="1"/>
  <c r="AJ29" i="22" s="1"/>
  <c r="AK25" i="22"/>
  <c r="AJ18" i="22"/>
  <c r="AI20" i="22"/>
  <c r="AI21" i="22" s="1"/>
  <c r="AI22" i="22" s="1"/>
  <c r="AJ11" i="22"/>
  <c r="AI13" i="22"/>
  <c r="AI14" i="22" s="1"/>
  <c r="AI15" i="22" s="1"/>
  <c r="AK11" i="22" l="1"/>
  <c r="AJ13" i="22"/>
  <c r="AJ14" i="22" s="1"/>
  <c r="AJ15" i="22" s="1"/>
  <c r="AJ20" i="22"/>
  <c r="AJ21" i="22" s="1"/>
  <c r="AJ22" i="22" s="1"/>
  <c r="AK18" i="22"/>
  <c r="AK32" i="22"/>
  <c r="AJ34" i="22"/>
  <c r="AJ35" i="22" s="1"/>
  <c r="AJ36" i="22" s="1"/>
  <c r="AK27" i="22"/>
  <c r="AK28" i="22" s="1"/>
  <c r="AK29" i="22" s="1"/>
  <c r="AL25" i="22"/>
  <c r="AZ8" i="1"/>
  <c r="BA8" i="1"/>
  <c r="BB8" i="1"/>
  <c r="BC8" i="1"/>
  <c r="BD8" i="1"/>
  <c r="BE8" i="1"/>
  <c r="BF8" i="1"/>
  <c r="BG8" i="1"/>
  <c r="BH8" i="1"/>
  <c r="AY16" i="1"/>
  <c r="AZ16" i="1"/>
  <c r="BA16" i="1"/>
  <c r="BC16" i="1"/>
  <c r="BD16" i="1"/>
  <c r="BE16" i="1"/>
  <c r="BF16" i="1"/>
  <c r="BG16" i="1"/>
  <c r="BH16" i="1"/>
  <c r="BI16" i="1"/>
  <c r="BA17" i="1"/>
  <c r="BB17" i="1"/>
  <c r="BD17" i="1"/>
  <c r="BE17" i="1"/>
  <c r="BF17" i="1"/>
  <c r="BH17" i="1"/>
  <c r="BI17" i="1"/>
  <c r="BJ17" i="1"/>
  <c r="AZ78" i="1"/>
  <c r="BA78" i="1"/>
  <c r="BB78" i="1"/>
  <c r="BC78" i="1"/>
  <c r="BD78" i="1"/>
  <c r="BE78" i="1"/>
  <c r="BF78" i="1"/>
  <c r="BG78" i="1"/>
  <c r="BI78" i="1"/>
  <c r="BJ78" i="1"/>
  <c r="AO85" i="1"/>
  <c r="AP85" i="1"/>
  <c r="AQ85" i="1"/>
  <c r="AR85" i="1"/>
  <c r="AS85" i="1"/>
  <c r="AT85" i="1"/>
  <c r="AU85" i="1"/>
  <c r="AN85" i="1"/>
  <c r="AN87" i="1" s="1"/>
  <c r="AM95" i="1"/>
  <c r="AM87" i="1"/>
  <c r="AM25" i="22" l="1"/>
  <c r="AM27" i="22" s="1"/>
  <c r="AM28" i="22" s="1"/>
  <c r="AM29" i="22" s="1"/>
  <c r="AY59" i="1" s="1"/>
  <c r="AY60" i="1" s="1"/>
  <c r="AY61" i="1" s="1"/>
  <c r="AL27" i="22"/>
  <c r="AL28" i="22" s="1"/>
  <c r="AL29" i="22" s="1"/>
  <c r="AL18" i="22"/>
  <c r="AK20" i="22"/>
  <c r="AK21" i="22" s="1"/>
  <c r="AK22" i="22" s="1"/>
  <c r="AK34" i="22"/>
  <c r="AK35" i="22" s="1"/>
  <c r="AK36" i="22" s="1"/>
  <c r="AL32" i="22"/>
  <c r="AK13" i="22"/>
  <c r="AK14" i="22" s="1"/>
  <c r="AK15" i="22" s="1"/>
  <c r="AL11" i="22"/>
  <c r="AZ17" i="1"/>
  <c r="BG17" i="1"/>
  <c r="BC17" i="1"/>
  <c r="AY17" i="1"/>
  <c r="AL13" i="22" l="1"/>
  <c r="AL14" i="22" s="1"/>
  <c r="AL15" i="22" s="1"/>
  <c r="AM11" i="22"/>
  <c r="AM13" i="22" s="1"/>
  <c r="AM14" i="22" s="1"/>
  <c r="AM15" i="22" s="1"/>
  <c r="AY39" i="1" s="1"/>
  <c r="AY40" i="1" s="1"/>
  <c r="AY41" i="1" s="1"/>
  <c r="AL34" i="22"/>
  <c r="AL35" i="22" s="1"/>
  <c r="AL36" i="22" s="1"/>
  <c r="AM32" i="22"/>
  <c r="AM34" i="22" s="1"/>
  <c r="AM35" i="22" s="1"/>
  <c r="AM36" i="22" s="1"/>
  <c r="AY69" i="1" s="1"/>
  <c r="AM18" i="22"/>
  <c r="AM20" i="22" s="1"/>
  <c r="AM21" i="22" s="1"/>
  <c r="AM22" i="22" s="1"/>
  <c r="AY49" i="1" s="1"/>
  <c r="AY50" i="1" s="1"/>
  <c r="AY51" i="1" s="1"/>
  <c r="AL20" i="22"/>
  <c r="AL21" i="22" s="1"/>
  <c r="AL22" i="22" s="1"/>
  <c r="C8" i="27"/>
  <c r="C10" i="27" s="1"/>
  <c r="D8" i="27"/>
  <c r="O93" i="27"/>
  <c r="P93" i="27" s="1"/>
  <c r="Q93" i="27" s="1"/>
  <c r="R93" i="27" s="1"/>
  <c r="S93" i="27" s="1"/>
  <c r="T93" i="27" s="1"/>
  <c r="U93" i="27" s="1"/>
  <c r="V93" i="27" s="1"/>
  <c r="W93" i="27" s="1"/>
  <c r="X93" i="27" s="1"/>
  <c r="Y93" i="27" s="1"/>
  <c r="Z93" i="27" s="1"/>
  <c r="AA93" i="27" s="1"/>
  <c r="AB93" i="27" s="1"/>
  <c r="AC93" i="27" s="1"/>
  <c r="AD93" i="27" s="1"/>
  <c r="AE93" i="27" s="1"/>
  <c r="AF93" i="27" s="1"/>
  <c r="AG93" i="27" s="1"/>
  <c r="AH93" i="27" s="1"/>
  <c r="AI93" i="27" s="1"/>
  <c r="AJ93" i="27" s="1"/>
  <c r="AK93" i="27" s="1"/>
  <c r="AL93" i="27" s="1"/>
  <c r="AA87" i="27"/>
  <c r="AA88" i="27" s="1"/>
  <c r="Z87" i="27"/>
  <c r="Z88" i="27" s="1"/>
  <c r="Y87" i="27"/>
  <c r="Y88" i="27" s="1"/>
  <c r="X87" i="27"/>
  <c r="X88" i="27" s="1"/>
  <c r="W87" i="27"/>
  <c r="W88" i="27" s="1"/>
  <c r="V87" i="27"/>
  <c r="V88" i="27" s="1"/>
  <c r="U87" i="27"/>
  <c r="U88" i="27" s="1"/>
  <c r="T87" i="27"/>
  <c r="T88" i="27" s="1"/>
  <c r="S87" i="27"/>
  <c r="S88" i="27" s="1"/>
  <c r="R87" i="27"/>
  <c r="R88" i="27" s="1"/>
  <c r="Q87" i="27"/>
  <c r="Q88" i="27" s="1"/>
  <c r="P87" i="27"/>
  <c r="P88" i="27" s="1"/>
  <c r="O87" i="27"/>
  <c r="O88" i="27" s="1"/>
  <c r="N87" i="27"/>
  <c r="N89" i="27" s="1"/>
  <c r="N91" i="27" s="1"/>
  <c r="X79" i="27"/>
  <c r="AE16" i="27"/>
  <c r="W16" i="27"/>
  <c r="S16" i="27"/>
  <c r="M71" i="27"/>
  <c r="L71" i="27"/>
  <c r="K71" i="27"/>
  <c r="J71" i="27"/>
  <c r="I71" i="27"/>
  <c r="H71" i="27"/>
  <c r="G71" i="27"/>
  <c r="F71" i="27"/>
  <c r="F72" i="27" s="1"/>
  <c r="AB16" i="27"/>
  <c r="P16" i="27"/>
  <c r="M61" i="27"/>
  <c r="L61" i="27"/>
  <c r="K61" i="27"/>
  <c r="J61" i="27"/>
  <c r="I61" i="27"/>
  <c r="H61" i="27"/>
  <c r="G61" i="27"/>
  <c r="F61" i="27"/>
  <c r="F62" i="27" s="1"/>
  <c r="M51" i="27"/>
  <c r="L51" i="27"/>
  <c r="K51" i="27"/>
  <c r="J51" i="27"/>
  <c r="I51" i="27"/>
  <c r="H51" i="27"/>
  <c r="G51" i="27"/>
  <c r="F51" i="27"/>
  <c r="F52" i="27" s="1"/>
  <c r="M41" i="27"/>
  <c r="L41" i="27"/>
  <c r="K41" i="27"/>
  <c r="J41" i="27"/>
  <c r="I41" i="27"/>
  <c r="H41" i="27"/>
  <c r="G41" i="27"/>
  <c r="F41" i="27"/>
  <c r="F42" i="27" s="1"/>
  <c r="H31" i="27"/>
  <c r="AC16" i="27"/>
  <c r="Y16" i="27"/>
  <c r="U16" i="27"/>
  <c r="Q16" i="27"/>
  <c r="L31" i="27"/>
  <c r="K31" i="27"/>
  <c r="J31" i="27"/>
  <c r="F31" i="27"/>
  <c r="F32" i="27" s="1"/>
  <c r="AB17" i="27"/>
  <c r="AA17" i="27"/>
  <c r="X17" i="27"/>
  <c r="V17" i="27"/>
  <c r="T17" i="27"/>
  <c r="O17" i="27"/>
  <c r="N17" i="27"/>
  <c r="M17" i="27"/>
  <c r="L17" i="27"/>
  <c r="K17" i="27"/>
  <c r="J17" i="27"/>
  <c r="I17" i="27"/>
  <c r="H17" i="27"/>
  <c r="G17" i="27"/>
  <c r="F17" i="27"/>
  <c r="AD16" i="27"/>
  <c r="AA16" i="27"/>
  <c r="V16" i="27"/>
  <c r="T16" i="27"/>
  <c r="R16" i="27"/>
  <c r="O16" i="27"/>
  <c r="N16" i="27"/>
  <c r="J16" i="27"/>
  <c r="AE8" i="27"/>
  <c r="AC8" i="27"/>
  <c r="AB8" i="27"/>
  <c r="AA8" i="27"/>
  <c r="Z8" i="27"/>
  <c r="Y8" i="27"/>
  <c r="X8" i="27"/>
  <c r="W8" i="27"/>
  <c r="V8" i="27"/>
  <c r="U8" i="27"/>
  <c r="S8" i="27"/>
  <c r="R8" i="27"/>
  <c r="Q8" i="27"/>
  <c r="P8" i="27"/>
  <c r="N8" i="27"/>
  <c r="M8" i="27"/>
  <c r="L8" i="27"/>
  <c r="K8" i="27"/>
  <c r="J8" i="27"/>
  <c r="I8" i="27"/>
  <c r="H8" i="27"/>
  <c r="G8" i="27"/>
  <c r="F8" i="27"/>
  <c r="E8" i="27"/>
  <c r="O8" i="27"/>
  <c r="AY18" i="1" l="1"/>
  <c r="AY70" i="1"/>
  <c r="AM93" i="27"/>
  <c r="AN93" i="27" s="1"/>
  <c r="F21" i="27"/>
  <c r="G20" i="27"/>
  <c r="J20" i="27"/>
  <c r="L20" i="27"/>
  <c r="K16" i="27"/>
  <c r="P17" i="27"/>
  <c r="W17" i="27"/>
  <c r="L16" i="27"/>
  <c r="S17" i="27"/>
  <c r="AE17" i="27"/>
  <c r="G16" i="27"/>
  <c r="AD17" i="27"/>
  <c r="X16" i="27"/>
  <c r="Y17" i="27"/>
  <c r="C12" i="27"/>
  <c r="C13" i="27" s="1"/>
  <c r="D10" i="27" s="1"/>
  <c r="C11" i="27"/>
  <c r="N90" i="27"/>
  <c r="H16" i="27"/>
  <c r="R17" i="27"/>
  <c r="F20" i="27"/>
  <c r="H20" i="27"/>
  <c r="I31" i="27"/>
  <c r="I16" i="27"/>
  <c r="M16" i="27"/>
  <c r="F43" i="27"/>
  <c r="Q17" i="27"/>
  <c r="U17" i="27"/>
  <c r="AC17" i="27"/>
  <c r="K20" i="27"/>
  <c r="F53" i="27"/>
  <c r="F63" i="27"/>
  <c r="X81" i="27"/>
  <c r="X82" i="27" s="1"/>
  <c r="Y79" i="27" s="1"/>
  <c r="Y81" i="27" s="1"/>
  <c r="Y82" i="27" s="1"/>
  <c r="Z79" i="27" s="1"/>
  <c r="Z81" i="27" s="1"/>
  <c r="Z82" i="27" s="1"/>
  <c r="AA79" i="27" s="1"/>
  <c r="AA81" i="27" s="1"/>
  <c r="X80" i="27"/>
  <c r="AY71" i="1" l="1"/>
  <c r="AY20" i="1" s="1"/>
  <c r="AY19" i="1"/>
  <c r="D12" i="27"/>
  <c r="D13" i="27" s="1"/>
  <c r="E10" i="27" s="1"/>
  <c r="D11" i="27"/>
  <c r="F44" i="27"/>
  <c r="F54" i="27"/>
  <c r="F64" i="27"/>
  <c r="Y80" i="27"/>
  <c r="Z80" i="27" s="1"/>
  <c r="AA80" i="27" s="1"/>
  <c r="M20" i="27"/>
  <c r="F33" i="27"/>
  <c r="I20" i="27"/>
  <c r="G62" i="27" l="1"/>
  <c r="G52" i="27"/>
  <c r="G42" i="27"/>
  <c r="G43" i="27" s="1"/>
  <c r="G44" i="27" s="1"/>
  <c r="H42" i="27" s="1"/>
  <c r="F34" i="27"/>
  <c r="G53" i="27" l="1"/>
  <c r="G54" i="27" s="1"/>
  <c r="H52" i="27" s="1"/>
  <c r="H53" i="27" s="1"/>
  <c r="H54" i="27" s="1"/>
  <c r="I52" i="27" s="1"/>
  <c r="I53" i="27" s="1"/>
  <c r="I54" i="27" s="1"/>
  <c r="G63" i="27"/>
  <c r="G64" i="27" s="1"/>
  <c r="H62" i="27" s="1"/>
  <c r="H63" i="27" s="1"/>
  <c r="H64" i="27" s="1"/>
  <c r="I62" i="27" s="1"/>
  <c r="I63" i="27" s="1"/>
  <c r="I64" i="27" s="1"/>
  <c r="H43" i="27"/>
  <c r="H44" i="27" s="1"/>
  <c r="I42" i="27" s="1"/>
  <c r="I43" i="27" s="1"/>
  <c r="I44" i="27" s="1"/>
  <c r="G32" i="27"/>
  <c r="G33" i="27" l="1"/>
  <c r="G34" i="27" s="1"/>
  <c r="H32" i="27" s="1"/>
  <c r="H33" i="27" s="1"/>
  <c r="H34" i="27" s="1"/>
  <c r="I32" i="27" s="1"/>
  <c r="J62" i="27"/>
  <c r="J63" i="27" s="1"/>
  <c r="J64" i="27" s="1"/>
  <c r="J52" i="27"/>
  <c r="J53" i="27" s="1"/>
  <c r="J54" i="27" s="1"/>
  <c r="J42" i="27"/>
  <c r="J43" i="27" s="1"/>
  <c r="J44" i="27" s="1"/>
  <c r="K62" i="27" l="1"/>
  <c r="K63" i="27" s="1"/>
  <c r="K64" i="27" s="1"/>
  <c r="K52" i="27"/>
  <c r="K53" i="27" s="1"/>
  <c r="K54" i="27" s="1"/>
  <c r="K42" i="27"/>
  <c r="K43" i="27" s="1"/>
  <c r="K44" i="27" s="1"/>
  <c r="I33" i="27"/>
  <c r="I34" i="27" s="1"/>
  <c r="J32" i="27" s="1"/>
  <c r="L52" i="27" l="1"/>
  <c r="L53" i="27" s="1"/>
  <c r="L54" i="27" s="1"/>
  <c r="L62" i="27"/>
  <c r="L63" i="27" s="1"/>
  <c r="L64" i="27" s="1"/>
  <c r="L42" i="27"/>
  <c r="L43" i="27" s="1"/>
  <c r="L44" i="27" s="1"/>
  <c r="J33" i="27"/>
  <c r="J34" i="27" s="1"/>
  <c r="K32" i="27" s="1"/>
  <c r="F73" i="27"/>
  <c r="F74" i="27" s="1"/>
  <c r="F22" i="27"/>
  <c r="M62" i="27" l="1"/>
  <c r="K42" i="29" s="1"/>
  <c r="L42" i="29" s="1"/>
  <c r="N56" i="27" s="1"/>
  <c r="M52" i="27"/>
  <c r="K32" i="29" s="1"/>
  <c r="L32" i="29" s="1"/>
  <c r="N46" i="27" s="1"/>
  <c r="F24" i="27"/>
  <c r="G72" i="27"/>
  <c r="M42" i="27"/>
  <c r="K22" i="29" s="1"/>
  <c r="L22" i="29" s="1"/>
  <c r="N36" i="27" s="1"/>
  <c r="K33" i="27"/>
  <c r="K34" i="27" s="1"/>
  <c r="F23" i="27"/>
  <c r="AA3" i="22"/>
  <c r="AA10" i="22"/>
  <c r="AA17" i="22"/>
  <c r="AA24" i="22"/>
  <c r="AA31" i="22"/>
  <c r="M53" i="27" l="1"/>
  <c r="M54" i="27" s="1"/>
  <c r="M63" i="27"/>
  <c r="M64" i="27" s="1"/>
  <c r="M43" i="27"/>
  <c r="M44" i="27" s="1"/>
  <c r="L32" i="27"/>
  <c r="L33" i="27" s="1"/>
  <c r="G21" i="27"/>
  <c r="G22" i="27" s="1"/>
  <c r="G73" i="27"/>
  <c r="L34" i="27" l="1"/>
  <c r="M32" i="27" s="1"/>
  <c r="K12" i="29" s="1"/>
  <c r="G74" i="27"/>
  <c r="H72" i="27" s="1"/>
  <c r="G23" i="27"/>
  <c r="G24" i="27" l="1"/>
  <c r="H21" i="27" l="1"/>
  <c r="H22" i="27" s="1"/>
  <c r="H73" i="27"/>
  <c r="H74" i="27" l="1"/>
  <c r="I72" i="27" s="1"/>
  <c r="H23" i="27"/>
  <c r="H24" i="27" l="1"/>
  <c r="I21" i="27" l="1"/>
  <c r="I22" i="27" s="1"/>
  <c r="I73" i="27"/>
  <c r="I74" i="27" l="1"/>
  <c r="J72" i="27" s="1"/>
  <c r="I23" i="27"/>
  <c r="I24" i="27" l="1"/>
  <c r="AC60" i="11"/>
  <c r="AC61" i="11"/>
  <c r="AC62" i="11"/>
  <c r="AC63" i="11"/>
  <c r="AC64" i="11"/>
  <c r="AD104" i="1"/>
  <c r="AE104" i="1" s="1"/>
  <c r="AF104" i="1" s="1"/>
  <c r="AG104" i="1" s="1"/>
  <c r="AH104" i="1" s="1"/>
  <c r="AI104" i="1" s="1"/>
  <c r="AJ104" i="1" s="1"/>
  <c r="AK104" i="1" s="1"/>
  <c r="AL104" i="1" s="1"/>
  <c r="AM104" i="1" s="1"/>
  <c r="AN104" i="1" s="1"/>
  <c r="AO104" i="1" s="1"/>
  <c r="AP104" i="1" s="1"/>
  <c r="AQ104" i="1" s="1"/>
  <c r="AR104" i="1" s="1"/>
  <c r="AS104" i="1" s="1"/>
  <c r="AT104" i="1" s="1"/>
  <c r="AU104" i="1" s="1"/>
  <c r="AV104" i="1" s="1"/>
  <c r="V98" i="1"/>
  <c r="V99" i="1" s="1"/>
  <c r="O98" i="1"/>
  <c r="O100" i="1" s="1"/>
  <c r="AC98" i="1"/>
  <c r="AC99" i="1" s="1"/>
  <c r="AB98" i="1"/>
  <c r="AB99" i="1" s="1"/>
  <c r="AA98" i="1"/>
  <c r="AA99" i="1" s="1"/>
  <c r="Z98" i="1"/>
  <c r="Z99" i="1" s="1"/>
  <c r="Y98" i="1"/>
  <c r="Y99" i="1" s="1"/>
  <c r="X98" i="1"/>
  <c r="X99" i="1" s="1"/>
  <c r="W98" i="1"/>
  <c r="W99" i="1" s="1"/>
  <c r="U98" i="1"/>
  <c r="U99" i="1" s="1"/>
  <c r="T98" i="1"/>
  <c r="T99" i="1" s="1"/>
  <c r="S98" i="1"/>
  <c r="S99" i="1" s="1"/>
  <c r="R98" i="1"/>
  <c r="R99" i="1" s="1"/>
  <c r="Q98" i="1"/>
  <c r="Q99" i="1" s="1"/>
  <c r="P98" i="1"/>
  <c r="P99" i="1" s="1"/>
  <c r="P104" i="1"/>
  <c r="Q104" i="1"/>
  <c r="R104" i="1"/>
  <c r="S104" i="1"/>
  <c r="T104" i="1"/>
  <c r="U104" i="1"/>
  <c r="V104" i="1"/>
  <c r="W104" i="1"/>
  <c r="X104" i="1"/>
  <c r="Y104" i="1"/>
  <c r="Z104" i="1"/>
  <c r="AA104" i="1"/>
  <c r="AB104" i="1"/>
  <c r="E31" i="22"/>
  <c r="C31" i="22"/>
  <c r="AD78" i="1"/>
  <c r="AE78" i="1"/>
  <c r="Y78" i="1"/>
  <c r="Y79" i="1" s="1"/>
  <c r="AA78" i="1"/>
  <c r="AB78" i="1"/>
  <c r="AC78" i="1"/>
  <c r="AF78" i="1"/>
  <c r="AG78" i="1"/>
  <c r="AH78" i="1"/>
  <c r="AI78" i="1"/>
  <c r="AM78" i="1"/>
  <c r="AN78" i="1"/>
  <c r="AO78" i="1"/>
  <c r="AP78" i="1"/>
  <c r="AQ78" i="1"/>
  <c r="AR78" i="1"/>
  <c r="AS78" i="1"/>
  <c r="AT78" i="1"/>
  <c r="AU78" i="1"/>
  <c r="AV78" i="1"/>
  <c r="AW78" i="1"/>
  <c r="AX78" i="1"/>
  <c r="O88" i="1"/>
  <c r="Q85" i="1"/>
  <c r="Q87" i="1" s="1"/>
  <c r="Q88" i="1" s="1"/>
  <c r="R85" i="1"/>
  <c r="R87" i="1" s="1"/>
  <c r="R88" i="1" s="1"/>
  <c r="S85" i="1"/>
  <c r="S87" i="1" s="1"/>
  <c r="S88" i="1" s="1"/>
  <c r="T85" i="1"/>
  <c r="U85" i="1"/>
  <c r="U87" i="1" s="1"/>
  <c r="U88" i="1" s="1"/>
  <c r="V85" i="1"/>
  <c r="V87" i="1" s="1"/>
  <c r="V88" i="1" s="1"/>
  <c r="W85" i="1"/>
  <c r="W87" i="1" s="1"/>
  <c r="W88" i="1" s="1"/>
  <c r="X85" i="1"/>
  <c r="X87" i="1" s="1"/>
  <c r="X88" i="1" s="1"/>
  <c r="Y85" i="1"/>
  <c r="Y87" i="1" s="1"/>
  <c r="Y88" i="1" s="1"/>
  <c r="Z85" i="1"/>
  <c r="Z87" i="1" s="1"/>
  <c r="Z88" i="1" s="1"/>
  <c r="AA85" i="1"/>
  <c r="AA87" i="1" s="1"/>
  <c r="AA88" i="1" s="1"/>
  <c r="AB85" i="1"/>
  <c r="AB87" i="1" s="1"/>
  <c r="AB88" i="1" s="1"/>
  <c r="AC85" i="1"/>
  <c r="AC87" i="1" s="1"/>
  <c r="AC88" i="1" s="1"/>
  <c r="AD85" i="1"/>
  <c r="AD87" i="1" s="1"/>
  <c r="AD88" i="1" s="1"/>
  <c r="AE85" i="1"/>
  <c r="AE87" i="1" s="1"/>
  <c r="AE88" i="1" s="1"/>
  <c r="AF85" i="1"/>
  <c r="AF87" i="1" s="1"/>
  <c r="AF88" i="1" s="1"/>
  <c r="AG85" i="1"/>
  <c r="AG87" i="1" s="1"/>
  <c r="AG88" i="1" s="1"/>
  <c r="AH85" i="1"/>
  <c r="AH87" i="1" s="1"/>
  <c r="AH88" i="1" s="1"/>
  <c r="AI85" i="1"/>
  <c r="AJ85" i="1"/>
  <c r="AJ87" i="1" s="1"/>
  <c r="AJ88" i="1" s="1"/>
  <c r="AK85" i="1"/>
  <c r="AK87" i="1" s="1"/>
  <c r="AK88" i="1" s="1"/>
  <c r="AL85" i="1"/>
  <c r="AL87" i="1" s="1"/>
  <c r="AL88" i="1" s="1"/>
  <c r="P87" i="1"/>
  <c r="P88" i="1" s="1"/>
  <c r="AM88" i="1"/>
  <c r="AN88" i="1"/>
  <c r="AO87" i="1"/>
  <c r="AO88" i="1" s="1"/>
  <c r="AP87" i="1"/>
  <c r="AP88" i="1" s="1"/>
  <c r="AQ87" i="1"/>
  <c r="AQ88" i="1" s="1"/>
  <c r="AR87" i="1"/>
  <c r="AR88" i="1" s="1"/>
  <c r="AS87" i="1"/>
  <c r="AS88" i="1" s="1"/>
  <c r="AT87" i="1"/>
  <c r="AT88" i="1" s="1"/>
  <c r="AU87" i="1"/>
  <c r="AU88" i="1" s="1"/>
  <c r="O87" i="1"/>
  <c r="AI87" i="1"/>
  <c r="AI88" i="1" s="1"/>
  <c r="T87" i="1"/>
  <c r="T88" i="1" s="1"/>
  <c r="X8" i="1"/>
  <c r="X14" i="11"/>
  <c r="P7" i="1"/>
  <c r="P8" i="1" s="1"/>
  <c r="E8" i="1"/>
  <c r="E10" i="1" s="1"/>
  <c r="E11" i="1" s="1"/>
  <c r="F8" i="1"/>
  <c r="G8" i="1"/>
  <c r="H8" i="1"/>
  <c r="I8" i="1"/>
  <c r="J8" i="1"/>
  <c r="K8" i="1"/>
  <c r="L8" i="1"/>
  <c r="M8" i="1"/>
  <c r="N8" i="1"/>
  <c r="O8" i="1"/>
  <c r="Q8" i="1"/>
  <c r="R8" i="1"/>
  <c r="S8" i="1"/>
  <c r="T8" i="1"/>
  <c r="U8" i="1"/>
  <c r="V8" i="1"/>
  <c r="W8" i="1"/>
  <c r="Z8" i="1"/>
  <c r="AA8" i="1"/>
  <c r="AB8" i="1"/>
  <c r="AC8" i="1"/>
  <c r="AD8" i="1"/>
  <c r="AE8" i="1"/>
  <c r="AF8" i="1"/>
  <c r="AG8" i="1"/>
  <c r="AH8" i="1"/>
  <c r="AI8" i="1"/>
  <c r="AJ8" i="1"/>
  <c r="AK8" i="1"/>
  <c r="AL8" i="1"/>
  <c r="AM8" i="1"/>
  <c r="AN8" i="1"/>
  <c r="AO8" i="1"/>
  <c r="AP8" i="1"/>
  <c r="AQ8" i="1"/>
  <c r="AR8" i="1"/>
  <c r="AS8" i="1"/>
  <c r="AT8" i="1"/>
  <c r="AU8" i="1"/>
  <c r="AV8" i="1"/>
  <c r="AW8" i="1"/>
  <c r="AX8" i="1"/>
  <c r="P15" i="1"/>
  <c r="E17" i="1"/>
  <c r="F17" i="1"/>
  <c r="G17" i="1"/>
  <c r="H17" i="1"/>
  <c r="I17" i="1"/>
  <c r="J17" i="1"/>
  <c r="K17" i="1"/>
  <c r="L17" i="1"/>
  <c r="M17" i="1"/>
  <c r="N17" i="1"/>
  <c r="O17" i="1"/>
  <c r="AC14" i="11"/>
  <c r="AC19" i="11"/>
  <c r="AD14" i="11"/>
  <c r="AD19" i="11"/>
  <c r="AD28" i="11"/>
  <c r="P28" i="1"/>
  <c r="Q28" i="1"/>
  <c r="S3" i="22"/>
  <c r="AC15" i="11"/>
  <c r="AD15" i="11"/>
  <c r="AD32" i="11" s="1"/>
  <c r="AE37" i="1" s="1"/>
  <c r="P38" i="1"/>
  <c r="Q38" i="1"/>
  <c r="E10" i="22" s="1"/>
  <c r="S10" i="22"/>
  <c r="AC16" i="11"/>
  <c r="AD16" i="11"/>
  <c r="P48" i="1"/>
  <c r="D17" i="22" s="1"/>
  <c r="Q48" i="1"/>
  <c r="S17" i="22"/>
  <c r="AC17" i="11"/>
  <c r="AD17" i="11"/>
  <c r="P58" i="1"/>
  <c r="S24" i="22"/>
  <c r="AC18" i="11"/>
  <c r="AD18" i="11"/>
  <c r="AD35" i="11" s="1"/>
  <c r="AE67" i="1" s="1"/>
  <c r="P68" i="1"/>
  <c r="D31" i="22" s="1"/>
  <c r="P9" i="26"/>
  <c r="O9" i="26"/>
  <c r="N9" i="26"/>
  <c r="M9" i="26"/>
  <c r="K9" i="26"/>
  <c r="J9" i="26"/>
  <c r="I9" i="26"/>
  <c r="H9" i="26"/>
  <c r="G9" i="26"/>
  <c r="F9" i="26"/>
  <c r="E9" i="26"/>
  <c r="D9" i="26"/>
  <c r="L7" i="26"/>
  <c r="L9" i="26" s="1"/>
  <c r="E3" i="22"/>
  <c r="D3" i="22"/>
  <c r="C3" i="22"/>
  <c r="E24" i="22"/>
  <c r="D24" i="22"/>
  <c r="C24" i="22"/>
  <c r="C17" i="22"/>
  <c r="S31" i="22"/>
  <c r="D10" i="22"/>
  <c r="C10" i="22"/>
  <c r="Q7" i="26"/>
  <c r="Q9" i="26" s="1"/>
  <c r="T10" i="11"/>
  <c r="T19" i="11" s="1"/>
  <c r="H17" i="22"/>
  <c r="I17" i="22"/>
  <c r="J17" i="22"/>
  <c r="K17" i="22"/>
  <c r="L17" i="22"/>
  <c r="M17" i="22"/>
  <c r="N17" i="22"/>
  <c r="O17" i="22"/>
  <c r="P17" i="22"/>
  <c r="Q17" i="22"/>
  <c r="R17" i="22"/>
  <c r="T17" i="22"/>
  <c r="U17" i="22"/>
  <c r="V17" i="22"/>
  <c r="W17" i="22"/>
  <c r="X17" i="22"/>
  <c r="Y17" i="22"/>
  <c r="Z17" i="22"/>
  <c r="G17" i="22"/>
  <c r="H31" i="22"/>
  <c r="I31" i="22"/>
  <c r="J31" i="22"/>
  <c r="K31" i="22"/>
  <c r="L31" i="22"/>
  <c r="M31" i="22"/>
  <c r="N31" i="22"/>
  <c r="O31" i="22"/>
  <c r="P31" i="22"/>
  <c r="Q31" i="22"/>
  <c r="R31" i="22"/>
  <c r="T31" i="22"/>
  <c r="U31" i="22"/>
  <c r="V31" i="22"/>
  <c r="W31" i="22"/>
  <c r="X31" i="22"/>
  <c r="Y31" i="22"/>
  <c r="Z31" i="22"/>
  <c r="G31" i="22"/>
  <c r="H24" i="22"/>
  <c r="I24" i="22"/>
  <c r="J24" i="22"/>
  <c r="K24" i="22"/>
  <c r="L24" i="22"/>
  <c r="M24" i="22"/>
  <c r="N24" i="22"/>
  <c r="O24" i="22"/>
  <c r="P24" i="22"/>
  <c r="Q24" i="22"/>
  <c r="Q26" i="22" s="1"/>
  <c r="R24" i="22"/>
  <c r="T24" i="22"/>
  <c r="U24" i="22"/>
  <c r="V24" i="22"/>
  <c r="W24" i="22"/>
  <c r="X24" i="22"/>
  <c r="Y24" i="22"/>
  <c r="Z24" i="22"/>
  <c r="G24" i="22"/>
  <c r="H10" i="22"/>
  <c r="I10" i="22"/>
  <c r="J10" i="22"/>
  <c r="K10" i="22"/>
  <c r="L10" i="22"/>
  <c r="M10" i="22"/>
  <c r="N10" i="22"/>
  <c r="O10" i="22"/>
  <c r="P10" i="22"/>
  <c r="Q10" i="22"/>
  <c r="R10" i="22"/>
  <c r="T10" i="22"/>
  <c r="U10" i="22"/>
  <c r="V10" i="22"/>
  <c r="W10" i="22"/>
  <c r="X10" i="22"/>
  <c r="Y10" i="22"/>
  <c r="Z10" i="22"/>
  <c r="G10" i="22"/>
  <c r="H3" i="22"/>
  <c r="I3" i="22"/>
  <c r="J3" i="22"/>
  <c r="K3" i="22"/>
  <c r="L3" i="22"/>
  <c r="M3" i="22"/>
  <c r="N3" i="22"/>
  <c r="O3" i="22"/>
  <c r="P3" i="22"/>
  <c r="P6" i="22" s="1"/>
  <c r="Q3" i="22"/>
  <c r="Q4" i="22" s="1"/>
  <c r="R3" i="22"/>
  <c r="T3" i="22"/>
  <c r="U3" i="22"/>
  <c r="V3" i="22"/>
  <c r="W3" i="22"/>
  <c r="X3" i="22"/>
  <c r="Y3" i="22"/>
  <c r="Z3" i="22"/>
  <c r="G3" i="22"/>
  <c r="F31" i="22"/>
  <c r="F24" i="22"/>
  <c r="Q52" i="11"/>
  <c r="F17" i="22" s="1"/>
  <c r="Q51" i="11"/>
  <c r="Q50" i="11"/>
  <c r="F10" i="22"/>
  <c r="AW64" i="11"/>
  <c r="AV64" i="11"/>
  <c r="AT64" i="11"/>
  <c r="AS64" i="11"/>
  <c r="AR64" i="11"/>
  <c r="AQ64" i="11"/>
  <c r="AP64" i="11"/>
  <c r="AO64" i="11"/>
  <c r="AN64" i="11"/>
  <c r="AM64" i="11"/>
  <c r="AL64" i="11"/>
  <c r="AK64" i="11"/>
  <c r="AJ64" i="11"/>
  <c r="AI64" i="11"/>
  <c r="AH64" i="11"/>
  <c r="AG64" i="11"/>
  <c r="AF64" i="11"/>
  <c r="AE64" i="11"/>
  <c r="AD64" i="11"/>
  <c r="AB64" i="11"/>
  <c r="AA64" i="11"/>
  <c r="Z64" i="11"/>
  <c r="Y64" i="11"/>
  <c r="X64" i="11"/>
  <c r="W64" i="11"/>
  <c r="V64" i="11"/>
  <c r="U64" i="11"/>
  <c r="T64" i="11"/>
  <c r="S64" i="11"/>
  <c r="R64" i="11"/>
  <c r="Q64" i="11"/>
  <c r="P64" i="11"/>
  <c r="O64" i="11"/>
  <c r="N64" i="11"/>
  <c r="M64" i="11"/>
  <c r="L64" i="11"/>
  <c r="K64" i="11"/>
  <c r="J64" i="11"/>
  <c r="I64" i="11"/>
  <c r="H64" i="11"/>
  <c r="G64" i="11"/>
  <c r="F64" i="11"/>
  <c r="E64" i="11"/>
  <c r="D64" i="11"/>
  <c r="AW63" i="11"/>
  <c r="AV63" i="11"/>
  <c r="AT63" i="11"/>
  <c r="AS63" i="11"/>
  <c r="AR63" i="11"/>
  <c r="AQ63" i="11"/>
  <c r="AP63" i="11"/>
  <c r="AO63" i="11"/>
  <c r="AN63" i="11"/>
  <c r="AM63" i="11"/>
  <c r="AL63" i="11"/>
  <c r="AK63" i="11"/>
  <c r="AJ63" i="11"/>
  <c r="AI63" i="11"/>
  <c r="AH63" i="11"/>
  <c r="AG63" i="11"/>
  <c r="AF63" i="11"/>
  <c r="AE63" i="11"/>
  <c r="AD63" i="11"/>
  <c r="AB63" i="11"/>
  <c r="AA63" i="11"/>
  <c r="Z63" i="11"/>
  <c r="Y63" i="11"/>
  <c r="X63" i="11"/>
  <c r="W63" i="11"/>
  <c r="V63" i="11"/>
  <c r="U63" i="11"/>
  <c r="T63" i="11"/>
  <c r="S63" i="11"/>
  <c r="R63" i="11"/>
  <c r="Q63" i="11"/>
  <c r="P63" i="11"/>
  <c r="O63" i="11"/>
  <c r="N63" i="11"/>
  <c r="M63" i="11"/>
  <c r="L63" i="11"/>
  <c r="K63" i="11"/>
  <c r="J63" i="11"/>
  <c r="I63" i="11"/>
  <c r="H63" i="11"/>
  <c r="G63" i="11"/>
  <c r="F63" i="11"/>
  <c r="E63" i="11"/>
  <c r="D63" i="11"/>
  <c r="AW62" i="11"/>
  <c r="AV62" i="11"/>
  <c r="AT62" i="11"/>
  <c r="AS62" i="11"/>
  <c r="AR62" i="11"/>
  <c r="AQ62" i="11"/>
  <c r="AP62" i="11"/>
  <c r="AO62" i="11"/>
  <c r="AN62" i="11"/>
  <c r="AM62" i="11"/>
  <c r="AL62" i="11"/>
  <c r="AK62" i="11"/>
  <c r="AJ62" i="11"/>
  <c r="AI62" i="11"/>
  <c r="AH62" i="11"/>
  <c r="AG62" i="11"/>
  <c r="AF62" i="11"/>
  <c r="AE62" i="11"/>
  <c r="AD62" i="11"/>
  <c r="AB62" i="11"/>
  <c r="AA62" i="11"/>
  <c r="Z62" i="11"/>
  <c r="Y62" i="11"/>
  <c r="X62" i="11"/>
  <c r="W62" i="11"/>
  <c r="V62" i="11"/>
  <c r="U62" i="11"/>
  <c r="T62" i="11"/>
  <c r="S62" i="11"/>
  <c r="R62" i="11"/>
  <c r="Q62" i="11"/>
  <c r="P62" i="11"/>
  <c r="O62" i="11"/>
  <c r="N62" i="11"/>
  <c r="M62" i="11"/>
  <c r="L62" i="11"/>
  <c r="K62" i="11"/>
  <c r="J62" i="11"/>
  <c r="I62" i="11"/>
  <c r="H62" i="11"/>
  <c r="G62" i="11"/>
  <c r="F62" i="11"/>
  <c r="E62" i="11"/>
  <c r="D62" i="11"/>
  <c r="AW61" i="11"/>
  <c r="AV61" i="11"/>
  <c r="AT61" i="11"/>
  <c r="AS61" i="11"/>
  <c r="AR61" i="11"/>
  <c r="AQ61" i="11"/>
  <c r="AP61" i="11"/>
  <c r="AO61" i="11"/>
  <c r="AN61" i="11"/>
  <c r="AM61" i="11"/>
  <c r="AL61" i="11"/>
  <c r="AK61" i="11"/>
  <c r="AJ61" i="11"/>
  <c r="AI61" i="11"/>
  <c r="AH61" i="11"/>
  <c r="AG61" i="11"/>
  <c r="AF61" i="11"/>
  <c r="AE61" i="11"/>
  <c r="AD61" i="11"/>
  <c r="AB61" i="11"/>
  <c r="AA61" i="11"/>
  <c r="Z61" i="11"/>
  <c r="Y61" i="11"/>
  <c r="X61" i="11"/>
  <c r="W61" i="11"/>
  <c r="V61" i="11"/>
  <c r="U61" i="11"/>
  <c r="T61" i="11"/>
  <c r="S61" i="11"/>
  <c r="R61" i="11"/>
  <c r="Q61" i="11"/>
  <c r="P61" i="11"/>
  <c r="O61" i="11"/>
  <c r="N61" i="11"/>
  <c r="M61" i="11"/>
  <c r="L61" i="11"/>
  <c r="K61" i="11"/>
  <c r="J61" i="11"/>
  <c r="I61" i="11"/>
  <c r="H61" i="11"/>
  <c r="G61" i="11"/>
  <c r="F61" i="11"/>
  <c r="E61" i="11"/>
  <c r="D61" i="11"/>
  <c r="AW60" i="11"/>
  <c r="AV60" i="11"/>
  <c r="AT60" i="11"/>
  <c r="AS60" i="11"/>
  <c r="AR60" i="11"/>
  <c r="AR65" i="11" s="1"/>
  <c r="AR69" i="11" s="1"/>
  <c r="AS38" i="1" s="1"/>
  <c r="AS39" i="1" s="1"/>
  <c r="AS40" i="1" s="1"/>
  <c r="AQ60" i="11"/>
  <c r="AP60" i="11"/>
  <c r="AO60" i="11"/>
  <c r="AN60" i="11"/>
  <c r="AM60" i="11"/>
  <c r="AL60" i="11"/>
  <c r="AK60" i="11"/>
  <c r="AJ60" i="11"/>
  <c r="AI60" i="11"/>
  <c r="AH60" i="11"/>
  <c r="AG60" i="11"/>
  <c r="AF60" i="11"/>
  <c r="AE60" i="11"/>
  <c r="AD60" i="11"/>
  <c r="AB60" i="11"/>
  <c r="AB65" i="11" s="1"/>
  <c r="AA60" i="11"/>
  <c r="Z60" i="11"/>
  <c r="Y60" i="11"/>
  <c r="Y65" i="11" s="1"/>
  <c r="X60" i="11"/>
  <c r="X65" i="11" s="1"/>
  <c r="X70" i="11" s="1"/>
  <c r="Y48" i="1" s="1"/>
  <c r="W60" i="11"/>
  <c r="W65" i="11" s="1"/>
  <c r="W68" i="11" s="1"/>
  <c r="V60" i="11"/>
  <c r="V65" i="11" s="1"/>
  <c r="U60" i="11"/>
  <c r="U65" i="11" s="1"/>
  <c r="U68" i="11" s="1"/>
  <c r="V28" i="1" s="1"/>
  <c r="T60" i="11"/>
  <c r="S60" i="11"/>
  <c r="S65" i="11" s="1"/>
  <c r="S71" i="11" s="1"/>
  <c r="T58" i="1" s="1"/>
  <c r="R60" i="11"/>
  <c r="R65" i="11" s="1"/>
  <c r="Q60" i="11"/>
  <c r="Q65" i="11" s="1"/>
  <c r="P60" i="11"/>
  <c r="P65" i="11" s="1"/>
  <c r="O60" i="11"/>
  <c r="O65" i="11" s="1"/>
  <c r="N60" i="11"/>
  <c r="M60" i="11"/>
  <c r="M65" i="11" s="1"/>
  <c r="L60" i="11"/>
  <c r="K60" i="11"/>
  <c r="K65" i="11" s="1"/>
  <c r="K72" i="11" s="1"/>
  <c r="J60" i="11"/>
  <c r="I60" i="11"/>
  <c r="H60" i="11"/>
  <c r="G60" i="11"/>
  <c r="F60" i="11"/>
  <c r="E60" i="11"/>
  <c r="D60" i="11"/>
  <c r="D65" i="11" s="1"/>
  <c r="D68" i="11" s="1"/>
  <c r="AW55" i="11"/>
  <c r="AV55" i="11"/>
  <c r="AU55" i="11"/>
  <c r="AT55" i="11"/>
  <c r="AS55" i="11"/>
  <c r="AR55" i="11"/>
  <c r="AQ55" i="11"/>
  <c r="AR32" i="26" s="1"/>
  <c r="AP55" i="11"/>
  <c r="AQ32" i="26" s="1"/>
  <c r="AO55" i="11"/>
  <c r="AP32" i="26" s="1"/>
  <c r="AN55" i="11"/>
  <c r="AO32" i="26" s="1"/>
  <c r="AM55" i="11"/>
  <c r="AN32" i="26" s="1"/>
  <c r="AL55" i="11"/>
  <c r="AM32" i="26" s="1"/>
  <c r="AK55" i="11"/>
  <c r="AL32" i="26" s="1"/>
  <c r="AJ55" i="11"/>
  <c r="AK32" i="26" s="1"/>
  <c r="AI55" i="11"/>
  <c r="AJ32" i="26" s="1"/>
  <c r="AH55" i="11"/>
  <c r="AI32" i="26" s="1"/>
  <c r="AG55" i="11"/>
  <c r="AH32" i="26" s="1"/>
  <c r="AF55" i="11"/>
  <c r="AG32" i="26" s="1"/>
  <c r="AE55" i="11"/>
  <c r="AF32" i="26" s="1"/>
  <c r="AD55" i="11"/>
  <c r="AE32" i="26" s="1"/>
  <c r="AC55" i="11"/>
  <c r="AD32" i="26" s="1"/>
  <c r="AB55" i="11"/>
  <c r="AC32" i="26" s="1"/>
  <c r="AA55" i="11"/>
  <c r="AB32" i="26" s="1"/>
  <c r="Z55" i="11"/>
  <c r="AA32" i="26" s="1"/>
  <c r="Y55" i="11"/>
  <c r="Z32" i="26" s="1"/>
  <c r="X55" i="11"/>
  <c r="Y32" i="26" s="1"/>
  <c r="W55" i="11"/>
  <c r="X32" i="26" s="1"/>
  <c r="V55" i="11"/>
  <c r="W32" i="26" s="1"/>
  <c r="U55" i="11"/>
  <c r="V32" i="26" s="1"/>
  <c r="T55" i="11"/>
  <c r="U32" i="26" s="1"/>
  <c r="S55" i="11"/>
  <c r="T32" i="26" s="1"/>
  <c r="R55" i="11"/>
  <c r="S32" i="26" s="1"/>
  <c r="P55" i="11"/>
  <c r="O55" i="11"/>
  <c r="N55" i="11"/>
  <c r="M55" i="11"/>
  <c r="L55" i="11"/>
  <c r="K55" i="11"/>
  <c r="J55" i="11"/>
  <c r="I55" i="11"/>
  <c r="H55" i="11"/>
  <c r="G55" i="11"/>
  <c r="F55" i="11"/>
  <c r="E55" i="11"/>
  <c r="D55" i="11"/>
  <c r="T65" i="11"/>
  <c r="T69" i="11" s="1"/>
  <c r="U38" i="1" s="1"/>
  <c r="I65" i="11"/>
  <c r="AW65" i="11"/>
  <c r="AW70" i="11" s="1"/>
  <c r="AX48" i="1" s="1"/>
  <c r="AX49" i="1" s="1"/>
  <c r="AX50" i="1" s="1"/>
  <c r="AA65" i="11"/>
  <c r="AM65" i="11"/>
  <c r="AU65" i="11"/>
  <c r="AU69" i="11" s="1"/>
  <c r="AV38" i="1" s="1"/>
  <c r="AV39" i="1" s="1"/>
  <c r="AV40" i="1" s="1"/>
  <c r="K71" i="11"/>
  <c r="E33" i="22"/>
  <c r="E32" i="22"/>
  <c r="E26" i="22"/>
  <c r="F26" i="22"/>
  <c r="G26" i="22" s="1"/>
  <c r="H26" i="22" s="1"/>
  <c r="E25" i="22"/>
  <c r="E19" i="22"/>
  <c r="E20" i="22" s="1"/>
  <c r="E21" i="22" s="1"/>
  <c r="E18" i="22"/>
  <c r="E12" i="22"/>
  <c r="F12" i="22" s="1"/>
  <c r="E11" i="22"/>
  <c r="E5" i="22"/>
  <c r="E4" i="22"/>
  <c r="E27" i="22"/>
  <c r="E28" i="22" s="1"/>
  <c r="Q12" i="22"/>
  <c r="Q11" i="22"/>
  <c r="Q32" i="22"/>
  <c r="Q33" i="22"/>
  <c r="P7" i="22"/>
  <c r="P8" i="22" s="1"/>
  <c r="AA30" i="27" s="1"/>
  <c r="AA31" i="27" s="1"/>
  <c r="P27" i="22"/>
  <c r="P28" i="22" s="1"/>
  <c r="P29" i="22" s="1"/>
  <c r="AA60" i="27" s="1"/>
  <c r="AA61" i="27" s="1"/>
  <c r="Q25" i="22"/>
  <c r="R25" i="22" s="1"/>
  <c r="D6" i="22"/>
  <c r="D7" i="22" s="1"/>
  <c r="D34" i="22"/>
  <c r="D35" i="22" s="1"/>
  <c r="C34" i="22"/>
  <c r="C35" i="22" s="1"/>
  <c r="D27" i="22"/>
  <c r="D28" i="22" s="1"/>
  <c r="C27" i="22"/>
  <c r="C28" i="22" s="1"/>
  <c r="D20" i="22"/>
  <c r="D21" i="22" s="1"/>
  <c r="C20" i="22"/>
  <c r="C21" i="22" s="1"/>
  <c r="D13" i="22"/>
  <c r="D14" i="22" s="1"/>
  <c r="C13" i="22"/>
  <c r="C14" i="22"/>
  <c r="C6" i="22"/>
  <c r="C7" i="22" s="1"/>
  <c r="F14" i="11"/>
  <c r="D14" i="11"/>
  <c r="G14" i="11"/>
  <c r="H14" i="11"/>
  <c r="I14" i="11"/>
  <c r="J14" i="11"/>
  <c r="K14" i="11"/>
  <c r="L14" i="11"/>
  <c r="M14" i="11"/>
  <c r="N14" i="11"/>
  <c r="O14" i="11"/>
  <c r="P14" i="11"/>
  <c r="Q14" i="11"/>
  <c r="R14" i="11"/>
  <c r="S14" i="11"/>
  <c r="T14" i="11"/>
  <c r="U14" i="11"/>
  <c r="V14" i="11"/>
  <c r="W14" i="11"/>
  <c r="Y14" i="11"/>
  <c r="Z14" i="11"/>
  <c r="AA14" i="11"/>
  <c r="AB14" i="11"/>
  <c r="AE14" i="11"/>
  <c r="AF14" i="11"/>
  <c r="AG14" i="11"/>
  <c r="AH14" i="11"/>
  <c r="AI14" i="11"/>
  <c r="AJ14" i="11"/>
  <c r="AK14" i="11"/>
  <c r="AL14" i="11"/>
  <c r="AM14" i="11"/>
  <c r="AN14" i="11"/>
  <c r="AO14" i="11"/>
  <c r="AP14" i="11"/>
  <c r="AQ14" i="11"/>
  <c r="AR14" i="11"/>
  <c r="AS14" i="11"/>
  <c r="AT14" i="11"/>
  <c r="AU14" i="11"/>
  <c r="AW14" i="11"/>
  <c r="F15" i="11"/>
  <c r="G15" i="11"/>
  <c r="H15" i="11"/>
  <c r="I15" i="11"/>
  <c r="J15" i="11"/>
  <c r="K15" i="11"/>
  <c r="L15" i="11"/>
  <c r="M15" i="11"/>
  <c r="N15" i="11"/>
  <c r="O15" i="11"/>
  <c r="P15" i="11"/>
  <c r="Q15" i="11"/>
  <c r="R15" i="11"/>
  <c r="S15" i="11"/>
  <c r="T15" i="11"/>
  <c r="U15" i="11"/>
  <c r="V15" i="11"/>
  <c r="W15" i="11"/>
  <c r="X15" i="11"/>
  <c r="Y15" i="11"/>
  <c r="Z15" i="11"/>
  <c r="AA15" i="11"/>
  <c r="AB15" i="11"/>
  <c r="AE15" i="11"/>
  <c r="AF15" i="11"/>
  <c r="AG15" i="11"/>
  <c r="AH15" i="11"/>
  <c r="AI15" i="11"/>
  <c r="AJ15" i="11"/>
  <c r="AK15" i="11"/>
  <c r="AL15" i="11"/>
  <c r="AM15" i="11"/>
  <c r="AN15" i="11"/>
  <c r="AO15" i="11"/>
  <c r="AP15" i="11"/>
  <c r="AQ15" i="11"/>
  <c r="AR15" i="11"/>
  <c r="AS15" i="11"/>
  <c r="AT15" i="11"/>
  <c r="AU15" i="11"/>
  <c r="AV15" i="11"/>
  <c r="AW15" i="11"/>
  <c r="F16" i="11"/>
  <c r="G16" i="11"/>
  <c r="H16" i="11"/>
  <c r="I16" i="11"/>
  <c r="J16" i="11"/>
  <c r="K16" i="11"/>
  <c r="L16" i="11"/>
  <c r="M16" i="11"/>
  <c r="N16" i="11"/>
  <c r="O16" i="11"/>
  <c r="P16" i="11"/>
  <c r="Q16" i="11"/>
  <c r="R16" i="11"/>
  <c r="S16" i="11"/>
  <c r="T16" i="11"/>
  <c r="U16" i="11"/>
  <c r="V16" i="11"/>
  <c r="W16" i="11"/>
  <c r="X16" i="11"/>
  <c r="Y16" i="11"/>
  <c r="Z16" i="11"/>
  <c r="AA16" i="11"/>
  <c r="AB16" i="11"/>
  <c r="AE16" i="11"/>
  <c r="AF16" i="11"/>
  <c r="AG16" i="11"/>
  <c r="AH16" i="11"/>
  <c r="AI16" i="11"/>
  <c r="AJ16" i="11"/>
  <c r="AK16" i="11"/>
  <c r="AL16" i="11"/>
  <c r="AM16" i="11"/>
  <c r="AN16" i="11"/>
  <c r="AO16" i="11"/>
  <c r="AP16" i="11"/>
  <c r="AQ16" i="11"/>
  <c r="AR16" i="11"/>
  <c r="AS16" i="11"/>
  <c r="AT16" i="11"/>
  <c r="AU16" i="11"/>
  <c r="AV16" i="11"/>
  <c r="AW16" i="11"/>
  <c r="F17" i="11"/>
  <c r="G17" i="11"/>
  <c r="H17" i="11"/>
  <c r="I17" i="11"/>
  <c r="J17" i="11"/>
  <c r="K17" i="11"/>
  <c r="L17" i="11"/>
  <c r="M17" i="11"/>
  <c r="N17" i="11"/>
  <c r="O17" i="11"/>
  <c r="P17" i="11"/>
  <c r="Q17" i="11"/>
  <c r="R17" i="11"/>
  <c r="S17" i="11"/>
  <c r="T17" i="11"/>
  <c r="U17" i="11"/>
  <c r="V17" i="11"/>
  <c r="W17" i="11"/>
  <c r="X17" i="11"/>
  <c r="Y17" i="11"/>
  <c r="Z17" i="11"/>
  <c r="AA17" i="11"/>
  <c r="AB17" i="11"/>
  <c r="AE17" i="11"/>
  <c r="AF17" i="11"/>
  <c r="AG17" i="11"/>
  <c r="AH17" i="11"/>
  <c r="AI17" i="11"/>
  <c r="AJ17" i="11"/>
  <c r="AK17" i="11"/>
  <c r="AL17" i="11"/>
  <c r="AM17" i="11"/>
  <c r="AN17" i="11"/>
  <c r="AO17" i="11"/>
  <c r="AP17" i="11"/>
  <c r="AQ17" i="11"/>
  <c r="AR17" i="11"/>
  <c r="AS17" i="11"/>
  <c r="AT17" i="11"/>
  <c r="AU17" i="11"/>
  <c r="AV17" i="11"/>
  <c r="AW17" i="11"/>
  <c r="F18" i="11"/>
  <c r="G18" i="11"/>
  <c r="H18" i="11"/>
  <c r="I18" i="11"/>
  <c r="J18" i="11"/>
  <c r="K18" i="11"/>
  <c r="L18" i="11"/>
  <c r="M18" i="11"/>
  <c r="N18" i="11"/>
  <c r="O18" i="11"/>
  <c r="P18" i="11"/>
  <c r="Q18" i="11"/>
  <c r="R18" i="11"/>
  <c r="S18" i="11"/>
  <c r="T18" i="11"/>
  <c r="T20" i="11" s="1"/>
  <c r="U18" i="11"/>
  <c r="V18" i="11"/>
  <c r="W18" i="11"/>
  <c r="X18" i="11"/>
  <c r="Y18" i="11"/>
  <c r="Z18" i="11"/>
  <c r="AA18" i="11"/>
  <c r="AB18" i="11"/>
  <c r="AE18" i="11"/>
  <c r="AF18" i="11"/>
  <c r="AG18" i="11"/>
  <c r="AH18" i="11"/>
  <c r="AI18" i="11"/>
  <c r="AJ18" i="11"/>
  <c r="AK18" i="11"/>
  <c r="AL18" i="11"/>
  <c r="AM18" i="11"/>
  <c r="AN18" i="11"/>
  <c r="AO18" i="11"/>
  <c r="AP18" i="11"/>
  <c r="AQ18" i="11"/>
  <c r="AR18" i="11"/>
  <c r="AS18" i="11"/>
  <c r="AT18" i="11"/>
  <c r="AU18" i="11"/>
  <c r="AV18" i="11"/>
  <c r="AW18" i="11"/>
  <c r="F19" i="11"/>
  <c r="G19" i="11"/>
  <c r="H19" i="11"/>
  <c r="I19" i="11"/>
  <c r="J19" i="11"/>
  <c r="K19" i="11"/>
  <c r="L19" i="11"/>
  <c r="M19" i="11"/>
  <c r="N19" i="11"/>
  <c r="N20" i="11" s="1"/>
  <c r="O19" i="11"/>
  <c r="O34" i="11" s="1"/>
  <c r="P57" i="1" s="1"/>
  <c r="P19" i="11"/>
  <c r="Q19" i="11"/>
  <c r="R19" i="11"/>
  <c r="S19" i="11"/>
  <c r="U19" i="11"/>
  <c r="V19" i="11"/>
  <c r="W19" i="11"/>
  <c r="X19" i="11"/>
  <c r="Y19" i="11"/>
  <c r="Z19" i="11"/>
  <c r="AA19" i="11"/>
  <c r="AB19" i="11"/>
  <c r="AE19" i="11"/>
  <c r="AF19" i="11"/>
  <c r="AG19" i="11"/>
  <c r="AH19" i="11"/>
  <c r="AI19" i="11"/>
  <c r="AJ19" i="11"/>
  <c r="AK19" i="11"/>
  <c r="AL19" i="11"/>
  <c r="AM19" i="11"/>
  <c r="AN19" i="11"/>
  <c r="AO19" i="11"/>
  <c r="AP19" i="11"/>
  <c r="AQ19" i="11"/>
  <c r="AR19" i="11"/>
  <c r="AS19" i="11"/>
  <c r="AT19" i="11"/>
  <c r="AU19" i="11"/>
  <c r="AW19" i="11"/>
  <c r="E15" i="11"/>
  <c r="E16" i="11"/>
  <c r="E17" i="11"/>
  <c r="E18" i="11"/>
  <c r="E19" i="11"/>
  <c r="E14" i="11"/>
  <c r="K11" i="11"/>
  <c r="L11" i="11"/>
  <c r="K28" i="11"/>
  <c r="L28" i="11"/>
  <c r="I11" i="11"/>
  <c r="J11" i="11"/>
  <c r="J20" i="11"/>
  <c r="J28" i="11"/>
  <c r="D11" i="11"/>
  <c r="D15" i="11"/>
  <c r="D16" i="11"/>
  <c r="D17" i="11"/>
  <c r="D18" i="11"/>
  <c r="D19" i="11"/>
  <c r="D28" i="11"/>
  <c r="F11" i="11"/>
  <c r="F28" i="11"/>
  <c r="H11" i="11"/>
  <c r="H28" i="11"/>
  <c r="H33" i="11" s="1"/>
  <c r="I47" i="1" s="1"/>
  <c r="I51" i="1" s="1"/>
  <c r="AD20" i="11"/>
  <c r="E11" i="11"/>
  <c r="G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E28" i="11"/>
  <c r="G28" i="11"/>
  <c r="I28" i="11"/>
  <c r="M28" i="11"/>
  <c r="N28" i="11"/>
  <c r="O28" i="11"/>
  <c r="P28" i="11"/>
  <c r="Q28" i="11"/>
  <c r="R28" i="11"/>
  <c r="S28" i="11"/>
  <c r="T28" i="11"/>
  <c r="U28" i="11"/>
  <c r="V28" i="11"/>
  <c r="W28" i="11"/>
  <c r="X28" i="11"/>
  <c r="Y28" i="11"/>
  <c r="Z28" i="11"/>
  <c r="AA28" i="11"/>
  <c r="AB28" i="11"/>
  <c r="AC28" i="11"/>
  <c r="AE28" i="11"/>
  <c r="AF28" i="11"/>
  <c r="AG28" i="11"/>
  <c r="AH28" i="11"/>
  <c r="AI28" i="11"/>
  <c r="AJ28" i="11"/>
  <c r="AK28" i="11"/>
  <c r="AL28" i="11"/>
  <c r="AM28" i="11"/>
  <c r="AN28" i="11"/>
  <c r="AO28" i="11"/>
  <c r="AP28" i="11"/>
  <c r="AQ28" i="11"/>
  <c r="AR28" i="11"/>
  <c r="AS28" i="11"/>
  <c r="AT28" i="11"/>
  <c r="AU28" i="11"/>
  <c r="AV28" i="11"/>
  <c r="AV31" i="11" s="1"/>
  <c r="AW27" i="1" s="1"/>
  <c r="AW28" i="11"/>
  <c r="AP35" i="11" l="1"/>
  <c r="AQ67" i="1" s="1"/>
  <c r="F25" i="22"/>
  <c r="F18" i="22"/>
  <c r="F32" i="22"/>
  <c r="P17" i="1"/>
  <c r="S72" i="11"/>
  <c r="T68" i="1" s="1"/>
  <c r="V35" i="11"/>
  <c r="W67" i="1" s="1"/>
  <c r="R33" i="22"/>
  <c r="R11" i="22"/>
  <c r="E35" i="11"/>
  <c r="F67" i="1" s="1"/>
  <c r="L33" i="11"/>
  <c r="M47" i="1" s="1"/>
  <c r="M51" i="1" s="1"/>
  <c r="P33" i="11"/>
  <c r="Q47" i="1" s="1"/>
  <c r="H31" i="11"/>
  <c r="I27" i="1" s="1"/>
  <c r="I31" i="1" s="1"/>
  <c r="I68" i="11"/>
  <c r="Q70" i="11"/>
  <c r="Q69" i="11"/>
  <c r="Q71" i="11"/>
  <c r="R58" i="1" s="1"/>
  <c r="N35" i="11"/>
  <c r="O67" i="1" s="1"/>
  <c r="R34" i="11"/>
  <c r="S57" i="1" s="1"/>
  <c r="P35" i="11"/>
  <c r="Q67" i="1" s="1"/>
  <c r="E32" i="11"/>
  <c r="F37" i="1" s="1"/>
  <c r="F41" i="1" s="1"/>
  <c r="U71" i="11"/>
  <c r="V58" i="1" s="1"/>
  <c r="J34" i="11"/>
  <c r="K57" i="1" s="1"/>
  <c r="K61" i="1" s="1"/>
  <c r="L31" i="11"/>
  <c r="AO34" i="11"/>
  <c r="AP57" i="1" s="1"/>
  <c r="Y20" i="11"/>
  <c r="U69" i="11"/>
  <c r="V38" i="1" s="1"/>
  <c r="Y69" i="11"/>
  <c r="Z38" i="1" s="1"/>
  <c r="AD33" i="11"/>
  <c r="AE47" i="1" s="1"/>
  <c r="D20" i="11"/>
  <c r="W34" i="11"/>
  <c r="X57" i="1" s="1"/>
  <c r="I34" i="11"/>
  <c r="J57" i="1" s="1"/>
  <c r="J61" i="1" s="1"/>
  <c r="AO32" i="11"/>
  <c r="AP37" i="1" s="1"/>
  <c r="AG20" i="11"/>
  <c r="U32" i="11"/>
  <c r="V37" i="1" s="1"/>
  <c r="AH20" i="11"/>
  <c r="AB20" i="11"/>
  <c r="Z20" i="11"/>
  <c r="S20" i="11"/>
  <c r="Q31" i="11"/>
  <c r="F31" i="11"/>
  <c r="G27" i="1" s="1"/>
  <c r="G31" i="1" s="1"/>
  <c r="Y72" i="11"/>
  <c r="Z68" i="1" s="1"/>
  <c r="AC65" i="11"/>
  <c r="AC72" i="11" s="1"/>
  <c r="AD68" i="1" s="1"/>
  <c r="U35" i="11"/>
  <c r="V67" i="1" s="1"/>
  <c r="V33" i="11"/>
  <c r="W47" i="1" s="1"/>
  <c r="Q72" i="11"/>
  <c r="R68" i="1" s="1"/>
  <c r="S69" i="11"/>
  <c r="T38" i="1" s="1"/>
  <c r="U70" i="11"/>
  <c r="V48" i="1" s="1"/>
  <c r="U72" i="11"/>
  <c r="V68" i="1" s="1"/>
  <c r="AN65" i="11"/>
  <c r="AN70" i="11" s="1"/>
  <c r="AO48" i="1" s="1"/>
  <c r="AO49" i="1" s="1"/>
  <c r="AO50" i="1" s="1"/>
  <c r="F65" i="11"/>
  <c r="F71" i="11" s="1"/>
  <c r="AG65" i="11"/>
  <c r="AG71" i="11" s="1"/>
  <c r="AH58" i="1" s="1"/>
  <c r="AO65" i="11"/>
  <c r="AO71" i="11" s="1"/>
  <c r="AP58" i="1" s="1"/>
  <c r="AP59" i="1" s="1"/>
  <c r="AP60" i="1" s="1"/>
  <c r="AP61" i="1" s="1"/>
  <c r="R4" i="22"/>
  <c r="S4" i="22" s="1"/>
  <c r="T4" i="22" s="1"/>
  <c r="U4" i="22" s="1"/>
  <c r="V4" i="22" s="1"/>
  <c r="AD31" i="11"/>
  <c r="AE27" i="1" s="1"/>
  <c r="AC20" i="11"/>
  <c r="S35" i="11"/>
  <c r="T67" i="1" s="1"/>
  <c r="Q35" i="11"/>
  <c r="R67" i="1" s="1"/>
  <c r="M35" i="11"/>
  <c r="N67" i="1" s="1"/>
  <c r="K35" i="11"/>
  <c r="L67" i="1" s="1"/>
  <c r="L71" i="1" s="1"/>
  <c r="I35" i="11"/>
  <c r="J67" i="1" s="1"/>
  <c r="J71" i="1" s="1"/>
  <c r="O33" i="11"/>
  <c r="P47" i="1" s="1"/>
  <c r="M33" i="11"/>
  <c r="N47" i="1" s="1"/>
  <c r="N51" i="1" s="1"/>
  <c r="I33" i="11"/>
  <c r="J47" i="1" s="1"/>
  <c r="J51" i="1" s="1"/>
  <c r="AM20" i="11"/>
  <c r="S32" i="11"/>
  <c r="T37" i="1" s="1"/>
  <c r="Q20" i="11"/>
  <c r="O20" i="11"/>
  <c r="G20" i="11"/>
  <c r="I31" i="11"/>
  <c r="J27" i="1" s="1"/>
  <c r="J31" i="1" s="1"/>
  <c r="O69" i="11"/>
  <c r="O71" i="11"/>
  <c r="O70" i="11"/>
  <c r="I71" i="11"/>
  <c r="I70" i="11"/>
  <c r="E65" i="11"/>
  <c r="E71" i="11" s="1"/>
  <c r="AC68" i="11"/>
  <c r="AC71" i="11"/>
  <c r="AD58" i="1" s="1"/>
  <c r="AC69" i="11"/>
  <c r="AD38" i="1" s="1"/>
  <c r="G32" i="11"/>
  <c r="H37" i="1" s="1"/>
  <c r="H41" i="1" s="1"/>
  <c r="D35" i="11"/>
  <c r="D33" i="11"/>
  <c r="D32" i="11"/>
  <c r="K31" i="11"/>
  <c r="L27" i="1" s="1"/>
  <c r="L31" i="1" s="1"/>
  <c r="E34" i="11"/>
  <c r="F57" i="1" s="1"/>
  <c r="F61" i="1" s="1"/>
  <c r="G65" i="11"/>
  <c r="G68" i="11" s="1"/>
  <c r="I72" i="11"/>
  <c r="L65" i="11"/>
  <c r="L68" i="11" s="1"/>
  <c r="T68" i="11"/>
  <c r="AH65" i="11"/>
  <c r="AH70" i="11" s="1"/>
  <c r="AI48" i="1" s="1"/>
  <c r="D69" i="11"/>
  <c r="N65" i="11"/>
  <c r="N69" i="11" s="1"/>
  <c r="AM69" i="11"/>
  <c r="AN38" i="1" s="1"/>
  <c r="D70" i="11"/>
  <c r="T70" i="11"/>
  <c r="U48" i="1" s="1"/>
  <c r="D71" i="11"/>
  <c r="T32" i="11"/>
  <c r="U37" i="1" s="1"/>
  <c r="AB70" i="11"/>
  <c r="AC48" i="1" s="1"/>
  <c r="T71" i="11"/>
  <c r="U58" i="1" s="1"/>
  <c r="AM71" i="11"/>
  <c r="AN58" i="1" s="1"/>
  <c r="D72" i="11"/>
  <c r="T72" i="11"/>
  <c r="U68" i="1" s="1"/>
  <c r="AB72" i="11"/>
  <c r="AC68" i="1" s="1"/>
  <c r="AM72" i="11"/>
  <c r="AN68" i="1" s="1"/>
  <c r="W31" i="11"/>
  <c r="X27" i="1" s="1"/>
  <c r="U31" i="11"/>
  <c r="S31" i="11"/>
  <c r="T27" i="1" s="1"/>
  <c r="O31" i="11"/>
  <c r="P27" i="1" s="1"/>
  <c r="M31" i="11"/>
  <c r="N27" i="1" s="1"/>
  <c r="N31" i="1" s="1"/>
  <c r="G31" i="11"/>
  <c r="H27" i="1" s="1"/>
  <c r="H31" i="1" s="1"/>
  <c r="AF20" i="11"/>
  <c r="V34" i="11"/>
  <c r="W57" i="1" s="1"/>
  <c r="R35" i="11"/>
  <c r="S67" i="1" s="1"/>
  <c r="P34" i="11"/>
  <c r="Q57" i="1" s="1"/>
  <c r="Q5" i="22"/>
  <c r="Q6" i="22" s="1"/>
  <c r="R32" i="22"/>
  <c r="H65" i="11"/>
  <c r="H70" i="11" s="1"/>
  <c r="J65" i="11"/>
  <c r="O68" i="11"/>
  <c r="AB68" i="11"/>
  <c r="AW68" i="11"/>
  <c r="AX28" i="1" s="1"/>
  <c r="AX29" i="1" s="1"/>
  <c r="AX30" i="1" s="1"/>
  <c r="W70" i="11"/>
  <c r="X48" i="1" s="1"/>
  <c r="Y71" i="11"/>
  <c r="Z58" i="1" s="1"/>
  <c r="AR71" i="11"/>
  <c r="AS58" i="1" s="1"/>
  <c r="AS59" i="1" s="1"/>
  <c r="AS60" i="1" s="1"/>
  <c r="W72" i="11"/>
  <c r="X68" i="1" s="1"/>
  <c r="AN72" i="11"/>
  <c r="AO68" i="1" s="1"/>
  <c r="AO69" i="1" s="1"/>
  <c r="AW72" i="11"/>
  <c r="AX68" i="1" s="1"/>
  <c r="AX69" i="1" s="1"/>
  <c r="AD34" i="11"/>
  <c r="V27" i="1"/>
  <c r="R27" i="1"/>
  <c r="AC32" i="11"/>
  <c r="AD37" i="1" s="1"/>
  <c r="AC33" i="11"/>
  <c r="AD47" i="1" s="1"/>
  <c r="AC34" i="11"/>
  <c r="AD57" i="1" s="1"/>
  <c r="AC31" i="11"/>
  <c r="AC35" i="11"/>
  <c r="AD67" i="1" s="1"/>
  <c r="M27" i="1"/>
  <c r="M31" i="1" s="1"/>
  <c r="D34" i="11"/>
  <c r="X31" i="11"/>
  <c r="X35" i="11"/>
  <c r="Y67" i="1" s="1"/>
  <c r="X33" i="11"/>
  <c r="Y47" i="1" s="1"/>
  <c r="X32" i="11"/>
  <c r="Y37" i="1" s="1"/>
  <c r="X34" i="11"/>
  <c r="Y57" i="1" s="1"/>
  <c r="X20" i="11"/>
  <c r="T33" i="11"/>
  <c r="U47" i="1" s="1"/>
  <c r="T35" i="11"/>
  <c r="U67" i="1" s="1"/>
  <c r="T34" i="11"/>
  <c r="U57" i="1" s="1"/>
  <c r="N33" i="11"/>
  <c r="O47" i="1" s="1"/>
  <c r="N34" i="11"/>
  <c r="O57" i="1" s="1"/>
  <c r="L35" i="11"/>
  <c r="M67" i="1" s="1"/>
  <c r="M71" i="1" s="1"/>
  <c r="L32" i="11"/>
  <c r="M37" i="1" s="1"/>
  <c r="M41" i="1" s="1"/>
  <c r="J35" i="11"/>
  <c r="K67" i="1" s="1"/>
  <c r="K71" i="1" s="1"/>
  <c r="J32" i="11"/>
  <c r="K37" i="1" s="1"/>
  <c r="K41" i="1" s="1"/>
  <c r="H32" i="11"/>
  <c r="I37" i="1" s="1"/>
  <c r="I41" i="1" s="1"/>
  <c r="H35" i="11"/>
  <c r="I67" i="1" s="1"/>
  <c r="I71" i="1" s="1"/>
  <c r="F20" i="11"/>
  <c r="F34" i="11"/>
  <c r="G57" i="1" s="1"/>
  <c r="G61" i="1" s="1"/>
  <c r="F32" i="11"/>
  <c r="G37" i="1" s="1"/>
  <c r="G41" i="1" s="1"/>
  <c r="F35" i="11"/>
  <c r="G67" i="1" s="1"/>
  <c r="G71" i="1" s="1"/>
  <c r="AV35" i="11"/>
  <c r="AW67" i="1" s="1"/>
  <c r="AA35" i="11"/>
  <c r="AB67" i="1" s="1"/>
  <c r="Y35" i="11"/>
  <c r="Z67" i="1" s="1"/>
  <c r="W35" i="11"/>
  <c r="X67" i="1" s="1"/>
  <c r="O35" i="11"/>
  <c r="P67" i="1" s="1"/>
  <c r="G35" i="11"/>
  <c r="H67" i="1" s="1"/>
  <c r="H71" i="1" s="1"/>
  <c r="AA34" i="11"/>
  <c r="AB57" i="1" s="1"/>
  <c r="Y34" i="11"/>
  <c r="Z57" i="1" s="1"/>
  <c r="U34" i="11"/>
  <c r="V57" i="1" s="1"/>
  <c r="S34" i="11"/>
  <c r="T57" i="1" s="1"/>
  <c r="Q34" i="11"/>
  <c r="R57" i="1" s="1"/>
  <c r="M34" i="11"/>
  <c r="N57" i="1" s="1"/>
  <c r="N61" i="1" s="1"/>
  <c r="K34" i="11"/>
  <c r="L57" i="1" s="1"/>
  <c r="L61" i="1" s="1"/>
  <c r="G34" i="11"/>
  <c r="H57" i="1" s="1"/>
  <c r="H61" i="1" s="1"/>
  <c r="AA33" i="11"/>
  <c r="AB47" i="1" s="1"/>
  <c r="Y33" i="11"/>
  <c r="Z47" i="1" s="1"/>
  <c r="W33" i="11"/>
  <c r="X47" i="1" s="1"/>
  <c r="U33" i="11"/>
  <c r="V47" i="1" s="1"/>
  <c r="S33" i="11"/>
  <c r="T47" i="1" s="1"/>
  <c r="Q33" i="11"/>
  <c r="R47" i="1" s="1"/>
  <c r="K33" i="11"/>
  <c r="L47" i="1" s="1"/>
  <c r="L51" i="1" s="1"/>
  <c r="G33" i="11"/>
  <c r="H47" i="1" s="1"/>
  <c r="H51" i="1" s="1"/>
  <c r="AA32" i="11"/>
  <c r="AB37" i="1" s="1"/>
  <c r="Y32" i="11"/>
  <c r="Z37" i="1" s="1"/>
  <c r="W32" i="11"/>
  <c r="X37" i="1" s="1"/>
  <c r="W20" i="11"/>
  <c r="U20" i="11"/>
  <c r="M20" i="11"/>
  <c r="M32" i="11"/>
  <c r="N37" i="1" s="1"/>
  <c r="N41" i="1" s="1"/>
  <c r="K32" i="11"/>
  <c r="L37" i="1" s="1"/>
  <c r="L41" i="1" s="1"/>
  <c r="K20" i="11"/>
  <c r="I20" i="11"/>
  <c r="I32" i="11"/>
  <c r="Q32" i="11"/>
  <c r="R37" i="1" s="1"/>
  <c r="N32" i="11"/>
  <c r="O37" i="1" s="1"/>
  <c r="R33" i="11"/>
  <c r="S47" i="1" s="1"/>
  <c r="R32" i="11"/>
  <c r="S37" i="1" s="1"/>
  <c r="O32" i="11"/>
  <c r="P32" i="11"/>
  <c r="Q37" i="1" s="1"/>
  <c r="T31" i="11"/>
  <c r="V32" i="11"/>
  <c r="W37" i="1" s="1"/>
  <c r="R20" i="11"/>
  <c r="AA20" i="11"/>
  <c r="D31" i="11"/>
  <c r="L20" i="11"/>
  <c r="H34" i="11"/>
  <c r="I57" i="1" s="1"/>
  <c r="I61" i="1" s="1"/>
  <c r="L34" i="11"/>
  <c r="M57" i="1" s="1"/>
  <c r="M61" i="1" s="1"/>
  <c r="F33" i="11"/>
  <c r="G47" i="1" s="1"/>
  <c r="G51" i="1" s="1"/>
  <c r="J33" i="11"/>
  <c r="K47" i="1" s="1"/>
  <c r="K51" i="1" s="1"/>
  <c r="E20" i="11"/>
  <c r="E31" i="11"/>
  <c r="E33" i="11"/>
  <c r="F47" i="1" s="1"/>
  <c r="F51" i="1" s="1"/>
  <c r="AT33" i="11"/>
  <c r="AU47" i="1" s="1"/>
  <c r="AR34" i="11"/>
  <c r="AS57" i="1" s="1"/>
  <c r="AS61" i="1" s="1"/>
  <c r="AP31" i="11"/>
  <c r="AL33" i="11"/>
  <c r="AM47" i="1" s="1"/>
  <c r="AJ33" i="11"/>
  <c r="AK47" i="1" s="1"/>
  <c r="AH34" i="11"/>
  <c r="AI57" i="1" s="1"/>
  <c r="AB35" i="11"/>
  <c r="AC67" i="1" s="1"/>
  <c r="AB34" i="11"/>
  <c r="AC57" i="1" s="1"/>
  <c r="AB33" i="11"/>
  <c r="AC47" i="1" s="1"/>
  <c r="AB32" i="11"/>
  <c r="AC37" i="1" s="1"/>
  <c r="AB31" i="11"/>
  <c r="Z35" i="11"/>
  <c r="AA67" i="1" s="1"/>
  <c r="Z34" i="11"/>
  <c r="AA57" i="1" s="1"/>
  <c r="Z33" i="11"/>
  <c r="AA47" i="1" s="1"/>
  <c r="Z32" i="11"/>
  <c r="AA37" i="1" s="1"/>
  <c r="Z31" i="11"/>
  <c r="AQ20" i="11"/>
  <c r="AE20" i="11"/>
  <c r="AA31" i="11"/>
  <c r="Y31" i="11"/>
  <c r="V20" i="11"/>
  <c r="V31" i="11"/>
  <c r="R31" i="11"/>
  <c r="P20" i="11"/>
  <c r="P31" i="11"/>
  <c r="N31" i="11"/>
  <c r="J31" i="11"/>
  <c r="H20" i="11"/>
  <c r="J68" i="11"/>
  <c r="J72" i="11"/>
  <c r="J70" i="11"/>
  <c r="J69" i="11"/>
  <c r="M70" i="11"/>
  <c r="M72" i="11"/>
  <c r="M69" i="11"/>
  <c r="M71" i="11"/>
  <c r="AC28" i="1"/>
  <c r="AU20" i="11"/>
  <c r="AQ34" i="11"/>
  <c r="AR57" i="1" s="1"/>
  <c r="AI35" i="11"/>
  <c r="AJ67" i="1" s="1"/>
  <c r="AG34" i="11"/>
  <c r="AH57" i="1" s="1"/>
  <c r="AH35" i="11"/>
  <c r="AI67" i="1" s="1"/>
  <c r="AV34" i="11"/>
  <c r="AW57" i="1" s="1"/>
  <c r="AV33" i="11"/>
  <c r="AW47" i="1" s="1"/>
  <c r="AV32" i="11"/>
  <c r="AW37" i="1" s="1"/>
  <c r="AH32" i="11"/>
  <c r="AI37" i="1" s="1"/>
  <c r="AH31" i="11"/>
  <c r="AI27" i="1" s="1"/>
  <c r="X28" i="1"/>
  <c r="P70" i="11"/>
  <c r="P72" i="11"/>
  <c r="P68" i="11"/>
  <c r="R69" i="11"/>
  <c r="S38" i="1" s="1"/>
  <c r="R70" i="11"/>
  <c r="S48" i="1" s="1"/>
  <c r="R68" i="11"/>
  <c r="U28" i="1"/>
  <c r="V71" i="11"/>
  <c r="W58" i="1" s="1"/>
  <c r="V68" i="11"/>
  <c r="V70" i="11"/>
  <c r="W48" i="1" s="1"/>
  <c r="F72" i="11"/>
  <c r="F68" i="11"/>
  <c r="N70" i="11"/>
  <c r="N68" i="11"/>
  <c r="P69" i="11"/>
  <c r="V69" i="11"/>
  <c r="W38" i="1" s="1"/>
  <c r="X69" i="11"/>
  <c r="Y38" i="1" s="1"/>
  <c r="F70" i="11"/>
  <c r="J71" i="11"/>
  <c r="N71" i="11"/>
  <c r="P71" i="11"/>
  <c r="R71" i="11"/>
  <c r="S58" i="1" s="1"/>
  <c r="X71" i="11"/>
  <c r="Y58" i="1" s="1"/>
  <c r="N72" i="11"/>
  <c r="R72" i="11"/>
  <c r="S68" i="1" s="1"/>
  <c r="V72" i="11"/>
  <c r="W68" i="1" s="1"/>
  <c r="X72" i="11"/>
  <c r="Y68" i="1" s="1"/>
  <c r="I69" i="11"/>
  <c r="AV65" i="11"/>
  <c r="AV69" i="11" s="1"/>
  <c r="AB69" i="11"/>
  <c r="AC38" i="1" s="1"/>
  <c r="AM70" i="11"/>
  <c r="AN48" i="1" s="1"/>
  <c r="AO70" i="11"/>
  <c r="AP48" i="1" s="1"/>
  <c r="AB71" i="11"/>
  <c r="AC58" i="1" s="1"/>
  <c r="AI65" i="11"/>
  <c r="AI69" i="11" s="1"/>
  <c r="AE65" i="11"/>
  <c r="AE68" i="11" s="1"/>
  <c r="AF28" i="1" s="1"/>
  <c r="AS65" i="11"/>
  <c r="AS70" i="11" s="1"/>
  <c r="AT48" i="1" s="1"/>
  <c r="F19" i="22"/>
  <c r="G19" i="22" s="1"/>
  <c r="Q68" i="11"/>
  <c r="Q73" i="11" s="1"/>
  <c r="R38" i="1"/>
  <c r="R48" i="1"/>
  <c r="AR72" i="11"/>
  <c r="AS68" i="1" s="1"/>
  <c r="AS69" i="1" s="1"/>
  <c r="AW71" i="11"/>
  <c r="AX58" i="1" s="1"/>
  <c r="AX59" i="1" s="1"/>
  <c r="AX60" i="1" s="1"/>
  <c r="AU71" i="11"/>
  <c r="AV58" i="1" s="1"/>
  <c r="AU68" i="11"/>
  <c r="AV28" i="1" s="1"/>
  <c r="E6" i="22"/>
  <c r="E7" i="22" s="1"/>
  <c r="E34" i="22"/>
  <c r="E35" i="22" s="1"/>
  <c r="O72" i="11"/>
  <c r="K68" i="11"/>
  <c r="K70" i="11"/>
  <c r="K69" i="11"/>
  <c r="S70" i="11"/>
  <c r="T48" i="1" s="1"/>
  <c r="S68" i="11"/>
  <c r="X68" i="11"/>
  <c r="M68" i="11"/>
  <c r="AQ65" i="11"/>
  <c r="AQ68" i="11" s="1"/>
  <c r="AR28" i="1" s="1"/>
  <c r="AR29" i="1" s="1"/>
  <c r="AR30" i="1" s="1"/>
  <c r="AP65" i="11"/>
  <c r="AP69" i="11" s="1"/>
  <c r="AQ38" i="1" s="1"/>
  <c r="AQ39" i="1" s="1"/>
  <c r="AQ40" i="1" s="1"/>
  <c r="AD65" i="11"/>
  <c r="AD68" i="11" s="1"/>
  <c r="Z65" i="11"/>
  <c r="Z68" i="11" s="1"/>
  <c r="E72" i="11"/>
  <c r="E70" i="11"/>
  <c r="E69" i="11"/>
  <c r="Q55" i="11"/>
  <c r="R32" i="26" s="1"/>
  <c r="Y68" i="11"/>
  <c r="AA68" i="11"/>
  <c r="AG68" i="11"/>
  <c r="AH28" i="1" s="1"/>
  <c r="AM68" i="11"/>
  <c r="AO68" i="11"/>
  <c r="AP28" i="1" s="1"/>
  <c r="AP29" i="1" s="1"/>
  <c r="AP30" i="1" s="1"/>
  <c r="AR68" i="11"/>
  <c r="W69" i="11"/>
  <c r="X38" i="1" s="1"/>
  <c r="AA69" i="11"/>
  <c r="AB38" i="1" s="1"/>
  <c r="AF65" i="11"/>
  <c r="AF70" i="11" s="1"/>
  <c r="AG48" i="1" s="1"/>
  <c r="AN69" i="11"/>
  <c r="AW69" i="11"/>
  <c r="AX38" i="1" s="1"/>
  <c r="AX39" i="1" s="1"/>
  <c r="AX40" i="1" s="1"/>
  <c r="Y70" i="11"/>
  <c r="Z48" i="1" s="1"/>
  <c r="AA70" i="11"/>
  <c r="AB48" i="1" s="1"/>
  <c r="AR70" i="11"/>
  <c r="AS48" i="1" s="1"/>
  <c r="AS49" i="1" s="1"/>
  <c r="AS50" i="1" s="1"/>
  <c r="AT65" i="11"/>
  <c r="AT72" i="11" s="1"/>
  <c r="AU68" i="1" s="1"/>
  <c r="AU69" i="1" s="1"/>
  <c r="AU70" i="1" s="1"/>
  <c r="W71" i="11"/>
  <c r="X58" i="1" s="1"/>
  <c r="AA71" i="11"/>
  <c r="AB58" i="1" s="1"/>
  <c r="AB59" i="1" s="1"/>
  <c r="AB60" i="1" s="1"/>
  <c r="AN71" i="11"/>
  <c r="AO58" i="1" s="1"/>
  <c r="AA72" i="11"/>
  <c r="AB68" i="1" s="1"/>
  <c r="AL65" i="11"/>
  <c r="AL70" i="11" s="1"/>
  <c r="AM48" i="1" s="1"/>
  <c r="F3" i="22"/>
  <c r="F4" i="22" s="1"/>
  <c r="G4" i="22" s="1"/>
  <c r="AU72" i="11"/>
  <c r="AV68" i="1" s="1"/>
  <c r="AV69" i="1" s="1"/>
  <c r="AV70" i="1" s="1"/>
  <c r="AU70" i="11"/>
  <c r="AV48" i="1" s="1"/>
  <c r="AV49" i="1" s="1"/>
  <c r="AV50" i="1" s="1"/>
  <c r="S11" i="22"/>
  <c r="T11" i="22" s="1"/>
  <c r="U11" i="22" s="1"/>
  <c r="V11" i="22" s="1"/>
  <c r="W11" i="22" s="1"/>
  <c r="X11" i="22" s="1"/>
  <c r="Y11" i="22" s="1"/>
  <c r="O89" i="1"/>
  <c r="O91" i="1" s="1"/>
  <c r="O92" i="1" s="1"/>
  <c r="P89" i="1" s="1"/>
  <c r="AW16" i="1"/>
  <c r="AW35" i="11"/>
  <c r="AX67" i="1" s="1"/>
  <c r="AW33" i="11"/>
  <c r="AX47" i="1" s="1"/>
  <c r="AX51" i="1" s="1"/>
  <c r="AW31" i="11"/>
  <c r="AX27" i="1" s="1"/>
  <c r="AW34" i="11"/>
  <c r="AX57" i="1" s="1"/>
  <c r="AX70" i="1"/>
  <c r="AW20" i="11"/>
  <c r="AW32" i="11"/>
  <c r="AU35" i="11"/>
  <c r="AV67" i="1" s="1"/>
  <c r="AU33" i="11"/>
  <c r="AV47" i="1" s="1"/>
  <c r="AU34" i="11"/>
  <c r="AV57" i="1" s="1"/>
  <c r="AU32" i="11"/>
  <c r="AV37" i="1" s="1"/>
  <c r="AV41" i="1" s="1"/>
  <c r="AU31" i="11"/>
  <c r="AV27" i="1" s="1"/>
  <c r="AV20" i="11"/>
  <c r="AT34" i="11"/>
  <c r="AU57" i="1" s="1"/>
  <c r="AT35" i="11"/>
  <c r="AU67" i="1" s="1"/>
  <c r="AT32" i="11"/>
  <c r="AU37" i="1" s="1"/>
  <c r="AT31" i="11"/>
  <c r="AU27" i="1" s="1"/>
  <c r="AS34" i="11"/>
  <c r="AT57" i="1" s="1"/>
  <c r="AS32" i="11"/>
  <c r="AT37" i="1" s="1"/>
  <c r="AS35" i="11"/>
  <c r="AT67" i="1" s="1"/>
  <c r="AS31" i="11"/>
  <c r="AT27" i="1" s="1"/>
  <c r="AS33" i="11"/>
  <c r="AT47" i="1" s="1"/>
  <c r="AT20" i="11"/>
  <c r="AR33" i="11"/>
  <c r="AS47" i="1" s="1"/>
  <c r="AR31" i="11"/>
  <c r="AS27" i="1" s="1"/>
  <c r="AR35" i="11"/>
  <c r="AS67" i="1" s="1"/>
  <c r="AR32" i="11"/>
  <c r="AS37" i="1" s="1"/>
  <c r="AS41" i="1" s="1"/>
  <c r="AS20" i="11"/>
  <c r="D11" i="26"/>
  <c r="D13" i="26" s="1"/>
  <c r="D14" i="26" s="1"/>
  <c r="E11" i="26" s="1"/>
  <c r="E13" i="26" s="1"/>
  <c r="E14" i="26" s="1"/>
  <c r="F11" i="26" s="1"/>
  <c r="F13" i="26" s="1"/>
  <c r="F14" i="26" s="1"/>
  <c r="G11" i="26" s="1"/>
  <c r="G13" i="26" s="1"/>
  <c r="G14" i="26" s="1"/>
  <c r="H11" i="26" s="1"/>
  <c r="H13" i="26" s="1"/>
  <c r="H14" i="26" s="1"/>
  <c r="I11" i="26" s="1"/>
  <c r="I13" i="26" s="1"/>
  <c r="I14" i="26" s="1"/>
  <c r="J11" i="26" s="1"/>
  <c r="J13" i="26" s="1"/>
  <c r="J14" i="26" s="1"/>
  <c r="K11" i="26" s="1"/>
  <c r="K13" i="26" s="1"/>
  <c r="K14" i="26" s="1"/>
  <c r="L11" i="26" s="1"/>
  <c r="L13" i="26" s="1"/>
  <c r="L14" i="26" s="1"/>
  <c r="M11" i="26" s="1"/>
  <c r="M13" i="26" s="1"/>
  <c r="M14" i="26" s="1"/>
  <c r="N11" i="26" s="1"/>
  <c r="N13" i="26" s="1"/>
  <c r="N14" i="26" s="1"/>
  <c r="O11" i="26" s="1"/>
  <c r="O13" i="26" s="1"/>
  <c r="O14" i="26" s="1"/>
  <c r="P11" i="26" s="1"/>
  <c r="P13" i="26" s="1"/>
  <c r="P14" i="26" s="1"/>
  <c r="Q11" i="26" s="1"/>
  <c r="Q13" i="26" s="1"/>
  <c r="Q14" i="26" s="1"/>
  <c r="AS70" i="1"/>
  <c r="AQ33" i="11"/>
  <c r="AR47" i="1" s="1"/>
  <c r="AQ35" i="11"/>
  <c r="AR67" i="1" s="1"/>
  <c r="AQ32" i="11"/>
  <c r="AR37" i="1" s="1"/>
  <c r="AQ31" i="11"/>
  <c r="AR27" i="1" s="1"/>
  <c r="AR20" i="11"/>
  <c r="AP34" i="11"/>
  <c r="AQ57" i="1" s="1"/>
  <c r="AP33" i="11"/>
  <c r="AQ47" i="1" s="1"/>
  <c r="AP32" i="11"/>
  <c r="AQ37" i="1" s="1"/>
  <c r="AQ27" i="1"/>
  <c r="AP70" i="11"/>
  <c r="AQ48" i="1" s="1"/>
  <c r="AO31" i="11"/>
  <c r="AP27" i="1" s="1"/>
  <c r="AO35" i="11"/>
  <c r="AP67" i="1" s="1"/>
  <c r="AO33" i="11"/>
  <c r="AP47" i="1" s="1"/>
  <c r="AP20" i="11"/>
  <c r="AN32" i="11"/>
  <c r="AO37" i="1" s="1"/>
  <c r="AN35" i="11"/>
  <c r="AO67" i="1" s="1"/>
  <c r="AN33" i="11"/>
  <c r="AO47" i="1" s="1"/>
  <c r="AO20" i="11"/>
  <c r="AN31" i="11"/>
  <c r="AO27" i="1" s="1"/>
  <c r="AN34" i="11"/>
  <c r="AO57" i="1" s="1"/>
  <c r="AO38" i="1"/>
  <c r="AO39" i="1" s="1"/>
  <c r="AO40" i="1" s="1"/>
  <c r="AM31" i="11"/>
  <c r="AM34" i="11"/>
  <c r="AM33" i="11"/>
  <c r="AN47" i="1" s="1"/>
  <c r="AM32" i="11"/>
  <c r="AN37" i="1" s="1"/>
  <c r="AM35" i="11"/>
  <c r="AN67" i="1" s="1"/>
  <c r="AN57" i="1"/>
  <c r="AN20" i="11"/>
  <c r="G12" i="22"/>
  <c r="H12" i="22" s="1"/>
  <c r="R26" i="22"/>
  <c r="S26" i="22" s="1"/>
  <c r="R34" i="22"/>
  <c r="R35" i="22" s="1"/>
  <c r="R36" i="22" s="1"/>
  <c r="R27" i="22"/>
  <c r="R28" i="22" s="1"/>
  <c r="R29" i="22" s="1"/>
  <c r="F20" i="22"/>
  <c r="F21" i="22" s="1"/>
  <c r="F22" i="22" s="1"/>
  <c r="Q50" i="27" s="1"/>
  <c r="Q51" i="27" s="1"/>
  <c r="Q27" i="22"/>
  <c r="Q28" i="22" s="1"/>
  <c r="Q29" i="22" s="1"/>
  <c r="Q34" i="22"/>
  <c r="Q35" i="22" s="1"/>
  <c r="Q36" i="22" s="1"/>
  <c r="Q19" i="22"/>
  <c r="Q18" i="22"/>
  <c r="R18" i="22" s="1"/>
  <c r="S18" i="22" s="1"/>
  <c r="T18" i="22" s="1"/>
  <c r="U18" i="22" s="1"/>
  <c r="V18" i="22" s="1"/>
  <c r="P34" i="22"/>
  <c r="P35" i="22" s="1"/>
  <c r="P36" i="22" s="1"/>
  <c r="AL34" i="11"/>
  <c r="AM57" i="1" s="1"/>
  <c r="AL32" i="11"/>
  <c r="AM37" i="1" s="1"/>
  <c r="AL31" i="11"/>
  <c r="AM27" i="1" s="1"/>
  <c r="E12" i="1"/>
  <c r="E13" i="1" s="1"/>
  <c r="F10" i="1" s="1"/>
  <c r="F12" i="1" s="1"/>
  <c r="F13" i="1" s="1"/>
  <c r="E17" i="22"/>
  <c r="E22" i="22" s="1"/>
  <c r="Q17" i="1"/>
  <c r="Y81" i="1"/>
  <c r="Y82" i="1" s="1"/>
  <c r="Y80" i="1"/>
  <c r="O93" i="1"/>
  <c r="C8" i="22"/>
  <c r="O29" i="1" s="1"/>
  <c r="O30" i="1" s="1"/>
  <c r="V17" i="1"/>
  <c r="O101" i="1"/>
  <c r="O102" i="1"/>
  <c r="F71" i="1"/>
  <c r="N71" i="1"/>
  <c r="AL20" i="11"/>
  <c r="AK31" i="11"/>
  <c r="AL27" i="1" s="1"/>
  <c r="AK35" i="11"/>
  <c r="AK33" i="11"/>
  <c r="AK34" i="11"/>
  <c r="AL57" i="1" s="1"/>
  <c r="AK32" i="11"/>
  <c r="AL37" i="1" s="1"/>
  <c r="AL67" i="1"/>
  <c r="AK20" i="11"/>
  <c r="AL35" i="11"/>
  <c r="AL47" i="1"/>
  <c r="J21" i="27"/>
  <c r="J22" i="27" s="1"/>
  <c r="J73" i="27"/>
  <c r="AK65" i="11"/>
  <c r="AK70" i="11" s="1"/>
  <c r="AL48" i="1" s="1"/>
  <c r="AJ32" i="11"/>
  <c r="AK37" i="1" s="1"/>
  <c r="AJ35" i="11"/>
  <c r="AK67" i="1" s="1"/>
  <c r="AJ31" i="11"/>
  <c r="AK27" i="1" s="1"/>
  <c r="AJ65" i="11"/>
  <c r="AJ72" i="11" s="1"/>
  <c r="AK68" i="1" s="1"/>
  <c r="AI31" i="11"/>
  <c r="AJ27" i="1" s="1"/>
  <c r="AJ20" i="11"/>
  <c r="AI32" i="11"/>
  <c r="AJ37" i="1" s="1"/>
  <c r="AI34" i="11"/>
  <c r="AJ57" i="1" s="1"/>
  <c r="AI33" i="11"/>
  <c r="AJ47" i="1" s="1"/>
  <c r="AJ34" i="11"/>
  <c r="AH33" i="11"/>
  <c r="AI47" i="1" s="1"/>
  <c r="AI20" i="11"/>
  <c r="I26" i="22"/>
  <c r="P13" i="22"/>
  <c r="P14" i="22" s="1"/>
  <c r="P15" i="22" s="1"/>
  <c r="G32" i="22"/>
  <c r="H32" i="22" s="1"/>
  <c r="P20" i="22"/>
  <c r="P21" i="22" s="1"/>
  <c r="P22" i="22" s="1"/>
  <c r="H19" i="22"/>
  <c r="I19" i="22" s="1"/>
  <c r="S25" i="22"/>
  <c r="T25" i="22" s="1"/>
  <c r="U25" i="22" s="1"/>
  <c r="V25" i="22" s="1"/>
  <c r="W25" i="22" s="1"/>
  <c r="X25" i="22" s="1"/>
  <c r="C36" i="22"/>
  <c r="Q13" i="22"/>
  <c r="Q14" i="22" s="1"/>
  <c r="Q15" i="22" s="1"/>
  <c r="R12" i="22"/>
  <c r="G18" i="22"/>
  <c r="G20" i="22" s="1"/>
  <c r="G21" i="22" s="1"/>
  <c r="G22" i="22" s="1"/>
  <c r="F11" i="22"/>
  <c r="E13" i="22"/>
  <c r="E14" i="22" s="1"/>
  <c r="E15" i="22" s="1"/>
  <c r="C15" i="22"/>
  <c r="S33" i="22"/>
  <c r="T33" i="22" s="1"/>
  <c r="U33" i="22" s="1"/>
  <c r="V33" i="22" s="1"/>
  <c r="S32" i="22"/>
  <c r="G25" i="22"/>
  <c r="F27" i="22"/>
  <c r="F28" i="22" s="1"/>
  <c r="F29" i="22" s="1"/>
  <c r="F5" i="22"/>
  <c r="G5" i="22" s="1"/>
  <c r="F33" i="22"/>
  <c r="G33" i="22" s="1"/>
  <c r="D15" i="22"/>
  <c r="C22" i="22"/>
  <c r="C29" i="22"/>
  <c r="D8" i="22"/>
  <c r="D36" i="22"/>
  <c r="D22" i="22"/>
  <c r="D29" i="22"/>
  <c r="E8" i="22"/>
  <c r="E36" i="22"/>
  <c r="E29" i="22"/>
  <c r="AG32" i="11"/>
  <c r="AH37" i="1" s="1"/>
  <c r="AG31" i="11"/>
  <c r="AH27" i="1" s="1"/>
  <c r="AG35" i="11"/>
  <c r="AH67" i="1" s="1"/>
  <c r="AG33" i="11"/>
  <c r="AH47" i="1" s="1"/>
  <c r="AG69" i="11"/>
  <c r="AH38" i="1" s="1"/>
  <c r="AF35" i="11"/>
  <c r="AG67" i="1" s="1"/>
  <c r="AF32" i="11"/>
  <c r="AG37" i="1" s="1"/>
  <c r="AF33" i="11"/>
  <c r="AG47" i="1" s="1"/>
  <c r="AF31" i="11"/>
  <c r="AG27" i="1" s="1"/>
  <c r="AF34" i="11"/>
  <c r="AG57" i="1" s="1"/>
  <c r="AE35" i="11"/>
  <c r="AF67" i="1" s="1"/>
  <c r="AE31" i="11"/>
  <c r="AF27" i="1" s="1"/>
  <c r="AE32" i="11"/>
  <c r="AF37" i="1" s="1"/>
  <c r="AE33" i="11"/>
  <c r="AF47" i="1" s="1"/>
  <c r="AE34" i="11"/>
  <c r="AF57" i="1" s="1"/>
  <c r="AD72" i="11" l="1"/>
  <c r="AE68" i="1" s="1"/>
  <c r="AD71" i="11"/>
  <c r="AE58" i="1" s="1"/>
  <c r="AO69" i="11"/>
  <c r="AP38" i="1" s="1"/>
  <c r="AP39" i="1" s="1"/>
  <c r="AP40" i="1" s="1"/>
  <c r="AP41" i="1" s="1"/>
  <c r="AH71" i="11"/>
  <c r="AI58" i="1" s="1"/>
  <c r="AH69" i="11"/>
  <c r="AI38" i="1" s="1"/>
  <c r="G71" i="11"/>
  <c r="F69" i="11"/>
  <c r="AH72" i="11"/>
  <c r="AI68" i="1" s="1"/>
  <c r="AO72" i="11"/>
  <c r="AP68" i="1" s="1"/>
  <c r="AP69" i="1" s="1"/>
  <c r="AP70" i="1" s="1"/>
  <c r="L72" i="11"/>
  <c r="U73" i="11"/>
  <c r="AC70" i="11"/>
  <c r="AD48" i="1" s="1"/>
  <c r="E57" i="1"/>
  <c r="E61" i="1" s="1"/>
  <c r="E62" i="1" s="1"/>
  <c r="CQ42" i="11"/>
  <c r="E37" i="1"/>
  <c r="E41" i="1" s="1"/>
  <c r="CQ40" i="11"/>
  <c r="E67" i="1"/>
  <c r="E71" i="1" s="1"/>
  <c r="CQ43" i="11"/>
  <c r="CQ39" i="11"/>
  <c r="E47" i="1"/>
  <c r="E51" i="1" s="1"/>
  <c r="E52" i="1" s="1"/>
  <c r="E53" i="1" s="1"/>
  <c r="E54" i="1" s="1"/>
  <c r="F52" i="1" s="1"/>
  <c r="F53" i="1" s="1"/>
  <c r="F54" i="1" s="1"/>
  <c r="G52" i="1" s="1"/>
  <c r="G53" i="1" s="1"/>
  <c r="G54" i="1" s="1"/>
  <c r="CQ41" i="11"/>
  <c r="AL72" i="11"/>
  <c r="AM68" i="1" s="1"/>
  <c r="V16" i="1"/>
  <c r="AX61" i="1"/>
  <c r="AD70" i="11"/>
  <c r="AE48" i="1" s="1"/>
  <c r="AI68" i="11"/>
  <c r="AJ28" i="1" s="1"/>
  <c r="G20" i="1"/>
  <c r="I20" i="1"/>
  <c r="AX31" i="1"/>
  <c r="L70" i="11"/>
  <c r="AH68" i="11"/>
  <c r="E68" i="11"/>
  <c r="M20" i="1"/>
  <c r="E63" i="1"/>
  <c r="E64" i="1" s="1"/>
  <c r="AG36" i="11"/>
  <c r="AG70" i="11"/>
  <c r="AH48" i="1" s="1"/>
  <c r="N20" i="1"/>
  <c r="G16" i="1"/>
  <c r="AS36" i="11"/>
  <c r="AS51" i="1"/>
  <c r="AU73" i="11"/>
  <c r="AV36" i="11"/>
  <c r="AN68" i="11"/>
  <c r="AN73" i="11" s="1"/>
  <c r="AB61" i="1"/>
  <c r="AD69" i="11"/>
  <c r="AE38" i="1" s="1"/>
  <c r="X17" i="1"/>
  <c r="AG72" i="11"/>
  <c r="AH68" i="1" s="1"/>
  <c r="U17" i="1"/>
  <c r="H72" i="11"/>
  <c r="R5" i="22"/>
  <c r="H20" i="1"/>
  <c r="AM36" i="11"/>
  <c r="R49" i="1"/>
  <c r="R50" i="1" s="1"/>
  <c r="R51" i="1" s="1"/>
  <c r="AP17" i="1"/>
  <c r="P73" i="11"/>
  <c r="T16" i="1"/>
  <c r="X16" i="1"/>
  <c r="L20" i="1"/>
  <c r="AE57" i="1"/>
  <c r="AE16" i="1" s="1"/>
  <c r="AD36" i="11"/>
  <c r="AG73" i="11"/>
  <c r="Q7" i="22"/>
  <c r="Q8" i="22" s="1"/>
  <c r="AK36" i="11"/>
  <c r="AL36" i="11"/>
  <c r="N16" i="1"/>
  <c r="AN27" i="1"/>
  <c r="AO28" i="1"/>
  <c r="AO29" i="1" s="1"/>
  <c r="AO30" i="1" s="1"/>
  <c r="AO73" i="11"/>
  <c r="AP71" i="11"/>
  <c r="AQ58" i="1" s="1"/>
  <c r="AQ59" i="1" s="1"/>
  <c r="AQ60" i="1" s="1"/>
  <c r="AQ61" i="1" s="1"/>
  <c r="AE72" i="11"/>
  <c r="AF68" i="1" s="1"/>
  <c r="AS72" i="11"/>
  <c r="AT68" i="1" s="1"/>
  <c r="AT69" i="1" s="1"/>
  <c r="AT70" i="1" s="1"/>
  <c r="AT71" i="1" s="1"/>
  <c r="E73" i="11"/>
  <c r="H68" i="11"/>
  <c r="M73" i="11"/>
  <c r="O73" i="11"/>
  <c r="AV70" i="11"/>
  <c r="AW48" i="1" s="1"/>
  <c r="AW49" i="1" s="1"/>
  <c r="AW50" i="1" s="1"/>
  <c r="AW51" i="1" s="1"/>
  <c r="AV68" i="11"/>
  <c r="AW28" i="1" s="1"/>
  <c r="AW29" i="1" s="1"/>
  <c r="AW30" i="1" s="1"/>
  <c r="AW31" i="1" s="1"/>
  <c r="I73" i="11"/>
  <c r="H71" i="11"/>
  <c r="H69" i="11"/>
  <c r="T73" i="11"/>
  <c r="M36" i="11"/>
  <c r="D73" i="11"/>
  <c r="L71" i="11"/>
  <c r="L69" i="11"/>
  <c r="G72" i="11"/>
  <c r="G70" i="11"/>
  <c r="G69" i="11"/>
  <c r="AD28" i="1"/>
  <c r="AD17" i="1" s="1"/>
  <c r="AC73" i="11"/>
  <c r="R16" i="1"/>
  <c r="M16" i="1"/>
  <c r="O90" i="1"/>
  <c r="AO41" i="1"/>
  <c r="AP31" i="1"/>
  <c r="AR31" i="1"/>
  <c r="AX18" i="1"/>
  <c r="AX17" i="1"/>
  <c r="AI16" i="1"/>
  <c r="L16" i="1"/>
  <c r="I16" i="1"/>
  <c r="H16" i="1"/>
  <c r="AA28" i="1"/>
  <c r="AW38" i="1"/>
  <c r="AE28" i="1"/>
  <c r="AJ38" i="1"/>
  <c r="AF36" i="11"/>
  <c r="AH36" i="11"/>
  <c r="S34" i="22"/>
  <c r="S35" i="22" s="1"/>
  <c r="S36" i="22" s="1"/>
  <c r="AK69" i="11"/>
  <c r="AL38" i="1" s="1"/>
  <c r="AO51" i="1"/>
  <c r="AQ36" i="11"/>
  <c r="AT36" i="11"/>
  <c r="AL71" i="11"/>
  <c r="AM58" i="1" s="1"/>
  <c r="AL69" i="11"/>
  <c r="AM38" i="1" s="1"/>
  <c r="AF69" i="11"/>
  <c r="AG38" i="1" s="1"/>
  <c r="AF72" i="11"/>
  <c r="AG68" i="1" s="1"/>
  <c r="AT68" i="11"/>
  <c r="AB28" i="1"/>
  <c r="AA73" i="11"/>
  <c r="X73" i="11"/>
  <c r="Y28" i="1"/>
  <c r="K73" i="11"/>
  <c r="AV29" i="1"/>
  <c r="AV30" i="1" s="1"/>
  <c r="AV31" i="1" s="1"/>
  <c r="AV59" i="1"/>
  <c r="AV60" i="1" s="1"/>
  <c r="AV61" i="1" s="1"/>
  <c r="AP49" i="1"/>
  <c r="AI70" i="11"/>
  <c r="AJ48" i="1" s="1"/>
  <c r="AS69" i="11"/>
  <c r="AT38" i="1" s="1"/>
  <c r="AE69" i="11"/>
  <c r="AP68" i="11"/>
  <c r="AQ28" i="1" s="1"/>
  <c r="AQ72" i="11"/>
  <c r="AR68" i="1" s="1"/>
  <c r="AI72" i="11"/>
  <c r="AJ68" i="1" s="1"/>
  <c r="Z72" i="11"/>
  <c r="AA68" i="1" s="1"/>
  <c r="AS71" i="11"/>
  <c r="AT58" i="1" s="1"/>
  <c r="Z71" i="11"/>
  <c r="AA58" i="1" s="1"/>
  <c r="AQ70" i="11"/>
  <c r="AR48" i="1" s="1"/>
  <c r="Z69" i="11"/>
  <c r="AA38" i="1" s="1"/>
  <c r="N73" i="11"/>
  <c r="AS68" i="11"/>
  <c r="AF71" i="11"/>
  <c r="AG58" i="1" s="1"/>
  <c r="AT69" i="11"/>
  <c r="AU38" i="1" s="1"/>
  <c r="O27" i="1"/>
  <c r="O16" i="1" s="1"/>
  <c r="N36" i="11"/>
  <c r="W27" i="1"/>
  <c r="W16" i="1" s="1"/>
  <c r="V36" i="11"/>
  <c r="Y36" i="11"/>
  <c r="Z27" i="1"/>
  <c r="Z16" i="1" s="1"/>
  <c r="Z36" i="11"/>
  <c r="AA27" i="1"/>
  <c r="AA16" i="1" s="1"/>
  <c r="E27" i="1"/>
  <c r="D36" i="11"/>
  <c r="Y27" i="1"/>
  <c r="Y16" i="1" s="1"/>
  <c r="X36" i="11"/>
  <c r="F36" i="11"/>
  <c r="L36" i="11"/>
  <c r="S36" i="11"/>
  <c r="G36" i="11"/>
  <c r="U36" i="11"/>
  <c r="W36" i="11"/>
  <c r="K36" i="11"/>
  <c r="AP72" i="11"/>
  <c r="AQ68" i="1" s="1"/>
  <c r="AQ69" i="1" s="1"/>
  <c r="AQ70" i="1" s="1"/>
  <c r="AQ71" i="1" s="1"/>
  <c r="AT70" i="11"/>
  <c r="AU48" i="1" s="1"/>
  <c r="AS28" i="1"/>
  <c r="AR73" i="11"/>
  <c r="AN28" i="1"/>
  <c r="AN17" i="1" s="1"/>
  <c r="AM73" i="11"/>
  <c r="Z28" i="1"/>
  <c r="Y73" i="11"/>
  <c r="T28" i="1"/>
  <c r="S73" i="11"/>
  <c r="AI71" i="11"/>
  <c r="AJ58" i="1" s="1"/>
  <c r="R28" i="1"/>
  <c r="AQ71" i="11"/>
  <c r="AR58" i="1" s="1"/>
  <c r="AE71" i="11"/>
  <c r="AF58" i="1" s="1"/>
  <c r="Z70" i="11"/>
  <c r="AA48" i="1" s="1"/>
  <c r="AQ69" i="11"/>
  <c r="AF68" i="11"/>
  <c r="AV72" i="11"/>
  <c r="AW68" i="1" s="1"/>
  <c r="AC17" i="1"/>
  <c r="AV71" i="11"/>
  <c r="AW58" i="1" s="1"/>
  <c r="AE70" i="11"/>
  <c r="AF48" i="1" s="1"/>
  <c r="F73" i="11"/>
  <c r="AL68" i="11"/>
  <c r="W28" i="1"/>
  <c r="V73" i="11"/>
  <c r="S28" i="1"/>
  <c r="R73" i="11"/>
  <c r="W73" i="11"/>
  <c r="AT71" i="11"/>
  <c r="AU58" i="1" s="1"/>
  <c r="AW73" i="11"/>
  <c r="AB73" i="11"/>
  <c r="J73" i="11"/>
  <c r="K27" i="1"/>
  <c r="J36" i="11"/>
  <c r="Q27" i="1"/>
  <c r="Q16" i="1" s="1"/>
  <c r="P36" i="11"/>
  <c r="S27" i="1"/>
  <c r="S16" i="1" s="1"/>
  <c r="R36" i="11"/>
  <c r="AA36" i="11"/>
  <c r="AB27" i="1"/>
  <c r="AB16" i="1" s="1"/>
  <c r="AB36" i="11"/>
  <c r="AC27" i="1"/>
  <c r="AC16" i="1" s="1"/>
  <c r="F27" i="1"/>
  <c r="E36" i="11"/>
  <c r="H36" i="11"/>
  <c r="U27" i="1"/>
  <c r="U16" i="1" s="1"/>
  <c r="T36" i="11"/>
  <c r="P37" i="1"/>
  <c r="P16" i="1" s="1"/>
  <c r="O36" i="11"/>
  <c r="J37" i="1"/>
  <c r="I36" i="11"/>
  <c r="AD27" i="1"/>
  <c r="AD16" i="1" s="1"/>
  <c r="AC36" i="11"/>
  <c r="Q36" i="11"/>
  <c r="Z79" i="1"/>
  <c r="Z81" i="1" s="1"/>
  <c r="Z82" i="1" s="1"/>
  <c r="AA79" i="1" s="1"/>
  <c r="AA81" i="1" s="1"/>
  <c r="AA82" i="1" s="1"/>
  <c r="AB79" i="1" s="1"/>
  <c r="AB81" i="1" s="1"/>
  <c r="AB82" i="1" s="1"/>
  <c r="AC79" i="1" s="1"/>
  <c r="AC81" i="1" s="1"/>
  <c r="AC82" i="1" s="1"/>
  <c r="AD79" i="1" s="1"/>
  <c r="AD81" i="1" s="1"/>
  <c r="AD82" i="1" s="1"/>
  <c r="AE79" i="1" s="1"/>
  <c r="AE81" i="1" s="1"/>
  <c r="AE82" i="1" s="1"/>
  <c r="AF79" i="1" s="1"/>
  <c r="AF81" i="1" s="1"/>
  <c r="AF82" i="1" s="1"/>
  <c r="AG79" i="1" s="1"/>
  <c r="AG81" i="1" s="1"/>
  <c r="AG82" i="1" s="1"/>
  <c r="AH79" i="1" s="1"/>
  <c r="AH81" i="1" s="1"/>
  <c r="AH82" i="1" s="1"/>
  <c r="AQ16" i="1"/>
  <c r="AV51" i="1"/>
  <c r="AT16" i="1"/>
  <c r="AO16" i="1"/>
  <c r="AW36" i="11"/>
  <c r="AX37" i="1"/>
  <c r="AX41" i="1" s="1"/>
  <c r="AX71" i="1"/>
  <c r="AX19" i="1"/>
  <c r="AU36" i="11"/>
  <c r="AV16" i="1"/>
  <c r="AV71" i="1"/>
  <c r="AV17" i="1"/>
  <c r="AU16" i="1"/>
  <c r="AU71" i="1"/>
  <c r="AT49" i="1"/>
  <c r="AR36" i="11"/>
  <c r="AS16" i="1"/>
  <c r="D12" i="26"/>
  <c r="E12" i="26" s="1"/>
  <c r="F12" i="26" s="1"/>
  <c r="G12" i="26" s="1"/>
  <c r="H12" i="26" s="1"/>
  <c r="I12" i="26" s="1"/>
  <c r="J12" i="26" s="1"/>
  <c r="K12" i="26" s="1"/>
  <c r="L12" i="26" s="1"/>
  <c r="M12" i="26" s="1"/>
  <c r="N12" i="26" s="1"/>
  <c r="O12" i="26" s="1"/>
  <c r="P12" i="26" s="1"/>
  <c r="Q12" i="26" s="1"/>
  <c r="AS71" i="1"/>
  <c r="AR16" i="1"/>
  <c r="AQ41" i="1"/>
  <c r="AP36" i="11"/>
  <c r="AQ49" i="1"/>
  <c r="AP73" i="11"/>
  <c r="AP16" i="1"/>
  <c r="AO36" i="11"/>
  <c r="AP71" i="1"/>
  <c r="AO31" i="1"/>
  <c r="AN36" i="11"/>
  <c r="AO59" i="1"/>
  <c r="AO60" i="1" s="1"/>
  <c r="AO61" i="1" s="1"/>
  <c r="AO70" i="1"/>
  <c r="AN16" i="1"/>
  <c r="AB60" i="27"/>
  <c r="AB61" i="27" s="1"/>
  <c r="AC59" i="1"/>
  <c r="AC60" i="1" s="1"/>
  <c r="AC61" i="1" s="1"/>
  <c r="AD69" i="1"/>
  <c r="AD70" i="1" s="1"/>
  <c r="AD71" i="1" s="1"/>
  <c r="Z11" i="22"/>
  <c r="T26" i="22"/>
  <c r="U26" i="22" s="1"/>
  <c r="V26" i="22" s="1"/>
  <c r="S27" i="22"/>
  <c r="S28" i="22" s="1"/>
  <c r="S29" i="22" s="1"/>
  <c r="AE69" i="1"/>
  <c r="AE70" i="1" s="1"/>
  <c r="AA70" i="27"/>
  <c r="T32" i="22"/>
  <c r="U32" i="22" s="1"/>
  <c r="V32" i="22" s="1"/>
  <c r="W32" i="22" s="1"/>
  <c r="AC30" i="27"/>
  <c r="AC31" i="27" s="1"/>
  <c r="Q20" i="22"/>
  <c r="AB49" i="1"/>
  <c r="AB50" i="1" s="1"/>
  <c r="AA50" i="27"/>
  <c r="AA51" i="27" s="1"/>
  <c r="AB70" i="27"/>
  <c r="Y25" i="22"/>
  <c r="R59" i="1"/>
  <c r="R60" i="1" s="1"/>
  <c r="R61" i="1" s="1"/>
  <c r="Q60" i="27"/>
  <c r="Q61" i="27" s="1"/>
  <c r="AE30" i="27"/>
  <c r="AE31" i="27" s="1"/>
  <c r="S49" i="1"/>
  <c r="S50" i="1" s="1"/>
  <c r="S51" i="1" s="1"/>
  <c r="R50" i="27"/>
  <c r="R51" i="27" s="1"/>
  <c r="H18" i="22"/>
  <c r="I18" i="22" s="1"/>
  <c r="I20" i="22" s="1"/>
  <c r="I21" i="22" s="1"/>
  <c r="I22" i="22" s="1"/>
  <c r="AB69" i="1"/>
  <c r="AB70" i="1" s="1"/>
  <c r="AB71" i="1" s="1"/>
  <c r="AD59" i="1"/>
  <c r="AD60" i="1" s="1"/>
  <c r="AD61" i="1" s="1"/>
  <c r="AC60" i="27"/>
  <c r="AC61" i="27" s="1"/>
  <c r="AC39" i="1"/>
  <c r="AC40" i="1" s="1"/>
  <c r="AC41" i="1" s="1"/>
  <c r="AB40" i="27"/>
  <c r="AB41" i="27" s="1"/>
  <c r="AC29" i="1"/>
  <c r="AC30" i="1" s="1"/>
  <c r="AC31" i="1" s="1"/>
  <c r="AB30" i="27"/>
  <c r="AB31" i="27" s="1"/>
  <c r="AB39" i="1"/>
  <c r="AB40" i="1" s="1"/>
  <c r="AB41" i="1" s="1"/>
  <c r="AA40" i="27"/>
  <c r="AA41" i="27" s="1"/>
  <c r="AC69" i="1"/>
  <c r="AC70" i="1" s="1"/>
  <c r="AC71" i="1" s="1"/>
  <c r="R19" i="22"/>
  <c r="Q21" i="22"/>
  <c r="Q22" i="22" s="1"/>
  <c r="AM67" i="1"/>
  <c r="AM16" i="1" s="1"/>
  <c r="P91" i="1"/>
  <c r="P92" i="1" s="1"/>
  <c r="Q89" i="1" s="1"/>
  <c r="Q91" i="1" s="1"/>
  <c r="Q92" i="1" s="1"/>
  <c r="R89" i="1" s="1"/>
  <c r="R91" i="1" s="1"/>
  <c r="R92" i="1" s="1"/>
  <c r="S89" i="1" s="1"/>
  <c r="S91" i="1" s="1"/>
  <c r="S92" i="1" s="1"/>
  <c r="T89" i="1" s="1"/>
  <c r="T91" i="1" s="1"/>
  <c r="T92" i="1" s="1"/>
  <c r="U89" i="1" s="1"/>
  <c r="U91" i="1" s="1"/>
  <c r="U92" i="1" s="1"/>
  <c r="V89" i="1" s="1"/>
  <c r="V91" i="1" s="1"/>
  <c r="V92" i="1" s="1"/>
  <c r="W89" i="1" s="1"/>
  <c r="W91" i="1" s="1"/>
  <c r="W92" i="1" s="1"/>
  <c r="X89" i="1" s="1"/>
  <c r="X91" i="1" s="1"/>
  <c r="X92" i="1" s="1"/>
  <c r="Y89" i="1" s="1"/>
  <c r="Y91" i="1" s="1"/>
  <c r="Y92" i="1" s="1"/>
  <c r="Z89" i="1" s="1"/>
  <c r="Z91" i="1" s="1"/>
  <c r="Z92" i="1" s="1"/>
  <c r="AA89" i="1" s="1"/>
  <c r="AA91" i="1" s="1"/>
  <c r="AA92" i="1" s="1"/>
  <c r="AB89" i="1" s="1"/>
  <c r="AB91" i="1" s="1"/>
  <c r="AB92" i="1" s="1"/>
  <c r="AC89" i="1" s="1"/>
  <c r="AC91" i="1" s="1"/>
  <c r="AC92" i="1" s="1"/>
  <c r="AD89" i="1" s="1"/>
  <c r="AD91" i="1" s="1"/>
  <c r="AD92" i="1" s="1"/>
  <c r="AE89" i="1" s="1"/>
  <c r="AE91" i="1" s="1"/>
  <c r="AE92" i="1" s="1"/>
  <c r="AF89" i="1" s="1"/>
  <c r="AF91" i="1" s="1"/>
  <c r="AF92" i="1" s="1"/>
  <c r="AG89" i="1" s="1"/>
  <c r="AG91" i="1" s="1"/>
  <c r="AG92" i="1" s="1"/>
  <c r="AH89" i="1" s="1"/>
  <c r="P93" i="1"/>
  <c r="P90" i="1"/>
  <c r="G10" i="1"/>
  <c r="G12" i="1" s="1"/>
  <c r="G13" i="1" s="1"/>
  <c r="Z80" i="1"/>
  <c r="F11" i="1"/>
  <c r="AH16" i="1"/>
  <c r="Q39" i="1"/>
  <c r="Q40" i="1" s="1"/>
  <c r="Q41" i="1" s="1"/>
  <c r="P40" i="27"/>
  <c r="P41" i="27" s="1"/>
  <c r="Q49" i="1"/>
  <c r="Q50" i="1" s="1"/>
  <c r="Q51" i="1" s="1"/>
  <c r="P50" i="27"/>
  <c r="P51" i="27" s="1"/>
  <c r="Q69" i="1"/>
  <c r="P49" i="1"/>
  <c r="P50" i="1" s="1"/>
  <c r="P51" i="1" s="1"/>
  <c r="O50" i="27"/>
  <c r="O51" i="27" s="1"/>
  <c r="O59" i="1"/>
  <c r="O60" i="1" s="1"/>
  <c r="O61" i="1" s="1"/>
  <c r="N60" i="27"/>
  <c r="N61" i="27" s="1"/>
  <c r="N62" i="27" s="1"/>
  <c r="Q29" i="1"/>
  <c r="Q30" i="1" s="1"/>
  <c r="Q31" i="1" s="1"/>
  <c r="P30" i="27"/>
  <c r="P31" i="27" s="1"/>
  <c r="P69" i="1"/>
  <c r="P39" i="1"/>
  <c r="P40" i="1" s="1"/>
  <c r="P41" i="1" s="1"/>
  <c r="O40" i="27"/>
  <c r="O41" i="27" s="1"/>
  <c r="O49" i="1"/>
  <c r="O50" i="1" s="1"/>
  <c r="O51" i="1" s="1"/>
  <c r="N50" i="27"/>
  <c r="N51" i="27" s="1"/>
  <c r="N52" i="27" s="1"/>
  <c r="Q59" i="1"/>
  <c r="Q60" i="1" s="1"/>
  <c r="Q61" i="1" s="1"/>
  <c r="P60" i="27"/>
  <c r="P61" i="27" s="1"/>
  <c r="P59" i="1"/>
  <c r="P60" i="1" s="1"/>
  <c r="P61" i="1" s="1"/>
  <c r="O60" i="27"/>
  <c r="O61" i="27" s="1"/>
  <c r="P29" i="1"/>
  <c r="P30" i="1" s="1"/>
  <c r="P31" i="1" s="1"/>
  <c r="O30" i="27"/>
  <c r="O31" i="27" s="1"/>
  <c r="O39" i="1"/>
  <c r="O40" i="1" s="1"/>
  <c r="O41" i="1" s="1"/>
  <c r="N40" i="27"/>
  <c r="N41" i="27" s="1"/>
  <c r="N42" i="27" s="1"/>
  <c r="O69" i="1"/>
  <c r="O70" i="1" s="1"/>
  <c r="O71" i="1" s="1"/>
  <c r="AJ16" i="1"/>
  <c r="AL16" i="1"/>
  <c r="J74" i="27"/>
  <c r="K72" i="27" s="1"/>
  <c r="J23" i="27"/>
  <c r="AK68" i="11"/>
  <c r="AK72" i="11"/>
  <c r="AL68" i="1" s="1"/>
  <c r="AK71" i="11"/>
  <c r="AL58" i="1" s="1"/>
  <c r="AJ36" i="11"/>
  <c r="AK57" i="1"/>
  <c r="AK16" i="1" s="1"/>
  <c r="AJ71" i="11"/>
  <c r="AK58" i="1" s="1"/>
  <c r="AJ69" i="11"/>
  <c r="AK38" i="1" s="1"/>
  <c r="AJ70" i="11"/>
  <c r="AK48" i="1" s="1"/>
  <c r="AJ68" i="11"/>
  <c r="AI36" i="11"/>
  <c r="H33" i="22"/>
  <c r="H34" i="22" s="1"/>
  <c r="G34" i="22"/>
  <c r="G35" i="22" s="1"/>
  <c r="G36" i="22" s="1"/>
  <c r="W4" i="22"/>
  <c r="J26" i="22"/>
  <c r="W33" i="22"/>
  <c r="X33" i="22" s="1"/>
  <c r="Y33" i="22" s="1"/>
  <c r="F34" i="22"/>
  <c r="F35" i="22" s="1"/>
  <c r="F36" i="22" s="1"/>
  <c r="F6" i="22"/>
  <c r="F7" i="22" s="1"/>
  <c r="F8" i="22" s="1"/>
  <c r="S12" i="22"/>
  <c r="R13" i="22"/>
  <c r="R14" i="22" s="1"/>
  <c r="R15" i="22" s="1"/>
  <c r="T27" i="22"/>
  <c r="T28" i="22" s="1"/>
  <c r="T29" i="22" s="1"/>
  <c r="J19" i="22"/>
  <c r="I12" i="22"/>
  <c r="H5" i="22"/>
  <c r="J18" i="22"/>
  <c r="G6" i="22"/>
  <c r="G7" i="22" s="1"/>
  <c r="G8" i="22" s="1"/>
  <c r="H4" i="22"/>
  <c r="I32" i="22"/>
  <c r="W18" i="22"/>
  <c r="X18" i="22" s="1"/>
  <c r="H25" i="22"/>
  <c r="G27" i="22"/>
  <c r="G28" i="22" s="1"/>
  <c r="G29" i="22" s="1"/>
  <c r="G11" i="22"/>
  <c r="F13" i="22"/>
  <c r="F14" i="22" s="1"/>
  <c r="F15" i="22" s="1"/>
  <c r="AG16" i="1"/>
  <c r="F62" i="1"/>
  <c r="F63" i="1" s="1"/>
  <c r="F64" i="1" s="1"/>
  <c r="AE36" i="11"/>
  <c r="AF16" i="1"/>
  <c r="CQ44" i="11" l="1"/>
  <c r="E72" i="1"/>
  <c r="E73" i="1"/>
  <c r="E74" i="1" s="1"/>
  <c r="E42" i="1"/>
  <c r="E43" i="1"/>
  <c r="E44" i="1" s="1"/>
  <c r="F42" i="1" s="1"/>
  <c r="F43" i="1" s="1"/>
  <c r="F44" i="1" s="1"/>
  <c r="G42" i="1" s="1"/>
  <c r="G43" i="1" s="1"/>
  <c r="G44" i="1" s="1"/>
  <c r="L73" i="11"/>
  <c r="AH17" i="1"/>
  <c r="AH73" i="11"/>
  <c r="AI28" i="1"/>
  <c r="AI17" i="1" s="1"/>
  <c r="U27" i="22"/>
  <c r="U28" i="22" s="1"/>
  <c r="U29" i="22" s="1"/>
  <c r="AD73" i="11"/>
  <c r="G73" i="11"/>
  <c r="S5" i="22"/>
  <c r="R6" i="22"/>
  <c r="R7" i="22" s="1"/>
  <c r="R8" i="22" s="1"/>
  <c r="AD29" i="1" s="1"/>
  <c r="AD30" i="1" s="1"/>
  <c r="AD31" i="1" s="1"/>
  <c r="H73" i="11"/>
  <c r="H20" i="22"/>
  <c r="H21" i="22" s="1"/>
  <c r="H22" i="22" s="1"/>
  <c r="T34" i="22"/>
  <c r="T35" i="22" s="1"/>
  <c r="T36" i="22" s="1"/>
  <c r="AF69" i="1" s="1"/>
  <c r="AF70" i="1" s="1"/>
  <c r="AF71" i="1" s="1"/>
  <c r="AO17" i="1"/>
  <c r="AV19" i="1"/>
  <c r="O31" i="1"/>
  <c r="F31" i="1"/>
  <c r="F20" i="1" s="1"/>
  <c r="F16" i="1"/>
  <c r="K31" i="1"/>
  <c r="K20" i="1" s="1"/>
  <c r="K16" i="1"/>
  <c r="S17" i="1"/>
  <c r="W17" i="1"/>
  <c r="AW59" i="1"/>
  <c r="AW60" i="1" s="1"/>
  <c r="AW61" i="1" s="1"/>
  <c r="AW69" i="1"/>
  <c r="AW17" i="1"/>
  <c r="AR38" i="1"/>
  <c r="AQ73" i="11"/>
  <c r="AR59" i="1"/>
  <c r="AR60" i="1" s="1"/>
  <c r="AR61" i="1" s="1"/>
  <c r="T17" i="1"/>
  <c r="Z17" i="1"/>
  <c r="AS29" i="1"/>
  <c r="AS17" i="1"/>
  <c r="AU39" i="1"/>
  <c r="AU40" i="1" s="1"/>
  <c r="AU41" i="1" s="1"/>
  <c r="AT28" i="1"/>
  <c r="AS73" i="11"/>
  <c r="AA17" i="1"/>
  <c r="AR69" i="1"/>
  <c r="AR17" i="1"/>
  <c r="AF38" i="1"/>
  <c r="AE73" i="11"/>
  <c r="AP50" i="1"/>
  <c r="AP18" i="1"/>
  <c r="AP33" i="26" s="1"/>
  <c r="AP34" i="26" s="1"/>
  <c r="AP35" i="26" s="1"/>
  <c r="Y17" i="1"/>
  <c r="AU28" i="1"/>
  <c r="AT73" i="11"/>
  <c r="AE17" i="1"/>
  <c r="AV73" i="11"/>
  <c r="Z73" i="11"/>
  <c r="G11" i="1"/>
  <c r="AV18" i="1"/>
  <c r="AQ17" i="1"/>
  <c r="J41" i="1"/>
  <c r="J20" i="1" s="1"/>
  <c r="J16" i="1"/>
  <c r="AU59" i="1"/>
  <c r="AL73" i="11"/>
  <c r="AM28" i="1"/>
  <c r="AG28" i="1"/>
  <c r="AF73" i="11"/>
  <c r="R17" i="1"/>
  <c r="AU49" i="1"/>
  <c r="AU50" i="1" s="1"/>
  <c r="AU51" i="1" s="1"/>
  <c r="E31" i="1"/>
  <c r="E16" i="1"/>
  <c r="AR49" i="1"/>
  <c r="AR50" i="1" s="1"/>
  <c r="AR51" i="1" s="1"/>
  <c r="AT59" i="1"/>
  <c r="AT60" i="1" s="1"/>
  <c r="AT61" i="1" s="1"/>
  <c r="AJ17" i="1"/>
  <c r="AQ29" i="1"/>
  <c r="AQ30" i="1" s="1"/>
  <c r="AQ31" i="1" s="1"/>
  <c r="AT39" i="1"/>
  <c r="AT40" i="1" s="1"/>
  <c r="AT41" i="1" s="1"/>
  <c r="AB29" i="1"/>
  <c r="AB30" i="1" s="1"/>
  <c r="AB31" i="1" s="1"/>
  <c r="AB17" i="1"/>
  <c r="AI73" i="11"/>
  <c r="AW39" i="1"/>
  <c r="AW40" i="1" s="1"/>
  <c r="AW41" i="1" s="1"/>
  <c r="AA80" i="1"/>
  <c r="AB80" i="1" s="1"/>
  <c r="AC80" i="1" s="1"/>
  <c r="AD80" i="1" s="1"/>
  <c r="AE80" i="1" s="1"/>
  <c r="AF80" i="1" s="1"/>
  <c r="AG80" i="1" s="1"/>
  <c r="AH80" i="1" s="1"/>
  <c r="AO18" i="1"/>
  <c r="AO33" i="26" s="1"/>
  <c r="AO34" i="26" s="1"/>
  <c r="AO35" i="26" s="1"/>
  <c r="AX16" i="1"/>
  <c r="AX20" i="1"/>
  <c r="N53" i="27"/>
  <c r="N54" i="27" s="1"/>
  <c r="O52" i="27" s="1"/>
  <c r="O53" i="27" s="1"/>
  <c r="O54" i="27" s="1"/>
  <c r="P52" i="27" s="1"/>
  <c r="N63" i="27"/>
  <c r="N64" i="27" s="1"/>
  <c r="O62" i="27" s="1"/>
  <c r="O63" i="27" s="1"/>
  <c r="O64" i="27" s="1"/>
  <c r="P62" i="27" s="1"/>
  <c r="AV20" i="1"/>
  <c r="N43" i="27"/>
  <c r="N44" i="27" s="1"/>
  <c r="O42" i="27" s="1"/>
  <c r="O43" i="27" s="1"/>
  <c r="O44" i="27" s="1"/>
  <c r="P42" i="27" s="1"/>
  <c r="AT50" i="1"/>
  <c r="Y5" i="1"/>
  <c r="AQ50" i="1"/>
  <c r="AO19" i="1"/>
  <c r="AO71" i="1"/>
  <c r="T49" i="1"/>
  <c r="T50" i="1" s="1"/>
  <c r="T51" i="1" s="1"/>
  <c r="S50" i="27"/>
  <c r="S51" i="27" s="1"/>
  <c r="R69" i="1"/>
  <c r="R70" i="1" s="1"/>
  <c r="X4" i="22"/>
  <c r="AC49" i="1"/>
  <c r="Z25" i="22"/>
  <c r="AB71" i="27"/>
  <c r="AD70" i="27"/>
  <c r="AA11" i="22"/>
  <c r="AC70" i="27"/>
  <c r="R39" i="1"/>
  <c r="R40" i="1" s="1"/>
  <c r="R41" i="1" s="1"/>
  <c r="Q40" i="27"/>
  <c r="Q41" i="27" s="1"/>
  <c r="Y18" i="22"/>
  <c r="AG59" i="1"/>
  <c r="AG60" i="1" s="1"/>
  <c r="AG61" i="1" s="1"/>
  <c r="AF59" i="1"/>
  <c r="AF60" i="1" s="1"/>
  <c r="AF61" i="1" s="1"/>
  <c r="AE60" i="27"/>
  <c r="AE61" i="27" s="1"/>
  <c r="R29" i="1"/>
  <c r="R30" i="1" s="1"/>
  <c r="R31" i="1" s="1"/>
  <c r="Q30" i="27"/>
  <c r="Q31" i="27" s="1"/>
  <c r="S19" i="22"/>
  <c r="R20" i="22"/>
  <c r="R21" i="22" s="1"/>
  <c r="R22" i="22" s="1"/>
  <c r="S59" i="1"/>
  <c r="S60" i="1" s="1"/>
  <c r="S61" i="1" s="1"/>
  <c r="R60" i="27"/>
  <c r="R61" i="27" s="1"/>
  <c r="AD39" i="1"/>
  <c r="AD40" i="1" s="1"/>
  <c r="AD41" i="1" s="1"/>
  <c r="AC40" i="27"/>
  <c r="AC41" i="27" s="1"/>
  <c r="S69" i="1"/>
  <c r="S70" i="1" s="1"/>
  <c r="AA18" i="27"/>
  <c r="AE59" i="1"/>
  <c r="AE60" i="1" s="1"/>
  <c r="AE61" i="1" s="1"/>
  <c r="AD60" i="27"/>
  <c r="AD61" i="27" s="1"/>
  <c r="U49" i="1"/>
  <c r="U50" i="1" s="1"/>
  <c r="U51" i="1" s="1"/>
  <c r="T50" i="27"/>
  <c r="T51" i="27" s="1"/>
  <c r="S29" i="1"/>
  <c r="S30" i="1" s="1"/>
  <c r="S31" i="1" s="1"/>
  <c r="R30" i="27"/>
  <c r="R31" i="27" s="1"/>
  <c r="W34" i="22"/>
  <c r="W35" i="22" s="1"/>
  <c r="W36" i="22" s="1"/>
  <c r="X32" i="22"/>
  <c r="AD30" i="27"/>
  <c r="AD31" i="27" s="1"/>
  <c r="Z33" i="22"/>
  <c r="AA33" i="22" s="1"/>
  <c r="AA71" i="27"/>
  <c r="AA19" i="27"/>
  <c r="Q93" i="1"/>
  <c r="R93" i="1" s="1"/>
  <c r="Q90" i="1"/>
  <c r="R90" i="1" s="1"/>
  <c r="S90" i="1" s="1"/>
  <c r="T90" i="1" s="1"/>
  <c r="U90" i="1" s="1"/>
  <c r="V90" i="1" s="1"/>
  <c r="W90" i="1" s="1"/>
  <c r="X90" i="1" s="1"/>
  <c r="Y90" i="1" s="1"/>
  <c r="Z90" i="1" s="1"/>
  <c r="AA90" i="1" s="1"/>
  <c r="AB90" i="1" s="1"/>
  <c r="AC90" i="1" s="1"/>
  <c r="AD90" i="1" s="1"/>
  <c r="AE90" i="1" s="1"/>
  <c r="AF90" i="1" s="1"/>
  <c r="AG90" i="1" s="1"/>
  <c r="AH90" i="1" s="1"/>
  <c r="AI79" i="1"/>
  <c r="AI81" i="1" s="1"/>
  <c r="AI82" i="1" s="1"/>
  <c r="H10" i="1"/>
  <c r="H12" i="1" s="1"/>
  <c r="H13" i="1" s="1"/>
  <c r="O70" i="27"/>
  <c r="O18" i="27"/>
  <c r="Q18" i="1"/>
  <c r="Q33" i="26" s="1"/>
  <c r="Q34" i="26" s="1"/>
  <c r="Q35" i="26" s="1"/>
  <c r="Q70" i="1"/>
  <c r="H52" i="1"/>
  <c r="H53" i="1" s="1"/>
  <c r="H54" i="1" s="1"/>
  <c r="O19" i="1"/>
  <c r="P70" i="1"/>
  <c r="P18" i="1"/>
  <c r="P33" i="26" s="1"/>
  <c r="P34" i="26" s="1"/>
  <c r="P35" i="26" s="1"/>
  <c r="O20" i="1"/>
  <c r="O18" i="1"/>
  <c r="O33" i="26" s="1"/>
  <c r="O34" i="26" s="1"/>
  <c r="O35" i="26" s="1"/>
  <c r="O36" i="26" s="1"/>
  <c r="N70" i="27"/>
  <c r="P70" i="27"/>
  <c r="P18" i="27"/>
  <c r="J24" i="27"/>
  <c r="AL28" i="1"/>
  <c r="AL17" i="1" s="1"/>
  <c r="AK73" i="11"/>
  <c r="AK28" i="1"/>
  <c r="AJ73" i="11"/>
  <c r="G13" i="22"/>
  <c r="G14" i="22" s="1"/>
  <c r="G15" i="22" s="1"/>
  <c r="H11" i="22"/>
  <c r="J20" i="22"/>
  <c r="J21" i="22" s="1"/>
  <c r="J22" i="22" s="1"/>
  <c r="K18" i="22"/>
  <c r="J12" i="22"/>
  <c r="U34" i="22"/>
  <c r="U35" i="22" s="1"/>
  <c r="U36" i="22" s="1"/>
  <c r="I5" i="22"/>
  <c r="K26" i="22"/>
  <c r="J32" i="22"/>
  <c r="I25" i="22"/>
  <c r="H27" i="22"/>
  <c r="H28" i="22" s="1"/>
  <c r="H29" i="22" s="1"/>
  <c r="H6" i="22"/>
  <c r="H7" i="22" s="1"/>
  <c r="H8" i="22" s="1"/>
  <c r="I4" i="22"/>
  <c r="W26" i="22"/>
  <c r="V27" i="22"/>
  <c r="V28" i="22" s="1"/>
  <c r="V29" i="22" s="1"/>
  <c r="K19" i="22"/>
  <c r="T12" i="22"/>
  <c r="S13" i="22"/>
  <c r="S14" i="22" s="1"/>
  <c r="S15" i="22" s="1"/>
  <c r="V34" i="22"/>
  <c r="V35" i="22" s="1"/>
  <c r="V36" i="22" s="1"/>
  <c r="AE71" i="1"/>
  <c r="H35" i="22"/>
  <c r="H36" i="22" s="1"/>
  <c r="I33" i="22"/>
  <c r="AB51" i="1"/>
  <c r="AB20" i="1" s="1"/>
  <c r="AB19" i="1"/>
  <c r="AH91" i="1"/>
  <c r="AH92" i="1" s="1"/>
  <c r="AI89" i="1" s="1"/>
  <c r="H42" i="1"/>
  <c r="H43" i="1" s="1"/>
  <c r="H44" i="1" s="1"/>
  <c r="G62" i="1"/>
  <c r="G63" i="1" s="1"/>
  <c r="G64" i="1" s="1"/>
  <c r="F72" i="1"/>
  <c r="AB18" i="1" l="1"/>
  <c r="AB33" i="26" s="1"/>
  <c r="AB34" i="26" s="1"/>
  <c r="AB35" i="26" s="1"/>
  <c r="AQ18" i="1"/>
  <c r="AQ33" i="26" s="1"/>
  <c r="AQ34" i="26" s="1"/>
  <c r="AQ35" i="26" s="1"/>
  <c r="T5" i="22"/>
  <c r="S6" i="22"/>
  <c r="S7" i="22" s="1"/>
  <c r="S8" i="22" s="1"/>
  <c r="AE29" i="1" s="1"/>
  <c r="AE30" i="1" s="1"/>
  <c r="AE31" i="1" s="1"/>
  <c r="H11" i="1"/>
  <c r="AU60" i="1"/>
  <c r="AT29" i="1"/>
  <c r="AT30" i="1" s="1"/>
  <c r="AT31" i="1" s="1"/>
  <c r="AS30" i="1"/>
  <c r="AS18" i="1"/>
  <c r="AT17" i="1"/>
  <c r="E32" i="1"/>
  <c r="E20" i="1"/>
  <c r="AM17" i="1"/>
  <c r="AU29" i="1"/>
  <c r="AU30" i="1" s="1"/>
  <c r="AU31" i="1" s="1"/>
  <c r="AU17" i="1"/>
  <c r="AP19" i="1"/>
  <c r="AP51" i="1"/>
  <c r="AP20" i="1" s="1"/>
  <c r="AF17" i="1"/>
  <c r="AR70" i="1"/>
  <c r="AR39" i="1"/>
  <c r="AR40" i="1" s="1"/>
  <c r="AR41" i="1" s="1"/>
  <c r="AW70" i="1"/>
  <c r="AW18" i="1"/>
  <c r="AG17" i="1"/>
  <c r="R18" i="1"/>
  <c r="R33" i="26" s="1"/>
  <c r="R34" i="26" s="1"/>
  <c r="R35" i="26" s="1"/>
  <c r="AA20" i="27"/>
  <c r="P63" i="27"/>
  <c r="P53" i="27"/>
  <c r="P43" i="27"/>
  <c r="P44" i="27" s="1"/>
  <c r="Q42" i="27" s="1"/>
  <c r="Q43" i="27" s="1"/>
  <c r="AT51" i="1"/>
  <c r="O37" i="26"/>
  <c r="O38" i="26"/>
  <c r="O39" i="26" s="1"/>
  <c r="P36" i="26" s="1"/>
  <c r="AQ51" i="1"/>
  <c r="AQ19" i="1"/>
  <c r="AO20" i="1"/>
  <c r="AE39" i="1"/>
  <c r="AE40" i="1" s="1"/>
  <c r="AE41" i="1" s="1"/>
  <c r="AD40" i="27"/>
  <c r="AD41" i="27" s="1"/>
  <c r="AB50" i="27"/>
  <c r="AB18" i="27"/>
  <c r="Q70" i="27"/>
  <c r="Q19" i="27" s="1"/>
  <c r="Q18" i="27"/>
  <c r="T69" i="1"/>
  <c r="T70" i="1" s="1"/>
  <c r="AH59" i="1"/>
  <c r="AH60" i="1" s="1"/>
  <c r="AH61" i="1" s="1"/>
  <c r="T59" i="1"/>
  <c r="T60" i="1" s="1"/>
  <c r="T61" i="1" s="1"/>
  <c r="S60" i="27"/>
  <c r="S61" i="27" s="1"/>
  <c r="AG69" i="1"/>
  <c r="AG70" i="1" s="1"/>
  <c r="AG71" i="1" s="1"/>
  <c r="Y32" i="22"/>
  <c r="X34" i="22"/>
  <c r="X35" i="22" s="1"/>
  <c r="X36" i="22" s="1"/>
  <c r="AC50" i="1"/>
  <c r="AC18" i="1"/>
  <c r="AC33" i="26" s="1"/>
  <c r="AC34" i="26" s="1"/>
  <c r="AC35" i="26" s="1"/>
  <c r="R70" i="27"/>
  <c r="W27" i="22"/>
  <c r="W28" i="22" s="1"/>
  <c r="W29" i="22" s="1"/>
  <c r="X26" i="22"/>
  <c r="AI69" i="1"/>
  <c r="AI70" i="1" s="1"/>
  <c r="AI71" i="1" s="1"/>
  <c r="AD49" i="1"/>
  <c r="AA25" i="22"/>
  <c r="Y4" i="22"/>
  <c r="V49" i="1"/>
  <c r="V50" i="1" s="1"/>
  <c r="V51" i="1" s="1"/>
  <c r="U50" i="27"/>
  <c r="U51" i="27" s="1"/>
  <c r="T29" i="1"/>
  <c r="T30" i="1" s="1"/>
  <c r="T31" i="1" s="1"/>
  <c r="S30" i="27"/>
  <c r="S31" i="27" s="1"/>
  <c r="S39" i="1"/>
  <c r="S40" i="1" s="1"/>
  <c r="S41" i="1" s="1"/>
  <c r="R40" i="27"/>
  <c r="R41" i="27" s="1"/>
  <c r="AH69" i="1"/>
  <c r="AH70" i="1" s="1"/>
  <c r="AE70" i="27"/>
  <c r="T19" i="22"/>
  <c r="S20" i="22"/>
  <c r="S21" i="22" s="1"/>
  <c r="S22" i="22" s="1"/>
  <c r="Z18" i="22"/>
  <c r="AC71" i="27"/>
  <c r="AD71" i="27"/>
  <c r="S93" i="1"/>
  <c r="T93" i="1" s="1"/>
  <c r="U93" i="1" s="1"/>
  <c r="V93" i="1" s="1"/>
  <c r="W93" i="1" s="1"/>
  <c r="X93" i="1" s="1"/>
  <c r="Y93" i="1" s="1"/>
  <c r="Z93" i="1" s="1"/>
  <c r="AA93" i="1" s="1"/>
  <c r="AB93" i="1" s="1"/>
  <c r="AC93" i="1" s="1"/>
  <c r="AD93" i="1" s="1"/>
  <c r="AE93" i="1" s="1"/>
  <c r="AF93" i="1" s="1"/>
  <c r="AG93" i="1" s="1"/>
  <c r="AH93" i="1" s="1"/>
  <c r="AI93" i="1" s="1"/>
  <c r="AJ79" i="1"/>
  <c r="AJ81" i="1" s="1"/>
  <c r="AJ82" i="1" s="1"/>
  <c r="AK79" i="1" s="1"/>
  <c r="AK81" i="1" s="1"/>
  <c r="AK82" i="1" s="1"/>
  <c r="AL79" i="1" s="1"/>
  <c r="AL81" i="1" s="1"/>
  <c r="AL82" i="1" s="1"/>
  <c r="AI80" i="1"/>
  <c r="I10" i="1"/>
  <c r="I12" i="1" s="1"/>
  <c r="I13" i="1" s="1"/>
  <c r="P71" i="27"/>
  <c r="P19" i="27"/>
  <c r="N71" i="27"/>
  <c r="N19" i="27"/>
  <c r="P71" i="1"/>
  <c r="P20" i="1" s="1"/>
  <c r="P19" i="1"/>
  <c r="O71" i="27"/>
  <c r="O19" i="27"/>
  <c r="I52" i="1"/>
  <c r="I53" i="1" s="1"/>
  <c r="I54" i="1" s="1"/>
  <c r="AK17" i="1"/>
  <c r="Q71" i="1"/>
  <c r="Q20" i="1" s="1"/>
  <c r="Q19" i="1"/>
  <c r="K21" i="27"/>
  <c r="K22" i="27" s="1"/>
  <c r="K73" i="27"/>
  <c r="AI91" i="1"/>
  <c r="AI92" i="1" s="1"/>
  <c r="AJ89" i="1" s="1"/>
  <c r="R71" i="1"/>
  <c r="R20" i="1" s="1"/>
  <c r="R19" i="1"/>
  <c r="J33" i="22"/>
  <c r="J34" i="22" s="1"/>
  <c r="L19" i="22"/>
  <c r="J4" i="22"/>
  <c r="I6" i="22"/>
  <c r="I7" i="22" s="1"/>
  <c r="I8" i="22" s="1"/>
  <c r="I34" i="22"/>
  <c r="I35" i="22" s="1"/>
  <c r="I36" i="22" s="1"/>
  <c r="K12" i="22"/>
  <c r="I11" i="22"/>
  <c r="H13" i="22"/>
  <c r="H14" i="22" s="1"/>
  <c r="H15" i="22" s="1"/>
  <c r="K32" i="22"/>
  <c r="J5" i="22"/>
  <c r="L18" i="22"/>
  <c r="K20" i="22"/>
  <c r="K21" i="22" s="1"/>
  <c r="K22" i="22" s="1"/>
  <c r="S71" i="1"/>
  <c r="J25" i="22"/>
  <c r="I27" i="22"/>
  <c r="I28" i="22" s="1"/>
  <c r="I29" i="22" s="1"/>
  <c r="L26" i="22"/>
  <c r="T13" i="22"/>
  <c r="T14" i="22" s="1"/>
  <c r="T15" i="22" s="1"/>
  <c r="U12" i="22"/>
  <c r="AI90" i="1"/>
  <c r="H62" i="1"/>
  <c r="H63" i="1" s="1"/>
  <c r="H64" i="1" s="1"/>
  <c r="I42" i="1"/>
  <c r="I43" i="1" s="1"/>
  <c r="I44" i="1" s="1"/>
  <c r="F73" i="1"/>
  <c r="AT18" i="1" l="1"/>
  <c r="U5" i="22"/>
  <c r="T6" i="22"/>
  <c r="T7" i="22" s="1"/>
  <c r="T8" i="22" s="1"/>
  <c r="AF29" i="1" s="1"/>
  <c r="AF30" i="1" s="1"/>
  <c r="AF31" i="1" s="1"/>
  <c r="AT19" i="1"/>
  <c r="AW71" i="1"/>
  <c r="AW20" i="1" s="1"/>
  <c r="AW19" i="1"/>
  <c r="AR71" i="1"/>
  <c r="AR20" i="1" s="1"/>
  <c r="AR19" i="1"/>
  <c r="E33" i="1"/>
  <c r="E21" i="1"/>
  <c r="E22" i="1" s="1"/>
  <c r="AU18" i="1"/>
  <c r="AR18" i="1"/>
  <c r="AR33" i="26" s="1"/>
  <c r="AR34" i="26" s="1"/>
  <c r="AR35" i="26" s="1"/>
  <c r="AS19" i="1"/>
  <c r="AS31" i="1"/>
  <c r="AS20" i="1" s="1"/>
  <c r="AU61" i="1"/>
  <c r="AU20" i="1" s="1"/>
  <c r="AU19" i="1"/>
  <c r="Q44" i="27"/>
  <c r="R42" i="27" s="1"/>
  <c r="R43" i="27" s="1"/>
  <c r="P20" i="27"/>
  <c r="O20" i="27"/>
  <c r="P54" i="27"/>
  <c r="Q52" i="27" s="1"/>
  <c r="Q53" i="27" s="1"/>
  <c r="P64" i="27"/>
  <c r="Q62" i="27" s="1"/>
  <c r="Q63" i="27" s="1"/>
  <c r="N20" i="27"/>
  <c r="AT20" i="1"/>
  <c r="P38" i="26"/>
  <c r="P39" i="26" s="1"/>
  <c r="Q36" i="26" s="1"/>
  <c r="P37" i="26"/>
  <c r="S18" i="1"/>
  <c r="S33" i="26" s="1"/>
  <c r="S34" i="26" s="1"/>
  <c r="S35" i="26" s="1"/>
  <c r="S20" i="1"/>
  <c r="AQ20" i="1"/>
  <c r="S19" i="1"/>
  <c r="AF39" i="1"/>
  <c r="AF40" i="1" s="1"/>
  <c r="AE40" i="27"/>
  <c r="AE41" i="27" s="1"/>
  <c r="T39" i="1"/>
  <c r="T40" i="1" s="1"/>
  <c r="T41" i="1" s="1"/>
  <c r="S40" i="27"/>
  <c r="S41" i="27" s="1"/>
  <c r="AA18" i="22"/>
  <c r="AE49" i="1"/>
  <c r="Z4" i="22"/>
  <c r="AC50" i="27"/>
  <c r="AC18" i="27"/>
  <c r="AJ69" i="1"/>
  <c r="AB51" i="27"/>
  <c r="AB19" i="27"/>
  <c r="AD50" i="1"/>
  <c r="AD18" i="1"/>
  <c r="AD33" i="26" s="1"/>
  <c r="AD34" i="26" s="1"/>
  <c r="AD35" i="26" s="1"/>
  <c r="Z32" i="22"/>
  <c r="Y34" i="22"/>
  <c r="Y35" i="22" s="1"/>
  <c r="Y36" i="22" s="1"/>
  <c r="U29" i="1"/>
  <c r="U30" i="1" s="1"/>
  <c r="U31" i="1" s="1"/>
  <c r="T30" i="27"/>
  <c r="T31" i="27" s="1"/>
  <c r="AE71" i="27"/>
  <c r="Y26" i="22"/>
  <c r="X27" i="22"/>
  <c r="X28" i="22" s="1"/>
  <c r="X29" i="22" s="1"/>
  <c r="AC51" i="1"/>
  <c r="AC20" i="1" s="1"/>
  <c r="AC19" i="1"/>
  <c r="Q71" i="27"/>
  <c r="U59" i="1"/>
  <c r="U60" i="1" s="1"/>
  <c r="U61" i="1" s="1"/>
  <c r="T60" i="27"/>
  <c r="T61" i="27" s="1"/>
  <c r="W49" i="1"/>
  <c r="W50" i="1" s="1"/>
  <c r="W51" i="1" s="1"/>
  <c r="V50" i="27"/>
  <c r="V51" i="27" s="1"/>
  <c r="U69" i="1"/>
  <c r="U70" i="1" s="1"/>
  <c r="T20" i="22"/>
  <c r="T21" i="22" s="1"/>
  <c r="T22" i="22" s="1"/>
  <c r="U19" i="22"/>
  <c r="AI59" i="1"/>
  <c r="AI60" i="1" s="1"/>
  <c r="AI61" i="1" s="1"/>
  <c r="R71" i="27"/>
  <c r="R19" i="27"/>
  <c r="S70" i="27"/>
  <c r="I11" i="1"/>
  <c r="AJ80" i="1"/>
  <c r="AK80" i="1" s="1"/>
  <c r="AL80" i="1" s="1"/>
  <c r="J10" i="1"/>
  <c r="J12" i="1" s="1"/>
  <c r="J13" i="1" s="1"/>
  <c r="J52" i="1"/>
  <c r="J53" i="1" s="1"/>
  <c r="J54" i="1" s="1"/>
  <c r="K74" i="27"/>
  <c r="L72" i="27" s="1"/>
  <c r="K23" i="27"/>
  <c r="AJ91" i="1"/>
  <c r="AJ92" i="1" s="1"/>
  <c r="AK89" i="1" s="1"/>
  <c r="AJ93" i="1"/>
  <c r="AJ90" i="1"/>
  <c r="M18" i="22"/>
  <c r="L20" i="22"/>
  <c r="AH71" i="1"/>
  <c r="K4" i="22"/>
  <c r="J6" i="22"/>
  <c r="K25" i="22"/>
  <c r="J27" i="22"/>
  <c r="J28" i="22" s="1"/>
  <c r="J29" i="22" s="1"/>
  <c r="T71" i="1"/>
  <c r="J11" i="22"/>
  <c r="I13" i="22"/>
  <c r="I14" i="22" s="1"/>
  <c r="I15" i="22" s="1"/>
  <c r="U13" i="22"/>
  <c r="U14" i="22" s="1"/>
  <c r="U15" i="22" s="1"/>
  <c r="V12" i="22"/>
  <c r="M26" i="22"/>
  <c r="K5" i="22"/>
  <c r="J7" i="22"/>
  <c r="J8" i="22" s="1"/>
  <c r="L12" i="22"/>
  <c r="M19" i="22"/>
  <c r="L21" i="22"/>
  <c r="L22" i="22" s="1"/>
  <c r="K33" i="22"/>
  <c r="K34" i="22" s="1"/>
  <c r="J35" i="22"/>
  <c r="J36" i="22" s="1"/>
  <c r="L32" i="22"/>
  <c r="J42" i="1"/>
  <c r="J43" i="1" s="1"/>
  <c r="J44" i="1" s="1"/>
  <c r="I62" i="1"/>
  <c r="I63" i="1" s="1"/>
  <c r="I64" i="1" s="1"/>
  <c r="F74" i="1"/>
  <c r="V5" i="22" l="1"/>
  <c r="U6" i="22"/>
  <c r="U7" i="22" s="1"/>
  <c r="U8" i="22" s="1"/>
  <c r="AG29" i="1" s="1"/>
  <c r="AG30" i="1" s="1"/>
  <c r="AG31" i="1" s="1"/>
  <c r="E34" i="1"/>
  <c r="E23" i="1"/>
  <c r="Q54" i="27"/>
  <c r="R52" i="27" s="1"/>
  <c r="R53" i="27" s="1"/>
  <c r="R54" i="27" s="1"/>
  <c r="S52" i="27" s="1"/>
  <c r="S53" i="27" s="1"/>
  <c r="R44" i="27"/>
  <c r="S42" i="27" s="1"/>
  <c r="S43" i="27" s="1"/>
  <c r="S44" i="27" s="1"/>
  <c r="R20" i="27"/>
  <c r="Q20" i="27"/>
  <c r="AB20" i="27"/>
  <c r="Q64" i="27"/>
  <c r="Q38" i="26"/>
  <c r="Q39" i="26" s="1"/>
  <c r="R36" i="26" s="1"/>
  <c r="Q37" i="26"/>
  <c r="S18" i="27"/>
  <c r="AF49" i="1"/>
  <c r="AE50" i="1"/>
  <c r="AE18" i="1"/>
  <c r="AE33" i="26" s="1"/>
  <c r="AE34" i="26" s="1"/>
  <c r="AE35" i="26" s="1"/>
  <c r="V69" i="1"/>
  <c r="V70" i="1" s="1"/>
  <c r="T19" i="1"/>
  <c r="T18" i="1"/>
  <c r="T33" i="26" s="1"/>
  <c r="T34" i="26" s="1"/>
  <c r="T35" i="26" s="1"/>
  <c r="V19" i="22"/>
  <c r="U20" i="22"/>
  <c r="U21" i="22" s="1"/>
  <c r="U22" i="22" s="1"/>
  <c r="S71" i="27"/>
  <c r="S19" i="27"/>
  <c r="V29" i="1"/>
  <c r="V30" i="1" s="1"/>
  <c r="V31" i="1" s="1"/>
  <c r="U30" i="27"/>
  <c r="U31" i="27" s="1"/>
  <c r="AG39" i="1"/>
  <c r="AG40" i="1" s="1"/>
  <c r="AG41" i="1" s="1"/>
  <c r="T20" i="1"/>
  <c r="T70" i="27"/>
  <c r="AK69" i="1"/>
  <c r="AJ70" i="1"/>
  <c r="AA4" i="22"/>
  <c r="Z26" i="22"/>
  <c r="Y27" i="22"/>
  <c r="Y28" i="22" s="1"/>
  <c r="Y29" i="22" s="1"/>
  <c r="AC51" i="27"/>
  <c r="AC19" i="27"/>
  <c r="X49" i="1"/>
  <c r="X50" i="1" s="1"/>
  <c r="X51" i="1" s="1"/>
  <c r="W50" i="27"/>
  <c r="W51" i="27" s="1"/>
  <c r="U39" i="1"/>
  <c r="U40" i="1" s="1"/>
  <c r="U41" i="1" s="1"/>
  <c r="T40" i="27"/>
  <c r="T41" i="27" s="1"/>
  <c r="V59" i="1"/>
  <c r="V60" i="1" s="1"/>
  <c r="V61" i="1" s="1"/>
  <c r="U60" i="27"/>
  <c r="U61" i="27" s="1"/>
  <c r="AJ59" i="1"/>
  <c r="AJ60" i="1" s="1"/>
  <c r="AJ61" i="1" s="1"/>
  <c r="AA32" i="22"/>
  <c r="Z34" i="22"/>
  <c r="Z35" i="22" s="1"/>
  <c r="Z36" i="22" s="1"/>
  <c r="AD51" i="1"/>
  <c r="AD20" i="1" s="1"/>
  <c r="AD19" i="1"/>
  <c r="AD50" i="27"/>
  <c r="AD18" i="27"/>
  <c r="J11" i="1"/>
  <c r="AK90" i="1"/>
  <c r="K10" i="1"/>
  <c r="K12" i="1" s="1"/>
  <c r="K13" i="1" s="1"/>
  <c r="K52" i="1"/>
  <c r="K53" i="1" s="1"/>
  <c r="K54" i="1" s="1"/>
  <c r="K24" i="27"/>
  <c r="AK91" i="1"/>
  <c r="AK92" i="1" s="1"/>
  <c r="AL89" i="1" s="1"/>
  <c r="AK93" i="1"/>
  <c r="N19" i="22"/>
  <c r="L5" i="22"/>
  <c r="L4" i="22"/>
  <c r="K6" i="22"/>
  <c r="K7" i="22" s="1"/>
  <c r="K8" i="22" s="1"/>
  <c r="U71" i="1"/>
  <c r="W12" i="22"/>
  <c r="V13" i="22"/>
  <c r="V14" i="22" s="1"/>
  <c r="V15" i="22" s="1"/>
  <c r="AF41" i="1"/>
  <c r="M12" i="22"/>
  <c r="M32" i="22"/>
  <c r="L33" i="22"/>
  <c r="K35" i="22"/>
  <c r="K36" i="22" s="1"/>
  <c r="N26" i="22"/>
  <c r="K11" i="22"/>
  <c r="J13" i="22"/>
  <c r="J14" i="22" s="1"/>
  <c r="J15" i="22" s="1"/>
  <c r="L25" i="22"/>
  <c r="K27" i="22"/>
  <c r="K28" i="22" s="1"/>
  <c r="K29" i="22" s="1"/>
  <c r="M20" i="22"/>
  <c r="M21" i="22" s="1"/>
  <c r="M22" i="22" s="1"/>
  <c r="N18" i="22"/>
  <c r="J62" i="1"/>
  <c r="J63" i="1" s="1"/>
  <c r="J64" i="1" s="1"/>
  <c r="K42" i="1"/>
  <c r="K43" i="1" s="1"/>
  <c r="K44" i="1" s="1"/>
  <c r="G72" i="1"/>
  <c r="W5" i="22" l="1"/>
  <c r="V6" i="22"/>
  <c r="V7" i="22" s="1"/>
  <c r="V8" i="22" s="1"/>
  <c r="AH29" i="1" s="1"/>
  <c r="AH30" i="1" s="1"/>
  <c r="AH31" i="1" s="1"/>
  <c r="E24" i="1"/>
  <c r="F32" i="1"/>
  <c r="R62" i="27"/>
  <c r="R63" i="27" s="1"/>
  <c r="R64" i="27" s="1"/>
  <c r="S20" i="27"/>
  <c r="AC20" i="27"/>
  <c r="S54" i="27"/>
  <c r="T52" i="27" s="1"/>
  <c r="T53" i="27" s="1"/>
  <c r="T42" i="27"/>
  <c r="T43" i="27" s="1"/>
  <c r="T44" i="27" s="1"/>
  <c r="R38" i="26"/>
  <c r="R39" i="26" s="1"/>
  <c r="S36" i="26" s="1"/>
  <c r="U19" i="1"/>
  <c r="U20" i="1"/>
  <c r="U18" i="1"/>
  <c r="U33" i="26" s="1"/>
  <c r="U34" i="26" s="1"/>
  <c r="U35" i="26" s="1"/>
  <c r="AJ71" i="1"/>
  <c r="AE50" i="27"/>
  <c r="AE18" i="27"/>
  <c r="W69" i="1"/>
  <c r="W70" i="1" s="1"/>
  <c r="AK70" i="1"/>
  <c r="V20" i="22"/>
  <c r="V21" i="22" s="1"/>
  <c r="V22" i="22" s="1"/>
  <c r="W19" i="22"/>
  <c r="AF50" i="1"/>
  <c r="AF18" i="1"/>
  <c r="AF33" i="26" s="1"/>
  <c r="AF34" i="26" s="1"/>
  <c r="AF35" i="26" s="1"/>
  <c r="W59" i="1"/>
  <c r="W60" i="1" s="1"/>
  <c r="W61" i="1" s="1"/>
  <c r="V60" i="27"/>
  <c r="V61" i="27" s="1"/>
  <c r="AG49" i="1"/>
  <c r="Y49" i="1"/>
  <c r="Y50" i="1" s="1"/>
  <c r="Y51" i="1" s="1"/>
  <c r="X50" i="27"/>
  <c r="X51" i="27" s="1"/>
  <c r="AH39" i="1"/>
  <c r="AH40" i="1" s="1"/>
  <c r="AH41" i="1" s="1"/>
  <c r="AL69" i="1"/>
  <c r="AK59" i="1"/>
  <c r="AK60" i="1" s="1"/>
  <c r="AK61" i="1" s="1"/>
  <c r="AB6" i="22"/>
  <c r="AB7" i="22" s="1"/>
  <c r="AB8" i="22" s="1"/>
  <c r="AN29" i="1" s="1"/>
  <c r="AN30" i="1" s="1"/>
  <c r="AN31" i="1" s="1"/>
  <c r="T71" i="27"/>
  <c r="T19" i="27"/>
  <c r="W29" i="1"/>
  <c r="W30" i="1" s="1"/>
  <c r="W31" i="1" s="1"/>
  <c r="V30" i="27"/>
  <c r="V31" i="27" s="1"/>
  <c r="U70" i="27"/>
  <c r="V39" i="1"/>
  <c r="V40" i="1" s="1"/>
  <c r="V41" i="1" s="1"/>
  <c r="U40" i="27"/>
  <c r="U41" i="27" s="1"/>
  <c r="W13" i="22"/>
  <c r="W14" i="22" s="1"/>
  <c r="W15" i="22" s="1"/>
  <c r="X12" i="22"/>
  <c r="AD51" i="27"/>
  <c r="AD19" i="27"/>
  <c r="AB34" i="22"/>
  <c r="AB35" i="22" s="1"/>
  <c r="AB36" i="22" s="1"/>
  <c r="AN69" i="1" s="1"/>
  <c r="AA34" i="22"/>
  <c r="AA35" i="22" s="1"/>
  <c r="AA36" i="22" s="1"/>
  <c r="AA26" i="22"/>
  <c r="Z27" i="22"/>
  <c r="Z28" i="22" s="1"/>
  <c r="Z29" i="22" s="1"/>
  <c r="AE51" i="1"/>
  <c r="AE20" i="1" s="1"/>
  <c r="AE19" i="1"/>
  <c r="AL93" i="1"/>
  <c r="AM79" i="1"/>
  <c r="AM81" i="1" s="1"/>
  <c r="AM82" i="1" s="1"/>
  <c r="K11" i="1"/>
  <c r="L10" i="1"/>
  <c r="L12" i="1" s="1"/>
  <c r="L13" i="1" s="1"/>
  <c r="L52" i="1"/>
  <c r="L53" i="1" s="1"/>
  <c r="L54" i="1" s="1"/>
  <c r="L21" i="27"/>
  <c r="L22" i="27" s="1"/>
  <c r="L73" i="27"/>
  <c r="AL91" i="1"/>
  <c r="AL92" i="1" s="1"/>
  <c r="AM89" i="1" s="1"/>
  <c r="AL90" i="1"/>
  <c r="O26" i="22"/>
  <c r="V71" i="1"/>
  <c r="M5" i="22"/>
  <c r="M25" i="22"/>
  <c r="L27" i="22"/>
  <c r="L28" i="22" s="1"/>
  <c r="L29" i="22" s="1"/>
  <c r="M33" i="22"/>
  <c r="M34" i="22" s="1"/>
  <c r="N12" i="22"/>
  <c r="M4" i="22"/>
  <c r="L6" i="22"/>
  <c r="L7" i="22" s="1"/>
  <c r="L8" i="22" s="1"/>
  <c r="N32" i="22"/>
  <c r="L11" i="22"/>
  <c r="K13" i="22"/>
  <c r="K14" i="22" s="1"/>
  <c r="K15" i="22" s="1"/>
  <c r="N20" i="22"/>
  <c r="N21" i="22" s="1"/>
  <c r="N22" i="22" s="1"/>
  <c r="O18" i="22"/>
  <c r="L34" i="22"/>
  <c r="L35" i="22" s="1"/>
  <c r="L36" i="22" s="1"/>
  <c r="O19" i="22"/>
  <c r="L42" i="1"/>
  <c r="L43" i="1" s="1"/>
  <c r="L44" i="1" s="1"/>
  <c r="K62" i="1"/>
  <c r="K63" i="1" s="1"/>
  <c r="K64" i="1" s="1"/>
  <c r="G73" i="1"/>
  <c r="X5" i="22" l="1"/>
  <c r="W6" i="22"/>
  <c r="W7" i="22" s="1"/>
  <c r="W8" i="22" s="1"/>
  <c r="AI29" i="1" s="1"/>
  <c r="AI30" i="1" s="1"/>
  <c r="AI31" i="1" s="1"/>
  <c r="AN70" i="1"/>
  <c r="F33" i="1"/>
  <c r="F21" i="1"/>
  <c r="F22" i="1" s="1"/>
  <c r="AM93" i="1"/>
  <c r="AN79" i="1"/>
  <c r="AN81" i="1" s="1"/>
  <c r="AN82" i="1" s="1"/>
  <c r="AM80" i="1"/>
  <c r="S62" i="27"/>
  <c r="S63" i="27" s="1"/>
  <c r="S64" i="27" s="1"/>
  <c r="AD20" i="27"/>
  <c r="T20" i="27"/>
  <c r="T54" i="27"/>
  <c r="U42" i="27"/>
  <c r="U43" i="27" s="1"/>
  <c r="U44" i="27" s="1"/>
  <c r="R37" i="26"/>
  <c r="S37" i="26" s="1"/>
  <c r="S38" i="26"/>
  <c r="S39" i="26" s="1"/>
  <c r="T36" i="26" s="1"/>
  <c r="V20" i="1"/>
  <c r="V18" i="1"/>
  <c r="V33" i="26" s="1"/>
  <c r="V34" i="26" s="1"/>
  <c r="V35" i="26" s="1"/>
  <c r="V19" i="1"/>
  <c r="U18" i="27"/>
  <c r="X29" i="1"/>
  <c r="X30" i="1" s="1"/>
  <c r="X31" i="1" s="1"/>
  <c r="W30" i="27"/>
  <c r="W31" i="27" s="1"/>
  <c r="W39" i="1"/>
  <c r="W40" i="1" s="1"/>
  <c r="W41" i="1" s="1"/>
  <c r="V40" i="27"/>
  <c r="V41" i="27" s="1"/>
  <c r="AF51" i="1"/>
  <c r="AF20" i="1" s="1"/>
  <c r="AF19" i="1"/>
  <c r="AI39" i="1"/>
  <c r="AI40" i="1" s="1"/>
  <c r="AI41" i="1" s="1"/>
  <c r="U71" i="27"/>
  <c r="U19" i="27"/>
  <c r="AL70" i="1"/>
  <c r="W20" i="22"/>
  <c r="W21" i="22" s="1"/>
  <c r="W22" i="22" s="1"/>
  <c r="X19" i="22"/>
  <c r="AE51" i="27"/>
  <c r="AE19" i="27"/>
  <c r="AM69" i="1"/>
  <c r="Y12" i="22"/>
  <c r="X13" i="22"/>
  <c r="X14" i="22" s="1"/>
  <c r="X15" i="22" s="1"/>
  <c r="AG50" i="1"/>
  <c r="AG18" i="1"/>
  <c r="AG33" i="26" s="1"/>
  <c r="AG34" i="26" s="1"/>
  <c r="AG35" i="26" s="1"/>
  <c r="X69" i="1"/>
  <c r="X70" i="1" s="1"/>
  <c r="X59" i="1"/>
  <c r="X60" i="1" s="1"/>
  <c r="X61" i="1" s="1"/>
  <c r="W60" i="27"/>
  <c r="W61" i="27" s="1"/>
  <c r="AL59" i="1"/>
  <c r="AL60" i="1" s="1"/>
  <c r="AL61" i="1" s="1"/>
  <c r="AH49" i="1"/>
  <c r="AK71" i="1"/>
  <c r="V70" i="27"/>
  <c r="Z49" i="1"/>
  <c r="Z50" i="1" s="1"/>
  <c r="Z51" i="1" s="1"/>
  <c r="Y50" i="27"/>
  <c r="Y51" i="27" s="1"/>
  <c r="AA27" i="22"/>
  <c r="AA28" i="22" s="1"/>
  <c r="AA29" i="22" s="1"/>
  <c r="AM91" i="1"/>
  <c r="AM92" i="1" s="1"/>
  <c r="AN89" i="1" s="1"/>
  <c r="L11" i="1"/>
  <c r="M10" i="1"/>
  <c r="M12" i="1" s="1"/>
  <c r="M13" i="1" s="1"/>
  <c r="M52" i="1"/>
  <c r="M53" i="1" s="1"/>
  <c r="M54" i="1" s="1"/>
  <c r="L74" i="27"/>
  <c r="M72" i="27" s="1"/>
  <c r="K52" i="29" s="1"/>
  <c r="L52" i="29" s="1"/>
  <c r="N66" i="27" s="1"/>
  <c r="L23" i="27"/>
  <c r="AM90" i="1"/>
  <c r="M11" i="22"/>
  <c r="L13" i="22"/>
  <c r="L14" i="22" s="1"/>
  <c r="L15" i="22" s="1"/>
  <c r="N4" i="22"/>
  <c r="M6" i="22"/>
  <c r="M7" i="22" s="1"/>
  <c r="M8" i="22" s="1"/>
  <c r="M35" i="22"/>
  <c r="M36" i="22" s="1"/>
  <c r="N33" i="22"/>
  <c r="N25" i="22"/>
  <c r="M27" i="22"/>
  <c r="M28" i="22" s="1"/>
  <c r="M29" i="22" s="1"/>
  <c r="O12" i="22"/>
  <c r="O20" i="22"/>
  <c r="O21" i="22" s="1"/>
  <c r="O22" i="22" s="1"/>
  <c r="O32" i="22"/>
  <c r="N34" i="22"/>
  <c r="N5" i="22"/>
  <c r="W71" i="1"/>
  <c r="L62" i="1"/>
  <c r="L63" i="1" s="1"/>
  <c r="L64" i="1" s="1"/>
  <c r="M42" i="1"/>
  <c r="M43" i="1" s="1"/>
  <c r="M44" i="1" s="1"/>
  <c r="G74" i="1"/>
  <c r="Y5" i="22" l="1"/>
  <c r="X6" i="22"/>
  <c r="X7" i="22" s="1"/>
  <c r="X8" i="22" s="1"/>
  <c r="AJ29" i="1" s="1"/>
  <c r="AJ30" i="1" s="1"/>
  <c r="AJ31" i="1" s="1"/>
  <c r="AN71" i="1"/>
  <c r="F34" i="1"/>
  <c r="F23" i="1"/>
  <c r="AN80" i="1"/>
  <c r="AO79" i="1"/>
  <c r="AO81" i="1" s="1"/>
  <c r="AO82" i="1" s="1"/>
  <c r="U52" i="27"/>
  <c r="U53" i="27" s="1"/>
  <c r="U54" i="27" s="1"/>
  <c r="T62" i="27"/>
  <c r="T63" i="27" s="1"/>
  <c r="T64" i="27" s="1"/>
  <c r="U20" i="27"/>
  <c r="AE20" i="27"/>
  <c r="V42" i="27"/>
  <c r="V43" i="27" s="1"/>
  <c r="V44" i="27" s="1"/>
  <c r="T38" i="26"/>
  <c r="T39" i="26" s="1"/>
  <c r="U36" i="26" s="1"/>
  <c r="T37" i="26"/>
  <c r="W18" i="1"/>
  <c r="W33" i="26" s="1"/>
  <c r="W34" i="26" s="1"/>
  <c r="W35" i="26" s="1"/>
  <c r="W19" i="1"/>
  <c r="W20" i="1"/>
  <c r="AN91" i="1"/>
  <c r="AN92" i="1" s="1"/>
  <c r="AO89" i="1" s="1"/>
  <c r="AN93" i="1"/>
  <c r="AM59" i="1"/>
  <c r="AM60" i="1" s="1"/>
  <c r="AM61" i="1" s="1"/>
  <c r="X39" i="1"/>
  <c r="X40" i="1" s="1"/>
  <c r="X41" i="1" s="1"/>
  <c r="W40" i="27"/>
  <c r="W41" i="27" s="1"/>
  <c r="AB27" i="22"/>
  <c r="AB28" i="22" s="1"/>
  <c r="AB29" i="22" s="1"/>
  <c r="AN59" i="1" s="1"/>
  <c r="V71" i="27"/>
  <c r="V19" i="27"/>
  <c r="AH50" i="1"/>
  <c r="AH18" i="1"/>
  <c r="AH33" i="26" s="1"/>
  <c r="AH34" i="26" s="1"/>
  <c r="AH35" i="26" s="1"/>
  <c r="Y19" i="22"/>
  <c r="X20" i="22"/>
  <c r="X21" i="22" s="1"/>
  <c r="X22" i="22" s="1"/>
  <c r="AI49" i="1"/>
  <c r="Y59" i="1"/>
  <c r="Y60" i="1" s="1"/>
  <c r="Y61" i="1" s="1"/>
  <c r="X60" i="27"/>
  <c r="X61" i="27" s="1"/>
  <c r="AG19" i="1"/>
  <c r="AG51" i="1"/>
  <c r="AG20" i="1" s="1"/>
  <c r="Z12" i="22"/>
  <c r="Y13" i="22"/>
  <c r="Y14" i="22" s="1"/>
  <c r="Y15" i="22" s="1"/>
  <c r="Y69" i="1"/>
  <c r="Y70" i="1" s="1"/>
  <c r="AJ39" i="1"/>
  <c r="AJ40" i="1" s="1"/>
  <c r="AJ41" i="1" s="1"/>
  <c r="AA49" i="1"/>
  <c r="AA50" i="1" s="1"/>
  <c r="AA51" i="1" s="1"/>
  <c r="Z50" i="27"/>
  <c r="Z51" i="27" s="1"/>
  <c r="Y29" i="1"/>
  <c r="Y30" i="1" s="1"/>
  <c r="Y31" i="1" s="1"/>
  <c r="X30" i="27"/>
  <c r="X31" i="27" s="1"/>
  <c r="V18" i="27"/>
  <c r="W70" i="27"/>
  <c r="AM70" i="1"/>
  <c r="AL71" i="1"/>
  <c r="AN90" i="1"/>
  <c r="N10" i="1"/>
  <c r="N12" i="1" s="1"/>
  <c r="N13" i="1" s="1"/>
  <c r="M11" i="1"/>
  <c r="N52" i="1"/>
  <c r="N53" i="1" s="1"/>
  <c r="N54" i="1" s="1"/>
  <c r="L24" i="27"/>
  <c r="N27" i="22"/>
  <c r="N28" i="22" s="1"/>
  <c r="N29" i="22" s="1"/>
  <c r="O25" i="22"/>
  <c r="O27" i="22" s="1"/>
  <c r="O28" i="22" s="1"/>
  <c r="O29" i="22" s="1"/>
  <c r="O4" i="22"/>
  <c r="N6" i="22"/>
  <c r="N7" i="22" s="1"/>
  <c r="N8" i="22" s="1"/>
  <c r="O5" i="22"/>
  <c r="O33" i="22"/>
  <c r="O34" i="22" s="1"/>
  <c r="N35" i="22"/>
  <c r="N36" i="22" s="1"/>
  <c r="N11" i="22"/>
  <c r="M13" i="22"/>
  <c r="M14" i="22" s="1"/>
  <c r="M15" i="22" s="1"/>
  <c r="X71" i="1"/>
  <c r="N42" i="1"/>
  <c r="N43" i="1" s="1"/>
  <c r="N44" i="1" s="1"/>
  <c r="M62" i="1"/>
  <c r="M63" i="1" s="1"/>
  <c r="M64" i="1" s="1"/>
  <c r="H72" i="1"/>
  <c r="Z5" i="22" l="1"/>
  <c r="Y6" i="22"/>
  <c r="Y7" i="22" s="1"/>
  <c r="Y8" i="22" s="1"/>
  <c r="AK29" i="1" s="1"/>
  <c r="AK30" i="1" s="1"/>
  <c r="AK31" i="1" s="1"/>
  <c r="AN60" i="1"/>
  <c r="O6" i="22"/>
  <c r="O7" i="22" s="1"/>
  <c r="O8" i="22" s="1"/>
  <c r="G32" i="1"/>
  <c r="F24" i="1"/>
  <c r="AP79" i="1"/>
  <c r="AP81" i="1" s="1"/>
  <c r="AP82" i="1" s="1"/>
  <c r="AO80" i="1"/>
  <c r="V52" i="27"/>
  <c r="V53" i="27" s="1"/>
  <c r="V54" i="27" s="1"/>
  <c r="W52" i="27" s="1"/>
  <c r="U62" i="27"/>
  <c r="U63" i="27" s="1"/>
  <c r="U64" i="27" s="1"/>
  <c r="V20" i="27"/>
  <c r="X18" i="1"/>
  <c r="X33" i="26" s="1"/>
  <c r="X34" i="26" s="1"/>
  <c r="X35" i="26" s="1"/>
  <c r="W42" i="27"/>
  <c r="W43" i="27" s="1"/>
  <c r="W44" i="27" s="1"/>
  <c r="U38" i="26"/>
  <c r="U39" i="26" s="1"/>
  <c r="V36" i="26" s="1"/>
  <c r="X19" i="1"/>
  <c r="AO91" i="1"/>
  <c r="AO92" i="1" s="1"/>
  <c r="AP89" i="1" s="1"/>
  <c r="AO93" i="1"/>
  <c r="AO90" i="1"/>
  <c r="X20" i="1"/>
  <c r="Z29" i="1"/>
  <c r="Z30" i="1" s="1"/>
  <c r="Z31" i="1" s="1"/>
  <c r="Y30" i="27"/>
  <c r="Y31" i="27" s="1"/>
  <c r="Z69" i="1"/>
  <c r="Z70" i="1" s="1"/>
  <c r="Z59" i="1"/>
  <c r="Z60" i="1" s="1"/>
  <c r="Z61" i="1" s="1"/>
  <c r="Y60" i="27"/>
  <c r="Y61" i="27" s="1"/>
  <c r="AM71" i="1"/>
  <c r="AA12" i="22"/>
  <c r="Z13" i="22"/>
  <c r="Z14" i="22" s="1"/>
  <c r="Z15" i="22" s="1"/>
  <c r="Z19" i="22"/>
  <c r="Y20" i="22"/>
  <c r="Y21" i="22" s="1"/>
  <c r="Y22" i="22" s="1"/>
  <c r="AH19" i="1"/>
  <c r="AH51" i="1"/>
  <c r="AH20" i="1" s="1"/>
  <c r="Y39" i="1"/>
  <c r="Y40" i="1" s="1"/>
  <c r="Y41" i="1" s="1"/>
  <c r="X40" i="27"/>
  <c r="X41" i="27" s="1"/>
  <c r="W18" i="27"/>
  <c r="AI50" i="1"/>
  <c r="AI18" i="1"/>
  <c r="AI33" i="26" s="1"/>
  <c r="AI34" i="26" s="1"/>
  <c r="AI35" i="26" s="1"/>
  <c r="AA59" i="1"/>
  <c r="AA60" i="1" s="1"/>
  <c r="AA61" i="1" s="1"/>
  <c r="Z60" i="27"/>
  <c r="Z61" i="27" s="1"/>
  <c r="W71" i="27"/>
  <c r="W19" i="27"/>
  <c r="X70" i="27"/>
  <c r="AK39" i="1"/>
  <c r="AK40" i="1" s="1"/>
  <c r="AK41" i="1" s="1"/>
  <c r="AJ49" i="1"/>
  <c r="N11" i="1"/>
  <c r="O10" i="1"/>
  <c r="O12" i="1" s="1"/>
  <c r="O13" i="1" s="1"/>
  <c r="P10" i="1" s="1"/>
  <c r="P12" i="1" s="1"/>
  <c r="P13" i="1" s="1"/>
  <c r="O52" i="1"/>
  <c r="O53" i="1" s="1"/>
  <c r="O54" i="1" s="1"/>
  <c r="M73" i="27"/>
  <c r="Y71" i="1"/>
  <c r="O11" i="22"/>
  <c r="O13" i="22" s="1"/>
  <c r="O14" i="22" s="1"/>
  <c r="O15" i="22" s="1"/>
  <c r="N13" i="22"/>
  <c r="N14" i="22" s="1"/>
  <c r="N15" i="22" s="1"/>
  <c r="O35" i="22"/>
  <c r="O36" i="22" s="1"/>
  <c r="N62" i="1"/>
  <c r="N63" i="1" s="1"/>
  <c r="N64" i="1" s="1"/>
  <c r="O42" i="1"/>
  <c r="O43" i="1" s="1"/>
  <c r="O44" i="1" s="1"/>
  <c r="P42" i="1" s="1"/>
  <c r="H73" i="1"/>
  <c r="AA5" i="22" l="1"/>
  <c r="AA6" i="22" s="1"/>
  <c r="AA7" i="22" s="1"/>
  <c r="AA8" i="22" s="1"/>
  <c r="AM29" i="1" s="1"/>
  <c r="AM30" i="1" s="1"/>
  <c r="AM31" i="1" s="1"/>
  <c r="Z6" i="22"/>
  <c r="Z7" i="22" s="1"/>
  <c r="Z8" i="22" s="1"/>
  <c r="AL29" i="1" s="1"/>
  <c r="AL30" i="1" s="1"/>
  <c r="AL31" i="1" s="1"/>
  <c r="G33" i="1"/>
  <c r="G21" i="1"/>
  <c r="G22" i="1" s="1"/>
  <c r="AN61" i="1"/>
  <c r="AP80" i="1"/>
  <c r="AQ79" i="1"/>
  <c r="AQ81" i="1" s="1"/>
  <c r="AQ82" i="1" s="1"/>
  <c r="Y19" i="1"/>
  <c r="V62" i="27"/>
  <c r="V63" i="27" s="1"/>
  <c r="V64" i="27" s="1"/>
  <c r="W62" i="27" s="1"/>
  <c r="W63" i="27" s="1"/>
  <c r="W64" i="27" s="1"/>
  <c r="W53" i="27"/>
  <c r="W54" i="27" s="1"/>
  <c r="W20" i="27"/>
  <c r="X42" i="27"/>
  <c r="X43" i="27" s="1"/>
  <c r="X44" i="27" s="1"/>
  <c r="V38" i="26"/>
  <c r="V39" i="26" s="1"/>
  <c r="W36" i="26" s="1"/>
  <c r="U37" i="26"/>
  <c r="V37" i="26" s="1"/>
  <c r="Y20" i="1"/>
  <c r="Y18" i="1"/>
  <c r="Y33" i="26" s="1"/>
  <c r="Y34" i="26" s="1"/>
  <c r="Y35" i="26" s="1"/>
  <c r="AP91" i="1"/>
  <c r="AP92" i="1" s="1"/>
  <c r="AQ89" i="1" s="1"/>
  <c r="AP93" i="1"/>
  <c r="AP90" i="1"/>
  <c r="AQ90" i="1" s="1"/>
  <c r="AL39" i="1"/>
  <c r="AL40" i="1" s="1"/>
  <c r="AL41" i="1" s="1"/>
  <c r="AA39" i="1"/>
  <c r="AA40" i="1" s="1"/>
  <c r="AA41" i="1" s="1"/>
  <c r="X71" i="27"/>
  <c r="X19" i="27"/>
  <c r="AK49" i="1"/>
  <c r="AA29" i="1"/>
  <c r="AA30" i="1" s="1"/>
  <c r="AA31" i="1" s="1"/>
  <c r="AI19" i="1"/>
  <c r="AI51" i="1"/>
  <c r="AI20" i="1" s="1"/>
  <c r="AA19" i="22"/>
  <c r="Z20" i="22"/>
  <c r="Z21" i="22" s="1"/>
  <c r="Z22" i="22" s="1"/>
  <c r="AA13" i="22"/>
  <c r="AA14" i="22" s="1"/>
  <c r="AA15" i="22" s="1"/>
  <c r="AA69" i="1"/>
  <c r="AA70" i="1" s="1"/>
  <c r="Z39" i="1"/>
  <c r="Z40" i="1" s="1"/>
  <c r="Z41" i="1" s="1"/>
  <c r="Y40" i="27"/>
  <c r="Y41" i="27" s="1"/>
  <c r="AJ50" i="1"/>
  <c r="AJ18" i="1"/>
  <c r="AJ33" i="26" s="1"/>
  <c r="AJ34" i="26" s="1"/>
  <c r="AJ35" i="26" s="1"/>
  <c r="X18" i="27"/>
  <c r="Y70" i="27"/>
  <c r="Y71" i="27" s="1"/>
  <c r="O11" i="1"/>
  <c r="P11" i="1" s="1"/>
  <c r="P52" i="1"/>
  <c r="P53" i="1" s="1"/>
  <c r="P54" i="1" s="1"/>
  <c r="M74" i="27"/>
  <c r="N72" i="27" s="1"/>
  <c r="Z71" i="1"/>
  <c r="P43" i="1"/>
  <c r="P44" i="1" s="1"/>
  <c r="O62" i="1"/>
  <c r="O63" i="1" s="1"/>
  <c r="O64" i="1" s="1"/>
  <c r="H74" i="1"/>
  <c r="G34" i="1" l="1"/>
  <c r="G23" i="1"/>
  <c r="AR79" i="1"/>
  <c r="AR81" i="1" s="1"/>
  <c r="AR82" i="1" s="1"/>
  <c r="AQ80" i="1"/>
  <c r="Y42" i="27"/>
  <c r="Y43" i="27" s="1"/>
  <c r="Y44" i="27" s="1"/>
  <c r="Z42" i="27" s="1"/>
  <c r="X52" i="27"/>
  <c r="X53" i="27" s="1"/>
  <c r="X54" i="27" s="1"/>
  <c r="Y52" i="27" s="1"/>
  <c r="X62" i="27"/>
  <c r="X63" i="27" s="1"/>
  <c r="X64" i="27" s="1"/>
  <c r="Y62" i="27" s="1"/>
  <c r="Y63" i="27" s="1"/>
  <c r="Y64" i="27" s="1"/>
  <c r="AA18" i="1"/>
  <c r="AA33" i="26" s="1"/>
  <c r="AA34" i="26" s="1"/>
  <c r="AA35" i="26" s="1"/>
  <c r="X20" i="27"/>
  <c r="W38" i="26"/>
  <c r="W39" i="26" s="1"/>
  <c r="X36" i="26" s="1"/>
  <c r="W37" i="26"/>
  <c r="AQ91" i="1"/>
  <c r="AQ92" i="1" s="1"/>
  <c r="AR89" i="1" s="1"/>
  <c r="AQ93" i="1"/>
  <c r="Z19" i="1"/>
  <c r="Z18" i="1"/>
  <c r="Z33" i="26" s="1"/>
  <c r="Z34" i="26" s="1"/>
  <c r="Z35" i="26" s="1"/>
  <c r="Y18" i="27"/>
  <c r="AJ51" i="1"/>
  <c r="AJ20" i="1" s="1"/>
  <c r="AJ19" i="1"/>
  <c r="Y19" i="27"/>
  <c r="AL49" i="1"/>
  <c r="AK50" i="1"/>
  <c r="AK18" i="1"/>
  <c r="AK33" i="26" s="1"/>
  <c r="AK34" i="26" s="1"/>
  <c r="AK35" i="26" s="1"/>
  <c r="AM39" i="1"/>
  <c r="AM40" i="1" s="1"/>
  <c r="AM41" i="1" s="1"/>
  <c r="AA20" i="22"/>
  <c r="AA21" i="22" s="1"/>
  <c r="AA22" i="22" s="1"/>
  <c r="Z20" i="1"/>
  <c r="Z70" i="27"/>
  <c r="Z19" i="27" s="1"/>
  <c r="AB13" i="22"/>
  <c r="AB14" i="22" s="1"/>
  <c r="AB15" i="22" s="1"/>
  <c r="AN39" i="1" s="1"/>
  <c r="AN40" i="1" s="1"/>
  <c r="AN41" i="1" s="1"/>
  <c r="Q10" i="1"/>
  <c r="Q12" i="1" s="1"/>
  <c r="Q13" i="1" s="1"/>
  <c r="Q52" i="1"/>
  <c r="Q53" i="1" s="1"/>
  <c r="Q54" i="1" s="1"/>
  <c r="AA71" i="1"/>
  <c r="AA20" i="1" s="1"/>
  <c r="AA19" i="1"/>
  <c r="P62" i="1"/>
  <c r="P63" i="1" s="1"/>
  <c r="P64" i="1" s="1"/>
  <c r="Q42" i="1"/>
  <c r="Q43" i="1" s="1"/>
  <c r="Q44" i="1" s="1"/>
  <c r="I72" i="1"/>
  <c r="H32" i="1" l="1"/>
  <c r="G24" i="1"/>
  <c r="AR80" i="1"/>
  <c r="AS79" i="1"/>
  <c r="AS81" i="1" s="1"/>
  <c r="AS82" i="1" s="1"/>
  <c r="Z62" i="27"/>
  <c r="Z63" i="27" s="1"/>
  <c r="Z64" i="27" s="1"/>
  <c r="Y53" i="27"/>
  <c r="Y54" i="27" s="1"/>
  <c r="Y20" i="27"/>
  <c r="X38" i="26"/>
  <c r="X39" i="26" s="1"/>
  <c r="Y36" i="26" s="1"/>
  <c r="AR91" i="1"/>
  <c r="AR92" i="1" s="1"/>
  <c r="AS89" i="1" s="1"/>
  <c r="AR93" i="1"/>
  <c r="AR90" i="1"/>
  <c r="AM49" i="1"/>
  <c r="Z71" i="27"/>
  <c r="AB20" i="22"/>
  <c r="AB21" i="22" s="1"/>
  <c r="AB22" i="22" s="1"/>
  <c r="AN49" i="1" s="1"/>
  <c r="AL50" i="1"/>
  <c r="AL18" i="1"/>
  <c r="AL33" i="26" s="1"/>
  <c r="AL34" i="26" s="1"/>
  <c r="AL35" i="26" s="1"/>
  <c r="AK51" i="1"/>
  <c r="AK20" i="1" s="1"/>
  <c r="AK19" i="1"/>
  <c r="R10" i="1"/>
  <c r="R12" i="1" s="1"/>
  <c r="R13" i="1" s="1"/>
  <c r="Q11" i="1"/>
  <c r="R52" i="1"/>
  <c r="R53" i="1" s="1"/>
  <c r="R54" i="1" s="1"/>
  <c r="N73" i="27"/>
  <c r="N74" i="27" s="1"/>
  <c r="O72" i="27" s="1"/>
  <c r="R42" i="1"/>
  <c r="R43" i="1" s="1"/>
  <c r="R44" i="1" s="1"/>
  <c r="Q62" i="1"/>
  <c r="Q63" i="1" s="1"/>
  <c r="Q64" i="1" s="1"/>
  <c r="I73" i="1"/>
  <c r="H33" i="1" l="1"/>
  <c r="H21" i="1"/>
  <c r="H22" i="1" s="1"/>
  <c r="AN50" i="1"/>
  <c r="AN18" i="1"/>
  <c r="AN33" i="26" s="1"/>
  <c r="AN34" i="26" s="1"/>
  <c r="AN35" i="26" s="1"/>
  <c r="AA62" i="27"/>
  <c r="AT79" i="1"/>
  <c r="AT81" i="1" s="1"/>
  <c r="AT82" i="1" s="1"/>
  <c r="AS80" i="1"/>
  <c r="Z20" i="27"/>
  <c r="Z43" i="27"/>
  <c r="Z44" i="27" s="1"/>
  <c r="Z52" i="27"/>
  <c r="X37" i="26"/>
  <c r="AS91" i="1"/>
  <c r="AS92" i="1" s="1"/>
  <c r="AT89" i="1" s="1"/>
  <c r="AS93" i="1"/>
  <c r="AS90" i="1"/>
  <c r="AM50" i="1"/>
  <c r="AM18" i="1"/>
  <c r="AM33" i="26" s="1"/>
  <c r="AM34" i="26" s="1"/>
  <c r="AM35" i="26" s="1"/>
  <c r="AL51" i="1"/>
  <c r="AL20" i="1" s="1"/>
  <c r="AL19" i="1"/>
  <c r="R11" i="1"/>
  <c r="S10" i="1"/>
  <c r="S12" i="1" s="1"/>
  <c r="S13" i="1" s="1"/>
  <c r="S52" i="1"/>
  <c r="S53" i="1" s="1"/>
  <c r="S54" i="1" s="1"/>
  <c r="R62" i="1"/>
  <c r="R63" i="1" s="1"/>
  <c r="R64" i="1" s="1"/>
  <c r="S42" i="1"/>
  <c r="S43" i="1" s="1"/>
  <c r="S44" i="1" s="1"/>
  <c r="I74" i="1"/>
  <c r="AT80" i="1" l="1"/>
  <c r="AN51" i="1"/>
  <c r="AN20" i="1" s="1"/>
  <c r="AN19" i="1"/>
  <c r="H34" i="1"/>
  <c r="H23" i="1"/>
  <c r="AA63" i="27"/>
  <c r="AA64" i="27" s="1"/>
  <c r="AB62" i="27" s="1"/>
  <c r="AB63" i="27" s="1"/>
  <c r="AB64" i="27" s="1"/>
  <c r="AC62" i="27" s="1"/>
  <c r="AC63" i="27" s="1"/>
  <c r="AC64" i="27" s="1"/>
  <c r="AD62" i="27" s="1"/>
  <c r="AD63" i="27" s="1"/>
  <c r="AU79" i="1"/>
  <c r="AU81" i="1" s="1"/>
  <c r="AU82" i="1" s="1"/>
  <c r="AA42" i="27"/>
  <c r="Z53" i="27"/>
  <c r="Z54" i="27" s="1"/>
  <c r="AT91" i="1"/>
  <c r="AT92" i="1" s="1"/>
  <c r="AU89" i="1" s="1"/>
  <c r="AT93" i="1"/>
  <c r="Y37" i="26"/>
  <c r="Y38" i="26"/>
  <c r="Y39" i="26" s="1"/>
  <c r="Z36" i="26" s="1"/>
  <c r="AT90" i="1"/>
  <c r="AM51" i="1"/>
  <c r="AM20" i="1" s="1"/>
  <c r="AM19" i="1"/>
  <c r="T10" i="1"/>
  <c r="T12" i="1" s="1"/>
  <c r="T13" i="1" s="1"/>
  <c r="S11" i="1"/>
  <c r="T52" i="1"/>
  <c r="T53" i="1" s="1"/>
  <c r="T54" i="1" s="1"/>
  <c r="T42" i="1"/>
  <c r="T43" i="1" s="1"/>
  <c r="T44" i="1" s="1"/>
  <c r="S62" i="1"/>
  <c r="S63" i="1" s="1"/>
  <c r="S64" i="1" s="1"/>
  <c r="J72" i="1"/>
  <c r="I32" i="1" l="1"/>
  <c r="H24" i="1"/>
  <c r="AA43" i="27"/>
  <c r="AA44" i="27" s="1"/>
  <c r="AB42" i="27" s="1"/>
  <c r="AB43" i="27" s="1"/>
  <c r="AB44" i="27" s="1"/>
  <c r="AU80" i="1"/>
  <c r="AV79" i="1"/>
  <c r="AV81" i="1" s="1"/>
  <c r="AV82" i="1" s="1"/>
  <c r="AA52" i="27"/>
  <c r="AD64" i="27"/>
  <c r="AE62" i="27" s="1"/>
  <c r="AE63" i="27" s="1"/>
  <c r="AU91" i="1"/>
  <c r="AU92" i="1" s="1"/>
  <c r="AV89" i="1" s="1"/>
  <c r="AV91" i="1" s="1"/>
  <c r="AV92" i="1" s="1"/>
  <c r="AW100" i="1" s="1"/>
  <c r="AU93" i="1"/>
  <c r="AU90" i="1"/>
  <c r="Z38" i="26"/>
  <c r="Z39" i="26" s="1"/>
  <c r="AA36" i="26" s="1"/>
  <c r="Z37" i="26"/>
  <c r="T11" i="1"/>
  <c r="U10" i="1"/>
  <c r="U12" i="1" s="1"/>
  <c r="U13" i="1" s="1"/>
  <c r="U52" i="1"/>
  <c r="U53" i="1" s="1"/>
  <c r="U54" i="1" s="1"/>
  <c r="O73" i="27"/>
  <c r="O74" i="27" s="1"/>
  <c r="P72" i="27" s="1"/>
  <c r="T62" i="1"/>
  <c r="T63" i="1" s="1"/>
  <c r="T64" i="1" s="1"/>
  <c r="U42" i="1"/>
  <c r="U43" i="1" s="1"/>
  <c r="U44" i="1" s="1"/>
  <c r="J73" i="1"/>
  <c r="I33" i="1" l="1"/>
  <c r="I21" i="1"/>
  <c r="I22" i="1" s="1"/>
  <c r="AW102" i="1"/>
  <c r="AW103" i="1" s="1"/>
  <c r="AX100" i="1"/>
  <c r="AX102" i="1" s="1"/>
  <c r="AX103" i="1" s="1"/>
  <c r="AY100" i="1" s="1"/>
  <c r="AY102" i="1" s="1"/>
  <c r="AY103" i="1" s="1"/>
  <c r="AZ100" i="1" s="1"/>
  <c r="AZ102" i="1" s="1"/>
  <c r="AZ103" i="1" s="1"/>
  <c r="BA100" i="1" s="1"/>
  <c r="BA102" i="1" s="1"/>
  <c r="BA103" i="1" s="1"/>
  <c r="BB100" i="1" s="1"/>
  <c r="BB102" i="1" s="1"/>
  <c r="BB103" i="1" s="1"/>
  <c r="BC100" i="1" s="1"/>
  <c r="BC102" i="1" s="1"/>
  <c r="BC103" i="1" s="1"/>
  <c r="BD100" i="1" s="1"/>
  <c r="BD102" i="1" s="1"/>
  <c r="BD103" i="1" s="1"/>
  <c r="BE100" i="1" s="1"/>
  <c r="BE102" i="1" s="1"/>
  <c r="BE103" i="1" s="1"/>
  <c r="AV90" i="1"/>
  <c r="AW101" i="1" s="1"/>
  <c r="AV93" i="1"/>
  <c r="AW95" i="1" s="1"/>
  <c r="AW104" i="1" s="1"/>
  <c r="AC42" i="27"/>
  <c r="AC43" i="27" s="1"/>
  <c r="AC44" i="27" s="1"/>
  <c r="AV80" i="1"/>
  <c r="AW79" i="1"/>
  <c r="AW81" i="1" s="1"/>
  <c r="AW82" i="1" s="1"/>
  <c r="AA53" i="27"/>
  <c r="AA54" i="27" s="1"/>
  <c r="AE64" i="27"/>
  <c r="AF62" i="27" s="1"/>
  <c r="AF63" i="27" s="1"/>
  <c r="AF64" i="27" s="1"/>
  <c r="AG62" i="27" s="1"/>
  <c r="AG63" i="27" s="1"/>
  <c r="AG64" i="27" s="1"/>
  <c r="AA38" i="26"/>
  <c r="AA39" i="26" s="1"/>
  <c r="AB36" i="26" s="1"/>
  <c r="U11" i="1"/>
  <c r="V10" i="1"/>
  <c r="V12" i="1" s="1"/>
  <c r="V13" i="1" s="1"/>
  <c r="V52" i="1"/>
  <c r="V53" i="1" s="1"/>
  <c r="V54" i="1" s="1"/>
  <c r="V42" i="1"/>
  <c r="V43" i="1" s="1"/>
  <c r="V44" i="1" s="1"/>
  <c r="U62" i="1"/>
  <c r="U63" i="1" s="1"/>
  <c r="U64" i="1" s="1"/>
  <c r="J74" i="1"/>
  <c r="I34" i="1" l="1"/>
  <c r="I23" i="1"/>
  <c r="AX104" i="1"/>
  <c r="AY104" i="1" s="1"/>
  <c r="AZ104" i="1" s="1"/>
  <c r="BA104" i="1" s="1"/>
  <c r="BB104" i="1" s="1"/>
  <c r="BC104" i="1" s="1"/>
  <c r="BD104" i="1" s="1"/>
  <c r="BE104" i="1" s="1"/>
  <c r="AX101" i="1"/>
  <c r="AY101" i="1" s="1"/>
  <c r="AZ101" i="1" s="1"/>
  <c r="BA101" i="1" s="1"/>
  <c r="BB101" i="1" s="1"/>
  <c r="BC101" i="1" s="1"/>
  <c r="BD101" i="1" s="1"/>
  <c r="BE101" i="1" s="1"/>
  <c r="BF100" i="1"/>
  <c r="BF102" i="1" s="1"/>
  <c r="BF103" i="1" s="1"/>
  <c r="BG100" i="1" s="1"/>
  <c r="BG102" i="1" s="1"/>
  <c r="BG103" i="1" s="1"/>
  <c r="BH100" i="1" s="1"/>
  <c r="BH102" i="1" s="1"/>
  <c r="BH103" i="1" s="1"/>
  <c r="BI100" i="1" s="1"/>
  <c r="BI102" i="1" s="1"/>
  <c r="BI103" i="1" s="1"/>
  <c r="BJ100" i="1" s="1"/>
  <c r="BJ102" i="1" s="1"/>
  <c r="BJ103" i="1" s="1"/>
  <c r="BK100" i="1" s="1"/>
  <c r="BK102" i="1" s="1"/>
  <c r="BK103" i="1" s="1"/>
  <c r="BL100" i="1" s="1"/>
  <c r="BL102" i="1" s="1"/>
  <c r="BL103" i="1" s="1"/>
  <c r="BM100" i="1" s="1"/>
  <c r="BM102" i="1" s="1"/>
  <c r="BM103" i="1" s="1"/>
  <c r="BN100" i="1" s="1"/>
  <c r="BN102" i="1" s="1"/>
  <c r="BN103" i="1" s="1"/>
  <c r="BO100" i="1" s="1"/>
  <c r="BO102" i="1" s="1"/>
  <c r="BO103" i="1" s="1"/>
  <c r="AH62" i="27"/>
  <c r="AH63" i="27" s="1"/>
  <c r="AH64" i="27" s="1"/>
  <c r="AD42" i="27"/>
  <c r="AD43" i="27" s="1"/>
  <c r="AD44" i="27" s="1"/>
  <c r="AB52" i="27"/>
  <c r="AW80" i="1"/>
  <c r="AX79" i="1"/>
  <c r="AX81" i="1" s="1"/>
  <c r="AX82" i="1" s="1"/>
  <c r="AB38" i="26"/>
  <c r="AB39" i="26" s="1"/>
  <c r="AC36" i="26" s="1"/>
  <c r="AA37" i="26"/>
  <c r="AB37" i="26" s="1"/>
  <c r="V11" i="1"/>
  <c r="W10" i="1"/>
  <c r="W12" i="1" s="1"/>
  <c r="W13" i="1" s="1"/>
  <c r="W52" i="1"/>
  <c r="W53" i="1" s="1"/>
  <c r="W54" i="1" s="1"/>
  <c r="V62" i="1"/>
  <c r="V63" i="1" s="1"/>
  <c r="V64" i="1" s="1"/>
  <c r="W42" i="1"/>
  <c r="W43" i="1" s="1"/>
  <c r="W44" i="1" s="1"/>
  <c r="K72" i="1"/>
  <c r="J32" i="1" l="1"/>
  <c r="I24" i="1"/>
  <c r="AB53" i="27"/>
  <c r="AB54" i="27" s="1"/>
  <c r="AC52" i="27" s="1"/>
  <c r="AC53" i="27" s="1"/>
  <c r="AC54" i="27" s="1"/>
  <c r="AI62" i="27"/>
  <c r="AI63" i="27" s="1"/>
  <c r="AI64" i="27" s="1"/>
  <c r="BP100" i="1"/>
  <c r="BP102" i="1" s="1"/>
  <c r="BP103" i="1" s="1"/>
  <c r="BF101" i="1"/>
  <c r="BG101" i="1" s="1"/>
  <c r="BH101" i="1" s="1"/>
  <c r="BI101" i="1" s="1"/>
  <c r="BJ101" i="1" s="1"/>
  <c r="BK101" i="1" s="1"/>
  <c r="BL101" i="1" s="1"/>
  <c r="BM101" i="1" s="1"/>
  <c r="BN101" i="1" s="1"/>
  <c r="BO101" i="1" s="1"/>
  <c r="BF104" i="1"/>
  <c r="BG104" i="1" s="1"/>
  <c r="BH104" i="1" s="1"/>
  <c r="BI104" i="1" s="1"/>
  <c r="BJ104" i="1" s="1"/>
  <c r="BK104" i="1" s="1"/>
  <c r="BL104" i="1" s="1"/>
  <c r="BM104" i="1" s="1"/>
  <c r="BN104" i="1" s="1"/>
  <c r="BO104" i="1" s="1"/>
  <c r="BP104" i="1" s="1"/>
  <c r="AE42" i="27"/>
  <c r="AE43" i="27" s="1"/>
  <c r="AE44" i="27" s="1"/>
  <c r="AF42" i="27" s="1"/>
  <c r="AF43" i="27" s="1"/>
  <c r="AF44" i="27" s="1"/>
  <c r="AG42" i="27" s="1"/>
  <c r="AG43" i="27" s="1"/>
  <c r="AG44" i="27" s="1"/>
  <c r="AY79" i="1"/>
  <c r="AY81" i="1" s="1"/>
  <c r="AY82" i="1" s="1"/>
  <c r="AX80" i="1"/>
  <c r="AC38" i="26"/>
  <c r="AC39" i="26" s="1"/>
  <c r="AD36" i="26" s="1"/>
  <c r="AC37" i="26"/>
  <c r="X10" i="1"/>
  <c r="X12" i="1" s="1"/>
  <c r="X13" i="1" s="1"/>
  <c r="Y10" i="1" s="1"/>
  <c r="Y12" i="1" s="1"/>
  <c r="Y13" i="1" s="1"/>
  <c r="W11" i="1"/>
  <c r="X52" i="1"/>
  <c r="X53" i="1" s="1"/>
  <c r="X54" i="1" s="1"/>
  <c r="P73" i="27"/>
  <c r="P74" i="27" s="1"/>
  <c r="Q72" i="27" s="1"/>
  <c r="X42" i="1"/>
  <c r="X43" i="1" s="1"/>
  <c r="X44" i="1" s="1"/>
  <c r="W62" i="1"/>
  <c r="W63" i="1" s="1"/>
  <c r="W64" i="1" s="1"/>
  <c r="K73" i="1"/>
  <c r="BP101" i="1" l="1"/>
  <c r="J33" i="1"/>
  <c r="J21" i="1"/>
  <c r="J22" i="1" s="1"/>
  <c r="AJ62" i="27"/>
  <c r="AJ63" i="27" s="1"/>
  <c r="AJ64" i="27" s="1"/>
  <c r="BQ100" i="1"/>
  <c r="BQ102" i="1" s="1"/>
  <c r="BQ103" i="1" s="1"/>
  <c r="BR100" i="1" s="1"/>
  <c r="BR102" i="1" s="1"/>
  <c r="BR103" i="1" s="1"/>
  <c r="BS100" i="1" s="1"/>
  <c r="AH42" i="27"/>
  <c r="AH43" i="27" s="1"/>
  <c r="AH44" i="27" s="1"/>
  <c r="AD52" i="27"/>
  <c r="AD53" i="27" s="1"/>
  <c r="AD54" i="27" s="1"/>
  <c r="AY80" i="1"/>
  <c r="AZ79" i="1"/>
  <c r="AZ81" i="1" s="1"/>
  <c r="AZ82" i="1" s="1"/>
  <c r="BA79" i="1" s="1"/>
  <c r="BA81" i="1" s="1"/>
  <c r="BA82" i="1" s="1"/>
  <c r="AD38" i="26"/>
  <c r="AD39" i="26" s="1"/>
  <c r="AE36" i="26" s="1"/>
  <c r="AD37" i="26"/>
  <c r="X11" i="1"/>
  <c r="Y11" i="1" s="1"/>
  <c r="Y52" i="1"/>
  <c r="Y53" i="1" s="1"/>
  <c r="Y54" i="1" s="1"/>
  <c r="X62" i="1"/>
  <c r="X63" i="1" s="1"/>
  <c r="X64" i="1" s="1"/>
  <c r="Y42" i="1"/>
  <c r="Y43" i="1" s="1"/>
  <c r="Y44" i="1" s="1"/>
  <c r="K74" i="1"/>
  <c r="J34" i="1" l="1"/>
  <c r="J23" i="1"/>
  <c r="AK62" i="27"/>
  <c r="AK63" i="27" s="1"/>
  <c r="AK64" i="27" s="1"/>
  <c r="AI42" i="27"/>
  <c r="AI43" i="27" s="1"/>
  <c r="AI44" i="27" s="1"/>
  <c r="BQ104" i="1"/>
  <c r="BR104" i="1" s="1"/>
  <c r="BS104" i="1" s="1"/>
  <c r="BQ101" i="1"/>
  <c r="BR101" i="1" s="1"/>
  <c r="BS101" i="1" s="1"/>
  <c r="BS102" i="1"/>
  <c r="BS103" i="1" s="1"/>
  <c r="AE52" i="27"/>
  <c r="AE53" i="27" s="1"/>
  <c r="AE54" i="27" s="1"/>
  <c r="AF52" i="27" s="1"/>
  <c r="AF53" i="27" s="1"/>
  <c r="AF54" i="27" s="1"/>
  <c r="BB79" i="1"/>
  <c r="BB81" i="1" s="1"/>
  <c r="BB82" i="1" s="1"/>
  <c r="AZ80" i="1"/>
  <c r="BA80" i="1" s="1"/>
  <c r="AE38" i="26"/>
  <c r="AE39" i="26" s="1"/>
  <c r="AF36" i="26" s="1"/>
  <c r="Z52" i="1"/>
  <c r="Z53" i="1" s="1"/>
  <c r="Z54" i="1" s="1"/>
  <c r="Z42" i="1"/>
  <c r="Z43" i="1" s="1"/>
  <c r="Z44" i="1" s="1"/>
  <c r="Y62" i="1"/>
  <c r="Y63" i="1" s="1"/>
  <c r="Y64" i="1" s="1"/>
  <c r="L72" i="1"/>
  <c r="BB80" i="1" l="1"/>
  <c r="K32" i="1"/>
  <c r="J24" i="1"/>
  <c r="AJ42" i="27"/>
  <c r="AJ43" i="27" s="1"/>
  <c r="AJ44" i="27" s="1"/>
  <c r="AL62" i="27"/>
  <c r="BT100" i="1"/>
  <c r="BT104" i="1" s="1"/>
  <c r="AG52" i="27"/>
  <c r="AG53" i="27" s="1"/>
  <c r="AG54" i="27" s="1"/>
  <c r="Z10" i="1"/>
  <c r="Z12" i="1" s="1"/>
  <c r="Z13" i="1" s="1"/>
  <c r="BC79" i="1"/>
  <c r="BC81" i="1" s="1"/>
  <c r="BC82" i="1" s="1"/>
  <c r="AF38" i="26"/>
  <c r="AF39" i="26" s="1"/>
  <c r="AG36" i="26" s="1"/>
  <c r="AE37" i="26"/>
  <c r="AF37" i="26" s="1"/>
  <c r="AA52" i="1"/>
  <c r="AA53" i="1" s="1"/>
  <c r="AA54" i="1" s="1"/>
  <c r="Q73" i="27"/>
  <c r="Q74" i="27" s="1"/>
  <c r="R72" i="27" s="1"/>
  <c r="Z62" i="1"/>
  <c r="Z63" i="1" s="1"/>
  <c r="Z64" i="1" s="1"/>
  <c r="AA42" i="1"/>
  <c r="AA43" i="1" s="1"/>
  <c r="AA44" i="1" s="1"/>
  <c r="L73" i="1"/>
  <c r="K33" i="1" l="1"/>
  <c r="K21" i="1"/>
  <c r="K22" i="1" s="1"/>
  <c r="AL63" i="27"/>
  <c r="AL64" i="27" s="1"/>
  <c r="AM62" i="27" s="1"/>
  <c r="AK42" i="27"/>
  <c r="AK43" i="27" s="1"/>
  <c r="AK44" i="27" s="1"/>
  <c r="BT102" i="1"/>
  <c r="BT103" i="1" s="1"/>
  <c r="BU100" i="1" s="1"/>
  <c r="BU102" i="1" s="1"/>
  <c r="BU103" i="1" s="1"/>
  <c r="BV100" i="1" s="1"/>
  <c r="BV102" i="1" s="1"/>
  <c r="BV103" i="1" s="1"/>
  <c r="BW100" i="1" s="1"/>
  <c r="BW102" i="1" s="1"/>
  <c r="BW103" i="1" s="1"/>
  <c r="AO89" i="27" s="1"/>
  <c r="BT101" i="1"/>
  <c r="AH52" i="27"/>
  <c r="AH53" i="27" s="1"/>
  <c r="AH54" i="27" s="1"/>
  <c r="AA10" i="1"/>
  <c r="AA12" i="1" s="1"/>
  <c r="AA13" i="1" s="1"/>
  <c r="AB10" i="1" s="1"/>
  <c r="AB12" i="1" s="1"/>
  <c r="AB13" i="1" s="1"/>
  <c r="Z11" i="1"/>
  <c r="BC80" i="1"/>
  <c r="BD79" i="1"/>
  <c r="BD81" i="1" s="1"/>
  <c r="BD82" i="1" s="1"/>
  <c r="AG38" i="26"/>
  <c r="AG39" i="26" s="1"/>
  <c r="AH36" i="26" s="1"/>
  <c r="AG37" i="26"/>
  <c r="AB52" i="1"/>
  <c r="AB53" i="1" s="1"/>
  <c r="AB54" i="1" s="1"/>
  <c r="AB42" i="1"/>
  <c r="AB43" i="1" s="1"/>
  <c r="AB44" i="1" s="1"/>
  <c r="AA62" i="1"/>
  <c r="AA63" i="1" s="1"/>
  <c r="AA64" i="1" s="1"/>
  <c r="L74" i="1"/>
  <c r="K34" i="1" l="1"/>
  <c r="K23" i="1"/>
  <c r="AA11" i="1"/>
  <c r="AO91" i="27"/>
  <c r="AO92" i="27" s="1"/>
  <c r="AO90" i="27"/>
  <c r="AO93" i="27"/>
  <c r="AM63" i="27"/>
  <c r="AM64" i="27" s="1"/>
  <c r="AN62" i="27" s="1"/>
  <c r="AN63" i="27" s="1"/>
  <c r="AN64" i="27" s="1"/>
  <c r="AL42" i="27"/>
  <c r="AI52" i="27"/>
  <c r="AI53" i="27" s="1"/>
  <c r="AI54" i="27" s="1"/>
  <c r="BX100" i="1"/>
  <c r="BX102" i="1" s="1"/>
  <c r="BX103" i="1" s="1"/>
  <c r="BY100" i="1" s="1"/>
  <c r="BY102" i="1" s="1"/>
  <c r="BY103" i="1" s="1"/>
  <c r="BZ100" i="1" s="1"/>
  <c r="BZ102" i="1" s="1"/>
  <c r="BZ103" i="1" s="1"/>
  <c r="CA100" i="1" s="1"/>
  <c r="CA102" i="1" s="1"/>
  <c r="CA103" i="1" s="1"/>
  <c r="CB100" i="1" s="1"/>
  <c r="CB102" i="1" s="1"/>
  <c r="CB103" i="1" s="1"/>
  <c r="CC100" i="1" s="1"/>
  <c r="CC102" i="1" s="1"/>
  <c r="CC103" i="1" s="1"/>
  <c r="CD100" i="1" s="1"/>
  <c r="CD102" i="1" s="1"/>
  <c r="CD103" i="1" s="1"/>
  <c r="CE100" i="1" s="1"/>
  <c r="CE102" i="1" s="1"/>
  <c r="CE103" i="1" s="1"/>
  <c r="CF100" i="1" s="1"/>
  <c r="CF102" i="1" s="1"/>
  <c r="CF103" i="1" s="1"/>
  <c r="CG100" i="1" s="1"/>
  <c r="CG102" i="1" s="1"/>
  <c r="CG103" i="1" s="1"/>
  <c r="CH100" i="1" s="1"/>
  <c r="CH102" i="1" s="1"/>
  <c r="CH103" i="1" s="1"/>
  <c r="CI100" i="1" s="1"/>
  <c r="CI102" i="1" s="1"/>
  <c r="CI103" i="1" s="1"/>
  <c r="CJ100" i="1" s="1"/>
  <c r="CJ102" i="1" s="1"/>
  <c r="CJ103" i="1" s="1"/>
  <c r="CK100" i="1" s="1"/>
  <c r="CK102" i="1" s="1"/>
  <c r="CK103" i="1" s="1"/>
  <c r="CL100" i="1" s="1"/>
  <c r="CL102" i="1" s="1"/>
  <c r="CL103" i="1" s="1"/>
  <c r="CM100" i="1" s="1"/>
  <c r="CM102" i="1" s="1"/>
  <c r="CM103" i="1" s="1"/>
  <c r="CN100" i="1" s="1"/>
  <c r="CN102" i="1" s="1"/>
  <c r="CN103" i="1" s="1"/>
  <c r="CO100" i="1" s="1"/>
  <c r="CO102" i="1" s="1"/>
  <c r="CO103" i="1" s="1"/>
  <c r="CP100" i="1" s="1"/>
  <c r="CP102" i="1" s="1"/>
  <c r="CP103" i="1" s="1"/>
  <c r="CQ100" i="1" s="1"/>
  <c r="CQ102" i="1" s="1"/>
  <c r="CQ103" i="1" s="1"/>
  <c r="CR100" i="1" s="1"/>
  <c r="CR102" i="1" s="1"/>
  <c r="CR103" i="1" s="1"/>
  <c r="CS100" i="1" s="1"/>
  <c r="CS102" i="1" s="1"/>
  <c r="CS103" i="1" s="1"/>
  <c r="CT100" i="1" s="1"/>
  <c r="CT102" i="1" s="1"/>
  <c r="CT103" i="1" s="1"/>
  <c r="CU100" i="1" s="1"/>
  <c r="CU102" i="1" s="1"/>
  <c r="CU103" i="1" s="1"/>
  <c r="BU104" i="1"/>
  <c r="BV104" i="1" s="1"/>
  <c r="BW104" i="1" s="1"/>
  <c r="BU101" i="1"/>
  <c r="BV101" i="1" s="1"/>
  <c r="BW101" i="1" s="1"/>
  <c r="EB102" i="26" s="1"/>
  <c r="EC102" i="26" s="1"/>
  <c r="AZ84" i="27" s="1"/>
  <c r="BD80" i="1"/>
  <c r="BE79" i="1"/>
  <c r="BE81" i="1" s="1"/>
  <c r="BE82" i="1" s="1"/>
  <c r="AH38" i="26"/>
  <c r="AH39" i="26" s="1"/>
  <c r="AI36" i="26" s="1"/>
  <c r="AB11" i="1"/>
  <c r="AC10" i="1"/>
  <c r="AC12" i="1" s="1"/>
  <c r="AC13" i="1" s="1"/>
  <c r="AC52" i="1"/>
  <c r="AC53" i="1" s="1"/>
  <c r="AC54" i="1" s="1"/>
  <c r="AB62" i="1"/>
  <c r="AB63" i="1" s="1"/>
  <c r="AB64" i="1" s="1"/>
  <c r="AC42" i="1"/>
  <c r="AC43" i="1" s="1"/>
  <c r="AC44" i="1" s="1"/>
  <c r="M72" i="1"/>
  <c r="L32" i="1" l="1"/>
  <c r="K24" i="1"/>
  <c r="BX101" i="1"/>
  <c r="BY101" i="1" s="1"/>
  <c r="BZ101" i="1" s="1"/>
  <c r="CA101" i="1" s="1"/>
  <c r="CB101" i="1" s="1"/>
  <c r="CC101" i="1" s="1"/>
  <c r="CD101" i="1" s="1"/>
  <c r="CE101" i="1" s="1"/>
  <c r="CF101" i="1" s="1"/>
  <c r="CG101" i="1" s="1"/>
  <c r="CH101" i="1" s="1"/>
  <c r="CI101" i="1" s="1"/>
  <c r="CJ101" i="1" s="1"/>
  <c r="CK101" i="1" s="1"/>
  <c r="CL101" i="1" s="1"/>
  <c r="CM101" i="1" s="1"/>
  <c r="CN101" i="1" s="1"/>
  <c r="CO101" i="1" s="1"/>
  <c r="CP101" i="1" s="1"/>
  <c r="CQ101" i="1" s="1"/>
  <c r="CR101" i="1" s="1"/>
  <c r="CS101" i="1" s="1"/>
  <c r="CT101" i="1" s="1"/>
  <c r="CU101" i="1" s="1"/>
  <c r="AL43" i="27"/>
  <c r="AL44" i="27" s="1"/>
  <c r="AM42" i="27" s="1"/>
  <c r="AM43" i="27" s="1"/>
  <c r="AM44" i="27" s="1"/>
  <c r="AJ52" i="27"/>
  <c r="AJ53" i="27" s="1"/>
  <c r="AJ54" i="27" s="1"/>
  <c r="AO62" i="27"/>
  <c r="AO63" i="27" s="1"/>
  <c r="AO64" i="27" s="1"/>
  <c r="AP89" i="27"/>
  <c r="BE80" i="1"/>
  <c r="BF79" i="1"/>
  <c r="BF81" i="1" s="1"/>
  <c r="BF82" i="1" s="1"/>
  <c r="AH37" i="26"/>
  <c r="AI38" i="26"/>
  <c r="AI39" i="26" s="1"/>
  <c r="AJ36" i="26" s="1"/>
  <c r="AD10" i="1"/>
  <c r="AD12" i="1" s="1"/>
  <c r="AD13" i="1" s="1"/>
  <c r="AC11" i="1"/>
  <c r="AD52" i="1"/>
  <c r="AD53" i="1" s="1"/>
  <c r="AD54" i="1" s="1"/>
  <c r="R73" i="27"/>
  <c r="R74" i="27" s="1"/>
  <c r="S72" i="27" s="1"/>
  <c r="AC62" i="1"/>
  <c r="AC63" i="1" s="1"/>
  <c r="AC64" i="1" s="1"/>
  <c r="AD42" i="1"/>
  <c r="AD43" i="1" s="1"/>
  <c r="AD44" i="1" s="1"/>
  <c r="M73" i="1"/>
  <c r="L33" i="1" l="1"/>
  <c r="L21" i="1"/>
  <c r="L22" i="1" s="1"/>
  <c r="AK52" i="27"/>
  <c r="AK53" i="27" s="1"/>
  <c r="AK54" i="27" s="1"/>
  <c r="AP62" i="27"/>
  <c r="AP63" i="27" s="1"/>
  <c r="AP64" i="27" s="1"/>
  <c r="AN42" i="27"/>
  <c r="AN43" i="27" s="1"/>
  <c r="AN44" i="27" s="1"/>
  <c r="AP91" i="27"/>
  <c r="AP92" i="27" s="1"/>
  <c r="AQ89" i="27" s="1"/>
  <c r="AQ91" i="27" s="1"/>
  <c r="AQ92" i="27" s="1"/>
  <c r="AR89" i="27" s="1"/>
  <c r="AR91" i="27" s="1"/>
  <c r="AR92" i="27" s="1"/>
  <c r="AS89" i="27" s="1"/>
  <c r="AS91" i="27" s="1"/>
  <c r="AS92" i="27" s="1"/>
  <c r="AT89" i="27" s="1"/>
  <c r="AT91" i="27" s="1"/>
  <c r="AT92" i="27" s="1"/>
  <c r="AU89" i="27" s="1"/>
  <c r="AU91" i="27" s="1"/>
  <c r="AU92" i="27" s="1"/>
  <c r="AP93" i="27"/>
  <c r="AP90" i="27"/>
  <c r="BF80" i="1"/>
  <c r="BG79" i="1"/>
  <c r="BG81" i="1" s="1"/>
  <c r="BG82" i="1" s="1"/>
  <c r="AJ38" i="26"/>
  <c r="AJ39" i="26" s="1"/>
  <c r="AK36" i="26" s="1"/>
  <c r="AI37" i="26"/>
  <c r="AJ37" i="26" s="1"/>
  <c r="AD11" i="1"/>
  <c r="AE10" i="1"/>
  <c r="AE12" i="1" s="1"/>
  <c r="AE13" i="1" s="1"/>
  <c r="AE52" i="1"/>
  <c r="AE53" i="1" s="1"/>
  <c r="AE54" i="1" s="1"/>
  <c r="AE42" i="1"/>
  <c r="AE43" i="1" s="1"/>
  <c r="AE44" i="1" s="1"/>
  <c r="AD62" i="1"/>
  <c r="AD63" i="1" s="1"/>
  <c r="AD64" i="1" s="1"/>
  <c r="M74" i="1"/>
  <c r="L34" i="1" l="1"/>
  <c r="L23" i="1"/>
  <c r="AQ62" i="27"/>
  <c r="AQ63" i="27" s="1"/>
  <c r="AQ64" i="27" s="1"/>
  <c r="AO42" i="27"/>
  <c r="AO43" i="27" s="1"/>
  <c r="AO44" i="27" s="1"/>
  <c r="AL52" i="27"/>
  <c r="AQ93" i="27"/>
  <c r="AR93" i="27" s="1"/>
  <c r="AS93" i="27" s="1"/>
  <c r="AT93" i="27" s="1"/>
  <c r="AU93" i="27" s="1"/>
  <c r="AQ90" i="27"/>
  <c r="AR90" i="27" s="1"/>
  <c r="AS90" i="27" s="1"/>
  <c r="AT90" i="27" s="1"/>
  <c r="AU90" i="27" s="1"/>
  <c r="BG80" i="1"/>
  <c r="BH79" i="1"/>
  <c r="BH81" i="1" s="1"/>
  <c r="BH82" i="1" s="1"/>
  <c r="AK38" i="26"/>
  <c r="AK39" i="26" s="1"/>
  <c r="AL36" i="26" s="1"/>
  <c r="AE11" i="1"/>
  <c r="AF10" i="1"/>
  <c r="AF12" i="1" s="1"/>
  <c r="AF13" i="1" s="1"/>
  <c r="AF52" i="1"/>
  <c r="AF53" i="1" s="1"/>
  <c r="AF54" i="1" s="1"/>
  <c r="AE62" i="1"/>
  <c r="AE63" i="1" s="1"/>
  <c r="AE64" i="1" s="1"/>
  <c r="AF42" i="1"/>
  <c r="AF43" i="1" s="1"/>
  <c r="AF44" i="1" s="1"/>
  <c r="AG42" i="1" s="1"/>
  <c r="AG43" i="1" s="1"/>
  <c r="N72" i="1"/>
  <c r="M32" i="1" l="1"/>
  <c r="L24" i="1"/>
  <c r="AL53" i="27"/>
  <c r="AL54" i="27" s="1"/>
  <c r="AM52" i="27" s="1"/>
  <c r="AM53" i="27" s="1"/>
  <c r="AM54" i="27" s="1"/>
  <c r="AP42" i="27"/>
  <c r="AP43" i="27" s="1"/>
  <c r="AP44" i="27" s="1"/>
  <c r="AR62" i="27"/>
  <c r="AR63" i="27" s="1"/>
  <c r="AR64" i="27" s="1"/>
  <c r="BH80" i="1"/>
  <c r="BI79" i="1"/>
  <c r="BI81" i="1" s="1"/>
  <c r="BI82" i="1" s="1"/>
  <c r="AL38" i="26"/>
  <c r="AL39" i="26" s="1"/>
  <c r="AM36" i="26" s="1"/>
  <c r="AK37" i="26"/>
  <c r="AL37" i="26" s="1"/>
  <c r="AF11" i="1"/>
  <c r="AG10" i="1"/>
  <c r="AG12" i="1" s="1"/>
  <c r="AG13" i="1" s="1"/>
  <c r="AG52" i="1"/>
  <c r="AG53" i="1" s="1"/>
  <c r="AG54" i="1" s="1"/>
  <c r="S73" i="27"/>
  <c r="S74" i="27" s="1"/>
  <c r="T72" i="27" s="1"/>
  <c r="AG44" i="1"/>
  <c r="AH42" i="1" s="1"/>
  <c r="AH43" i="1" s="1"/>
  <c r="AF62" i="1"/>
  <c r="AF63" i="1" s="1"/>
  <c r="AF64" i="1" s="1"/>
  <c r="AG62" i="1" s="1"/>
  <c r="AG63" i="1" s="1"/>
  <c r="N73" i="1"/>
  <c r="M33" i="1" l="1"/>
  <c r="M21" i="1"/>
  <c r="M22" i="1" s="1"/>
  <c r="AN52" i="27"/>
  <c r="AN53" i="27" s="1"/>
  <c r="AN54" i="27" s="1"/>
  <c r="AS62" i="27"/>
  <c r="AS63" i="27" s="1"/>
  <c r="AS64" i="27" s="1"/>
  <c r="AQ42" i="27"/>
  <c r="AQ43" i="27" s="1"/>
  <c r="AQ44" i="27" s="1"/>
  <c r="AV89" i="27"/>
  <c r="AV93" i="27" s="1"/>
  <c r="BJ79" i="1"/>
  <c r="BI80" i="1"/>
  <c r="AM38" i="26"/>
  <c r="AM39" i="26" s="1"/>
  <c r="AN36" i="26" s="1"/>
  <c r="AG11" i="1"/>
  <c r="AH10" i="1"/>
  <c r="AH12" i="1" s="1"/>
  <c r="AH13" i="1" s="1"/>
  <c r="AH52" i="1"/>
  <c r="AH53" i="1" s="1"/>
  <c r="AH54" i="1" s="1"/>
  <c r="AG64" i="1"/>
  <c r="AH62" i="1" s="1"/>
  <c r="AH63" i="1" s="1"/>
  <c r="AH44" i="1"/>
  <c r="AI42" i="1" s="1"/>
  <c r="AI43" i="1" s="1"/>
  <c r="N74" i="1"/>
  <c r="M34" i="1" l="1"/>
  <c r="M23" i="1"/>
  <c r="AT62" i="27"/>
  <c r="AT63" i="27" s="1"/>
  <c r="AT64" i="27" s="1"/>
  <c r="AR42" i="27"/>
  <c r="AR43" i="27" s="1"/>
  <c r="AR44" i="27" s="1"/>
  <c r="AO52" i="27"/>
  <c r="AO53" i="27" s="1"/>
  <c r="AO54" i="27" s="1"/>
  <c r="AV90" i="27"/>
  <c r="AV91" i="27"/>
  <c r="AV92" i="27" s="1"/>
  <c r="AW89" i="27" s="1"/>
  <c r="AW91" i="27" s="1"/>
  <c r="AW92" i="27" s="1"/>
  <c r="BJ80" i="1"/>
  <c r="BJ81" i="1"/>
  <c r="AN38" i="26"/>
  <c r="AN39" i="26" s="1"/>
  <c r="AO36" i="26" s="1"/>
  <c r="AM37" i="26"/>
  <c r="AH11" i="1"/>
  <c r="AI10" i="1"/>
  <c r="AI12" i="1" s="1"/>
  <c r="AI13" i="1" s="1"/>
  <c r="AI52" i="1"/>
  <c r="AI53" i="1" s="1"/>
  <c r="AI44" i="1"/>
  <c r="AJ42" i="1" s="1"/>
  <c r="AJ43" i="1" s="1"/>
  <c r="AH64" i="1"/>
  <c r="AI62" i="1" s="1"/>
  <c r="AI63" i="1" s="1"/>
  <c r="O72" i="1"/>
  <c r="N32" i="1" l="1"/>
  <c r="M24" i="1"/>
  <c r="AW90" i="27"/>
  <c r="AW93" i="27"/>
  <c r="AX89" i="27"/>
  <c r="AS42" i="27"/>
  <c r="AS43" i="27" s="1"/>
  <c r="AS44" i="27" s="1"/>
  <c r="AP52" i="27"/>
  <c r="AP53" i="27" s="1"/>
  <c r="AP54" i="27" s="1"/>
  <c r="AU62" i="27"/>
  <c r="AU63" i="27" s="1"/>
  <c r="AU64" i="27" s="1"/>
  <c r="BJ82" i="1"/>
  <c r="BK79" i="1" s="1"/>
  <c r="AO38" i="26"/>
  <c r="AO39" i="26" s="1"/>
  <c r="AP36" i="26" s="1"/>
  <c r="AN37" i="26"/>
  <c r="AO37" i="26" s="1"/>
  <c r="AJ10" i="1"/>
  <c r="AJ12" i="1" s="1"/>
  <c r="AJ13" i="1" s="1"/>
  <c r="AI11" i="1"/>
  <c r="AI54" i="1"/>
  <c r="T73" i="27"/>
  <c r="T74" i="27" s="1"/>
  <c r="U72" i="27" s="1"/>
  <c r="AI64" i="1"/>
  <c r="AJ62" i="1" s="1"/>
  <c r="AJ63" i="1" s="1"/>
  <c r="AJ44" i="1"/>
  <c r="AK42" i="1" s="1"/>
  <c r="AK43" i="1" s="1"/>
  <c r="O73" i="1"/>
  <c r="N33" i="1" l="1"/>
  <c r="N21" i="1"/>
  <c r="N22" i="1" s="1"/>
  <c r="AX91" i="27"/>
  <c r="AX92" i="27" s="1"/>
  <c r="AY89" i="27" s="1"/>
  <c r="AY91" i="27" s="1"/>
  <c r="AX93" i="27"/>
  <c r="AX90" i="27"/>
  <c r="AY90" i="27" s="1"/>
  <c r="AV62" i="27"/>
  <c r="AQ52" i="27"/>
  <c r="AQ53" i="27" s="1"/>
  <c r="AQ54" i="27" s="1"/>
  <c r="AT42" i="27"/>
  <c r="AT43" i="27" s="1"/>
  <c r="AT44" i="27" s="1"/>
  <c r="BK80" i="1"/>
  <c r="BK81" i="1"/>
  <c r="BK82" i="1" s="1"/>
  <c r="BL79" i="1" s="1"/>
  <c r="BL81" i="1" s="1"/>
  <c r="BL82" i="1" s="1"/>
  <c r="BM79" i="1" s="1"/>
  <c r="AP38" i="26"/>
  <c r="AP39" i="26" s="1"/>
  <c r="AQ36" i="26" s="1"/>
  <c r="AP37" i="26"/>
  <c r="AJ11" i="1"/>
  <c r="AK10" i="1"/>
  <c r="AK12" i="1" s="1"/>
  <c r="AK13" i="1" s="1"/>
  <c r="AJ52" i="1"/>
  <c r="AJ53" i="1" s="1"/>
  <c r="AJ54" i="1" s="1"/>
  <c r="AK44" i="1"/>
  <c r="AL42" i="1" s="1"/>
  <c r="AL43" i="1" s="1"/>
  <c r="AJ64" i="1"/>
  <c r="AK62" i="1" s="1"/>
  <c r="AK63" i="1" s="1"/>
  <c r="O74" i="1"/>
  <c r="AY93" i="27" l="1"/>
  <c r="DY90" i="29"/>
  <c r="N34" i="1"/>
  <c r="N23" i="1"/>
  <c r="AY92" i="27"/>
  <c r="AZ89" i="27" s="1"/>
  <c r="AZ91" i="27" s="1"/>
  <c r="AZ92" i="27" s="1"/>
  <c r="BA89" i="27" s="1"/>
  <c r="BA91" i="27" s="1"/>
  <c r="BA92" i="27" s="1"/>
  <c r="BB89" i="27" s="1"/>
  <c r="BB91" i="27" s="1"/>
  <c r="BB92" i="27" s="1"/>
  <c r="BC89" i="27" s="1"/>
  <c r="BC91" i="27" s="1"/>
  <c r="BC92" i="27" s="1"/>
  <c r="DZ90" i="29"/>
  <c r="AV63" i="27"/>
  <c r="AV64" i="27" s="1"/>
  <c r="AU42" i="27"/>
  <c r="AU43" i="27" s="1"/>
  <c r="AU44" i="27" s="1"/>
  <c r="AR52" i="27"/>
  <c r="AR53" i="27" s="1"/>
  <c r="AR54" i="27" s="1"/>
  <c r="BM81" i="1"/>
  <c r="BL80" i="1"/>
  <c r="BM80" i="1" s="1"/>
  <c r="AQ38" i="26"/>
  <c r="AQ39" i="26" s="1"/>
  <c r="AR36" i="26" s="1"/>
  <c r="AQ37" i="26"/>
  <c r="AL10" i="1"/>
  <c r="AL12" i="1" s="1"/>
  <c r="AL13" i="1" s="1"/>
  <c r="AK11" i="1"/>
  <c r="AK52" i="1"/>
  <c r="AK53" i="1" s="1"/>
  <c r="AK54" i="1" s="1"/>
  <c r="AK64" i="1"/>
  <c r="AL62" i="1" s="1"/>
  <c r="AL63" i="1" s="1"/>
  <c r="AL44" i="1"/>
  <c r="AM42" i="1" s="1"/>
  <c r="AM43" i="1" s="1"/>
  <c r="P72" i="1"/>
  <c r="BD89" i="27" l="1"/>
  <c r="BD91" i="27" s="1"/>
  <c r="BD92" i="27" s="1"/>
  <c r="BE89" i="27" s="1"/>
  <c r="BE91" i="27" s="1"/>
  <c r="BE92" i="27" s="1"/>
  <c r="BF89" i="27" s="1"/>
  <c r="BF91" i="27" s="1"/>
  <c r="BF92" i="27" s="1"/>
  <c r="BG89" i="27" s="1"/>
  <c r="BG91" i="27" s="1"/>
  <c r="BG92" i="27" s="1"/>
  <c r="BH89" i="27" s="1"/>
  <c r="BH91" i="27" s="1"/>
  <c r="BH92" i="27" s="1"/>
  <c r="BI89" i="27" s="1"/>
  <c r="BI91" i="27" s="1"/>
  <c r="BI92" i="27" s="1"/>
  <c r="O32" i="1"/>
  <c r="N24" i="1"/>
  <c r="AZ90" i="27"/>
  <c r="BA90" i="27" s="1"/>
  <c r="BB90" i="27" s="1"/>
  <c r="BC90" i="27" s="1"/>
  <c r="AZ93" i="27"/>
  <c r="BA93" i="27" s="1"/>
  <c r="BB93" i="27" s="1"/>
  <c r="BC93" i="27" s="1"/>
  <c r="AW62" i="27"/>
  <c r="AW63" i="27" s="1"/>
  <c r="AW64" i="27" s="1"/>
  <c r="AS52" i="27"/>
  <c r="AS53" i="27" s="1"/>
  <c r="AS54" i="27" s="1"/>
  <c r="AV42" i="27"/>
  <c r="BM82" i="1"/>
  <c r="BN79" i="1" s="1"/>
  <c r="BN81" i="1" s="1"/>
  <c r="BN82" i="1" s="1"/>
  <c r="BO79" i="1" s="1"/>
  <c r="BO81" i="1" s="1"/>
  <c r="BO82" i="1" s="1"/>
  <c r="BP79" i="1" s="1"/>
  <c r="BP81" i="1" s="1"/>
  <c r="BP82" i="1" s="1"/>
  <c r="BQ79" i="1" s="1"/>
  <c r="BQ81" i="1" s="1"/>
  <c r="BQ82" i="1" s="1"/>
  <c r="BR79" i="1" s="1"/>
  <c r="BR81" i="1" s="1"/>
  <c r="BR82" i="1" s="1"/>
  <c r="BS79" i="1" s="1"/>
  <c r="BS81" i="1" s="1"/>
  <c r="BS82" i="1" s="1"/>
  <c r="AR38" i="26"/>
  <c r="AR39" i="26" s="1"/>
  <c r="AR37" i="26"/>
  <c r="AL11" i="1"/>
  <c r="AM10" i="1"/>
  <c r="AM12" i="1" s="1"/>
  <c r="AM13" i="1" s="1"/>
  <c r="AL52" i="1"/>
  <c r="AL53" i="1" s="1"/>
  <c r="AL54" i="1" s="1"/>
  <c r="AM52" i="1" s="1"/>
  <c r="U73" i="27"/>
  <c r="U74" i="27" s="1"/>
  <c r="V72" i="27" s="1"/>
  <c r="AM44" i="1"/>
  <c r="AN42" i="1" s="1"/>
  <c r="AN43" i="1" s="1"/>
  <c r="AN44" i="1" s="1"/>
  <c r="AL64" i="1"/>
  <c r="AM62" i="1" s="1"/>
  <c r="AM63" i="1" s="1"/>
  <c r="P73" i="1"/>
  <c r="BD90" i="27" l="1"/>
  <c r="BE90" i="27" s="1"/>
  <c r="BF90" i="27" s="1"/>
  <c r="BG90" i="27" s="1"/>
  <c r="BH90" i="27" s="1"/>
  <c r="BI90" i="27" s="1"/>
  <c r="BD93" i="27"/>
  <c r="BE93" i="27" s="1"/>
  <c r="O33" i="1"/>
  <c r="O21" i="1"/>
  <c r="O22" i="1" s="1"/>
  <c r="AX62" i="27"/>
  <c r="AX63" i="27" s="1"/>
  <c r="AX64" i="27" s="1"/>
  <c r="AY62" i="27" s="1"/>
  <c r="AV43" i="27"/>
  <c r="AV44" i="27" s="1"/>
  <c r="AT52" i="27"/>
  <c r="AT53" i="27" s="1"/>
  <c r="AT54" i="27" s="1"/>
  <c r="BT79" i="1"/>
  <c r="BT81" i="1" s="1"/>
  <c r="BT82" i="1" s="1"/>
  <c r="BN80" i="1"/>
  <c r="BO80" i="1" s="1"/>
  <c r="BP80" i="1" s="1"/>
  <c r="BQ80" i="1" s="1"/>
  <c r="BR80" i="1" s="1"/>
  <c r="BS80" i="1" s="1"/>
  <c r="AO42" i="1"/>
  <c r="AM53" i="1"/>
  <c r="AN10" i="1"/>
  <c r="AN12" i="1" s="1"/>
  <c r="AN13" i="1" s="1"/>
  <c r="AM11" i="1"/>
  <c r="AM64" i="1"/>
  <c r="AN62" i="1" s="1"/>
  <c r="AN63" i="1" s="1"/>
  <c r="AN64" i="1" s="1"/>
  <c r="AO62" i="1" s="1"/>
  <c r="AO63" i="1" s="1"/>
  <c r="AO64" i="1" s="1"/>
  <c r="P74" i="1"/>
  <c r="BT80" i="1" l="1"/>
  <c r="BF93" i="27"/>
  <c r="BG93" i="27" s="1"/>
  <c r="BH93" i="27" s="1"/>
  <c r="BI93" i="27" s="1"/>
  <c r="O34" i="1"/>
  <c r="O23" i="1"/>
  <c r="BU79" i="1"/>
  <c r="BU81" i="1" s="1"/>
  <c r="BU82" i="1" s="1"/>
  <c r="AW42" i="27"/>
  <c r="AW43" i="27" s="1"/>
  <c r="AW44" i="27" s="1"/>
  <c r="AU52" i="27"/>
  <c r="AU53" i="27" s="1"/>
  <c r="AU54" i="27" s="1"/>
  <c r="AP62" i="1"/>
  <c r="AP63" i="1" s="1"/>
  <c r="AP64" i="1" s="1"/>
  <c r="AO43" i="1"/>
  <c r="AM54" i="1"/>
  <c r="AN52" i="1" s="1"/>
  <c r="AN11" i="1"/>
  <c r="AO10" i="1"/>
  <c r="Q72" i="1"/>
  <c r="P32" i="1" l="1"/>
  <c r="O24" i="1"/>
  <c r="AY63" i="27"/>
  <c r="AY64" i="27" s="1"/>
  <c r="DY62" i="29"/>
  <c r="DZ62" i="29" s="1"/>
  <c r="AZ56" i="27" s="1"/>
  <c r="BV79" i="1"/>
  <c r="BV81" i="1" s="1"/>
  <c r="BV82" i="1" s="1"/>
  <c r="BU80" i="1"/>
  <c r="AX42" i="27"/>
  <c r="AX43" i="27" s="1"/>
  <c r="AX44" i="27" s="1"/>
  <c r="AV52" i="27"/>
  <c r="AO12" i="1"/>
  <c r="AO13" i="1" s="1"/>
  <c r="AP10" i="1" s="1"/>
  <c r="AP12" i="1" s="1"/>
  <c r="AP13" i="1" s="1"/>
  <c r="AQ62" i="1"/>
  <c r="AQ63" i="1" s="1"/>
  <c r="AQ64" i="1" s="1"/>
  <c r="AO44" i="1"/>
  <c r="AN53" i="1"/>
  <c r="AO11" i="1"/>
  <c r="V73" i="27"/>
  <c r="V74" i="27" s="1"/>
  <c r="W72" i="27" s="1"/>
  <c r="Q73" i="1"/>
  <c r="BV80" i="1" l="1"/>
  <c r="AZ62" i="27"/>
  <c r="AZ63" i="27" s="1"/>
  <c r="AZ64" i="27" s="1"/>
  <c r="P33" i="1"/>
  <c r="P21" i="1"/>
  <c r="P22" i="1" s="1"/>
  <c r="BW79" i="1"/>
  <c r="BW81" i="1" s="1"/>
  <c r="BW82" i="1" s="1"/>
  <c r="BX82" i="1" s="1"/>
  <c r="BY82" i="1" s="1"/>
  <c r="BZ82" i="1" s="1"/>
  <c r="CA82" i="1" s="1"/>
  <c r="CB82" i="1" s="1"/>
  <c r="CC82" i="1" s="1"/>
  <c r="CD82" i="1" s="1"/>
  <c r="CE82" i="1" s="1"/>
  <c r="CF82" i="1" s="1"/>
  <c r="CG82" i="1" s="1"/>
  <c r="CH82" i="1" s="1"/>
  <c r="CI82" i="1" s="1"/>
  <c r="CJ82" i="1" s="1"/>
  <c r="CK82" i="1" s="1"/>
  <c r="CL82" i="1" s="1"/>
  <c r="CM82" i="1" s="1"/>
  <c r="CN82" i="1" s="1"/>
  <c r="CO82" i="1" s="1"/>
  <c r="CP82" i="1" s="1"/>
  <c r="CQ82" i="1" s="1"/>
  <c r="CR82" i="1" s="1"/>
  <c r="CS82" i="1" s="1"/>
  <c r="CT82" i="1" s="1"/>
  <c r="CU82" i="1" s="1"/>
  <c r="AY42" i="27"/>
  <c r="AV53" i="27"/>
  <c r="AV54" i="27" s="1"/>
  <c r="AR62" i="1"/>
  <c r="AR63" i="1" s="1"/>
  <c r="AR64" i="1" s="1"/>
  <c r="AP42" i="1"/>
  <c r="AN54" i="1"/>
  <c r="AO52" i="1" s="1"/>
  <c r="AP11" i="1"/>
  <c r="AQ10" i="1"/>
  <c r="AQ12" i="1" s="1"/>
  <c r="AQ13" i="1" s="1"/>
  <c r="Q74" i="1"/>
  <c r="BW80" i="1" l="1"/>
  <c r="P34" i="1"/>
  <c r="P23" i="1"/>
  <c r="BA62" i="27"/>
  <c r="BA63" i="27" s="1"/>
  <c r="BA64" i="27" s="1"/>
  <c r="BB62" i="27" s="1"/>
  <c r="BB63" i="27" s="1"/>
  <c r="BB64" i="27" s="1"/>
  <c r="BC62" i="27" s="1"/>
  <c r="BC63" i="27" s="1"/>
  <c r="BC64" i="27" s="1"/>
  <c r="BD62" i="27" s="1"/>
  <c r="BD63" i="27" s="1"/>
  <c r="BD64" i="27" s="1"/>
  <c r="BE62" i="27" s="1"/>
  <c r="BE63" i="27" s="1"/>
  <c r="BE64" i="27" s="1"/>
  <c r="BF62" i="27" s="1"/>
  <c r="BF63" i="27" s="1"/>
  <c r="BF64" i="27" s="1"/>
  <c r="BG62" i="27" s="1"/>
  <c r="BG63" i="27" s="1"/>
  <c r="BG64" i="27" s="1"/>
  <c r="BH62" i="27" s="1"/>
  <c r="BH63" i="27" s="1"/>
  <c r="BH64" i="27" s="1"/>
  <c r="BI62" i="27" s="1"/>
  <c r="BI63" i="27" s="1"/>
  <c r="BI64" i="27" s="1"/>
  <c r="AY43" i="27"/>
  <c r="AY44" i="27" s="1"/>
  <c r="DY42" i="29"/>
  <c r="DZ42" i="29" s="1"/>
  <c r="AZ36" i="27" s="1"/>
  <c r="AW52" i="27"/>
  <c r="AW53" i="27" s="1"/>
  <c r="AW54" i="27" s="1"/>
  <c r="AS62" i="1"/>
  <c r="AS63" i="1" s="1"/>
  <c r="AS64" i="1" s="1"/>
  <c r="AO53" i="1"/>
  <c r="AP43" i="1"/>
  <c r="AR10" i="1"/>
  <c r="AR12" i="1" s="1"/>
  <c r="AR13" i="1" s="1"/>
  <c r="AQ11" i="1"/>
  <c r="R72" i="1"/>
  <c r="AZ42" i="27" l="1"/>
  <c r="AZ43" i="27" s="1"/>
  <c r="AZ44" i="27" s="1"/>
  <c r="BA42" i="27" s="1"/>
  <c r="BA43" i="27" s="1"/>
  <c r="BA44" i="27" s="1"/>
  <c r="BB42" i="27" s="1"/>
  <c r="BB43" i="27" s="1"/>
  <c r="BB44" i="27" s="1"/>
  <c r="BC42" i="27" s="1"/>
  <c r="BC43" i="27" s="1"/>
  <c r="BC44" i="27" s="1"/>
  <c r="BD42" i="27" s="1"/>
  <c r="BD43" i="27" s="1"/>
  <c r="BD44" i="27" s="1"/>
  <c r="BE42" i="27" s="1"/>
  <c r="BE43" i="27" s="1"/>
  <c r="BE44" i="27" s="1"/>
  <c r="BF42" i="27" s="1"/>
  <c r="BF43" i="27" s="1"/>
  <c r="BF44" i="27" s="1"/>
  <c r="BG42" i="27" s="1"/>
  <c r="BG43" i="27" s="1"/>
  <c r="BG44" i="27" s="1"/>
  <c r="BH42" i="27" s="1"/>
  <c r="BH43" i="27" s="1"/>
  <c r="BH44" i="27" s="1"/>
  <c r="BI42" i="27" s="1"/>
  <c r="BI43" i="27" s="1"/>
  <c r="BI44" i="27" s="1"/>
  <c r="Q32" i="1"/>
  <c r="P24" i="1"/>
  <c r="BX80" i="1"/>
  <c r="BY80" i="1" s="1"/>
  <c r="BZ80" i="1" s="1"/>
  <c r="CA80" i="1" s="1"/>
  <c r="CB80" i="1" s="1"/>
  <c r="CC80" i="1" s="1"/>
  <c r="CD80" i="1" s="1"/>
  <c r="CE80" i="1" s="1"/>
  <c r="CF80" i="1" s="1"/>
  <c r="CG80" i="1" s="1"/>
  <c r="CH80" i="1" s="1"/>
  <c r="CI80" i="1" s="1"/>
  <c r="CJ80" i="1" s="1"/>
  <c r="CK80" i="1" s="1"/>
  <c r="CL80" i="1" s="1"/>
  <c r="CM80" i="1" s="1"/>
  <c r="CN80" i="1" s="1"/>
  <c r="CO80" i="1" s="1"/>
  <c r="CP80" i="1" s="1"/>
  <c r="CQ80" i="1" s="1"/>
  <c r="CR80" i="1" s="1"/>
  <c r="CS80" i="1" s="1"/>
  <c r="CT80" i="1" s="1"/>
  <c r="CU80" i="1" s="1"/>
  <c r="EB81" i="26"/>
  <c r="EC81" i="26" s="1"/>
  <c r="AZ76" i="27" s="1"/>
  <c r="AZ78" i="27" s="1"/>
  <c r="AZ79" i="27" s="1"/>
  <c r="AX52" i="27"/>
  <c r="AX53" i="27" s="1"/>
  <c r="AX54" i="27" s="1"/>
  <c r="AT62" i="1"/>
  <c r="AT63" i="1" s="1"/>
  <c r="AT64" i="1" s="1"/>
  <c r="AO54" i="1"/>
  <c r="AP44" i="1"/>
  <c r="AR11" i="1"/>
  <c r="AS10" i="1"/>
  <c r="AS12" i="1" s="1"/>
  <c r="AS13" i="1" s="1"/>
  <c r="AT10" i="1" s="1"/>
  <c r="W73" i="27"/>
  <c r="W74" i="27" s="1"/>
  <c r="X72" i="27" s="1"/>
  <c r="R73" i="1"/>
  <c r="AZ81" i="27" l="1"/>
  <c r="AZ82" i="27" s="1"/>
  <c r="BA79" i="27" s="1"/>
  <c r="BA81" i="27" s="1"/>
  <c r="BA82" i="27" s="1"/>
  <c r="BB79" i="27" s="1"/>
  <c r="BB81" i="27" s="1"/>
  <c r="BB82" i="27" s="1"/>
  <c r="BC79" i="27" s="1"/>
  <c r="BC81" i="27" s="1"/>
  <c r="BC82" i="27" s="1"/>
  <c r="BD79" i="27" s="1"/>
  <c r="BD81" i="27" s="1"/>
  <c r="BD82" i="27" s="1"/>
  <c r="BE79" i="27" s="1"/>
  <c r="BE81" i="27" s="1"/>
  <c r="BE82" i="27" s="1"/>
  <c r="BF79" i="27" s="1"/>
  <c r="BF81" i="27" s="1"/>
  <c r="BF82" i="27" s="1"/>
  <c r="BG79" i="27" s="1"/>
  <c r="BG81" i="27" s="1"/>
  <c r="BG82" i="27" s="1"/>
  <c r="BH79" i="27" s="1"/>
  <c r="BH81" i="27" s="1"/>
  <c r="BH82" i="27" s="1"/>
  <c r="BI79" i="27" s="1"/>
  <c r="BI81" i="27" s="1"/>
  <c r="BI82" i="27" s="1"/>
  <c r="AZ80" i="27"/>
  <c r="Q33" i="1"/>
  <c r="Q21" i="1"/>
  <c r="Q22" i="1" s="1"/>
  <c r="AY52" i="27"/>
  <c r="AU62" i="1"/>
  <c r="AU63" i="1" s="1"/>
  <c r="AU64" i="1" s="1"/>
  <c r="AP52" i="1"/>
  <c r="AQ42" i="1"/>
  <c r="AT12" i="1"/>
  <c r="AT13" i="1" s="1"/>
  <c r="AU10" i="1" s="1"/>
  <c r="AS11" i="1"/>
  <c r="R74" i="1"/>
  <c r="BA80" i="27" l="1"/>
  <c r="BB80" i="27"/>
  <c r="BC80" i="27" s="1"/>
  <c r="BD80" i="27" s="1"/>
  <c r="BE80" i="27" s="1"/>
  <c r="BF80" i="27" s="1"/>
  <c r="BG80" i="27" s="1"/>
  <c r="BH80" i="27" s="1"/>
  <c r="BI80" i="27" s="1"/>
  <c r="Q34" i="1"/>
  <c r="Q23" i="1"/>
  <c r="AY53" i="27"/>
  <c r="AY54" i="27" s="1"/>
  <c r="DY52" i="29"/>
  <c r="DZ52" i="29" s="1"/>
  <c r="AZ46" i="27" s="1"/>
  <c r="AV62" i="1"/>
  <c r="AV63" i="1" s="1"/>
  <c r="AV64" i="1" s="1"/>
  <c r="AP53" i="1"/>
  <c r="AQ43" i="1"/>
  <c r="AT11" i="1"/>
  <c r="AU12" i="1"/>
  <c r="AU13" i="1" s="1"/>
  <c r="AV10" i="1" s="1"/>
  <c r="S72" i="1"/>
  <c r="R32" i="1" l="1"/>
  <c r="Q24" i="1"/>
  <c r="AZ52" i="27"/>
  <c r="AZ53" i="27" s="1"/>
  <c r="AZ54" i="27" s="1"/>
  <c r="AW62" i="1"/>
  <c r="AW63" i="1" s="1"/>
  <c r="AW64" i="1" s="1"/>
  <c r="AP54" i="1"/>
  <c r="AQ44" i="1"/>
  <c r="AV12" i="1"/>
  <c r="AV13" i="1" s="1"/>
  <c r="AW10" i="1" s="1"/>
  <c r="AU11" i="1"/>
  <c r="X73" i="27"/>
  <c r="X74" i="27" s="1"/>
  <c r="Y72" i="27" s="1"/>
  <c r="S73" i="1"/>
  <c r="R33" i="1" l="1"/>
  <c r="R21" i="1"/>
  <c r="R22" i="1" s="1"/>
  <c r="BA52" i="27"/>
  <c r="BA53" i="27" s="1"/>
  <c r="BA54" i="27" s="1"/>
  <c r="BB52" i="27" s="1"/>
  <c r="BB53" i="27" s="1"/>
  <c r="BB54" i="27" s="1"/>
  <c r="BC52" i="27" s="1"/>
  <c r="BC53" i="27" s="1"/>
  <c r="BC54" i="27" s="1"/>
  <c r="BD52" i="27" s="1"/>
  <c r="BD53" i="27" s="1"/>
  <c r="BD54" i="27" s="1"/>
  <c r="BE52" i="27" s="1"/>
  <c r="BE53" i="27" s="1"/>
  <c r="BE54" i="27" s="1"/>
  <c r="BF52" i="27" s="1"/>
  <c r="BF53" i="27" s="1"/>
  <c r="BF54" i="27" s="1"/>
  <c r="BG52" i="27" s="1"/>
  <c r="BG53" i="27" s="1"/>
  <c r="BG54" i="27" s="1"/>
  <c r="BH52" i="27" s="1"/>
  <c r="BH53" i="27" s="1"/>
  <c r="BH54" i="27" s="1"/>
  <c r="BI52" i="27" s="1"/>
  <c r="BI53" i="27" s="1"/>
  <c r="BI54" i="27" s="1"/>
  <c r="AX62" i="1"/>
  <c r="AX63" i="1" s="1"/>
  <c r="AX64" i="1" s="1"/>
  <c r="AQ52" i="1"/>
  <c r="AR42" i="1"/>
  <c r="AV11" i="1"/>
  <c r="AW12" i="1"/>
  <c r="AW13" i="1" s="1"/>
  <c r="AX10" i="1" s="1"/>
  <c r="S74" i="1"/>
  <c r="R34" i="1" l="1"/>
  <c r="R23" i="1"/>
  <c r="AY62" i="1"/>
  <c r="AY63" i="1" s="1"/>
  <c r="AY64" i="1" s="1"/>
  <c r="AQ53" i="1"/>
  <c r="AR43" i="1"/>
  <c r="AX12" i="1"/>
  <c r="AX13" i="1" s="1"/>
  <c r="AY10" i="1" s="1"/>
  <c r="AW11" i="1"/>
  <c r="T72" i="1"/>
  <c r="S32" i="1" l="1"/>
  <c r="R24" i="1"/>
  <c r="AZ62" i="1"/>
  <c r="AZ63" i="1" s="1"/>
  <c r="AZ64" i="1" s="1"/>
  <c r="AQ54" i="1"/>
  <c r="AR44" i="1"/>
  <c r="AS42" i="1" s="1"/>
  <c r="AS43" i="1" s="1"/>
  <c r="AX11" i="1"/>
  <c r="AY12" i="1"/>
  <c r="AY13" i="1" s="1"/>
  <c r="AZ10" i="1" s="1"/>
  <c r="Y73" i="27"/>
  <c r="Y74" i="27" s="1"/>
  <c r="T73" i="1"/>
  <c r="S33" i="1" l="1"/>
  <c r="S21" i="1"/>
  <c r="S22" i="1" s="1"/>
  <c r="Z72" i="27"/>
  <c r="BA62" i="1"/>
  <c r="BA63" i="1" s="1"/>
  <c r="BA64" i="1" s="1"/>
  <c r="AZ12" i="1"/>
  <c r="AZ13" i="1" s="1"/>
  <c r="BA10" i="1" s="1"/>
  <c r="AR52" i="1"/>
  <c r="AS44" i="1"/>
  <c r="AT42" i="1" s="1"/>
  <c r="AT43" i="1" s="1"/>
  <c r="AY11" i="1"/>
  <c r="T74" i="1"/>
  <c r="S34" i="1" l="1"/>
  <c r="S23" i="1"/>
  <c r="Z73" i="27"/>
  <c r="BB62" i="1"/>
  <c r="BB63" i="1" s="1"/>
  <c r="BB64" i="1" s="1"/>
  <c r="BA12" i="1"/>
  <c r="BA13" i="1" s="1"/>
  <c r="BB10" i="1" s="1"/>
  <c r="AZ11" i="1"/>
  <c r="BA11" i="1" s="1"/>
  <c r="AR53" i="1"/>
  <c r="AT44" i="1"/>
  <c r="AU42" i="1" s="1"/>
  <c r="AU43" i="1" s="1"/>
  <c r="U72" i="1"/>
  <c r="T32" i="1" l="1"/>
  <c r="S24" i="1"/>
  <c r="BC62" i="1"/>
  <c r="BC63" i="1" s="1"/>
  <c r="BC64" i="1" s="1"/>
  <c r="BB12" i="1"/>
  <c r="AR54" i="1"/>
  <c r="AS52" i="1" s="1"/>
  <c r="AU44" i="1"/>
  <c r="AV42" i="1" s="1"/>
  <c r="AV43" i="1" s="1"/>
  <c r="Z74" i="27"/>
  <c r="AA72" i="27" s="1"/>
  <c r="U73" i="1"/>
  <c r="T33" i="1" l="1"/>
  <c r="T21" i="1"/>
  <c r="T22" i="1" s="1"/>
  <c r="BD62" i="1"/>
  <c r="BD63" i="1" s="1"/>
  <c r="BD64" i="1" s="1"/>
  <c r="BB13" i="1"/>
  <c r="BC10" i="1" s="1"/>
  <c r="BC12" i="1" s="1"/>
  <c r="BC13" i="1" s="1"/>
  <c r="BD10" i="1" s="1"/>
  <c r="BB11" i="1"/>
  <c r="AS53" i="1"/>
  <c r="AS54" i="1" s="1"/>
  <c r="AV44" i="1"/>
  <c r="AW42" i="1" s="1"/>
  <c r="AW43" i="1" s="1"/>
  <c r="U74" i="1"/>
  <c r="T34" i="1" l="1"/>
  <c r="T23" i="1"/>
  <c r="BE62" i="1"/>
  <c r="BE63" i="1" s="1"/>
  <c r="BE64" i="1" s="1"/>
  <c r="BC11" i="1"/>
  <c r="BD12" i="1"/>
  <c r="BD13" i="1" s="1"/>
  <c r="BE10" i="1" s="1"/>
  <c r="AT52" i="1"/>
  <c r="AW44" i="1"/>
  <c r="AX42" i="1" s="1"/>
  <c r="AX43" i="1" s="1"/>
  <c r="V72" i="1"/>
  <c r="U32" i="1" l="1"/>
  <c r="T24" i="1"/>
  <c r="BF62" i="1"/>
  <c r="BF63" i="1" s="1"/>
  <c r="BF64" i="1" s="1"/>
  <c r="BE12" i="1"/>
  <c r="BE13" i="1" s="1"/>
  <c r="BF10" i="1" s="1"/>
  <c r="BD11" i="1"/>
  <c r="BE11" i="1" s="1"/>
  <c r="AT53" i="1"/>
  <c r="AX44" i="1"/>
  <c r="AY42" i="1" s="1"/>
  <c r="AY43" i="1" s="1"/>
  <c r="AA73" i="27"/>
  <c r="AA74" i="27" s="1"/>
  <c r="AB72" i="27" s="1"/>
  <c r="V73" i="1"/>
  <c r="U33" i="1" l="1"/>
  <c r="U21" i="1"/>
  <c r="U22" i="1" s="1"/>
  <c r="BG62" i="1"/>
  <c r="BG63" i="1" s="1"/>
  <c r="BG64" i="1" s="1"/>
  <c r="BF12" i="1"/>
  <c r="BF13" i="1" s="1"/>
  <c r="BG10" i="1" s="1"/>
  <c r="AT54" i="1"/>
  <c r="AU52" i="1" s="1"/>
  <c r="AU53" i="1" s="1"/>
  <c r="AY44" i="1"/>
  <c r="V74" i="1"/>
  <c r="U34" i="1" l="1"/>
  <c r="U23" i="1"/>
  <c r="BH62" i="1"/>
  <c r="BH63" i="1" s="1"/>
  <c r="BH64" i="1" s="1"/>
  <c r="AZ42" i="1"/>
  <c r="AZ43" i="1" s="1"/>
  <c r="AZ44" i="1" s="1"/>
  <c r="BG12" i="1"/>
  <c r="BG13" i="1" s="1"/>
  <c r="BH10" i="1" s="1"/>
  <c r="BF11" i="1"/>
  <c r="BG11" i="1" s="1"/>
  <c r="AU54" i="1"/>
  <c r="AV52" i="1" s="1"/>
  <c r="AV53" i="1" s="1"/>
  <c r="W72" i="1"/>
  <c r="V32" i="1" l="1"/>
  <c r="U24" i="1"/>
  <c r="BI62" i="1"/>
  <c r="BI63" i="1" s="1"/>
  <c r="BI64" i="1" s="1"/>
  <c r="BA42" i="1"/>
  <c r="BA43" i="1" s="1"/>
  <c r="BA44" i="1" s="1"/>
  <c r="BH12" i="1"/>
  <c r="BH13" i="1" s="1"/>
  <c r="BI10" i="1" s="1"/>
  <c r="AV54" i="1"/>
  <c r="AW52" i="1" s="1"/>
  <c r="AW53" i="1" s="1"/>
  <c r="AB73" i="27"/>
  <c r="AB74" i="27" s="1"/>
  <c r="AC72" i="27" s="1"/>
  <c r="W73" i="1"/>
  <c r="V33" i="1" l="1"/>
  <c r="V21" i="1"/>
  <c r="V22" i="1" s="1"/>
  <c r="BJ62" i="1"/>
  <c r="BB42" i="1"/>
  <c r="BB43" i="1" s="1"/>
  <c r="BB44" i="1" s="1"/>
  <c r="BI12" i="1"/>
  <c r="BI13" i="1" s="1"/>
  <c r="BJ10" i="1" s="1"/>
  <c r="BJ12" i="1" s="1"/>
  <c r="BH11" i="1"/>
  <c r="BI11" i="1" s="1"/>
  <c r="AW54" i="1"/>
  <c r="AX52" i="1" s="1"/>
  <c r="AX53" i="1" s="1"/>
  <c r="W74" i="1"/>
  <c r="V34" i="1" l="1"/>
  <c r="V23" i="1"/>
  <c r="BJ63" i="1"/>
  <c r="BJ64" i="1" s="1"/>
  <c r="BK62" i="1" s="1"/>
  <c r="BK63" i="1" s="1"/>
  <c r="BK64" i="1" s="1"/>
  <c r="BL62" i="1" s="1"/>
  <c r="BL63" i="1" s="1"/>
  <c r="BL64" i="1" s="1"/>
  <c r="BJ11" i="1"/>
  <c r="BC42" i="1"/>
  <c r="BC43" i="1" s="1"/>
  <c r="BC44" i="1" s="1"/>
  <c r="BJ13" i="1"/>
  <c r="BK10" i="1" s="1"/>
  <c r="BK12" i="1" s="1"/>
  <c r="BK13" i="1" s="1"/>
  <c r="BL10" i="1" s="1"/>
  <c r="AX54" i="1"/>
  <c r="AY52" i="1" s="1"/>
  <c r="AY53" i="1" s="1"/>
  <c r="X72" i="1"/>
  <c r="W32" i="1" l="1"/>
  <c r="V24" i="1"/>
  <c r="BM62" i="1"/>
  <c r="BM63" i="1" s="1"/>
  <c r="BL12" i="1"/>
  <c r="BL13" i="1" s="1"/>
  <c r="BK11" i="1"/>
  <c r="BL11" i="1" s="1"/>
  <c r="BD42" i="1"/>
  <c r="BD43" i="1" s="1"/>
  <c r="BD44" i="1" s="1"/>
  <c r="AY54" i="1"/>
  <c r="AC73" i="27"/>
  <c r="AC74" i="27" s="1"/>
  <c r="AD72" i="27" s="1"/>
  <c r="X73" i="1"/>
  <c r="W33" i="1" l="1"/>
  <c r="W21" i="1"/>
  <c r="W22" i="1" s="1"/>
  <c r="BX11" i="26"/>
  <c r="BY11" i="26" s="1"/>
  <c r="BM5" i="1" s="1"/>
  <c r="BM10" i="1" s="1"/>
  <c r="BM12" i="1" s="1"/>
  <c r="BM13" i="1" s="1"/>
  <c r="BN10" i="1" s="1"/>
  <c r="BN12" i="1" s="1"/>
  <c r="BN13" i="1" s="1"/>
  <c r="BO10" i="1" s="1"/>
  <c r="BO12" i="1" s="1"/>
  <c r="BO13" i="1" s="1"/>
  <c r="BP10" i="1" s="1"/>
  <c r="BP12" i="1" s="1"/>
  <c r="BP13" i="1" s="1"/>
  <c r="BQ10" i="1" s="1"/>
  <c r="BQ12" i="1" s="1"/>
  <c r="BQ13" i="1" s="1"/>
  <c r="BR10" i="1" s="1"/>
  <c r="BR12" i="1" s="1"/>
  <c r="BR13" i="1" s="1"/>
  <c r="BS10" i="1" s="1"/>
  <c r="BS12" i="1" s="1"/>
  <c r="BS13" i="1" s="1"/>
  <c r="BT10" i="1" s="1"/>
  <c r="BT12" i="1" s="1"/>
  <c r="BT13" i="1" s="1"/>
  <c r="BU10" i="1" s="1"/>
  <c r="BU12" i="1" s="1"/>
  <c r="BU13" i="1" s="1"/>
  <c r="BV10" i="1" s="1"/>
  <c r="BV12" i="1" s="1"/>
  <c r="BV13" i="1" s="1"/>
  <c r="BW10" i="1" s="1"/>
  <c r="BW12" i="1" s="1"/>
  <c r="BW13" i="1" s="1"/>
  <c r="BX10" i="1" s="1"/>
  <c r="BX12" i="1" s="1"/>
  <c r="BX13" i="1" s="1"/>
  <c r="BY10" i="1" s="1"/>
  <c r="BY12" i="1" s="1"/>
  <c r="BY13" i="1" s="1"/>
  <c r="BZ10" i="1" s="1"/>
  <c r="BZ12" i="1" s="1"/>
  <c r="BZ13" i="1" s="1"/>
  <c r="CA10" i="1" s="1"/>
  <c r="CA12" i="1" s="1"/>
  <c r="CA13" i="1" s="1"/>
  <c r="CB10" i="1" s="1"/>
  <c r="CB12" i="1" s="1"/>
  <c r="CB13" i="1" s="1"/>
  <c r="CC10" i="1" s="1"/>
  <c r="CC12" i="1" s="1"/>
  <c r="CC13" i="1" s="1"/>
  <c r="CD10" i="1" s="1"/>
  <c r="CD12" i="1" s="1"/>
  <c r="CD13" i="1" s="1"/>
  <c r="CE10" i="1" s="1"/>
  <c r="CE12" i="1" s="1"/>
  <c r="CE13" i="1" s="1"/>
  <c r="CF10" i="1" s="1"/>
  <c r="CF12" i="1" s="1"/>
  <c r="CF13" i="1" s="1"/>
  <c r="CG10" i="1" s="1"/>
  <c r="CG12" i="1" s="1"/>
  <c r="CG13" i="1" s="1"/>
  <c r="CH10" i="1" s="1"/>
  <c r="CH12" i="1" s="1"/>
  <c r="CH13" i="1" s="1"/>
  <c r="CI10" i="1" s="1"/>
  <c r="CI12" i="1" s="1"/>
  <c r="CI13" i="1" s="1"/>
  <c r="CJ10" i="1" s="1"/>
  <c r="CJ12" i="1" s="1"/>
  <c r="CJ13" i="1" s="1"/>
  <c r="CK10" i="1" s="1"/>
  <c r="CK12" i="1" s="1"/>
  <c r="CK13" i="1" s="1"/>
  <c r="CL10" i="1" s="1"/>
  <c r="CL12" i="1" s="1"/>
  <c r="CL13" i="1" s="1"/>
  <c r="CM10" i="1" s="1"/>
  <c r="CM12" i="1" s="1"/>
  <c r="CM13" i="1" s="1"/>
  <c r="CN10" i="1" s="1"/>
  <c r="CN12" i="1" s="1"/>
  <c r="CN13" i="1" s="1"/>
  <c r="CO10" i="1" s="1"/>
  <c r="CO12" i="1" s="1"/>
  <c r="CO13" i="1" s="1"/>
  <c r="CP10" i="1" s="1"/>
  <c r="CP12" i="1" s="1"/>
  <c r="CP13" i="1" s="1"/>
  <c r="CQ10" i="1" s="1"/>
  <c r="CQ12" i="1" s="1"/>
  <c r="CQ13" i="1" s="1"/>
  <c r="CR10" i="1" s="1"/>
  <c r="CR12" i="1" s="1"/>
  <c r="CR13" i="1" s="1"/>
  <c r="CS10" i="1" s="1"/>
  <c r="CS12" i="1" s="1"/>
  <c r="CS13" i="1" s="1"/>
  <c r="CT10" i="1" s="1"/>
  <c r="CT12" i="1" s="1"/>
  <c r="CT13" i="1" s="1"/>
  <c r="CU10" i="1" s="1"/>
  <c r="CU12" i="1" s="1"/>
  <c r="CU13" i="1" s="1"/>
  <c r="BM64" i="1"/>
  <c r="BN62" i="1" s="1"/>
  <c r="BN63" i="1" s="1"/>
  <c r="BN64" i="1" s="1"/>
  <c r="BO62" i="1" s="1"/>
  <c r="BO63" i="1" s="1"/>
  <c r="BO64" i="1" s="1"/>
  <c r="BP62" i="1" s="1"/>
  <c r="BP63" i="1" s="1"/>
  <c r="BP64" i="1" s="1"/>
  <c r="BQ62" i="1" s="1"/>
  <c r="BQ63" i="1" s="1"/>
  <c r="BQ64" i="1" s="1"/>
  <c r="BE42" i="1"/>
  <c r="BE43" i="1" s="1"/>
  <c r="BE44" i="1" s="1"/>
  <c r="AZ52" i="1"/>
  <c r="AZ53" i="1" s="1"/>
  <c r="AZ54" i="1" s="1"/>
  <c r="X74" i="1"/>
  <c r="W34" i="1" l="1"/>
  <c r="W23" i="1"/>
  <c r="BM11" i="1"/>
  <c r="BN11" i="1" s="1"/>
  <c r="BO11" i="1" s="1"/>
  <c r="BP11" i="1" s="1"/>
  <c r="BQ11" i="1" s="1"/>
  <c r="BR11" i="1" s="1"/>
  <c r="BS11" i="1" s="1"/>
  <c r="BT11" i="1" s="1"/>
  <c r="BU11" i="1" s="1"/>
  <c r="BV11" i="1" s="1"/>
  <c r="BW11" i="1" s="1"/>
  <c r="BR62" i="1"/>
  <c r="BR63" i="1" s="1"/>
  <c r="BR64" i="1" s="1"/>
  <c r="BF42" i="1"/>
  <c r="BF43" i="1" s="1"/>
  <c r="BF44" i="1" s="1"/>
  <c r="BA52" i="1"/>
  <c r="BA53" i="1" s="1"/>
  <c r="BA54" i="1" s="1"/>
  <c r="Y72" i="1"/>
  <c r="X32" i="1" l="1"/>
  <c r="W24" i="1"/>
  <c r="BX11" i="1"/>
  <c r="BY11" i="1" s="1"/>
  <c r="BZ11" i="1" s="1"/>
  <c r="CA11" i="1" s="1"/>
  <c r="CB11" i="1" s="1"/>
  <c r="CC11" i="1" s="1"/>
  <c r="CD11" i="1" s="1"/>
  <c r="CE11" i="1" s="1"/>
  <c r="CF11" i="1" s="1"/>
  <c r="CG11" i="1" s="1"/>
  <c r="CH11" i="1" s="1"/>
  <c r="CI11" i="1" s="1"/>
  <c r="CJ11" i="1" s="1"/>
  <c r="CK11" i="1" s="1"/>
  <c r="CL11" i="1" s="1"/>
  <c r="CM11" i="1" s="1"/>
  <c r="CN11" i="1" s="1"/>
  <c r="CO11" i="1" s="1"/>
  <c r="CP11" i="1" s="1"/>
  <c r="CQ11" i="1" s="1"/>
  <c r="CR11" i="1" s="1"/>
  <c r="CS11" i="1" s="1"/>
  <c r="CT11" i="1" s="1"/>
  <c r="CU11" i="1" s="1"/>
  <c r="EB12" i="26"/>
  <c r="EC12" i="26" s="1"/>
  <c r="BS62" i="1"/>
  <c r="BS63" i="1" s="1"/>
  <c r="BS64" i="1" s="1"/>
  <c r="BG42" i="1"/>
  <c r="BG43" i="1" s="1"/>
  <c r="BG44" i="1" s="1"/>
  <c r="BB52" i="1"/>
  <c r="BB53" i="1" s="1"/>
  <c r="BB54" i="1" s="1"/>
  <c r="AD73" i="27"/>
  <c r="AD74" i="27" s="1"/>
  <c r="AE72" i="27" s="1"/>
  <c r="Y73" i="1"/>
  <c r="X33" i="1" l="1"/>
  <c r="X21" i="1"/>
  <c r="X22" i="1" s="1"/>
  <c r="BT62" i="1"/>
  <c r="BT63" i="1" s="1"/>
  <c r="BT64" i="1" s="1"/>
  <c r="BH42" i="1"/>
  <c r="BH43" i="1" s="1"/>
  <c r="BH44" i="1" s="1"/>
  <c r="BC52" i="1"/>
  <c r="BC53" i="1" s="1"/>
  <c r="BC54" i="1" s="1"/>
  <c r="Y74" i="1"/>
  <c r="X34" i="1" l="1"/>
  <c r="X23" i="1"/>
  <c r="BU62" i="1"/>
  <c r="BU63" i="1" s="1"/>
  <c r="BU64" i="1" s="1"/>
  <c r="BI42" i="1"/>
  <c r="BI43" i="1" s="1"/>
  <c r="BI44" i="1" s="1"/>
  <c r="BD52" i="1"/>
  <c r="BD53" i="1" s="1"/>
  <c r="BD54" i="1" s="1"/>
  <c r="Z72" i="1"/>
  <c r="Y32" i="1" l="1"/>
  <c r="X24" i="1"/>
  <c r="BV62" i="1"/>
  <c r="BV63" i="1" s="1"/>
  <c r="BV64" i="1" s="1"/>
  <c r="BJ42" i="1"/>
  <c r="BJ43" i="1" s="1"/>
  <c r="BJ44" i="1" s="1"/>
  <c r="BE52" i="1"/>
  <c r="BE53" i="1" s="1"/>
  <c r="BE54" i="1" s="1"/>
  <c r="AE73" i="27"/>
  <c r="AE74" i="27" s="1"/>
  <c r="AF72" i="27" s="1"/>
  <c r="Z73" i="1"/>
  <c r="Y33" i="1" l="1"/>
  <c r="Y21" i="1"/>
  <c r="Y22" i="1" s="1"/>
  <c r="BW62" i="1"/>
  <c r="BW63" i="1" s="1"/>
  <c r="BW64" i="1" s="1"/>
  <c r="BX62" i="1" s="1"/>
  <c r="BX63" i="1" s="1"/>
  <c r="BX64" i="1" s="1"/>
  <c r="BY62" i="1" s="1"/>
  <c r="BY63" i="1" s="1"/>
  <c r="BY64" i="1" s="1"/>
  <c r="BZ62" i="1" s="1"/>
  <c r="BZ63" i="1" s="1"/>
  <c r="BZ64" i="1" s="1"/>
  <c r="CA62" i="1" s="1"/>
  <c r="CA63" i="1" s="1"/>
  <c r="CA64" i="1" s="1"/>
  <c r="CB62" i="1" s="1"/>
  <c r="CB63" i="1" s="1"/>
  <c r="CB64" i="1" s="1"/>
  <c r="CC62" i="1" s="1"/>
  <c r="CC63" i="1" s="1"/>
  <c r="CC64" i="1" s="1"/>
  <c r="CD62" i="1" s="1"/>
  <c r="CD63" i="1" s="1"/>
  <c r="CD64" i="1" s="1"/>
  <c r="CE62" i="1" s="1"/>
  <c r="CE63" i="1" s="1"/>
  <c r="CE64" i="1" s="1"/>
  <c r="AF73" i="27"/>
  <c r="BK42" i="1"/>
  <c r="BK43" i="1" s="1"/>
  <c r="BK44" i="1" s="1"/>
  <c r="BL42" i="1" s="1"/>
  <c r="BL43" i="1" s="1"/>
  <c r="BL44" i="1" s="1"/>
  <c r="BF52" i="1"/>
  <c r="BF53" i="1" s="1"/>
  <c r="BF54" i="1" s="1"/>
  <c r="Z74" i="1"/>
  <c r="Y34" i="1" l="1"/>
  <c r="Y23" i="1"/>
  <c r="CF62" i="1"/>
  <c r="CF63" i="1" s="1"/>
  <c r="CF64" i="1" s="1"/>
  <c r="CG62" i="1" s="1"/>
  <c r="CG63" i="1" s="1"/>
  <c r="CG64" i="1" s="1"/>
  <c r="AF74" i="27"/>
  <c r="BM42" i="1"/>
  <c r="BM43" i="1" s="1"/>
  <c r="BM44" i="1" s="1"/>
  <c r="BN42" i="1" s="1"/>
  <c r="BN43" i="1" s="1"/>
  <c r="BG52" i="1"/>
  <c r="BG53" i="1" s="1"/>
  <c r="BG54" i="1" s="1"/>
  <c r="AA72" i="1"/>
  <c r="Z32" i="1" l="1"/>
  <c r="Y24" i="1"/>
  <c r="CH62" i="1"/>
  <c r="AG72" i="27"/>
  <c r="BN44" i="1"/>
  <c r="BO42" i="1" s="1"/>
  <c r="BO43" i="1" s="1"/>
  <c r="BO44" i="1" s="1"/>
  <c r="BP42" i="1" s="1"/>
  <c r="BP43" i="1" s="1"/>
  <c r="BP44" i="1" s="1"/>
  <c r="BQ42" i="1" s="1"/>
  <c r="BQ43" i="1" s="1"/>
  <c r="BQ44" i="1" s="1"/>
  <c r="BH52" i="1"/>
  <c r="BH53" i="1" s="1"/>
  <c r="BH54" i="1" s="1"/>
  <c r="AA73" i="1"/>
  <c r="Z33" i="1" l="1"/>
  <c r="Z21" i="1"/>
  <c r="Z22" i="1" s="1"/>
  <c r="CH63" i="1"/>
  <c r="CH64" i="1" s="1"/>
  <c r="EB63" i="26"/>
  <c r="EC63" i="26" s="1"/>
  <c r="CI56" i="1" s="1"/>
  <c r="BR42" i="1"/>
  <c r="BR43" i="1" s="1"/>
  <c r="BR44" i="1" s="1"/>
  <c r="AG73" i="27"/>
  <c r="BI52" i="1"/>
  <c r="BI53" i="1" s="1"/>
  <c r="BI54" i="1" s="1"/>
  <c r="AA74" i="1"/>
  <c r="CI62" i="1" l="1"/>
  <c r="CI63" i="1" s="1"/>
  <c r="CI64" i="1" s="1"/>
  <c r="CJ62" i="1"/>
  <c r="CJ63" i="1" s="1"/>
  <c r="CJ64" i="1" s="1"/>
  <c r="CK62" i="1" s="1"/>
  <c r="CK63" i="1" s="1"/>
  <c r="CK64" i="1" s="1"/>
  <c r="CL62" i="1" s="1"/>
  <c r="CL63" i="1" s="1"/>
  <c r="CL64" i="1" s="1"/>
  <c r="CM62" i="1" s="1"/>
  <c r="CM63" i="1" s="1"/>
  <c r="CM64" i="1" s="1"/>
  <c r="CN62" i="1" s="1"/>
  <c r="CN63" i="1" s="1"/>
  <c r="CN64" i="1" s="1"/>
  <c r="CO62" i="1" s="1"/>
  <c r="CO63" i="1" s="1"/>
  <c r="CO64" i="1" s="1"/>
  <c r="CP62" i="1" s="1"/>
  <c r="CP63" i="1" s="1"/>
  <c r="CP64" i="1" s="1"/>
  <c r="CQ62" i="1" s="1"/>
  <c r="CQ63" i="1" s="1"/>
  <c r="CQ64" i="1" s="1"/>
  <c r="CR62" i="1" s="1"/>
  <c r="CR63" i="1" s="1"/>
  <c r="CR64" i="1" s="1"/>
  <c r="Z34" i="1"/>
  <c r="Z23" i="1"/>
  <c r="BS42" i="1"/>
  <c r="BS43" i="1" s="1"/>
  <c r="BS44" i="1" s="1"/>
  <c r="AG74" i="27"/>
  <c r="BJ52" i="1"/>
  <c r="AB72" i="1"/>
  <c r="AA32" i="1" l="1"/>
  <c r="Z24" i="1"/>
  <c r="BJ53" i="1"/>
  <c r="BJ54" i="1" s="1"/>
  <c r="BK52" i="1" s="1"/>
  <c r="BK53" i="1" s="1"/>
  <c r="BK54" i="1" s="1"/>
  <c r="BL52" i="1" s="1"/>
  <c r="BL53" i="1" s="1"/>
  <c r="BL54" i="1" s="1"/>
  <c r="BT42" i="1"/>
  <c r="BT43" i="1" s="1"/>
  <c r="BT44" i="1" s="1"/>
  <c r="AH72" i="27"/>
  <c r="AB73" i="1"/>
  <c r="AA33" i="1" l="1"/>
  <c r="AA21" i="1"/>
  <c r="AA22" i="1" s="1"/>
  <c r="BU42" i="1"/>
  <c r="BU43" i="1" s="1"/>
  <c r="BU44" i="1" s="1"/>
  <c r="AH73" i="27"/>
  <c r="BM52" i="1"/>
  <c r="BM53" i="1" s="1"/>
  <c r="BM54" i="1" s="1"/>
  <c r="BN52" i="1" s="1"/>
  <c r="BN53" i="1" s="1"/>
  <c r="BN54" i="1" s="1"/>
  <c r="AB74" i="1"/>
  <c r="AA34" i="1" l="1"/>
  <c r="AA23" i="1"/>
  <c r="BV42" i="1"/>
  <c r="BV43" i="1" s="1"/>
  <c r="BV44" i="1" s="1"/>
  <c r="AH74" i="27"/>
  <c r="AI72" i="27" s="1"/>
  <c r="BO52" i="1"/>
  <c r="BO53" i="1" s="1"/>
  <c r="BO54" i="1" s="1"/>
  <c r="BP52" i="1" s="1"/>
  <c r="BP53" i="1" s="1"/>
  <c r="BP54" i="1" s="1"/>
  <c r="BQ52" i="1" s="1"/>
  <c r="BQ53" i="1" s="1"/>
  <c r="BQ54" i="1" s="1"/>
  <c r="AC72" i="1"/>
  <c r="AB32" i="1" l="1"/>
  <c r="AA24" i="1"/>
  <c r="AI73" i="27"/>
  <c r="BW42" i="1"/>
  <c r="BW43" i="1" s="1"/>
  <c r="BW44" i="1" s="1"/>
  <c r="BX42" i="1" s="1"/>
  <c r="BX43" i="1" s="1"/>
  <c r="BX44" i="1" s="1"/>
  <c r="BY42" i="1" s="1"/>
  <c r="BY43" i="1" s="1"/>
  <c r="BY44" i="1" s="1"/>
  <c r="BZ42" i="1" s="1"/>
  <c r="BZ43" i="1" s="1"/>
  <c r="BZ44" i="1" s="1"/>
  <c r="CA42" i="1" s="1"/>
  <c r="CA43" i="1" s="1"/>
  <c r="CA44" i="1" s="1"/>
  <c r="CB42" i="1" s="1"/>
  <c r="CB43" i="1" s="1"/>
  <c r="CB44" i="1" s="1"/>
  <c r="CC42" i="1" s="1"/>
  <c r="CC43" i="1" s="1"/>
  <c r="CC44" i="1" s="1"/>
  <c r="CD42" i="1" s="1"/>
  <c r="CD43" i="1" s="1"/>
  <c r="CD44" i="1" s="1"/>
  <c r="CE42" i="1" s="1"/>
  <c r="CE43" i="1" s="1"/>
  <c r="CE44" i="1" s="1"/>
  <c r="BR52" i="1"/>
  <c r="BR53" i="1" s="1"/>
  <c r="BR54" i="1" s="1"/>
  <c r="AC73" i="1"/>
  <c r="AB33" i="1" l="1"/>
  <c r="AB21" i="1"/>
  <c r="AB22" i="1" s="1"/>
  <c r="CF42" i="1"/>
  <c r="CF43" i="1" s="1"/>
  <c r="CF44" i="1" s="1"/>
  <c r="CG42" i="1" s="1"/>
  <c r="CG43" i="1" s="1"/>
  <c r="CG44" i="1" s="1"/>
  <c r="CH42" i="1" s="1"/>
  <c r="AI74" i="27"/>
  <c r="AJ72" i="27" s="1"/>
  <c r="BS52" i="1"/>
  <c r="BS53" i="1" s="1"/>
  <c r="BS54" i="1" s="1"/>
  <c r="AC74" i="1"/>
  <c r="AB34" i="1" l="1"/>
  <c r="AB23" i="1"/>
  <c r="AJ73" i="27"/>
  <c r="BT52" i="1"/>
  <c r="BT53" i="1" s="1"/>
  <c r="BT54" i="1" s="1"/>
  <c r="AD72" i="1"/>
  <c r="AC32" i="1" l="1"/>
  <c r="AB24" i="1"/>
  <c r="AJ74" i="27"/>
  <c r="AK72" i="27" s="1"/>
  <c r="AK73" i="27" s="1"/>
  <c r="AK74" i="27" s="1"/>
  <c r="AL72" i="27" s="1"/>
  <c r="BU52" i="1"/>
  <c r="BU53" i="1" s="1"/>
  <c r="BU54" i="1" s="1"/>
  <c r="AD73" i="1"/>
  <c r="AC33" i="1" l="1"/>
  <c r="AC21" i="1"/>
  <c r="AC22" i="1" s="1"/>
  <c r="AL73" i="27"/>
  <c r="BV52" i="1"/>
  <c r="BV53" i="1" s="1"/>
  <c r="BV54" i="1" s="1"/>
  <c r="AD74" i="1"/>
  <c r="AC34" i="1" l="1"/>
  <c r="AC23" i="1"/>
  <c r="AL74" i="27"/>
  <c r="AM72" i="27" s="1"/>
  <c r="BW52" i="1"/>
  <c r="BW53" i="1" s="1"/>
  <c r="BW54" i="1" s="1"/>
  <c r="BX52" i="1" s="1"/>
  <c r="BX53" i="1" s="1"/>
  <c r="BX54" i="1" s="1"/>
  <c r="BY52" i="1" s="1"/>
  <c r="BY53" i="1" s="1"/>
  <c r="BY54" i="1" s="1"/>
  <c r="BZ52" i="1" s="1"/>
  <c r="BZ53" i="1" s="1"/>
  <c r="BZ54" i="1" s="1"/>
  <c r="CA52" i="1" s="1"/>
  <c r="CA53" i="1" s="1"/>
  <c r="CA54" i="1" s="1"/>
  <c r="CB52" i="1" s="1"/>
  <c r="CB53" i="1" s="1"/>
  <c r="CB54" i="1" s="1"/>
  <c r="CC52" i="1" s="1"/>
  <c r="CC53" i="1" s="1"/>
  <c r="CC54" i="1" s="1"/>
  <c r="CD52" i="1" s="1"/>
  <c r="CD53" i="1" s="1"/>
  <c r="CD54" i="1" s="1"/>
  <c r="CE52" i="1" s="1"/>
  <c r="CE53" i="1" s="1"/>
  <c r="CE54" i="1" s="1"/>
  <c r="AE72" i="1"/>
  <c r="AD32" i="1" l="1"/>
  <c r="AC24" i="1"/>
  <c r="CF52" i="1"/>
  <c r="CF53" i="1" s="1"/>
  <c r="CF54" i="1" s="1"/>
  <c r="CG52" i="1" s="1"/>
  <c r="CG53" i="1" s="1"/>
  <c r="CG54" i="1" s="1"/>
  <c r="AM73" i="27"/>
  <c r="AE73" i="1"/>
  <c r="AD33" i="1" l="1"/>
  <c r="AD21" i="1"/>
  <c r="AD22" i="1" s="1"/>
  <c r="CH52" i="1"/>
  <c r="AM74" i="27"/>
  <c r="AN72" i="27" s="1"/>
  <c r="AE74" i="1"/>
  <c r="AF72" i="1" s="1"/>
  <c r="AD34" i="1" l="1"/>
  <c r="AD23" i="1"/>
  <c r="CH53" i="1"/>
  <c r="CH54" i="1" s="1"/>
  <c r="EB53" i="26"/>
  <c r="EC53" i="26" s="1"/>
  <c r="CI46" i="1" s="1"/>
  <c r="AN73" i="27"/>
  <c r="AF73" i="1"/>
  <c r="CI52" i="1" l="1"/>
  <c r="CI53" i="1" s="1"/>
  <c r="CI54" i="1" s="1"/>
  <c r="CJ52" i="1"/>
  <c r="CJ53" i="1" s="1"/>
  <c r="CJ54" i="1" s="1"/>
  <c r="CK52" i="1" s="1"/>
  <c r="CK53" i="1" s="1"/>
  <c r="CK54" i="1" s="1"/>
  <c r="CL52" i="1" s="1"/>
  <c r="CL53" i="1" s="1"/>
  <c r="CL54" i="1" s="1"/>
  <c r="CM52" i="1" s="1"/>
  <c r="CM53" i="1" s="1"/>
  <c r="CM54" i="1" s="1"/>
  <c r="CN52" i="1" s="1"/>
  <c r="CN53" i="1" s="1"/>
  <c r="CN54" i="1" s="1"/>
  <c r="CO52" i="1" s="1"/>
  <c r="CO53" i="1" s="1"/>
  <c r="CO54" i="1" s="1"/>
  <c r="CP52" i="1" s="1"/>
  <c r="CP53" i="1" s="1"/>
  <c r="CP54" i="1" s="1"/>
  <c r="CQ52" i="1" s="1"/>
  <c r="CQ53" i="1" s="1"/>
  <c r="CQ54" i="1" s="1"/>
  <c r="CR52" i="1" s="1"/>
  <c r="CR53" i="1" s="1"/>
  <c r="CR54" i="1" s="1"/>
  <c r="AE32" i="1"/>
  <c r="AD24" i="1"/>
  <c r="AN74" i="27"/>
  <c r="AO72" i="27" s="1"/>
  <c r="AF74" i="1"/>
  <c r="AG72" i="1" s="1"/>
  <c r="AG73" i="1" s="1"/>
  <c r="AE33" i="1" l="1"/>
  <c r="AE21" i="1"/>
  <c r="AE22" i="1" s="1"/>
  <c r="AO73" i="27"/>
  <c r="AG74" i="1"/>
  <c r="AH72" i="1" s="1"/>
  <c r="AE34" i="1" l="1"/>
  <c r="AE23" i="1"/>
  <c r="AO74" i="27"/>
  <c r="AP72" i="27" s="1"/>
  <c r="AH73" i="1"/>
  <c r="AF32" i="1" l="1"/>
  <c r="AE24" i="1"/>
  <c r="AP73" i="27"/>
  <c r="AH74" i="1"/>
  <c r="AI72" i="1" s="1"/>
  <c r="AI73" i="1" s="1"/>
  <c r="AF33" i="1" l="1"/>
  <c r="AF21" i="1"/>
  <c r="AF22" i="1" s="1"/>
  <c r="AP74" i="27"/>
  <c r="AQ72" i="27" s="1"/>
  <c r="AI74" i="1"/>
  <c r="AF34" i="1" l="1"/>
  <c r="AF23" i="1"/>
  <c r="AQ73" i="27"/>
  <c r="AJ72" i="1"/>
  <c r="AG32" i="1" l="1"/>
  <c r="AF24" i="1"/>
  <c r="AQ74" i="27"/>
  <c r="AR72" i="27" s="1"/>
  <c r="AJ73" i="1"/>
  <c r="AG33" i="1" l="1"/>
  <c r="AG21" i="1"/>
  <c r="AG22" i="1" s="1"/>
  <c r="AR73" i="27"/>
  <c r="AJ74" i="1"/>
  <c r="AG34" i="1" l="1"/>
  <c r="AG23" i="1"/>
  <c r="AR74" i="27"/>
  <c r="AS72" i="27" s="1"/>
  <c r="AK72" i="1"/>
  <c r="AH32" i="1" l="1"/>
  <c r="AG24" i="1"/>
  <c r="AS73" i="27"/>
  <c r="AK73" i="1"/>
  <c r="AH33" i="1" l="1"/>
  <c r="AH21" i="1"/>
  <c r="AH22" i="1" s="1"/>
  <c r="AS74" i="27"/>
  <c r="AT72" i="27" s="1"/>
  <c r="AK74" i="1"/>
  <c r="AH34" i="1" l="1"/>
  <c r="AH23" i="1"/>
  <c r="AT73" i="27"/>
  <c r="AL72" i="1"/>
  <c r="AI32" i="1" l="1"/>
  <c r="AH24" i="1"/>
  <c r="AT74" i="27"/>
  <c r="AU72" i="27" s="1"/>
  <c r="AL73" i="1"/>
  <c r="AI33" i="1" l="1"/>
  <c r="AI21" i="1"/>
  <c r="AI22" i="1" s="1"/>
  <c r="AU73" i="27"/>
  <c r="AL74" i="1"/>
  <c r="AM72" i="1" s="1"/>
  <c r="AI34" i="1" l="1"/>
  <c r="AI23" i="1"/>
  <c r="AU74" i="27"/>
  <c r="AV72" i="27" s="1"/>
  <c r="AM73" i="1"/>
  <c r="AJ32" i="1" l="1"/>
  <c r="AI24" i="1"/>
  <c r="AV73" i="27"/>
  <c r="AM74" i="1"/>
  <c r="AN72" i="1" s="1"/>
  <c r="AN73" i="1" s="1"/>
  <c r="AJ33" i="1" l="1"/>
  <c r="AJ21" i="1"/>
  <c r="AJ22" i="1" s="1"/>
  <c r="AV74" i="27"/>
  <c r="AN74" i="1"/>
  <c r="AJ34" i="1" l="1"/>
  <c r="AJ23" i="1"/>
  <c r="AW72" i="27"/>
  <c r="AO72" i="1"/>
  <c r="AK32" i="1" l="1"/>
  <c r="AJ24" i="1"/>
  <c r="AW73" i="27"/>
  <c r="AO73" i="1"/>
  <c r="AK33" i="1" l="1"/>
  <c r="AK21" i="1"/>
  <c r="AK22" i="1" s="1"/>
  <c r="AW74" i="27"/>
  <c r="AO74" i="1"/>
  <c r="AK34" i="1" l="1"/>
  <c r="AK23" i="1"/>
  <c r="AX72" i="27"/>
  <c r="AP72" i="1"/>
  <c r="AL32" i="1" l="1"/>
  <c r="AK24" i="1"/>
  <c r="AX73" i="27"/>
  <c r="AP73" i="1"/>
  <c r="AL33" i="1" l="1"/>
  <c r="AL21" i="1"/>
  <c r="AL22" i="1" s="1"/>
  <c r="AX74" i="27"/>
  <c r="AP74" i="1"/>
  <c r="AL34" i="1" l="1"/>
  <c r="AL23" i="1"/>
  <c r="AY72" i="27"/>
  <c r="DY72" i="29" s="1"/>
  <c r="DZ72" i="29" s="1"/>
  <c r="AZ66" i="27" s="1"/>
  <c r="AQ72" i="1"/>
  <c r="AM32" i="1" l="1"/>
  <c r="AL24" i="1"/>
  <c r="AY73" i="27"/>
  <c r="AQ73" i="1"/>
  <c r="AM33" i="1" l="1"/>
  <c r="AM21" i="1"/>
  <c r="AM22" i="1" s="1"/>
  <c r="AY74" i="27"/>
  <c r="AQ74" i="1"/>
  <c r="E12" i="27"/>
  <c r="E13" i="27" s="1"/>
  <c r="F10" i="27" s="1"/>
  <c r="AM34" i="1" l="1"/>
  <c r="AM23" i="1"/>
  <c r="AZ72" i="27"/>
  <c r="AZ73" i="27" s="1"/>
  <c r="AZ74" i="27" s="1"/>
  <c r="AR72" i="1"/>
  <c r="E11" i="27"/>
  <c r="AN32" i="1" l="1"/>
  <c r="AM24" i="1"/>
  <c r="BA72" i="27"/>
  <c r="AR73" i="1"/>
  <c r="F12" i="27"/>
  <c r="F11" i="27"/>
  <c r="AN33" i="1" l="1"/>
  <c r="AN21" i="1"/>
  <c r="AN22" i="1" s="1"/>
  <c r="BA73" i="27"/>
  <c r="AR74" i="1"/>
  <c r="F13" i="27"/>
  <c r="G10" i="27" s="1"/>
  <c r="AN34" i="1" l="1"/>
  <c r="AN23" i="1"/>
  <c r="BA74" i="27"/>
  <c r="BB72" i="27" s="1"/>
  <c r="AS72" i="1"/>
  <c r="G12" i="27"/>
  <c r="G13" i="27" s="1"/>
  <c r="H10" i="27" s="1"/>
  <c r="G11" i="27"/>
  <c r="AO32" i="1" l="1"/>
  <c r="AN24" i="1"/>
  <c r="BB73" i="27"/>
  <c r="AS73" i="1"/>
  <c r="H12" i="27"/>
  <c r="H13" i="27" s="1"/>
  <c r="I10" i="27" s="1"/>
  <c r="AO33" i="1" l="1"/>
  <c r="AO21" i="1"/>
  <c r="AO22" i="1" s="1"/>
  <c r="BB74" i="27"/>
  <c r="AS74" i="1"/>
  <c r="I12" i="27"/>
  <c r="I13" i="27" s="1"/>
  <c r="J10" i="27" s="1"/>
  <c r="H11" i="27"/>
  <c r="I11" i="27" s="1"/>
  <c r="AO34" i="1" l="1"/>
  <c r="AO23" i="1"/>
  <c r="BC72" i="27"/>
  <c r="AT72" i="1"/>
  <c r="J12" i="27"/>
  <c r="J13" i="27" s="1"/>
  <c r="K10" i="27" s="1"/>
  <c r="AP32" i="1" l="1"/>
  <c r="AO24" i="1"/>
  <c r="BC73" i="27"/>
  <c r="AT73" i="1"/>
  <c r="J11" i="27"/>
  <c r="K12" i="27"/>
  <c r="K13" i="27" s="1"/>
  <c r="AP33" i="1" l="1"/>
  <c r="AP21" i="1"/>
  <c r="AP22" i="1" s="1"/>
  <c r="BC74" i="27"/>
  <c r="AT74" i="1"/>
  <c r="L10" i="27"/>
  <c r="L12" i="27" s="1"/>
  <c r="L13" i="27" s="1"/>
  <c r="M10" i="27" s="1"/>
  <c r="M12" i="27" s="1"/>
  <c r="M13" i="27" s="1"/>
  <c r="K11" i="27"/>
  <c r="AP34" i="1" l="1"/>
  <c r="AP23" i="1"/>
  <c r="BD72" i="27"/>
  <c r="AU72" i="1"/>
  <c r="L11" i="27"/>
  <c r="M11" i="27" s="1"/>
  <c r="N10" i="27"/>
  <c r="N12" i="27" s="1"/>
  <c r="N13" i="27" s="1"/>
  <c r="AQ32" i="1" l="1"/>
  <c r="AP24" i="1"/>
  <c r="BD73" i="27"/>
  <c r="AU73" i="1"/>
  <c r="O10" i="27"/>
  <c r="O12" i="27" s="1"/>
  <c r="O13" i="27" s="1"/>
  <c r="N11" i="27"/>
  <c r="AQ33" i="1" l="1"/>
  <c r="AQ21" i="1"/>
  <c r="AQ22" i="1" s="1"/>
  <c r="BD74" i="27"/>
  <c r="O11" i="27"/>
  <c r="AU74" i="1"/>
  <c r="P10" i="27"/>
  <c r="P12" i="27" s="1"/>
  <c r="P13" i="27" s="1"/>
  <c r="AQ34" i="1" l="1"/>
  <c r="AQ23" i="1"/>
  <c r="BE72" i="27"/>
  <c r="AV72" i="1"/>
  <c r="Q10" i="27"/>
  <c r="Q12" i="27" s="1"/>
  <c r="Q13" i="27" s="1"/>
  <c r="P11" i="27"/>
  <c r="AR32" i="1" l="1"/>
  <c r="AQ24" i="1"/>
  <c r="BE73" i="27"/>
  <c r="Q11" i="27"/>
  <c r="AV73" i="1"/>
  <c r="R10" i="27"/>
  <c r="R12" i="27" s="1"/>
  <c r="R13" i="27" s="1"/>
  <c r="AR33" i="1" l="1"/>
  <c r="AR21" i="1"/>
  <c r="AR22" i="1" s="1"/>
  <c r="AS37" i="26" s="1"/>
  <c r="AT37" i="26" s="1"/>
  <c r="BE74" i="27"/>
  <c r="AV74" i="1"/>
  <c r="AW72" i="1" s="1"/>
  <c r="S10" i="27"/>
  <c r="S12" i="27" s="1"/>
  <c r="S13" i="27" s="1"/>
  <c r="R11" i="27"/>
  <c r="AS15" i="1" l="1"/>
  <c r="AS26" i="1"/>
  <c r="AR34" i="1"/>
  <c r="AR23" i="1"/>
  <c r="BF72" i="27"/>
  <c r="AW73" i="1"/>
  <c r="S11" i="27"/>
  <c r="T10" i="27"/>
  <c r="AS32" i="1" l="1"/>
  <c r="AS33" i="1" s="1"/>
  <c r="AR24" i="1"/>
  <c r="BF73" i="27"/>
  <c r="AW74" i="1"/>
  <c r="AX72" i="1" s="1"/>
  <c r="T11" i="27"/>
  <c r="T12" i="27"/>
  <c r="T13" i="27" s="1"/>
  <c r="U10" i="27" s="1"/>
  <c r="U12" i="27" s="1"/>
  <c r="U13" i="27" s="1"/>
  <c r="AS21" i="1" l="1"/>
  <c r="AS22" i="1" s="1"/>
  <c r="AS34" i="1"/>
  <c r="AS23" i="1"/>
  <c r="BF74" i="27"/>
  <c r="AX73" i="1"/>
  <c r="U11" i="27"/>
  <c r="V10" i="27"/>
  <c r="V12" i="27" s="1"/>
  <c r="V13" i="27" s="1"/>
  <c r="AT32" i="1" l="1"/>
  <c r="AS24" i="1"/>
  <c r="BG72" i="27"/>
  <c r="AX74" i="1"/>
  <c r="AY72" i="1" s="1"/>
  <c r="W10" i="27"/>
  <c r="W12" i="27" s="1"/>
  <c r="W13" i="27" s="1"/>
  <c r="V11" i="27"/>
  <c r="AT33" i="1" l="1"/>
  <c r="AT21" i="1"/>
  <c r="AT22" i="1" s="1"/>
  <c r="BG73" i="27"/>
  <c r="AY73" i="1"/>
  <c r="W11" i="27"/>
  <c r="X10" i="27"/>
  <c r="X12" i="27" s="1"/>
  <c r="X13" i="27" s="1"/>
  <c r="AT34" i="1" l="1"/>
  <c r="AT23" i="1"/>
  <c r="BG74" i="27"/>
  <c r="AY74" i="1"/>
  <c r="AZ72" i="1" s="1"/>
  <c r="Y10" i="27"/>
  <c r="Y12" i="27" s="1"/>
  <c r="Y13" i="27" s="1"/>
  <c r="X11" i="27"/>
  <c r="AU32" i="1" l="1"/>
  <c r="AT24" i="1"/>
  <c r="BH72" i="27"/>
  <c r="AZ73" i="1"/>
  <c r="AZ74" i="1" s="1"/>
  <c r="BA72" i="1" s="1"/>
  <c r="Y11" i="27"/>
  <c r="Z10" i="27"/>
  <c r="Z12" i="27" s="1"/>
  <c r="Z13" i="27" s="1"/>
  <c r="AA10" i="27" s="1"/>
  <c r="AU33" i="1" l="1"/>
  <c r="AU21" i="1"/>
  <c r="AU22" i="1" s="1"/>
  <c r="BH73" i="27"/>
  <c r="BA73" i="1"/>
  <c r="AA12" i="27"/>
  <c r="AA13" i="27" s="1"/>
  <c r="AB10" i="27" s="1"/>
  <c r="Z11" i="27"/>
  <c r="AU34" i="1" l="1"/>
  <c r="AU23" i="1"/>
  <c r="BH74" i="27"/>
  <c r="BI72" i="27" s="1"/>
  <c r="BA74" i="1"/>
  <c r="BB72" i="1" s="1"/>
  <c r="AA11" i="27"/>
  <c r="AB12" i="27"/>
  <c r="AV32" i="1" l="1"/>
  <c r="AU24" i="1"/>
  <c r="BI73" i="27"/>
  <c r="AB13" i="27"/>
  <c r="BB73" i="1"/>
  <c r="AC10" i="27"/>
  <c r="AB11" i="27"/>
  <c r="AV33" i="1" l="1"/>
  <c r="AV21" i="1"/>
  <c r="AV22" i="1" s="1"/>
  <c r="BI74" i="27"/>
  <c r="AC12" i="27"/>
  <c r="AC13" i="27" s="1"/>
  <c r="BB74" i="1"/>
  <c r="BC72" i="1" s="1"/>
  <c r="BC73" i="1" s="1"/>
  <c r="AC11" i="27"/>
  <c r="BD11" i="29" s="1"/>
  <c r="BE11" i="29" s="1"/>
  <c r="BN19" i="29" l="1"/>
  <c r="AD5" i="27"/>
  <c r="AD10" i="27" s="1"/>
  <c r="AV34" i="1"/>
  <c r="AV23" i="1"/>
  <c r="BC74" i="1"/>
  <c r="BD72" i="1" s="1"/>
  <c r="AD12" i="27" l="1"/>
  <c r="AD13" i="27" s="1"/>
  <c r="AE10" i="27" s="1"/>
  <c r="AD11" i="27"/>
  <c r="AW32" i="1"/>
  <c r="AV24" i="1"/>
  <c r="BN22" i="29"/>
  <c r="BO19" i="29" s="1"/>
  <c r="BO21" i="29" s="1"/>
  <c r="BO22" i="29" s="1"/>
  <c r="BP19" i="29" s="1"/>
  <c r="BP21" i="29" s="1"/>
  <c r="BP22" i="29" s="1"/>
  <c r="BQ19" i="29" s="1"/>
  <c r="BQ21" i="29" s="1"/>
  <c r="BQ22" i="29" s="1"/>
  <c r="BR19" i="29" s="1"/>
  <c r="BR21" i="29" s="1"/>
  <c r="BR22" i="29" s="1"/>
  <c r="BS19" i="29" s="1"/>
  <c r="BS21" i="29" s="1"/>
  <c r="BS22" i="29" s="1"/>
  <c r="BT19" i="29" s="1"/>
  <c r="BT21" i="29" s="1"/>
  <c r="BT22" i="29" s="1"/>
  <c r="BU19" i="29" s="1"/>
  <c r="BU21" i="29" s="1"/>
  <c r="BU22" i="29" s="1"/>
  <c r="BN20" i="29"/>
  <c r="AE12" i="27"/>
  <c r="BD73" i="1"/>
  <c r="AE11" i="27"/>
  <c r="BO20" i="29" l="1"/>
  <c r="BP20" i="29" s="1"/>
  <c r="BQ20" i="29" s="1"/>
  <c r="BR20" i="29" s="1"/>
  <c r="BS20" i="29" s="1"/>
  <c r="BT20" i="29" s="1"/>
  <c r="BU20" i="29" s="1"/>
  <c r="AW33" i="1"/>
  <c r="AW21" i="1"/>
  <c r="AW22" i="1" s="1"/>
  <c r="AE13" i="27"/>
  <c r="BD74" i="1"/>
  <c r="AW34" i="1" l="1"/>
  <c r="AW23" i="1"/>
  <c r="AF10" i="27"/>
  <c r="BE72" i="1"/>
  <c r="AX32" i="1" l="1"/>
  <c r="AW24" i="1"/>
  <c r="AF12" i="27"/>
  <c r="AF13" i="27" s="1"/>
  <c r="AG10" i="27" s="1"/>
  <c r="AF11" i="27"/>
  <c r="BE73" i="1"/>
  <c r="AX33" i="1" l="1"/>
  <c r="AX21" i="1"/>
  <c r="AX22" i="1" s="1"/>
  <c r="AG12" i="27"/>
  <c r="AG11" i="27"/>
  <c r="BE74" i="1"/>
  <c r="AX34" i="1" l="1"/>
  <c r="AX23" i="1"/>
  <c r="AG13" i="27"/>
  <c r="AH10" i="27" s="1"/>
  <c r="AH12" i="27" s="1"/>
  <c r="AH13" i="27" s="1"/>
  <c r="AI10" i="27" s="1"/>
  <c r="AI12" i="27" s="1"/>
  <c r="AI13" i="27" s="1"/>
  <c r="AJ10" i="27" s="1"/>
  <c r="BF72" i="1"/>
  <c r="AY32" i="1" l="1"/>
  <c r="AX24" i="1"/>
  <c r="AJ12" i="27"/>
  <c r="AH11" i="27"/>
  <c r="AI11" i="27" s="1"/>
  <c r="AJ11" i="27" s="1"/>
  <c r="BF73" i="1"/>
  <c r="AY33" i="1" l="1"/>
  <c r="AY21" i="1"/>
  <c r="AY22" i="1" s="1"/>
  <c r="AJ13" i="27"/>
  <c r="AK10" i="27" s="1"/>
  <c r="BF74" i="1"/>
  <c r="AY34" i="1" l="1"/>
  <c r="AY23" i="1"/>
  <c r="BV19" i="29"/>
  <c r="BW19" i="29" s="1"/>
  <c r="AK12" i="27"/>
  <c r="AK11" i="27"/>
  <c r="BG72" i="1"/>
  <c r="AZ32" i="1" l="1"/>
  <c r="AY24" i="1"/>
  <c r="AK13" i="27"/>
  <c r="AL10" i="27" s="1"/>
  <c r="AL12" i="27" s="1"/>
  <c r="AL13" i="27" s="1"/>
  <c r="BG73" i="1"/>
  <c r="AZ33" i="1" l="1"/>
  <c r="AZ21" i="1"/>
  <c r="AZ22" i="1" s="1"/>
  <c r="AL11" i="27"/>
  <c r="AM10" i="27"/>
  <c r="BG74" i="1"/>
  <c r="AZ34" i="1" l="1"/>
  <c r="AZ23" i="1"/>
  <c r="BH72" i="1"/>
  <c r="BA32" i="1" l="1"/>
  <c r="AZ24" i="1"/>
  <c r="AM12" i="27"/>
  <c r="AM13" i="27" s="1"/>
  <c r="AN10" i="27" s="1"/>
  <c r="BH73" i="1"/>
  <c r="BA33" i="1" l="1"/>
  <c r="BA21" i="1"/>
  <c r="BA22" i="1" s="1"/>
  <c r="AN12" i="27"/>
  <c r="AN13" i="27" s="1"/>
  <c r="AO10" i="27" s="1"/>
  <c r="AO12" i="27" s="1"/>
  <c r="AO13" i="27" s="1"/>
  <c r="AM11" i="27"/>
  <c r="AN11" i="27" s="1"/>
  <c r="BH74" i="1"/>
  <c r="BI72" i="1" s="1"/>
  <c r="BA34" i="1" l="1"/>
  <c r="BA23" i="1"/>
  <c r="AO11" i="27"/>
  <c r="AP10" i="27"/>
  <c r="AP12" i="27" s="1"/>
  <c r="AP13" i="27" s="1"/>
  <c r="AQ10" i="27" s="1"/>
  <c r="AQ12" i="27" s="1"/>
  <c r="AQ13" i="27" s="1"/>
  <c r="AR10" i="27" s="1"/>
  <c r="AR12" i="27" s="1"/>
  <c r="AR13" i="27" s="1"/>
  <c r="AS10" i="27" s="1"/>
  <c r="BI73" i="1"/>
  <c r="BB32" i="1" l="1"/>
  <c r="BA24" i="1"/>
  <c r="AS12" i="27"/>
  <c r="AP11" i="27"/>
  <c r="AQ11" i="27" s="1"/>
  <c r="AR11" i="27" s="1"/>
  <c r="AS11" i="27" s="1"/>
  <c r="BI74" i="1"/>
  <c r="BJ72" i="1" s="1"/>
  <c r="BB33" i="1" l="1"/>
  <c r="BB21" i="1"/>
  <c r="BB22" i="1" s="1"/>
  <c r="AS13" i="27"/>
  <c r="AT10" i="27" s="1"/>
  <c r="AT12" i="27" s="1"/>
  <c r="AT13" i="27" s="1"/>
  <c r="AU10" i="27" s="1"/>
  <c r="AU12" i="27" s="1"/>
  <c r="AU13" i="27" s="1"/>
  <c r="AV10" i="27" s="1"/>
  <c r="AV12" i="27" s="1"/>
  <c r="AV13" i="27" s="1"/>
  <c r="AW10" i="27" s="1"/>
  <c r="AW12" i="27" s="1"/>
  <c r="AW13" i="27" s="1"/>
  <c r="AX10" i="27" s="1"/>
  <c r="AX12" i="27" s="1"/>
  <c r="AX13" i="27" s="1"/>
  <c r="BJ73" i="1"/>
  <c r="BB34" i="1" l="1"/>
  <c r="BB23" i="1"/>
  <c r="AY10" i="27"/>
  <c r="AY12" i="27" s="1"/>
  <c r="AY13" i="27" s="1"/>
  <c r="AT11" i="27"/>
  <c r="AU11" i="27" s="1"/>
  <c r="AV11" i="27" s="1"/>
  <c r="AW11" i="27" s="1"/>
  <c r="AX11" i="27" s="1"/>
  <c r="BJ74" i="1"/>
  <c r="BK72" i="1" s="1"/>
  <c r="BC32" i="1" l="1"/>
  <c r="BB24" i="1"/>
  <c r="AY11" i="27"/>
  <c r="BK73" i="1"/>
  <c r="BC33" i="1" l="1"/>
  <c r="BC21" i="1"/>
  <c r="BC22" i="1" s="1"/>
  <c r="BK74" i="1"/>
  <c r="M21" i="27"/>
  <c r="M22" i="27" s="1"/>
  <c r="L12" i="29"/>
  <c r="N26" i="27" s="1"/>
  <c r="M33" i="27"/>
  <c r="M34" i="27" s="1"/>
  <c r="BC34" i="1" l="1"/>
  <c r="BC23" i="1"/>
  <c r="BL72" i="1"/>
  <c r="N32" i="27"/>
  <c r="N33" i="27" s="1"/>
  <c r="N15" i="27"/>
  <c r="M24" i="27"/>
  <c r="M23" i="27"/>
  <c r="BD32" i="1" l="1"/>
  <c r="BC24" i="1"/>
  <c r="BL73" i="1"/>
  <c r="N21" i="27"/>
  <c r="N22" i="27" s="1"/>
  <c r="N34" i="27"/>
  <c r="O32" i="27" s="1"/>
  <c r="N23" i="27"/>
  <c r="BD33" i="1" l="1"/>
  <c r="BD21" i="1"/>
  <c r="BD22" i="1" s="1"/>
  <c r="BL74" i="1"/>
  <c r="BM72" i="1" s="1"/>
  <c r="O33" i="27"/>
  <c r="O23" i="27" s="1"/>
  <c r="O21" i="27"/>
  <c r="O22" i="27" s="1"/>
  <c r="N24" i="27"/>
  <c r="BD34" i="1" l="1"/>
  <c r="BD23" i="1"/>
  <c r="BM73" i="1"/>
  <c r="O34" i="27"/>
  <c r="P32" i="27" s="1"/>
  <c r="P21" i="27" s="1"/>
  <c r="P22" i="27" s="1"/>
  <c r="BE32" i="1" l="1"/>
  <c r="BD24" i="1"/>
  <c r="O24" i="27"/>
  <c r="BM74" i="1"/>
  <c r="P33" i="27"/>
  <c r="P23" i="27" s="1"/>
  <c r="BE33" i="1" l="1"/>
  <c r="BE21" i="1"/>
  <c r="BE22" i="1" s="1"/>
  <c r="BN72" i="1"/>
  <c r="P34" i="27"/>
  <c r="P24" i="27" s="1"/>
  <c r="Q32" i="27" l="1"/>
  <c r="Q21" i="27" s="1"/>
  <c r="Q22" i="27" s="1"/>
  <c r="BE34" i="1"/>
  <c r="BE23" i="1"/>
  <c r="BN73" i="1"/>
  <c r="BN74" i="1" s="1"/>
  <c r="BO72" i="1" s="1"/>
  <c r="Q33" i="27" l="1"/>
  <c r="Q34" i="27" s="1"/>
  <c r="BF32" i="1"/>
  <c r="BE24" i="1"/>
  <c r="BO73" i="1"/>
  <c r="BO74" i="1" s="1"/>
  <c r="BP72" i="1" s="1"/>
  <c r="Q23" i="27"/>
  <c r="BF33" i="1" l="1"/>
  <c r="BF21" i="1"/>
  <c r="BF22" i="1" s="1"/>
  <c r="BP73" i="1"/>
  <c r="BP74" i="1" s="1"/>
  <c r="R32" i="27"/>
  <c r="Q24" i="27"/>
  <c r="BF34" i="1" l="1"/>
  <c r="BF23" i="1"/>
  <c r="BQ72" i="1"/>
  <c r="R21" i="27"/>
  <c r="R22" i="27" s="1"/>
  <c r="R33" i="27"/>
  <c r="BG32" i="1" l="1"/>
  <c r="BF24" i="1"/>
  <c r="BQ73" i="1"/>
  <c r="R23" i="27"/>
  <c r="R34" i="27"/>
  <c r="S32" i="27" s="1"/>
  <c r="BG33" i="1" l="1"/>
  <c r="BG21" i="1"/>
  <c r="BG22" i="1" s="1"/>
  <c r="BQ74" i="1"/>
  <c r="S33" i="27"/>
  <c r="S23" i="27" s="1"/>
  <c r="S21" i="27"/>
  <c r="S22" i="27" s="1"/>
  <c r="R24" i="27"/>
  <c r="BG34" i="1" l="1"/>
  <c r="BG23" i="1"/>
  <c r="BR72" i="1"/>
  <c r="S34" i="27"/>
  <c r="T32" i="27" s="1"/>
  <c r="T33" i="27" s="1"/>
  <c r="BH32" i="1" l="1"/>
  <c r="BG24" i="1"/>
  <c r="BR73" i="1"/>
  <c r="S24" i="27"/>
  <c r="T23" i="27"/>
  <c r="T34" i="27"/>
  <c r="U32" i="27" s="1"/>
  <c r="U33" i="27" s="1"/>
  <c r="T21" i="27"/>
  <c r="T22" i="27" s="1"/>
  <c r="BH33" i="1" l="1"/>
  <c r="BH21" i="1"/>
  <c r="BH22" i="1" s="1"/>
  <c r="BR74" i="1"/>
  <c r="T24" i="27"/>
  <c r="U23" i="27"/>
  <c r="U34" i="27"/>
  <c r="V32" i="27" s="1"/>
  <c r="V33" i="27" s="1"/>
  <c r="U21" i="27"/>
  <c r="U22" i="27" s="1"/>
  <c r="BH34" i="1" l="1"/>
  <c r="BH23" i="1"/>
  <c r="BS72" i="1"/>
  <c r="U24" i="27"/>
  <c r="V23" i="27"/>
  <c r="V34" i="27"/>
  <c r="W32" i="27" s="1"/>
  <c r="W21" i="27" s="1"/>
  <c r="V21" i="27"/>
  <c r="V22" i="27" s="1"/>
  <c r="BI32" i="1" l="1"/>
  <c r="BH24" i="1"/>
  <c r="BS73" i="1"/>
  <c r="V24" i="27"/>
  <c r="W33" i="27"/>
  <c r="W22" i="27"/>
  <c r="BI33" i="1" l="1"/>
  <c r="BI21" i="1"/>
  <c r="BI22" i="1" s="1"/>
  <c r="BS74" i="1"/>
  <c r="W23" i="27"/>
  <c r="W34" i="27"/>
  <c r="BI34" i="1" l="1"/>
  <c r="BI23" i="1"/>
  <c r="BT72" i="1"/>
  <c r="X32" i="27"/>
  <c r="W24" i="27"/>
  <c r="BJ32" i="1" l="1"/>
  <c r="BI24" i="1"/>
  <c r="BT73" i="1"/>
  <c r="X33" i="27"/>
  <c r="X21" i="27"/>
  <c r="X22" i="27" s="1"/>
  <c r="BJ33" i="1" l="1"/>
  <c r="BJ21" i="1"/>
  <c r="BJ22" i="1" s="1"/>
  <c r="BT74" i="1"/>
  <c r="X23" i="27"/>
  <c r="X34" i="27"/>
  <c r="BJ34" i="1" l="1"/>
  <c r="BJ23" i="1"/>
  <c r="BU72" i="1"/>
  <c r="Y32" i="27"/>
  <c r="X24" i="27"/>
  <c r="BK32" i="1" l="1"/>
  <c r="BJ24" i="1"/>
  <c r="BU73" i="1"/>
  <c r="Y33" i="27"/>
  <c r="Y21" i="27"/>
  <c r="Y22" i="27" s="1"/>
  <c r="BK33" i="1" l="1"/>
  <c r="BK21" i="1"/>
  <c r="BK22" i="1" s="1"/>
  <c r="BU74" i="1"/>
  <c r="Y23" i="27"/>
  <c r="Y34" i="27"/>
  <c r="Z32" i="27" s="1"/>
  <c r="Z33" i="27" s="1"/>
  <c r="BK34" i="1" l="1"/>
  <c r="BK23" i="1"/>
  <c r="BV72" i="1"/>
  <c r="Z21" i="27"/>
  <c r="Z22" i="27" s="1"/>
  <c r="Y24" i="27"/>
  <c r="BL32" i="1" l="1"/>
  <c r="BK24" i="1"/>
  <c r="BV73" i="1"/>
  <c r="Z23" i="27"/>
  <c r="BL33" i="1" l="1"/>
  <c r="BL21" i="1"/>
  <c r="BL22" i="1" s="1"/>
  <c r="BV74" i="1"/>
  <c r="Z34" i="27"/>
  <c r="AA32" i="27" s="1"/>
  <c r="BL34" i="1" l="1"/>
  <c r="BL23" i="1"/>
  <c r="BW72" i="1"/>
  <c r="AA21" i="27"/>
  <c r="AA33" i="27"/>
  <c r="AA23" i="27" s="1"/>
  <c r="Z24" i="27"/>
  <c r="BM32" i="1" l="1"/>
  <c r="BL24" i="1"/>
  <c r="BW73" i="1"/>
  <c r="AA34" i="27"/>
  <c r="AB32" i="27" s="1"/>
  <c r="AA22" i="27"/>
  <c r="BM33" i="1" l="1"/>
  <c r="BM21" i="1"/>
  <c r="BM22" i="1" s="1"/>
  <c r="AA24" i="27"/>
  <c r="AB21" i="27"/>
  <c r="AB22" i="27" s="1"/>
  <c r="BW74" i="1"/>
  <c r="AB33" i="27"/>
  <c r="AB23" i="27" s="1"/>
  <c r="BM34" i="1" l="1"/>
  <c r="BM23" i="1"/>
  <c r="AB34" i="27"/>
  <c r="AC32" i="27" s="1"/>
  <c r="AC21" i="27" s="1"/>
  <c r="AC22" i="27" s="1"/>
  <c r="BX72" i="1"/>
  <c r="AB24" i="27"/>
  <c r="BN32" i="1" l="1"/>
  <c r="BM24" i="1"/>
  <c r="AC33" i="27"/>
  <c r="AC23" i="27" s="1"/>
  <c r="BX73" i="1"/>
  <c r="BN33" i="1" l="1"/>
  <c r="BN21" i="1"/>
  <c r="BN22" i="1" s="1"/>
  <c r="AC34" i="27"/>
  <c r="AD32" i="27" s="1"/>
  <c r="AD21" i="27" s="1"/>
  <c r="AD22" i="27" s="1"/>
  <c r="BX74" i="1"/>
  <c r="AC24" i="27"/>
  <c r="BN34" i="1" l="1"/>
  <c r="BN23" i="1"/>
  <c r="AD33" i="27"/>
  <c r="AD23" i="27" s="1"/>
  <c r="BY72" i="1"/>
  <c r="AD34" i="27" l="1"/>
  <c r="AE32" i="27" s="1"/>
  <c r="AE21" i="27" s="1"/>
  <c r="AE22" i="27" s="1"/>
  <c r="BO32" i="1"/>
  <c r="BN24" i="1"/>
  <c r="BY73" i="1"/>
  <c r="AE33" i="27" l="1"/>
  <c r="AE23" i="27" s="1"/>
  <c r="AD24" i="27"/>
  <c r="BO33" i="1"/>
  <c r="BO21" i="1"/>
  <c r="BO22" i="1" s="1"/>
  <c r="BY74" i="1"/>
  <c r="AE34" i="27" l="1"/>
  <c r="AF32" i="27" s="1"/>
  <c r="AF33" i="27" s="1"/>
  <c r="AF34" i="27" s="1"/>
  <c r="AG32" i="27" s="1"/>
  <c r="AE24" i="27"/>
  <c r="BO34" i="1"/>
  <c r="BO23" i="1"/>
  <c r="BZ72" i="1"/>
  <c r="AF24" i="27"/>
  <c r="AF23" i="27" l="1"/>
  <c r="AF21" i="27"/>
  <c r="AF22" i="27" s="1"/>
  <c r="BP32" i="1"/>
  <c r="BO24" i="1"/>
  <c r="BZ73" i="1"/>
  <c r="AG33" i="27"/>
  <c r="AG21" i="27"/>
  <c r="AG22" i="27" s="1"/>
  <c r="BP33" i="1" l="1"/>
  <c r="BP21" i="1"/>
  <c r="BP22" i="1" s="1"/>
  <c r="BZ74" i="1"/>
  <c r="AG34" i="27"/>
  <c r="AG23" i="27"/>
  <c r="BP34" i="1" l="1"/>
  <c r="BP23" i="1"/>
  <c r="CA72" i="1"/>
  <c r="AH32" i="27"/>
  <c r="AG24" i="27"/>
  <c r="BQ32" i="1" l="1"/>
  <c r="BP24" i="1"/>
  <c r="CA73" i="1"/>
  <c r="AH33" i="27"/>
  <c r="AH21" i="27"/>
  <c r="BQ33" i="1" l="1"/>
  <c r="BQ21" i="1"/>
  <c r="BQ22" i="1" s="1"/>
  <c r="CA74" i="1"/>
  <c r="AH22" i="27"/>
  <c r="AH23" i="27"/>
  <c r="AH34" i="27"/>
  <c r="AI32" i="27" s="1"/>
  <c r="BQ34" i="1" l="1"/>
  <c r="BQ23" i="1"/>
  <c r="AI33" i="27"/>
  <c r="AI23" i="27" s="1"/>
  <c r="AI21" i="27"/>
  <c r="AI22" i="27" s="1"/>
  <c r="CB72" i="1"/>
  <c r="AH24" i="27"/>
  <c r="BR32" i="1" l="1"/>
  <c r="BQ24" i="1"/>
  <c r="AI34" i="27"/>
  <c r="AJ32" i="27" s="1"/>
  <c r="AJ33" i="27" s="1"/>
  <c r="CB73" i="1"/>
  <c r="BR33" i="1" l="1"/>
  <c r="BR21" i="1"/>
  <c r="BR22" i="1" s="1"/>
  <c r="AI24" i="27"/>
  <c r="AJ23" i="27"/>
  <c r="AJ34" i="27"/>
  <c r="AK32" i="27" s="1"/>
  <c r="AK33" i="27" s="1"/>
  <c r="AK23" i="27" s="1"/>
  <c r="AJ21" i="27"/>
  <c r="AJ22" i="27" s="1"/>
  <c r="CB74" i="1"/>
  <c r="AJ24" i="27" l="1"/>
  <c r="BR34" i="1"/>
  <c r="BR23" i="1"/>
  <c r="AK21" i="27"/>
  <c r="AK22" i="27" s="1"/>
  <c r="CC72" i="1"/>
  <c r="AK34" i="27"/>
  <c r="AK24" i="27" s="1"/>
  <c r="BS32" i="1" l="1"/>
  <c r="BR24" i="1"/>
  <c r="AL32" i="27"/>
  <c r="CC73" i="1"/>
  <c r="BS33" i="1" l="1"/>
  <c r="BS21" i="1"/>
  <c r="BS22" i="1" s="1"/>
  <c r="AL33" i="27"/>
  <c r="AL21" i="27"/>
  <c r="AL22" i="27" s="1"/>
  <c r="CC74" i="1"/>
  <c r="BS34" i="1" l="1"/>
  <c r="BS23" i="1"/>
  <c r="AL23" i="27"/>
  <c r="AL34" i="27"/>
  <c r="CD72" i="1"/>
  <c r="BT32" i="1" l="1"/>
  <c r="BS24" i="1"/>
  <c r="AM32" i="27"/>
  <c r="AL24" i="27"/>
  <c r="CD73" i="1"/>
  <c r="BT33" i="1" l="1"/>
  <c r="BT21" i="1"/>
  <c r="BT22" i="1" s="1"/>
  <c r="AM33" i="27"/>
  <c r="AM21" i="27"/>
  <c r="AM22" i="27" s="1"/>
  <c r="CD74" i="1"/>
  <c r="BT34" i="1" l="1"/>
  <c r="BT23" i="1"/>
  <c r="CE72" i="1"/>
  <c r="AM23" i="27"/>
  <c r="AM34" i="27"/>
  <c r="BU32" i="1" l="1"/>
  <c r="BT24" i="1"/>
  <c r="CE73" i="1"/>
  <c r="AN32" i="27"/>
  <c r="AM24" i="27"/>
  <c r="BU33" i="1" l="1"/>
  <c r="BU21" i="1"/>
  <c r="BU22" i="1" s="1"/>
  <c r="CE74" i="1"/>
  <c r="CF72" i="1" s="1"/>
  <c r="AN33" i="27"/>
  <c r="AN21" i="27"/>
  <c r="AN22" i="27" s="1"/>
  <c r="BU34" i="1" l="1"/>
  <c r="BU23" i="1"/>
  <c r="CF73" i="1"/>
  <c r="AN23" i="27"/>
  <c r="AN34" i="27"/>
  <c r="BV32" i="1" l="1"/>
  <c r="BU24" i="1"/>
  <c r="CF74" i="1"/>
  <c r="AO32" i="27"/>
  <c r="AN24" i="27"/>
  <c r="BV33" i="1" l="1"/>
  <c r="BV21" i="1"/>
  <c r="BV22" i="1" s="1"/>
  <c r="CG72" i="1"/>
  <c r="AO33" i="27"/>
  <c r="AO21" i="27"/>
  <c r="AO22" i="27" s="1"/>
  <c r="BV34" i="1" l="1"/>
  <c r="BV23" i="1"/>
  <c r="CG73" i="1"/>
  <c r="AO23" i="27"/>
  <c r="AO34" i="27"/>
  <c r="BW32" i="1" l="1"/>
  <c r="BV24" i="1"/>
  <c r="CG74" i="1"/>
  <c r="CH72" i="1" s="1"/>
  <c r="EB73" i="26" s="1"/>
  <c r="EC73" i="26" s="1"/>
  <c r="CI66" i="1" s="1"/>
  <c r="AP32" i="27"/>
  <c r="AO24" i="27"/>
  <c r="BW33" i="1" l="1"/>
  <c r="BW21" i="1"/>
  <c r="BW22" i="1" s="1"/>
  <c r="CH73" i="1"/>
  <c r="CH74" i="1" s="1"/>
  <c r="CI72" i="1" s="1"/>
  <c r="CI73" i="1" s="1"/>
  <c r="AP33" i="27"/>
  <c r="AP21" i="27"/>
  <c r="AP22" i="27" s="1"/>
  <c r="BW34" i="1" l="1"/>
  <c r="BW23" i="1"/>
  <c r="CI74" i="1"/>
  <c r="AP23" i="27"/>
  <c r="AP34" i="27"/>
  <c r="CJ72" i="1" l="1"/>
  <c r="BX32" i="1"/>
  <c r="BW24" i="1"/>
  <c r="AQ32" i="27"/>
  <c r="AP24" i="27"/>
  <c r="CJ73" i="1" l="1"/>
  <c r="BX33" i="1"/>
  <c r="BX21" i="1"/>
  <c r="BX22" i="1" s="1"/>
  <c r="AQ33" i="27"/>
  <c r="AQ21" i="27"/>
  <c r="AQ22" i="27" s="1"/>
  <c r="CJ74" i="1" l="1"/>
  <c r="CK72" i="1" s="1"/>
  <c r="BX34" i="1"/>
  <c r="BX23" i="1"/>
  <c r="AQ23" i="27"/>
  <c r="AQ34" i="27"/>
  <c r="CK73" i="1" l="1"/>
  <c r="BY32" i="1"/>
  <c r="BX24" i="1"/>
  <c r="AR32" i="27"/>
  <c r="AQ24" i="27"/>
  <c r="CK74" i="1" l="1"/>
  <c r="BY33" i="1"/>
  <c r="BY21" i="1"/>
  <c r="BY22" i="1" s="1"/>
  <c r="AR33" i="27"/>
  <c r="AR21" i="27"/>
  <c r="AR22" i="27" s="1"/>
  <c r="CL72" i="1" l="1"/>
  <c r="BY34" i="1"/>
  <c r="BY23" i="1"/>
  <c r="AR23" i="27"/>
  <c r="AR34" i="27"/>
  <c r="CL73" i="1" l="1"/>
  <c r="BZ32" i="1"/>
  <c r="BY24" i="1"/>
  <c r="AS32" i="27"/>
  <c r="AR24" i="27"/>
  <c r="CL74" i="1" l="1"/>
  <c r="BZ33" i="1"/>
  <c r="BZ21" i="1"/>
  <c r="BZ22" i="1" s="1"/>
  <c r="AS33" i="27"/>
  <c r="AS21" i="27"/>
  <c r="AS22" i="27" s="1"/>
  <c r="BZ34" i="1" l="1"/>
  <c r="BZ23" i="1"/>
  <c r="CM72" i="1"/>
  <c r="AS23" i="27"/>
  <c r="AS34" i="27"/>
  <c r="CM73" i="1" l="1"/>
  <c r="CA32" i="1"/>
  <c r="BZ24" i="1"/>
  <c r="AT32" i="27"/>
  <c r="AS24" i="27"/>
  <c r="CM74" i="1" l="1"/>
  <c r="CN72" i="1" s="1"/>
  <c r="CA33" i="1"/>
  <c r="CA21" i="1"/>
  <c r="CA22" i="1" s="1"/>
  <c r="AT33" i="27"/>
  <c r="AT21" i="27"/>
  <c r="AT22" i="27" s="1"/>
  <c r="CA34" i="1" l="1"/>
  <c r="CA23" i="1"/>
  <c r="CN73" i="1"/>
  <c r="AT23" i="27"/>
  <c r="AT34" i="27"/>
  <c r="CN74" i="1" l="1"/>
  <c r="CB32" i="1"/>
  <c r="CA24" i="1"/>
  <c r="AU32" i="27"/>
  <c r="AT24" i="27"/>
  <c r="CB33" i="1" l="1"/>
  <c r="CB21" i="1"/>
  <c r="CB22" i="1" s="1"/>
  <c r="CO72" i="1"/>
  <c r="AU33" i="27"/>
  <c r="AU21" i="27"/>
  <c r="AU22" i="27" s="1"/>
  <c r="CO73" i="1" l="1"/>
  <c r="CB34" i="1"/>
  <c r="CB23" i="1"/>
  <c r="AU23" i="27"/>
  <c r="AU34" i="27"/>
  <c r="AV32" i="27" s="1"/>
  <c r="AV33" i="27" s="1"/>
  <c r="AV34" i="27" s="1"/>
  <c r="CO74" i="1" l="1"/>
  <c r="CC32" i="1"/>
  <c r="CB24" i="1"/>
  <c r="AW32" i="27"/>
  <c r="AW33" i="27" s="1"/>
  <c r="AW34" i="27" s="1"/>
  <c r="AX32" i="27" s="1"/>
  <c r="AU24" i="27"/>
  <c r="CC33" i="1" l="1"/>
  <c r="CC21" i="1"/>
  <c r="CC22" i="1" s="1"/>
  <c r="CP72" i="1"/>
  <c r="AW23" i="27"/>
  <c r="AW21" i="27"/>
  <c r="AV21" i="27"/>
  <c r="AV22" i="27" s="1"/>
  <c r="CP73" i="1" l="1"/>
  <c r="CC34" i="1"/>
  <c r="CC23" i="1"/>
  <c r="AW22" i="27"/>
  <c r="AV23" i="27"/>
  <c r="CP74" i="1" l="1"/>
  <c r="CD32" i="1"/>
  <c r="CC24" i="1"/>
  <c r="AX33" i="27"/>
  <c r="AX34" i="27" s="1"/>
  <c r="AV24" i="27"/>
  <c r="CD33" i="1" l="1"/>
  <c r="CD21" i="1"/>
  <c r="CD22" i="1" s="1"/>
  <c r="CQ72" i="1"/>
  <c r="AY32" i="27"/>
  <c r="DY32" i="29" s="1"/>
  <c r="DZ32" i="29" s="1"/>
  <c r="AZ26" i="27" s="1"/>
  <c r="AX23" i="27"/>
  <c r="AX21" i="27"/>
  <c r="AX22" i="27" s="1"/>
  <c r="AW24" i="27"/>
  <c r="CQ73" i="1" l="1"/>
  <c r="CD34" i="1"/>
  <c r="CD23" i="1"/>
  <c r="AZ15" i="27"/>
  <c r="AY21" i="27"/>
  <c r="AY22" i="27" s="1"/>
  <c r="AY33" i="27"/>
  <c r="AY23" i="27" s="1"/>
  <c r="AX24" i="27"/>
  <c r="CQ74" i="1" l="1"/>
  <c r="CE32" i="1"/>
  <c r="CD24" i="1"/>
  <c r="AY34" i="27"/>
  <c r="AY24" i="27" s="1"/>
  <c r="CE33" i="1" l="1"/>
  <c r="CE21" i="1"/>
  <c r="CE22" i="1" s="1"/>
  <c r="CR72" i="1"/>
  <c r="AZ32" i="27"/>
  <c r="AZ33" i="27" s="1"/>
  <c r="CR73" i="1" l="1"/>
  <c r="CE34" i="1"/>
  <c r="CE23" i="1"/>
  <c r="AZ23" i="27"/>
  <c r="AZ34" i="27"/>
  <c r="BA32" i="27" s="1"/>
  <c r="BA33" i="27" s="1"/>
  <c r="AZ21" i="27"/>
  <c r="AZ22" i="27" s="1"/>
  <c r="CH43" i="1"/>
  <c r="EB43" i="26"/>
  <c r="EC43" i="26" s="1"/>
  <c r="CI36" i="1" s="1"/>
  <c r="AZ24" i="27" l="1"/>
  <c r="CR74" i="1"/>
  <c r="CF32" i="1"/>
  <c r="CE24" i="1"/>
  <c r="BA21" i="27"/>
  <c r="BA22" i="27" s="1"/>
  <c r="BA23" i="27"/>
  <c r="BA34" i="27"/>
  <c r="CH44" i="1"/>
  <c r="CI42" i="1" s="1"/>
  <c r="DY11" i="29"/>
  <c r="DZ11" i="29" s="1"/>
  <c r="AZ5" i="27" s="1"/>
  <c r="AZ10" i="27" s="1"/>
  <c r="AZ11" i="27" s="1"/>
  <c r="CF33" i="1" l="1"/>
  <c r="CF21" i="1"/>
  <c r="CF22" i="1" s="1"/>
  <c r="BA24" i="27"/>
  <c r="BB32" i="27"/>
  <c r="CI43" i="1"/>
  <c r="CI44" i="1" s="1"/>
  <c r="CJ42" i="1" s="1"/>
  <c r="AZ12" i="27"/>
  <c r="AZ13" i="27" s="1"/>
  <c r="CJ43" i="1" l="1"/>
  <c r="CF34" i="1"/>
  <c r="CF23" i="1"/>
  <c r="BB33" i="27"/>
  <c r="BB21" i="27"/>
  <c r="BB22" i="27" s="1"/>
  <c r="BA10" i="27"/>
  <c r="BA12" i="27" s="1"/>
  <c r="BA13" i="27" s="1"/>
  <c r="CJ44" i="1"/>
  <c r="CK42" i="1" l="1"/>
  <c r="CG32" i="1"/>
  <c r="CF24" i="1"/>
  <c r="BB34" i="27"/>
  <c r="BB23" i="27"/>
  <c r="BA11" i="27"/>
  <c r="FF11" i="29" s="1"/>
  <c r="FG11" i="29" s="1"/>
  <c r="BB5" i="27" s="1"/>
  <c r="BB10" i="27" s="1"/>
  <c r="CK43" i="1" l="1"/>
  <c r="CG33" i="1"/>
  <c r="CG21" i="1"/>
  <c r="CG22" i="1" s="1"/>
  <c r="BC32" i="27"/>
  <c r="BB24" i="27"/>
  <c r="CG34" i="1" l="1"/>
  <c r="CG23" i="1"/>
  <c r="CK44" i="1"/>
  <c r="BC33" i="27"/>
  <c r="BC21" i="27"/>
  <c r="BC22" i="27" s="1"/>
  <c r="BB12" i="27"/>
  <c r="BB13" i="27" s="1"/>
  <c r="BC10" i="27" s="1"/>
  <c r="BC12" i="27" s="1"/>
  <c r="BC13" i="27" s="1"/>
  <c r="BD10" i="27" s="1"/>
  <c r="BD12" i="27" s="1"/>
  <c r="BD13" i="27" s="1"/>
  <c r="BE10" i="27" s="1"/>
  <c r="BE12" i="27" s="1"/>
  <c r="BE13" i="27" s="1"/>
  <c r="BF10" i="27" s="1"/>
  <c r="BF12" i="27" s="1"/>
  <c r="BF13" i="27" s="1"/>
  <c r="BG10" i="27" s="1"/>
  <c r="BG12" i="27" s="1"/>
  <c r="BG13" i="27" s="1"/>
  <c r="BH10" i="27" s="1"/>
  <c r="BB11" i="27"/>
  <c r="BH12" i="27" l="1"/>
  <c r="BH13" i="27" s="1"/>
  <c r="CL42" i="1"/>
  <c r="CH32" i="1"/>
  <c r="CG24" i="1"/>
  <c r="BC34" i="27"/>
  <c r="BC23" i="27"/>
  <c r="BC11" i="27"/>
  <c r="BD11" i="27" s="1"/>
  <c r="BE11" i="27" s="1"/>
  <c r="BF11" i="27" s="1"/>
  <c r="EB33" i="26" l="1"/>
  <c r="EC33" i="26" s="1"/>
  <c r="CI26" i="1" s="1"/>
  <c r="CI15" i="1" s="1"/>
  <c r="CH33" i="1"/>
  <c r="CH21" i="1"/>
  <c r="CH22" i="1" s="1"/>
  <c r="CL43" i="1"/>
  <c r="BG11" i="27"/>
  <c r="BH11" i="27" s="1"/>
  <c r="BD32" i="27"/>
  <c r="BC24" i="27"/>
  <c r="CL44" i="1" l="1"/>
  <c r="CH34" i="1"/>
  <c r="CH23" i="1"/>
  <c r="FQ11" i="29"/>
  <c r="FR11" i="29" s="1"/>
  <c r="BD33" i="27"/>
  <c r="BD21" i="27"/>
  <c r="BD22" i="27" s="1"/>
  <c r="BI5" i="27" l="1"/>
  <c r="BI10" i="27" s="1"/>
  <c r="BI12" i="27" s="1"/>
  <c r="CI32" i="1"/>
  <c r="CH24" i="1"/>
  <c r="CM42" i="1"/>
  <c r="BD34" i="27"/>
  <c r="BD23" i="27"/>
  <c r="BI11" i="27" l="1"/>
  <c r="CM43" i="1"/>
  <c r="CI33" i="1"/>
  <c r="CI21" i="1"/>
  <c r="CI22" i="1" s="1"/>
  <c r="BE32" i="27"/>
  <c r="BD24" i="27"/>
  <c r="CI34" i="1" l="1"/>
  <c r="CI23" i="1"/>
  <c r="CM44" i="1"/>
  <c r="CN42" i="1" s="1"/>
  <c r="BI13" i="27"/>
  <c r="BE33" i="27"/>
  <c r="BE21" i="27"/>
  <c r="BE22" i="27" s="1"/>
  <c r="CN43" i="1" l="1"/>
  <c r="CJ32" i="1"/>
  <c r="CI24" i="1"/>
  <c r="BE34" i="27"/>
  <c r="BE23" i="27"/>
  <c r="CJ33" i="1" l="1"/>
  <c r="CJ21" i="1"/>
  <c r="CJ22" i="1" s="1"/>
  <c r="CN44" i="1"/>
  <c r="BF32" i="27"/>
  <c r="BE24" i="27"/>
  <c r="CO42" i="1" l="1"/>
  <c r="CJ23" i="1"/>
  <c r="CJ34" i="1"/>
  <c r="BF33" i="27"/>
  <c r="BF21" i="27"/>
  <c r="BF22" i="27" s="1"/>
  <c r="CK32" i="1" l="1"/>
  <c r="CJ24" i="1"/>
  <c r="CO43" i="1"/>
  <c r="BF34" i="27"/>
  <c r="BF23" i="27"/>
  <c r="CO44" i="1" l="1"/>
  <c r="CK33" i="1"/>
  <c r="CK21" i="1"/>
  <c r="CK22" i="1" s="1"/>
  <c r="BG32" i="27"/>
  <c r="BF24" i="27"/>
  <c r="CK34" i="1" l="1"/>
  <c r="CK23" i="1"/>
  <c r="CP42" i="1"/>
  <c r="BG33" i="27"/>
  <c r="BG21" i="27"/>
  <c r="BG22" i="27" s="1"/>
  <c r="CP43" i="1" l="1"/>
  <c r="CL32" i="1"/>
  <c r="CK24" i="1"/>
  <c r="BG34" i="27"/>
  <c r="BG23" i="27"/>
  <c r="CL33" i="1" l="1"/>
  <c r="CL21" i="1"/>
  <c r="CL22" i="1" s="1"/>
  <c r="CP44" i="1"/>
  <c r="BH32" i="27"/>
  <c r="BG24" i="27"/>
  <c r="CQ42" i="1" l="1"/>
  <c r="CL34" i="1"/>
  <c r="CL23" i="1"/>
  <c r="BH33" i="27"/>
  <c r="BH21" i="27"/>
  <c r="BH22" i="27" s="1"/>
  <c r="CM32" i="1" l="1"/>
  <c r="CL24" i="1"/>
  <c r="CQ43" i="1"/>
  <c r="BH34" i="27"/>
  <c r="BH23" i="27"/>
  <c r="CQ44" i="1" l="1"/>
  <c r="CM33" i="1"/>
  <c r="CM21" i="1"/>
  <c r="CM22" i="1" s="1"/>
  <c r="BH24" i="27"/>
  <c r="BI32" i="27"/>
  <c r="CM34" i="1" l="1"/>
  <c r="CM23" i="1"/>
  <c r="CR42" i="1"/>
  <c r="BI33" i="27"/>
  <c r="BI21" i="27"/>
  <c r="BI22" i="27" s="1"/>
  <c r="CR43" i="1" l="1"/>
  <c r="CM24" i="1"/>
  <c r="CN32" i="1"/>
  <c r="BI34" i="27"/>
  <c r="BI23" i="27"/>
  <c r="BI24" i="27" l="1"/>
  <c r="CN33" i="1"/>
  <c r="CN21" i="1"/>
  <c r="CN22" i="1" s="1"/>
  <c r="CR44" i="1"/>
  <c r="CN34" i="1" l="1"/>
  <c r="CN23" i="1"/>
  <c r="CO32" i="1" l="1"/>
  <c r="CN24" i="1"/>
  <c r="CO33" i="1" l="1"/>
  <c r="CO21" i="1"/>
  <c r="CO22" i="1" s="1"/>
  <c r="CO34" i="1" l="1"/>
  <c r="CO23" i="1"/>
  <c r="CP32" i="1" l="1"/>
  <c r="CO24" i="1"/>
  <c r="CP33" i="1" l="1"/>
  <c r="CP21" i="1"/>
  <c r="CP22" i="1" s="1"/>
  <c r="CP34" i="1" l="1"/>
  <c r="CP23" i="1"/>
  <c r="CQ32" i="1" l="1"/>
  <c r="CP24" i="1"/>
  <c r="CQ33" i="1" l="1"/>
  <c r="CQ21" i="1"/>
  <c r="CQ22" i="1" s="1"/>
  <c r="CQ34" i="1" l="1"/>
  <c r="CQ23" i="1"/>
  <c r="CR32" i="1" l="1"/>
  <c r="CQ24" i="1"/>
  <c r="CR33" i="1" l="1"/>
  <c r="CR21" i="1"/>
  <c r="CR22" i="1" s="1"/>
  <c r="CR34" i="1" l="1"/>
  <c r="CR23" i="1"/>
  <c r="CR24" i="1" l="1"/>
  <c r="CR11" i="11" l="1"/>
  <c r="CR20" i="11" l="1"/>
  <c r="BH23" i="28" l="1"/>
  <c r="CR61" i="11"/>
  <c r="CR63" i="11"/>
  <c r="BH61" i="28" l="1"/>
  <c r="CR64" i="11"/>
  <c r="CR62" i="11"/>
  <c r="CR60" i="11"/>
  <c r="CR28" i="11"/>
  <c r="CR33" i="11" s="1"/>
  <c r="CR65" i="11" l="1"/>
  <c r="CR34" i="11"/>
  <c r="CS57" i="1" s="1"/>
  <c r="CR32" i="11"/>
  <c r="CR35" i="11"/>
  <c r="CS47" i="1"/>
  <c r="CR31" i="11"/>
  <c r="CR36" i="11" l="1"/>
  <c r="CS27" i="1"/>
  <c r="CS67" i="1"/>
  <c r="CS37" i="1"/>
  <c r="CS16" i="1" l="1"/>
  <c r="CS63" i="11" l="1"/>
  <c r="CT62" i="11" l="1"/>
  <c r="CT61" i="11"/>
  <c r="CT64" i="11"/>
  <c r="CT63" i="11"/>
  <c r="CS61" i="11"/>
  <c r="CS28" i="11"/>
  <c r="CS34" i="11" s="1"/>
  <c r="CT57" i="1" s="1"/>
  <c r="CS60" i="11"/>
  <c r="CS64" i="11"/>
  <c r="CT28" i="11"/>
  <c r="CT33" i="11" s="1"/>
  <c r="CU47" i="1" s="1"/>
  <c r="CT60" i="11"/>
  <c r="CS62" i="11"/>
  <c r="CT34" i="11" l="1"/>
  <c r="CU57" i="1" s="1"/>
  <c r="CS33" i="11"/>
  <c r="CT41" i="11" s="1"/>
  <c r="CS35" i="11"/>
  <c r="CS31" i="11"/>
  <c r="CT27" i="1" s="1"/>
  <c r="CT67" i="1"/>
  <c r="CT35" i="11"/>
  <c r="CU67" i="1" s="1"/>
  <c r="CS65" i="11"/>
  <c r="CT32" i="11"/>
  <c r="CU37" i="1" s="1"/>
  <c r="CT42" i="11"/>
  <c r="CT31" i="11"/>
  <c r="CS32" i="11"/>
  <c r="CT65" i="11"/>
  <c r="BN26" i="28"/>
  <c r="BR27" i="28"/>
  <c r="CT47" i="1" l="1"/>
  <c r="CS36" i="11"/>
  <c r="CT43" i="11"/>
  <c r="CT36" i="11"/>
  <c r="CT44" i="11" s="1"/>
  <c r="CU27" i="1"/>
  <c r="CT37" i="1"/>
  <c r="CT40" i="11"/>
  <c r="CT39" i="11"/>
  <c r="BR65" i="28"/>
  <c r="BN64" i="28"/>
  <c r="BV23" i="28"/>
  <c r="BJ23" i="28"/>
  <c r="BH27" i="28"/>
  <c r="BV27" i="28"/>
  <c r="BV65" i="28" s="1"/>
  <c r="BH24" i="28"/>
  <c r="BV24" i="28"/>
  <c r="BH25" i="28"/>
  <c r="BV25" i="28"/>
  <c r="BH26" i="28"/>
  <c r="BV26" i="28"/>
  <c r="BI26" i="28"/>
  <c r="BP27" i="28"/>
  <c r="BM27" i="28"/>
  <c r="BN27" i="28"/>
  <c r="BK27" i="28"/>
  <c r="BO27" i="28"/>
  <c r="BI27" i="28"/>
  <c r="BL27" i="28"/>
  <c r="BJ27" i="28"/>
  <c r="BQ25" i="28"/>
  <c r="BS27" i="28"/>
  <c r="BL26" i="28"/>
  <c r="BO26" i="28"/>
  <c r="BT26" i="28"/>
  <c r="BQ27" i="28"/>
  <c r="BU27" i="28"/>
  <c r="BT27" i="28"/>
  <c r="BK26" i="28"/>
  <c r="BS26" i="28"/>
  <c r="BR26" i="28"/>
  <c r="BJ26" i="28"/>
  <c r="BQ26" i="28"/>
  <c r="BM26" i="28"/>
  <c r="BU26" i="28"/>
  <c r="BP26" i="28"/>
  <c r="BQ24" i="28"/>
  <c r="BQ62" i="28" s="1"/>
  <c r="BK25" i="28"/>
  <c r="BR24" i="28"/>
  <c r="BM24" i="28"/>
  <c r="BJ24" i="28"/>
  <c r="BI24" i="28"/>
  <c r="BL24" i="28"/>
  <c r="BU24" i="28"/>
  <c r="BU62" i="28" s="1"/>
  <c r="BO24" i="28"/>
  <c r="BP24" i="28"/>
  <c r="BT24" i="28"/>
  <c r="BS24" i="28"/>
  <c r="BN24" i="28"/>
  <c r="BM25" i="28"/>
  <c r="BI25" i="28"/>
  <c r="BR25" i="28"/>
  <c r="BO25" i="28"/>
  <c r="BK24" i="28"/>
  <c r="BP25" i="28"/>
  <c r="BT25" i="28"/>
  <c r="BN25" i="28"/>
  <c r="BL25" i="28"/>
  <c r="BU25" i="28"/>
  <c r="BS25" i="28"/>
  <c r="BJ25" i="28"/>
  <c r="CU16" i="1" l="1"/>
  <c r="BP62" i="28"/>
  <c r="BM65" i="28"/>
  <c r="BS63" i="28"/>
  <c r="BR63" i="28"/>
  <c r="BP64" i="28"/>
  <c r="BT65" i="28"/>
  <c r="BJ65" i="28"/>
  <c r="BI64" i="28"/>
  <c r="BH65" i="28"/>
  <c r="BK62" i="28"/>
  <c r="BO62" i="28"/>
  <c r="BL62" i="28"/>
  <c r="BJ61" i="28"/>
  <c r="BJ28" i="28"/>
  <c r="BJ35" i="28" s="1"/>
  <c r="BL67" i="27" s="1"/>
  <c r="BS65" i="28"/>
  <c r="BO63" i="28"/>
  <c r="BQ63" i="28"/>
  <c r="BU63" i="28"/>
  <c r="BV64" i="28"/>
  <c r="BL63" i="28"/>
  <c r="BM63" i="28"/>
  <c r="BI62" i="28"/>
  <c r="BM64" i="28"/>
  <c r="BQ65" i="28"/>
  <c r="BI65" i="28"/>
  <c r="BH64" i="28"/>
  <c r="BV61" i="28"/>
  <c r="BV28" i="28"/>
  <c r="BV35" i="28" s="1"/>
  <c r="CT16" i="1"/>
  <c r="BH62" i="28"/>
  <c r="BH28" i="28"/>
  <c r="BH31" i="28" s="1"/>
  <c r="BU65" i="28"/>
  <c r="BJ62" i="28"/>
  <c r="BJ32" i="28"/>
  <c r="BL37" i="27" s="1"/>
  <c r="BT64" i="28"/>
  <c r="BV63" i="28"/>
  <c r="BS64" i="28"/>
  <c r="BJ63" i="28"/>
  <c r="BJ33" i="28"/>
  <c r="BL47" i="27" s="1"/>
  <c r="BP65" i="28"/>
  <c r="BI63" i="28"/>
  <c r="BL65" i="28"/>
  <c r="BN62" i="28"/>
  <c r="BO65" i="28"/>
  <c r="BS62" i="28"/>
  <c r="BJ64" i="28"/>
  <c r="BJ34" i="28"/>
  <c r="BL57" i="27" s="1"/>
  <c r="BO64" i="28"/>
  <c r="BK65" i="28"/>
  <c r="BH63" i="28"/>
  <c r="BH33" i="28"/>
  <c r="BK63" i="28"/>
  <c r="BK64" i="28"/>
  <c r="BU64" i="28"/>
  <c r="BN63" i="28"/>
  <c r="BQ64" i="28"/>
  <c r="BT63" i="28"/>
  <c r="BM62" i="28"/>
  <c r="BP63" i="28"/>
  <c r="BT62" i="28"/>
  <c r="BR62" i="28"/>
  <c r="BR64" i="28"/>
  <c r="BL64" i="28"/>
  <c r="BN65" i="28"/>
  <c r="BV62" i="28"/>
  <c r="BU23" i="28"/>
  <c r="BM23" i="28"/>
  <c r="BL23" i="28"/>
  <c r="BS23" i="28"/>
  <c r="BK23" i="28"/>
  <c r="BI23" i="28"/>
  <c r="BO23" i="28"/>
  <c r="BN23" i="28"/>
  <c r="BT23" i="28"/>
  <c r="BR23" i="28"/>
  <c r="BQ23" i="28"/>
  <c r="BP23" i="28"/>
  <c r="BJ31" i="28" l="1"/>
  <c r="BJ36" i="28" s="1"/>
  <c r="BV32" i="28"/>
  <c r="BV33" i="28"/>
  <c r="BH32" i="28"/>
  <c r="BH34" i="28"/>
  <c r="BJ57" i="27" s="1"/>
  <c r="BH35" i="28"/>
  <c r="BH66" i="28"/>
  <c r="BP61" i="28"/>
  <c r="BP66" i="28" s="1"/>
  <c r="BP73" i="28" s="1"/>
  <c r="BP74" i="28" s="1"/>
  <c r="BP28" i="28"/>
  <c r="BP31" i="28" s="1"/>
  <c r="BJ67" i="27"/>
  <c r="BJ37" i="27"/>
  <c r="BI61" i="28"/>
  <c r="BI66" i="28" s="1"/>
  <c r="BI28" i="28"/>
  <c r="BI31" i="28" s="1"/>
  <c r="BL28" i="28"/>
  <c r="BL61" i="28"/>
  <c r="BL66" i="28" s="1"/>
  <c r="BL70" i="28" s="1"/>
  <c r="BL74" i="28" s="1"/>
  <c r="BL31" i="28"/>
  <c r="BJ66" i="28"/>
  <c r="BM28" i="28"/>
  <c r="BM61" i="28"/>
  <c r="BM66" i="28" s="1"/>
  <c r="BM70" i="28" s="1"/>
  <c r="BM74" i="28" s="1"/>
  <c r="BM31" i="28"/>
  <c r="BJ47" i="27"/>
  <c r="BV31" i="28"/>
  <c r="BK61" i="28"/>
  <c r="BK66" i="28" s="1"/>
  <c r="BK70" i="28" s="1"/>
  <c r="BK74" i="28" s="1"/>
  <c r="BK28" i="28"/>
  <c r="BK31" i="28" s="1"/>
  <c r="BQ61" i="28"/>
  <c r="BQ66" i="28" s="1"/>
  <c r="BQ71" i="28" s="1"/>
  <c r="BQ74" i="28" s="1"/>
  <c r="BQ28" i="28"/>
  <c r="BQ31" i="28" s="1"/>
  <c r="BR61" i="28"/>
  <c r="BR66" i="28" s="1"/>
  <c r="BR73" i="28" s="1"/>
  <c r="BR74" i="28" s="1"/>
  <c r="BR28" i="28"/>
  <c r="BR31" i="28" s="1"/>
  <c r="BT28" i="28"/>
  <c r="BT61" i="28"/>
  <c r="BT66" i="28" s="1"/>
  <c r="BT70" i="28" s="1"/>
  <c r="BT74" i="28" s="1"/>
  <c r="BT31" i="28"/>
  <c r="BU61" i="28"/>
  <c r="BU66" i="28" s="1"/>
  <c r="BU72" i="28" s="1"/>
  <c r="BU74" i="28" s="1"/>
  <c r="BU28" i="28"/>
  <c r="BU31" i="28" s="1"/>
  <c r="BO28" i="28"/>
  <c r="BO31" i="28" s="1"/>
  <c r="BO61" i="28"/>
  <c r="BO66" i="28" s="1"/>
  <c r="BO70" i="28" s="1"/>
  <c r="BO74" i="28" s="1"/>
  <c r="BS28" i="28"/>
  <c r="BS61" i="28"/>
  <c r="BS66" i="28" s="1"/>
  <c r="BS72" i="28" s="1"/>
  <c r="BS74" i="28" s="1"/>
  <c r="BN61" i="28"/>
  <c r="BN66" i="28" s="1"/>
  <c r="BN73" i="28" s="1"/>
  <c r="BN74" i="28" s="1"/>
  <c r="BN28" i="28"/>
  <c r="BN31" i="28" s="1"/>
  <c r="BJ27" i="27"/>
  <c r="BV66" i="28"/>
  <c r="BV70" i="28" s="1"/>
  <c r="BV74" i="28" s="1"/>
  <c r="BV34" i="28"/>
  <c r="BL27" i="27" l="1"/>
  <c r="BH36" i="28"/>
  <c r="BK27" i="27"/>
  <c r="BJ39" i="28"/>
  <c r="BT33" i="28"/>
  <c r="BT35" i="28"/>
  <c r="BT32" i="28"/>
  <c r="BT34" i="28"/>
  <c r="BK35" i="28"/>
  <c r="BK34" i="28"/>
  <c r="BK32" i="28"/>
  <c r="BK33" i="28"/>
  <c r="BL35" i="28"/>
  <c r="BL34" i="28"/>
  <c r="BL32" i="28"/>
  <c r="BL33" i="28"/>
  <c r="BN34" i="28"/>
  <c r="BN33" i="28"/>
  <c r="BN35" i="28"/>
  <c r="BN32" i="28"/>
  <c r="BM35" i="28"/>
  <c r="BM33" i="28"/>
  <c r="BM34" i="28"/>
  <c r="BM32" i="28"/>
  <c r="BP35" i="28"/>
  <c r="BP33" i="28"/>
  <c r="BP32" i="28"/>
  <c r="BP34" i="28"/>
  <c r="BJ16" i="27"/>
  <c r="BS33" i="28"/>
  <c r="BS35" i="28"/>
  <c r="BS32" i="28"/>
  <c r="BS34" i="28"/>
  <c r="BO32" i="28"/>
  <c r="BO35" i="28"/>
  <c r="BO34" i="28"/>
  <c r="BO33" i="28"/>
  <c r="BR35" i="28"/>
  <c r="BR32" i="28"/>
  <c r="BR33" i="28"/>
  <c r="BR34" i="28"/>
  <c r="BU32" i="28"/>
  <c r="BU35" i="28"/>
  <c r="BU34" i="28"/>
  <c r="BU33" i="28"/>
  <c r="BV36" i="28"/>
  <c r="BI34" i="28"/>
  <c r="BI33" i="28"/>
  <c r="BI35" i="28"/>
  <c r="BI32" i="28"/>
  <c r="BS31" i="28"/>
  <c r="BQ32" i="28"/>
  <c r="BQ35" i="28"/>
  <c r="BQ33" i="28"/>
  <c r="BQ34" i="28"/>
  <c r="BL16" i="27"/>
  <c r="BM36" i="28" l="1"/>
  <c r="BL36" i="28"/>
  <c r="BT36" i="28"/>
  <c r="BU36" i="28"/>
  <c r="BO36" i="28"/>
  <c r="BQ36" i="28"/>
  <c r="BR36" i="28"/>
  <c r="BP36" i="28"/>
  <c r="BN36" i="28"/>
  <c r="BK36" i="28"/>
  <c r="BV43" i="28"/>
  <c r="BK57" i="27"/>
  <c r="BJ42" i="28"/>
  <c r="BV42" i="28"/>
  <c r="BS36" i="28"/>
  <c r="BK37" i="27"/>
  <c r="BJ40" i="28"/>
  <c r="BV39" i="28"/>
  <c r="BV41" i="28"/>
  <c r="BK67" i="27"/>
  <c r="BJ43" i="28"/>
  <c r="BK47" i="27"/>
  <c r="BJ41" i="28"/>
  <c r="BV40" i="28"/>
  <c r="BI36" i="28"/>
  <c r="BJ44" i="28" s="1"/>
  <c r="BV44" i="28" l="1"/>
  <c r="BK16" i="27"/>
  <c r="BJ6" i="27" l="1"/>
  <c r="BL6" i="27" l="1"/>
  <c r="BK6" i="27"/>
  <c r="CT54" i="11" l="1"/>
  <c r="CS54" i="11"/>
  <c r="CT53" i="11"/>
  <c r="CS53" i="11"/>
  <c r="CT52" i="11"/>
  <c r="CS52" i="11"/>
  <c r="CT51" i="11"/>
  <c r="CS51" i="11"/>
  <c r="CR54" i="11"/>
  <c r="CR53" i="11"/>
  <c r="CR52" i="11"/>
  <c r="CR51" i="11"/>
  <c r="CG24" i="22" l="1"/>
  <c r="CH10" i="22"/>
  <c r="CH17" i="22"/>
  <c r="CH24" i="22"/>
  <c r="CH31" i="22"/>
  <c r="CG10" i="22"/>
  <c r="CG17" i="22"/>
  <c r="CG31" i="22"/>
  <c r="CI10" i="22"/>
  <c r="CI17" i="22"/>
  <c r="CI24" i="22"/>
  <c r="CI31" i="22"/>
  <c r="CG18" i="22" l="1"/>
  <c r="CH18" i="22" s="1"/>
  <c r="CI18" i="22" s="1"/>
  <c r="CI20" i="22" s="1"/>
  <c r="CI21" i="22" s="1"/>
  <c r="CI22" i="22" s="1"/>
  <c r="CG19" i="22"/>
  <c r="CH19" i="22" s="1"/>
  <c r="CI19" i="22" s="1"/>
  <c r="CG20" i="22"/>
  <c r="CG21" i="22" s="1"/>
  <c r="CG22" i="22" s="1"/>
  <c r="CG32" i="22"/>
  <c r="CH32" i="22" s="1"/>
  <c r="CI32" i="22" s="1"/>
  <c r="CG33" i="22"/>
  <c r="CH33" i="22" s="1"/>
  <c r="CI33" i="22" s="1"/>
  <c r="CG12" i="22"/>
  <c r="CH12" i="22" s="1"/>
  <c r="CI12" i="22" s="1"/>
  <c r="CG11" i="22"/>
  <c r="CH11" i="22" s="1"/>
  <c r="CI11" i="22" s="1"/>
  <c r="CG25" i="22"/>
  <c r="CH25" i="22" s="1"/>
  <c r="CG26" i="22"/>
  <c r="CH26" i="22" s="1"/>
  <c r="CI26" i="22" s="1"/>
  <c r="CH34" i="22" l="1"/>
  <c r="CH35" i="22" s="1"/>
  <c r="CH36" i="22" s="1"/>
  <c r="CI13" i="22"/>
  <c r="CI14" i="22" s="1"/>
  <c r="CI15" i="22" s="1"/>
  <c r="CG34" i="22"/>
  <c r="CG35" i="22" s="1"/>
  <c r="CG36" i="22" s="1"/>
  <c r="CH20" i="22"/>
  <c r="CH21" i="22" s="1"/>
  <c r="CH22" i="22" s="1"/>
  <c r="CI34" i="22"/>
  <c r="CI35" i="22" s="1"/>
  <c r="CI36" i="22" s="1"/>
  <c r="CG27" i="22"/>
  <c r="CG28" i="22" s="1"/>
  <c r="CG29" i="22" s="1"/>
  <c r="CH27" i="22"/>
  <c r="CH28" i="22" s="1"/>
  <c r="CH29" i="22" s="1"/>
  <c r="CH13" i="22"/>
  <c r="CH14" i="22" s="1"/>
  <c r="CH15" i="22" s="1"/>
  <c r="CG13" i="22"/>
  <c r="CG14" i="22" s="1"/>
  <c r="CG15" i="22" s="1"/>
  <c r="CI25" i="22"/>
  <c r="CI27" i="22" s="1"/>
  <c r="CI28" i="22" s="1"/>
  <c r="CI29" i="22" s="1"/>
  <c r="BH58" i="28" l="1"/>
  <c r="CR57" i="11"/>
  <c r="CR71" i="11" l="1"/>
  <c r="CS58" i="1" s="1"/>
  <c r="CS59" i="1" s="1"/>
  <c r="CS60" i="1" s="1"/>
  <c r="CS61" i="1" s="1"/>
  <c r="CS62" i="1" s="1"/>
  <c r="CS63" i="1" s="1"/>
  <c r="CS64" i="1" s="1"/>
  <c r="CR69" i="11"/>
  <c r="CS38" i="1" s="1"/>
  <c r="CS39" i="1" s="1"/>
  <c r="CS40" i="1" s="1"/>
  <c r="CS41" i="1" s="1"/>
  <c r="CS42" i="1" s="1"/>
  <c r="CS43" i="1" s="1"/>
  <c r="CS44" i="1" s="1"/>
  <c r="CR70" i="11"/>
  <c r="CS48" i="1" s="1"/>
  <c r="CS49" i="1" s="1"/>
  <c r="CS50" i="1" s="1"/>
  <c r="CS51" i="1" s="1"/>
  <c r="CS52" i="1" s="1"/>
  <c r="CS53" i="1" s="1"/>
  <c r="CS54" i="1" s="1"/>
  <c r="CR72" i="11"/>
  <c r="CS68" i="1" s="1"/>
  <c r="CS69" i="1" s="1"/>
  <c r="BH51" i="28"/>
  <c r="CR50" i="11"/>
  <c r="CG3" i="22" l="1"/>
  <c r="CR68" i="11"/>
  <c r="CR73" i="11" s="1"/>
  <c r="CR55" i="11"/>
  <c r="CS28" i="1"/>
  <c r="CS17" i="1" s="1"/>
  <c r="AV3" i="30"/>
  <c r="BH69" i="28"/>
  <c r="BJ28" i="27" s="1"/>
  <c r="CS70" i="1"/>
  <c r="AV4" i="30" l="1"/>
  <c r="AV5" i="30" s="1"/>
  <c r="CS71" i="1"/>
  <c r="CG4" i="22"/>
  <c r="CG5" i="22"/>
  <c r="CG6" i="22" l="1"/>
  <c r="CG7" i="22" s="1"/>
  <c r="CG8" i="22" s="1"/>
  <c r="CS29" i="1" s="1"/>
  <c r="CS18" i="1" s="1"/>
  <c r="AV6" i="30"/>
  <c r="AV7" i="30" s="1"/>
  <c r="AV8" i="30" s="1"/>
  <c r="BJ29" i="27" s="1"/>
  <c r="BJ30" i="27" s="1"/>
  <c r="BJ31" i="27" s="1"/>
  <c r="BJ32" i="27" s="1"/>
  <c r="BJ33" i="27" s="1"/>
  <c r="BJ34" i="27" s="1"/>
  <c r="CS30" i="1"/>
  <c r="CS72" i="1"/>
  <c r="CS73" i="1" s="1"/>
  <c r="CS74" i="1" l="1"/>
  <c r="CS31" i="1"/>
  <c r="CS19" i="1"/>
  <c r="BI52" i="28"/>
  <c r="BJ54" i="28"/>
  <c r="BJ55" i="28"/>
  <c r="AX31" i="30" s="1"/>
  <c r="BI55" i="28"/>
  <c r="BI54" i="28"/>
  <c r="BH54" i="28"/>
  <c r="BH53" i="28"/>
  <c r="BH52" i="28"/>
  <c r="BH55" i="28"/>
  <c r="BJ53" i="28"/>
  <c r="BI53" i="28"/>
  <c r="AW17" i="30" s="1"/>
  <c r="BJ52" i="28"/>
  <c r="BJ58" i="28"/>
  <c r="BJ73" i="28" s="1"/>
  <c r="BL68" i="27" s="1"/>
  <c r="CT57" i="11"/>
  <c r="CT69" i="11" l="1"/>
  <c r="CU38" i="1" s="1"/>
  <c r="CU39" i="1" s="1"/>
  <c r="CU40" i="1" s="1"/>
  <c r="CU41" i="1" s="1"/>
  <c r="CT70" i="11"/>
  <c r="CU48" i="1" s="1"/>
  <c r="CU49" i="1" s="1"/>
  <c r="CU50" i="1" s="1"/>
  <c r="CU51" i="1" s="1"/>
  <c r="CT71" i="11"/>
  <c r="CU58" i="1" s="1"/>
  <c r="CU59" i="1" s="1"/>
  <c r="CU60" i="1" s="1"/>
  <c r="CU61" i="1" s="1"/>
  <c r="CT72" i="11"/>
  <c r="CU68" i="1" s="1"/>
  <c r="CU69" i="1" s="1"/>
  <c r="BL7" i="27"/>
  <c r="BL8" i="27" s="1"/>
  <c r="AX10" i="30"/>
  <c r="BJ70" i="28"/>
  <c r="BL38" i="27" s="1"/>
  <c r="BH73" i="28"/>
  <c r="BJ68" i="27" s="1"/>
  <c r="AV31" i="30"/>
  <c r="AV32" i="30" s="1"/>
  <c r="AV33" i="30" s="1"/>
  <c r="AV34" i="30" s="1"/>
  <c r="AV35" i="30" s="1"/>
  <c r="AV36" i="30" s="1"/>
  <c r="BH71" i="28"/>
  <c r="BJ48" i="27" s="1"/>
  <c r="AV17" i="30"/>
  <c r="AV18" i="30" s="1"/>
  <c r="AV19" i="30" s="1"/>
  <c r="AV20" i="30" s="1"/>
  <c r="AV21" i="30" s="1"/>
  <c r="AV22" i="30" s="1"/>
  <c r="AV24" i="30"/>
  <c r="AV25" i="30" s="1"/>
  <c r="AV26" i="30" s="1"/>
  <c r="AV27" i="30" s="1"/>
  <c r="AV28" i="30" s="1"/>
  <c r="AV29" i="30" s="1"/>
  <c r="BH72" i="28"/>
  <c r="BJ58" i="27" s="1"/>
  <c r="AW10" i="30"/>
  <c r="AX17" i="30"/>
  <c r="BJ71" i="28"/>
  <c r="BL48" i="27" s="1"/>
  <c r="BH70" i="28"/>
  <c r="AV10" i="30"/>
  <c r="AV11" i="30" s="1"/>
  <c r="AV12" i="30" s="1"/>
  <c r="AV13" i="30" s="1"/>
  <c r="AV14" i="30" s="1"/>
  <c r="AV15" i="30" s="1"/>
  <c r="BJ38" i="27"/>
  <c r="BH56" i="28"/>
  <c r="BJ7" i="27"/>
  <c r="BJ8" i="27" s="1"/>
  <c r="BJ10" i="27" s="1"/>
  <c r="AW24" i="30"/>
  <c r="AW31" i="30"/>
  <c r="AW32" i="30" s="1"/>
  <c r="AW33" i="30" s="1"/>
  <c r="AW34" i="30" s="1"/>
  <c r="AW35" i="30" s="1"/>
  <c r="AW36" i="30" s="1"/>
  <c r="AX24" i="30"/>
  <c r="BJ72" i="28"/>
  <c r="BL58" i="27" s="1"/>
  <c r="CS32" i="1"/>
  <c r="CS21" i="1" s="1"/>
  <c r="CS22" i="1" s="1"/>
  <c r="CS20" i="1"/>
  <c r="BJ51" i="28"/>
  <c r="BK7" i="27"/>
  <c r="BK8" i="27" s="1"/>
  <c r="BI58" i="28"/>
  <c r="BI71" i="28" s="1"/>
  <c r="BK48" i="27" s="1"/>
  <c r="CS57" i="11"/>
  <c r="CT50" i="11"/>
  <c r="BJ86" i="27"/>
  <c r="BJ77" i="27"/>
  <c r="BJ78" i="27" s="1"/>
  <c r="BJ79" i="27" s="1"/>
  <c r="BJ59" i="27" l="1"/>
  <c r="BJ60" i="27" s="1"/>
  <c r="BJ61" i="27" s="1"/>
  <c r="BJ62" i="27" s="1"/>
  <c r="BJ63" i="27" s="1"/>
  <c r="BJ64" i="27" s="1"/>
  <c r="BJ49" i="27"/>
  <c r="BJ50" i="27" s="1"/>
  <c r="BJ51" i="27" s="1"/>
  <c r="BJ52" i="27" s="1"/>
  <c r="BJ53" i="27" s="1"/>
  <c r="BJ54" i="27" s="1"/>
  <c r="BJ87" i="27"/>
  <c r="BJ88" i="27" s="1"/>
  <c r="BJ89" i="27" s="1"/>
  <c r="BJ93" i="27" s="1"/>
  <c r="BJ81" i="27"/>
  <c r="BJ82" i="27" s="1"/>
  <c r="BJ80" i="27"/>
  <c r="CS69" i="11"/>
  <c r="CT38" i="1" s="1"/>
  <c r="CT39" i="1" s="1"/>
  <c r="CT40" i="1" s="1"/>
  <c r="CT41" i="1" s="1"/>
  <c r="CT42" i="1" s="1"/>
  <c r="CT43" i="1" s="1"/>
  <c r="CT44" i="1" s="1"/>
  <c r="CU42" i="1" s="1"/>
  <c r="CU43" i="1" s="1"/>
  <c r="CU44" i="1" s="1"/>
  <c r="CS70" i="11"/>
  <c r="CT48" i="1" s="1"/>
  <c r="CT49" i="1" s="1"/>
  <c r="CT50" i="1" s="1"/>
  <c r="CT51" i="1" s="1"/>
  <c r="CT52" i="1" s="1"/>
  <c r="CT53" i="1" s="1"/>
  <c r="CT54" i="1" s="1"/>
  <c r="CU52" i="1" s="1"/>
  <c r="CU53" i="1" s="1"/>
  <c r="CU54" i="1" s="1"/>
  <c r="CS71" i="11"/>
  <c r="CT58" i="1" s="1"/>
  <c r="CT59" i="1" s="1"/>
  <c r="CT60" i="1" s="1"/>
  <c r="CT61" i="1" s="1"/>
  <c r="CT62" i="1" s="1"/>
  <c r="CT63" i="1" s="1"/>
  <c r="CT64" i="1" s="1"/>
  <c r="CU62" i="1" s="1"/>
  <c r="CU63" i="1" s="1"/>
  <c r="CU64" i="1" s="1"/>
  <c r="CS72" i="11"/>
  <c r="CT68" i="1" s="1"/>
  <c r="CT69" i="1" s="1"/>
  <c r="CS33" i="1"/>
  <c r="BI73" i="28"/>
  <c r="BK68" i="27" s="1"/>
  <c r="BK69" i="27" s="1"/>
  <c r="BI72" i="28"/>
  <c r="BK58" i="27" s="1"/>
  <c r="BJ11" i="27"/>
  <c r="BJ12" i="27"/>
  <c r="BJ13" i="27" s="1"/>
  <c r="BK10" i="27" s="1"/>
  <c r="BK12" i="27" s="1"/>
  <c r="BK13" i="27" s="1"/>
  <c r="BL10" i="27" s="1"/>
  <c r="BL12" i="27" s="1"/>
  <c r="BL13" i="27" s="1"/>
  <c r="BJ39" i="27"/>
  <c r="BJ40" i="27" s="1"/>
  <c r="BJ41" i="27" s="1"/>
  <c r="BJ42" i="27" s="1"/>
  <c r="BJ43" i="27" s="1"/>
  <c r="BJ44" i="27" s="1"/>
  <c r="BH74" i="28"/>
  <c r="BI70" i="28"/>
  <c r="BK38" i="27" s="1"/>
  <c r="AX32" i="30"/>
  <c r="AX33" i="30" s="1"/>
  <c r="AX34" i="30" s="1"/>
  <c r="AX35" i="30" s="1"/>
  <c r="AX36" i="30" s="1"/>
  <c r="BL69" i="27" s="1"/>
  <c r="BJ69" i="27"/>
  <c r="AW18" i="30"/>
  <c r="AW19" i="30" s="1"/>
  <c r="AW20" i="30" s="1"/>
  <c r="AW21" i="30" s="1"/>
  <c r="AW22" i="30" s="1"/>
  <c r="BK49" i="27" s="1"/>
  <c r="BK50" i="27" s="1"/>
  <c r="BK51" i="27" s="1"/>
  <c r="BK52" i="27" s="1"/>
  <c r="BK53" i="27" s="1"/>
  <c r="BK54" i="27" s="1"/>
  <c r="BL86" i="27"/>
  <c r="BL87" i="27" s="1"/>
  <c r="BL88" i="27" s="1"/>
  <c r="CU70" i="1"/>
  <c r="CT55" i="11"/>
  <c r="CT68" i="11"/>
  <c r="CT73" i="11" s="1"/>
  <c r="CI3" i="22"/>
  <c r="AX3" i="30"/>
  <c r="BJ69" i="28"/>
  <c r="BJ74" i="28" s="1"/>
  <c r="BJ56" i="28"/>
  <c r="AW25" i="30"/>
  <c r="AW26" i="30" s="1"/>
  <c r="AX18" i="30"/>
  <c r="AX19" i="30" s="1"/>
  <c r="AX20" i="30" s="1"/>
  <c r="AX21" i="30" s="1"/>
  <c r="AX22" i="30" s="1"/>
  <c r="BL49" i="27" s="1"/>
  <c r="BL50" i="27" s="1"/>
  <c r="BL51" i="27" s="1"/>
  <c r="BL52" i="27" s="1"/>
  <c r="BL53" i="27" s="1"/>
  <c r="BL54" i="27" s="1"/>
  <c r="AW11" i="30"/>
  <c r="AW12" i="30" s="1"/>
  <c r="BJ17" i="27"/>
  <c r="BL77" i="27"/>
  <c r="BL78" i="27" s="1"/>
  <c r="BI51" i="28"/>
  <c r="BK86" i="27"/>
  <c r="CS50" i="11"/>
  <c r="AW13" i="30" l="1"/>
  <c r="AW14" i="30" s="1"/>
  <c r="AW15" i="30" s="1"/>
  <c r="AW27" i="30"/>
  <c r="AW28" i="30" s="1"/>
  <c r="AW29" i="30" s="1"/>
  <c r="AX25" i="30"/>
  <c r="AX26" i="30" s="1"/>
  <c r="AX27" i="30" s="1"/>
  <c r="AX28" i="30" s="1"/>
  <c r="AX29" i="30" s="1"/>
  <c r="BL59" i="27" s="1"/>
  <c r="BL60" i="27" s="1"/>
  <c r="BL61" i="27" s="1"/>
  <c r="BK87" i="27"/>
  <c r="BK88" i="27" s="1"/>
  <c r="BK77" i="27"/>
  <c r="BK78" i="27" s="1"/>
  <c r="BK79" i="27" s="1"/>
  <c r="BK81" i="27" s="1"/>
  <c r="BK82" i="27" s="1"/>
  <c r="BL79" i="27" s="1"/>
  <c r="BL81" i="27" s="1"/>
  <c r="BL82" i="27" s="1"/>
  <c r="AX11" i="30"/>
  <c r="BJ18" i="27"/>
  <c r="BJ70" i="27"/>
  <c r="BK39" i="27"/>
  <c r="BK40" i="27" s="1"/>
  <c r="BK41" i="27" s="1"/>
  <c r="BK42" i="27" s="1"/>
  <c r="BK43" i="27" s="1"/>
  <c r="BK44" i="27" s="1"/>
  <c r="BK11" i="27"/>
  <c r="BL11" i="27" s="1"/>
  <c r="BK70" i="27"/>
  <c r="CS68" i="11"/>
  <c r="CS73" i="11" s="1"/>
  <c r="CS55" i="11"/>
  <c r="CH3" i="22"/>
  <c r="BI69" i="28"/>
  <c r="BI74" i="28" s="1"/>
  <c r="AW3" i="30"/>
  <c r="AW4" i="30" s="1"/>
  <c r="AW5" i="30" s="1"/>
  <c r="AW6" i="30" s="1"/>
  <c r="AW7" i="30" s="1"/>
  <c r="AW8" i="30" s="1"/>
  <c r="BI56" i="28"/>
  <c r="BL28" i="27"/>
  <c r="BL17" i="27" s="1"/>
  <c r="CU28" i="1"/>
  <c r="CU17" i="1" s="1"/>
  <c r="CU71" i="1"/>
  <c r="BL70" i="27"/>
  <c r="BK59" i="27"/>
  <c r="BK60" i="27" s="1"/>
  <c r="BK61" i="27" s="1"/>
  <c r="BK62" i="27" s="1"/>
  <c r="BK63" i="27" s="1"/>
  <c r="BK64" i="27" s="1"/>
  <c r="BL62" i="27" s="1"/>
  <c r="BL63" i="27" s="1"/>
  <c r="BL64" i="27" s="1"/>
  <c r="CS34" i="1"/>
  <c r="CS24" i="1" s="1"/>
  <c r="CS23" i="1"/>
  <c r="CT70" i="1"/>
  <c r="BJ90" i="27"/>
  <c r="BJ91" i="27"/>
  <c r="BJ92" i="27" s="1"/>
  <c r="BK28" i="27" l="1"/>
  <c r="BK29" i="27" s="1"/>
  <c r="BK30" i="27" s="1"/>
  <c r="BK31" i="27" s="1"/>
  <c r="BK32" i="27" s="1"/>
  <c r="BK33" i="27" s="1"/>
  <c r="BK34" i="27" s="1"/>
  <c r="CT28" i="1"/>
  <c r="CT17" i="1" s="1"/>
  <c r="BK80" i="27"/>
  <c r="BL80" i="27" s="1"/>
  <c r="BL71" i="27"/>
  <c r="BK71" i="27"/>
  <c r="CT71" i="1"/>
  <c r="BK17" i="27"/>
  <c r="CH4" i="22"/>
  <c r="CI4" i="22" s="1"/>
  <c r="CH5" i="22"/>
  <c r="CI5" i="22" s="1"/>
  <c r="BJ71" i="27"/>
  <c r="BJ19" i="27"/>
  <c r="AX12" i="30"/>
  <c r="AX13" i="30" s="1"/>
  <c r="AX14" i="30" s="1"/>
  <c r="AX15" i="30" s="1"/>
  <c r="BL39" i="27" s="1"/>
  <c r="AX4" i="30"/>
  <c r="AX5" i="30" s="1"/>
  <c r="AX6" i="30" s="1"/>
  <c r="AX7" i="30" s="1"/>
  <c r="AX8" i="30" s="1"/>
  <c r="BL29" i="27" s="1"/>
  <c r="BL30" i="27" s="1"/>
  <c r="BL31" i="27" s="1"/>
  <c r="BK89" i="27"/>
  <c r="BL32" i="27" l="1"/>
  <c r="BL33" i="27" s="1"/>
  <c r="BL34" i="27" s="1"/>
  <c r="BK18" i="27"/>
  <c r="BK91" i="27"/>
  <c r="BK92" i="27" s="1"/>
  <c r="BL89" i="27" s="1"/>
  <c r="BL91" i="27" s="1"/>
  <c r="BL92" i="27" s="1"/>
  <c r="BK93" i="27"/>
  <c r="BL40" i="27"/>
  <c r="BL18" i="27"/>
  <c r="BK90" i="27"/>
  <c r="BL90" i="27" s="1"/>
  <c r="BK19" i="27"/>
  <c r="BJ20" i="27"/>
  <c r="BJ72" i="27"/>
  <c r="BJ21" i="27" s="1"/>
  <c r="BJ22" i="27" s="1"/>
  <c r="CH6" i="22"/>
  <c r="CH7" i="22" s="1"/>
  <c r="CH8" i="22" s="1"/>
  <c r="CT29" i="1" s="1"/>
  <c r="CI6" i="22"/>
  <c r="CI7" i="22" s="1"/>
  <c r="CI8" i="22" s="1"/>
  <c r="CU29" i="1" s="1"/>
  <c r="CT72" i="1"/>
  <c r="CT73" i="1" s="1"/>
  <c r="BK20" i="27"/>
  <c r="BJ73" i="27" l="1"/>
  <c r="BJ23" i="27" s="1"/>
  <c r="CT74" i="1"/>
  <c r="CT30" i="1"/>
  <c r="CT18" i="1"/>
  <c r="BL93" i="27"/>
  <c r="CU30" i="1"/>
  <c r="CU18" i="1"/>
  <c r="BL41" i="27"/>
  <c r="BL19" i="27"/>
  <c r="BJ74" i="27" l="1"/>
  <c r="BL42" i="27"/>
  <c r="BL43" i="27" s="1"/>
  <c r="BL44" i="27" s="1"/>
  <c r="BL20" i="27"/>
  <c r="CU31" i="1"/>
  <c r="CU19" i="1"/>
  <c r="BJ24" i="27"/>
  <c r="BK72" i="27"/>
  <c r="CT31" i="1"/>
  <c r="CT19" i="1"/>
  <c r="CU72" i="1"/>
  <c r="CU73" i="1" l="1"/>
  <c r="BK21" i="27"/>
  <c r="BK22" i="27" s="1"/>
  <c r="BK73" i="27"/>
  <c r="CT32" i="1"/>
  <c r="CT21" i="1" s="1"/>
  <c r="CT22" i="1" s="1"/>
  <c r="CT20" i="1"/>
  <c r="CU20" i="1"/>
  <c r="CT33" i="1" l="1"/>
  <c r="CT23" i="1" s="1"/>
  <c r="BK23" i="27"/>
  <c r="BK74" i="27"/>
  <c r="CU74" i="1"/>
  <c r="CT34" i="1"/>
  <c r="CT24" i="1" l="1"/>
  <c r="CU32" i="1"/>
  <c r="BK24" i="27"/>
  <c r="BL72" i="27"/>
  <c r="BL21" i="27" l="1"/>
  <c r="BL22" i="27" s="1"/>
  <c r="BL73" i="27"/>
  <c r="CU21" i="1"/>
  <c r="CU22" i="1" s="1"/>
  <c r="CU33" i="1"/>
  <c r="CU34" i="1" l="1"/>
  <c r="CU24" i="1" s="1"/>
  <c r="CU23" i="1"/>
  <c r="BL74" i="27"/>
  <c r="BL24" i="27" s="1"/>
  <c r="BL23"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0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BB5" authorId="0" shapeId="0" xr:uid="{00000000-0006-0000-0000-000005000000}">
      <text>
        <r>
          <rPr>
            <b/>
            <sz val="9"/>
            <color indexed="81"/>
            <rFont val="Tahoma"/>
            <family val="2"/>
          </rPr>
          <t>Filley, Kimberly S:</t>
        </r>
        <r>
          <rPr>
            <sz val="9"/>
            <color indexed="81"/>
            <rFont val="Tahoma"/>
            <family val="2"/>
          </rPr>
          <t xml:space="preserve">
interest correction booked in GL March 2023 related to 3 prudence review finds spanning from Nov 20 to Sep 22 whereby costs had either been improperly included or excluded during those periods resulting in incorrect interest amounts being booked Nov 20- Feb 23</t>
        </r>
      </text>
    </comment>
    <comment ref="BI5" authorId="0" shapeId="0" xr:uid="{00000000-0006-0000-0000-000006000000}">
      <text>
        <r>
          <rPr>
            <b/>
            <sz val="9"/>
            <color indexed="81"/>
            <rFont val="Tahoma"/>
            <family val="2"/>
          </rPr>
          <t>Filley, Kimberly S:</t>
        </r>
        <r>
          <rPr>
            <sz val="9"/>
            <color indexed="81"/>
            <rFont val="Tahoma"/>
            <family val="2"/>
          </rPr>
          <t xml:space="preserve">
PC and assoc. interest adj related to PAYS costs that s/h flowed through MEEIA had the correct PISA rate been applied in Jul 23 - Sep 23, crrtn booked in GL in Oct 23</t>
        </r>
      </text>
    </comment>
    <comment ref="AE6" authorId="0" shapeId="0" xr:uid="{00000000-0006-0000-0000-000007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8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9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A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B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C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D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E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F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10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11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12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3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4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5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6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7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8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9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000-00001A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000-00001B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000-00001C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000-00001D000000}">
      <text>
        <r>
          <rPr>
            <b/>
            <sz val="9"/>
            <color indexed="81"/>
            <rFont val="Tahoma"/>
            <family val="2"/>
          </rPr>
          <t>Filley, Kimberly S:</t>
        </r>
        <r>
          <rPr>
            <sz val="9"/>
            <color indexed="81"/>
            <rFont val="Tahoma"/>
            <family val="2"/>
          </rPr>
          <t xml:space="preserve">
includes $2,593.30 in costs related to PAYS </t>
        </r>
      </text>
    </comment>
    <comment ref="BB6" authorId="0" shapeId="0" xr:uid="{00000000-0006-0000-0000-00001E000000}">
      <text>
        <r>
          <rPr>
            <b/>
            <sz val="9"/>
            <color indexed="81"/>
            <rFont val="Tahoma"/>
            <family val="2"/>
          </rPr>
          <t>Filley, Kimberly S:</t>
        </r>
        <r>
          <rPr>
            <sz val="9"/>
            <color indexed="81"/>
            <rFont val="Tahoma"/>
            <family val="2"/>
          </rPr>
          <t xml:space="preserve">
includes $2,624.66 in costs related to PAYS </t>
        </r>
      </text>
    </comment>
    <comment ref="BC6" authorId="0" shapeId="0" xr:uid="{00000000-0006-0000-0000-00001F000000}">
      <text>
        <r>
          <rPr>
            <b/>
            <sz val="9"/>
            <color indexed="81"/>
            <rFont val="Tahoma"/>
            <family val="2"/>
          </rPr>
          <t>Filley, Kimberly S:</t>
        </r>
        <r>
          <rPr>
            <sz val="9"/>
            <color indexed="81"/>
            <rFont val="Tahoma"/>
            <family val="2"/>
          </rPr>
          <t xml:space="preserve">
includes $2,692.03 in costs related to PAYS </t>
        </r>
      </text>
    </comment>
    <comment ref="BD6" authorId="0" shapeId="0" xr:uid="{00000000-0006-0000-0000-000020000000}">
      <text>
        <r>
          <rPr>
            <b/>
            <sz val="9"/>
            <color indexed="81"/>
            <rFont val="Tahoma"/>
            <family val="2"/>
          </rPr>
          <t>Filley, Kimberly S:</t>
        </r>
        <r>
          <rPr>
            <sz val="9"/>
            <color indexed="81"/>
            <rFont val="Tahoma"/>
            <family val="2"/>
          </rPr>
          <t xml:space="preserve">
includes $2,737.36 in costs related to PAYS </t>
        </r>
      </text>
    </comment>
    <comment ref="BE6" authorId="0" shapeId="0" xr:uid="{00000000-0006-0000-0000-000021000000}">
      <text>
        <r>
          <rPr>
            <b/>
            <sz val="9"/>
            <color indexed="81"/>
            <rFont val="Tahoma"/>
            <family val="2"/>
          </rPr>
          <t>Filley, Kimberly S:</t>
        </r>
        <r>
          <rPr>
            <sz val="9"/>
            <color indexed="81"/>
            <rFont val="Tahoma"/>
            <family val="2"/>
          </rPr>
          <t xml:space="preserve">
includes $2,781.49 in costs related to PAYS </t>
        </r>
      </text>
    </comment>
    <comment ref="BF6" authorId="0" shapeId="0" xr:uid="{00000000-0006-0000-0000-000022000000}">
      <text>
        <r>
          <rPr>
            <b/>
            <sz val="9"/>
            <color indexed="81"/>
            <rFont val="Tahoma"/>
            <family val="2"/>
          </rPr>
          <t>Filley, Kimberly S:</t>
        </r>
        <r>
          <rPr>
            <sz val="9"/>
            <color indexed="81"/>
            <rFont val="Tahoma"/>
            <family val="2"/>
          </rPr>
          <t xml:space="preserve">
includes $571.88 in costs related to PAYS </t>
        </r>
      </text>
    </comment>
    <comment ref="BG6" authorId="0" shapeId="0" xr:uid="{00000000-0006-0000-0000-000023000000}">
      <text>
        <r>
          <rPr>
            <b/>
            <sz val="9"/>
            <color indexed="81"/>
            <rFont val="Tahoma"/>
            <family val="2"/>
          </rPr>
          <t>Filley, Kimberly S:</t>
        </r>
        <r>
          <rPr>
            <sz val="9"/>
            <color indexed="81"/>
            <rFont val="Tahoma"/>
            <family val="2"/>
          </rPr>
          <t xml:space="preserve">
includes $743.10 in costs related to PAYS </t>
        </r>
      </text>
    </comment>
    <comment ref="BH6" authorId="0" shapeId="0" xr:uid="{00000000-0006-0000-0000-000024000000}">
      <text>
        <r>
          <rPr>
            <b/>
            <sz val="9"/>
            <color indexed="81"/>
            <rFont val="Tahoma"/>
            <family val="2"/>
          </rPr>
          <t>Filley, Kimberly S:</t>
        </r>
        <r>
          <rPr>
            <sz val="9"/>
            <color indexed="81"/>
            <rFont val="Tahoma"/>
            <family val="2"/>
          </rPr>
          <t xml:space="preserve">
includes $848.98 in costs related to PAYS </t>
        </r>
      </text>
    </comment>
    <comment ref="BI6" authorId="0" shapeId="0" xr:uid="{00000000-0006-0000-0000-000025000000}">
      <text>
        <r>
          <rPr>
            <b/>
            <sz val="9"/>
            <color indexed="81"/>
            <rFont val="Tahoma"/>
            <family val="2"/>
          </rPr>
          <t>Filley, Kimberly S:</t>
        </r>
        <r>
          <rPr>
            <sz val="9"/>
            <color indexed="81"/>
            <rFont val="Tahoma"/>
            <family val="2"/>
          </rPr>
          <t xml:space="preserve">
includes $1,182.71 in costs related to PAYS </t>
        </r>
      </text>
    </comment>
    <comment ref="AN7" authorId="0" shapeId="0" xr:uid="{00000000-0006-0000-0000-000029000000}">
      <text>
        <r>
          <rPr>
            <b/>
            <sz val="9"/>
            <color indexed="81"/>
            <rFont val="Tahoma"/>
            <family val="2"/>
          </rPr>
          <t>Filley, Kimberly S:</t>
        </r>
        <r>
          <rPr>
            <sz val="9"/>
            <color indexed="81"/>
            <rFont val="Tahoma"/>
            <family val="2"/>
          </rPr>
          <t xml:space="preserve">
includes rev true-up related to Nov 21 of $11.21
</t>
        </r>
      </text>
    </comment>
    <comment ref="AS7" authorId="0" shapeId="0" xr:uid="{00000000-0006-0000-0000-00002A000000}">
      <text>
        <r>
          <rPr>
            <b/>
            <sz val="9"/>
            <color indexed="81"/>
            <rFont val="Tahoma"/>
            <family val="2"/>
          </rPr>
          <t>Filley, Kimberly S:</t>
        </r>
        <r>
          <rPr>
            <sz val="9"/>
            <color indexed="81"/>
            <rFont val="Tahoma"/>
            <family val="2"/>
          </rPr>
          <t xml:space="preserve">
includes rev true-up related to Nov 21 of 
-$0.19
</t>
        </r>
      </text>
    </comment>
    <comment ref="N15" authorId="0" shapeId="0" xr:uid="{00000000-0006-0000-0000-000031000000}">
      <text>
        <r>
          <rPr>
            <b/>
            <sz val="9"/>
            <color indexed="81"/>
            <rFont val="Tahoma"/>
            <family val="2"/>
          </rPr>
          <t>Filley, Kimberly S:</t>
        </r>
        <r>
          <rPr>
            <sz val="9"/>
            <color indexed="81"/>
            <rFont val="Tahoma"/>
            <family val="2"/>
          </rPr>
          <t xml:space="preserve">
Note, this total value is not  linked into the TD-Total formulas below because already included via the TD 1M-4M and 11M updates we made below</t>
        </r>
      </text>
    </comment>
    <comment ref="Z15" authorId="0" shapeId="0" xr:uid="{00000000-0006-0000-0000-000032000000}">
      <text>
        <r>
          <rPr>
            <b/>
            <sz val="9"/>
            <color indexed="81"/>
            <rFont val="Tahoma"/>
            <family val="2"/>
          </rPr>
          <t>Filley, Kimberly S:</t>
        </r>
        <r>
          <rPr>
            <sz val="9"/>
            <color indexed="81"/>
            <rFont val="Tahoma"/>
            <family val="2"/>
          </rPr>
          <t xml:space="preserve">
interest correction needed in Nov 2020 as interest was incorrectly calculated Feb - Oct 20 as this amount is already in the TD totals for 1M - 11M below do not need to link to this particular row to this TD-TOTAL total section in gray</t>
        </r>
      </text>
    </comment>
    <comment ref="AZ15" authorId="0" shapeId="0" xr:uid="{00000000-0006-0000-0000-000033000000}">
      <text>
        <r>
          <rPr>
            <b/>
            <sz val="9"/>
            <color indexed="81"/>
            <rFont val="Tahoma"/>
            <family val="2"/>
          </rPr>
          <t>Filley, Kimberly S:</t>
        </r>
        <r>
          <rPr>
            <sz val="9"/>
            <color indexed="81"/>
            <rFont val="Tahoma"/>
            <family val="2"/>
          </rPr>
          <t xml:space="preserve">
interest correction related to change in interest rate in Dec 2020 which resulted in change in interest amount Dec 2020 - Dec 2022 as this amount is already in the TD totals for 1M - 11M below do not need to link to this particular row to this TD-TOTAL total section in gray</t>
        </r>
      </text>
    </comment>
    <comment ref="AC76" authorId="1" shapeId="0" xr:uid="{00000000-0006-0000-0000-000069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AK76" authorId="1" shapeId="0" xr:uid="{00000000-0006-0000-0000-00006A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AL76" authorId="0" shapeId="0" xr:uid="{00000000-0006-0000-0000-00006B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AO76" authorId="1" shapeId="0" xr:uid="{00000000-0006-0000-0000-00006C000000}">
      <text>
        <r>
          <rPr>
            <b/>
            <sz val="9"/>
            <color indexed="81"/>
            <rFont val="Tahoma"/>
            <family val="2"/>
          </rPr>
          <t>Logan, Raysene:</t>
        </r>
        <r>
          <rPr>
            <sz val="9"/>
            <color indexed="81"/>
            <rFont val="Tahoma"/>
            <family val="2"/>
          </rPr>
          <t xml:space="preserve">
M2 Janaury 2022 ending balances rolled into M3 effective Feb 2022</t>
        </r>
      </text>
    </comment>
    <comment ref="AZ76" authorId="0" shapeId="0" xr:uid="{00000000-0006-0000-0000-00006D000000}">
      <text>
        <r>
          <rPr>
            <b/>
            <sz val="9"/>
            <color indexed="81"/>
            <rFont val="Tahoma"/>
            <family val="2"/>
          </rPr>
          <t>Filley, Kimberly S:</t>
        </r>
        <r>
          <rPr>
            <sz val="9"/>
            <color indexed="81"/>
            <rFont val="Tahoma"/>
            <family val="2"/>
          </rPr>
          <t xml:space="preserve">
interest correction related to change in interest rate in Dec 2020 for M2 which resulted in change in interest amount Dec 2020 - Jan 2022 for M2 which needs to now be picked up as part of M3 as M2 OA ended in Jan 2022 </t>
        </r>
      </text>
    </comment>
    <comment ref="AL78" authorId="0" shapeId="0" xr:uid="{00000000-0006-0000-0000-000071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AL79" authorId="0" shapeId="0" xr:uid="{00000000-0006-0000-0000-000073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Q84" authorId="0" shapeId="0" xr:uid="{00000000-0006-0000-0000-000074000000}">
      <text>
        <r>
          <rPr>
            <b/>
            <sz val="9"/>
            <color indexed="81"/>
            <rFont val="Tahoma"/>
            <family val="2"/>
          </rPr>
          <t>Filley, Kimberly S:</t>
        </r>
        <r>
          <rPr>
            <sz val="9"/>
            <color indexed="81"/>
            <rFont val="Tahoma"/>
            <family val="2"/>
          </rPr>
          <t xml:space="preserve">
each time new EO rates go into effect have to update this cell - no M3 EO rate in effect currently so no value to put herein at this time - see comment box in same section of the MEEIA 2 calcs tab herein for how to handle when M3 EO rates do go into effect</t>
        </r>
      </text>
    </comment>
    <comment ref="W84" authorId="1" shapeId="0" xr:uid="{00000000-0006-0000-0000-000075000000}">
      <text>
        <r>
          <rPr>
            <b/>
            <sz val="9"/>
            <color indexed="81"/>
            <rFont val="Tahoma"/>
            <family val="2"/>
          </rPr>
          <t>Logan, Raysene:</t>
        </r>
        <r>
          <rPr>
            <sz val="9"/>
            <color indexed="81"/>
            <rFont val="Tahoma"/>
            <family val="2"/>
          </rPr>
          <t xml:space="preserve">
2019 EO for M3 of $6.6M booked in August 20 and includes a TD True-up -$344K</t>
        </r>
      </text>
    </comment>
    <comment ref="AJ84" authorId="1" shapeId="0" xr:uid="{00000000-0006-0000-0000-000076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AO84" authorId="1" shapeId="0" xr:uid="{00000000-0006-0000-0000-000077000000}">
      <text>
        <r>
          <rPr>
            <b/>
            <sz val="9"/>
            <color indexed="81"/>
            <rFont val="Tahoma"/>
            <family val="2"/>
          </rPr>
          <t>Logan, Raysene:</t>
        </r>
        <r>
          <rPr>
            <sz val="9"/>
            <color indexed="81"/>
            <rFont val="Tahoma"/>
            <family val="2"/>
          </rPr>
          <t xml:space="preserve">
M2 Janaury 2022 ending balances rolled into M3 effective Feb 2022</t>
        </r>
      </text>
    </comment>
    <comment ref="AU84" authorId="1" shapeId="0" xr:uid="{00000000-0006-0000-0000-000078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AW84" authorId="1" shapeId="0" xr:uid="{00000000-0006-0000-0000-000079000000}">
      <text>
        <r>
          <rPr>
            <b/>
            <sz val="9"/>
            <color indexed="81"/>
            <rFont val="Tahoma"/>
            <family val="2"/>
          </rPr>
          <t>Filley, Kim:</t>
        </r>
        <r>
          <rPr>
            <sz val="9"/>
            <color indexed="81"/>
            <rFont val="Tahoma"/>
            <family val="2"/>
          </rPr>
          <t xml:space="preserve">
-$197.32: True-up of TD True-up for inclusion in EO booked to GL in October 2022
</t>
        </r>
      </text>
    </comment>
    <comment ref="AY84" authorId="1" shapeId="0" xr:uid="{00000000-0006-0000-0000-00007A000000}">
      <text>
        <r>
          <rPr>
            <b/>
            <sz val="9"/>
            <color indexed="81"/>
            <rFont val="Tahoma"/>
            <family val="2"/>
          </rPr>
          <t xml:space="preserve">Filley, Kim:
</t>
        </r>
        <r>
          <rPr>
            <sz val="9"/>
            <color indexed="81"/>
            <rFont val="Tahoma"/>
            <family val="2"/>
          </rPr>
          <t>+$10,734,309.90: M3 PY2022 EO booked to GL in December 2022</t>
        </r>
      </text>
    </comment>
    <comment ref="AZ84" authorId="0" shapeId="0" xr:uid="{00000000-0006-0000-0000-00007B000000}">
      <text>
        <r>
          <rPr>
            <b/>
            <sz val="9"/>
            <color indexed="81"/>
            <rFont val="Tahoma"/>
            <family val="2"/>
          </rPr>
          <t>Filley, Kimberly S:</t>
        </r>
        <r>
          <rPr>
            <sz val="9"/>
            <color indexed="81"/>
            <rFont val="Tahoma"/>
            <family val="2"/>
          </rPr>
          <t xml:space="preserve">
interest correction related to change in interest rate in Dec 2020 for M2 which resulted in change in interest amount Dec 2020 - Jan 2022 for M2 which needs to now be picked up as part of M3 as M2 EO ended in Jan 2022 </t>
        </r>
      </text>
    </comment>
    <comment ref="BB84" authorId="1" shapeId="0" xr:uid="{00000000-0006-0000-0000-00007C000000}">
      <text>
        <r>
          <rPr>
            <b/>
            <sz val="9"/>
            <color indexed="81"/>
            <rFont val="Tahoma"/>
            <family val="2"/>
          </rPr>
          <t xml:space="preserve">Filley, Kim:
</t>
        </r>
        <r>
          <rPr>
            <sz val="9"/>
            <color indexed="81"/>
            <rFont val="Tahoma"/>
            <family val="2"/>
          </rPr>
          <t xml:space="preserve">M3 PY2022 EO booked to GL in March 2023
</t>
        </r>
      </text>
    </comment>
    <comment ref="BE84" authorId="1" shapeId="0" xr:uid="{00000000-0006-0000-0000-00007D000000}">
      <text>
        <r>
          <rPr>
            <b/>
            <sz val="9"/>
            <color indexed="81"/>
            <rFont val="Tahoma"/>
            <family val="2"/>
          </rPr>
          <t xml:space="preserve">Filley, Kim:
</t>
        </r>
        <r>
          <rPr>
            <sz val="9"/>
            <color indexed="81"/>
            <rFont val="Tahoma"/>
            <family val="2"/>
          </rPr>
          <t xml:space="preserve">M3 PY2022 EO booked to GL in June 2023
</t>
        </r>
      </text>
    </comment>
    <comment ref="BF84" authorId="1" shapeId="0" xr:uid="{00000000-0006-0000-0000-00007E000000}">
      <text>
        <r>
          <rPr>
            <b/>
            <sz val="9"/>
            <color indexed="81"/>
            <rFont val="Tahoma"/>
            <family val="2"/>
          </rPr>
          <t xml:space="preserve">Filley, Kim:
</t>
        </r>
        <r>
          <rPr>
            <sz val="9"/>
            <color indexed="81"/>
            <rFont val="Tahoma"/>
            <family val="2"/>
          </rPr>
          <t xml:space="preserve">M3 PY2022 EO TD trueup booked to GL in July 2023
</t>
        </r>
      </text>
    </comment>
    <comment ref="BH84" authorId="1" shapeId="0" xr:uid="{00000000-0006-0000-0000-00007F000000}">
      <text>
        <r>
          <rPr>
            <b/>
            <sz val="9"/>
            <color indexed="81"/>
            <rFont val="Tahoma"/>
            <family val="2"/>
          </rPr>
          <t xml:space="preserve">Filley, Kim:
</t>
        </r>
        <r>
          <rPr>
            <sz val="9"/>
            <color indexed="81"/>
            <rFont val="Tahoma"/>
            <family val="2"/>
          </rPr>
          <t>M3 PY2022 EO TD trueup booked to GL in September 2023
M3 PY2022 EO booked to GL in September 2023</t>
        </r>
      </text>
    </comment>
    <comment ref="AS86" authorId="0" shapeId="0" xr:uid="{00000000-0006-0000-0000-000080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00000000-0006-0000-0100-000001000000}">
      <text>
        <r>
          <rPr>
            <b/>
            <sz val="9"/>
            <color indexed="81"/>
            <rFont val="Tahoma"/>
            <family val="2"/>
          </rPr>
          <t>Filley, Kimberly S:</t>
        </r>
        <r>
          <rPr>
            <sz val="9"/>
            <color indexed="81"/>
            <rFont val="Tahoma"/>
            <family val="2"/>
          </rPr>
          <t xml:space="preserve">
write-off of Sept 30, 2021 PAYS balance to Rate Base accounts 
</t>
        </r>
      </text>
    </comment>
    <comment ref="AD5" authorId="0" shapeId="0" xr:uid="{00000000-0006-0000-0100-000002000000}">
      <text>
        <r>
          <rPr>
            <b/>
            <sz val="9"/>
            <color indexed="81"/>
            <rFont val="Tahoma"/>
            <charset val="1"/>
          </rPr>
          <t>Filley, Kimberly S:</t>
        </r>
        <r>
          <rPr>
            <sz val="9"/>
            <color indexed="81"/>
            <rFont val="Tahoma"/>
            <charset val="1"/>
          </rPr>
          <t xml:space="preserve">
write-off of December 31, 2022 PAYS balance to Rate Base accounts</t>
        </r>
      </text>
    </comment>
    <comment ref="N6" authorId="0" shapeId="0" xr:uid="{00000000-0006-0000-0100-000003000000}">
      <text>
        <r>
          <rPr>
            <b/>
            <sz val="9"/>
            <color indexed="81"/>
            <rFont val="Tahoma"/>
            <charset val="1"/>
          </rPr>
          <t>Filley, Kimberly S:</t>
        </r>
        <r>
          <rPr>
            <sz val="9"/>
            <color indexed="81"/>
            <rFont val="Tahoma"/>
            <charset val="1"/>
          </rPr>
          <t xml:space="preserve">
Outstanding customer PAYS balance as of Dec 2021 was written off in March 2022 as such associated deferred spend less amortization was also written off to MEEIA 3 PC in March 2022 </t>
        </r>
      </text>
    </comment>
    <comment ref="W6" authorId="0" shapeId="0" xr:uid="{00000000-0006-0000-0100-000004000000}">
      <text>
        <r>
          <rPr>
            <b/>
            <sz val="9"/>
            <color indexed="81"/>
            <rFont val="Tahoma"/>
            <charset val="1"/>
          </rPr>
          <t>Filley, Kimberly S:</t>
        </r>
        <r>
          <rPr>
            <sz val="9"/>
            <color indexed="81"/>
            <rFont val="Tahoma"/>
            <charset val="1"/>
          </rPr>
          <t xml:space="preserve">
customer account billed and unpaid balance written off in Dec 2022 </t>
        </r>
      </text>
    </comment>
    <comment ref="W7" authorId="0" shapeId="0" xr:uid="{00000000-0006-0000-0100-000005000000}">
      <text>
        <r>
          <rPr>
            <b/>
            <sz val="9"/>
            <color indexed="81"/>
            <rFont val="Tahoma"/>
            <charset val="1"/>
          </rPr>
          <t>Filley, Kimberly S:</t>
        </r>
        <r>
          <rPr>
            <sz val="9"/>
            <color indexed="81"/>
            <rFont val="Tahoma"/>
            <charset val="1"/>
          </rPr>
          <t xml:space="preserve">
unwinding of amortization recorded Jun 21-Jan 22 due to customer account billed and unpaid balance written off in Dec 2022 </t>
        </r>
      </text>
    </comment>
    <comment ref="AA7" authorId="0" shapeId="0" xr:uid="{00000000-0006-0000-0100-000006000000}">
      <text>
        <r>
          <rPr>
            <b/>
            <sz val="9"/>
            <color indexed="81"/>
            <rFont val="Tahoma"/>
            <charset val="1"/>
          </rPr>
          <t>Filley, Kimberly S:</t>
        </r>
        <r>
          <rPr>
            <sz val="9"/>
            <color indexed="81"/>
            <rFont val="Tahoma"/>
            <charset val="1"/>
          </rPr>
          <t xml:space="preserve">
unwinding of amortization recorded due to customer account not being setup to bill until 4-23 </t>
        </r>
      </text>
    </comment>
    <comment ref="AC7" authorId="0" shapeId="0" xr:uid="{00000000-0006-0000-0100-000007000000}">
      <text>
        <r>
          <rPr>
            <b/>
            <sz val="9"/>
            <color indexed="81"/>
            <rFont val="Tahoma"/>
            <charset val="1"/>
          </rPr>
          <t>Filley, Kimberly S:</t>
        </r>
        <r>
          <rPr>
            <sz val="9"/>
            <color indexed="81"/>
            <rFont val="Tahoma"/>
            <charset val="1"/>
          </rPr>
          <t xml:space="preserve">
unwinding of amortization recorded Aug 2022 - May 2023 as service was disconnected due to non-payment - account reestablished and charges commenced June 2023</t>
        </r>
      </text>
    </comment>
    <comment ref="N12" authorId="0" shapeId="0" xr:uid="{00000000-0006-0000-0100-000008000000}">
      <text>
        <r>
          <rPr>
            <b/>
            <sz val="9"/>
            <color indexed="81"/>
            <rFont val="Tahoma"/>
            <charset val="1"/>
          </rPr>
          <t>Filley, Kimberly S:</t>
        </r>
        <r>
          <rPr>
            <sz val="9"/>
            <color indexed="81"/>
            <rFont val="Tahoma"/>
            <charset val="1"/>
          </rPr>
          <t xml:space="preserve">
updated as result of rate case finalization</t>
        </r>
      </text>
    </comment>
    <comment ref="AD12" authorId="0" shapeId="0" xr:uid="{00000000-0006-0000-0100-000009000000}">
      <text>
        <r>
          <rPr>
            <b/>
            <sz val="9"/>
            <color indexed="81"/>
            <rFont val="Tahoma"/>
            <charset val="1"/>
          </rPr>
          <t>Filley, Kimberly S:</t>
        </r>
        <r>
          <rPr>
            <sz val="9"/>
            <color indexed="81"/>
            <rFont val="Tahoma"/>
            <charset val="1"/>
          </rPr>
          <t xml:space="preserve">
updated as result of rate case finalization</t>
        </r>
      </text>
    </comment>
    <comment ref="AG12" authorId="0" shapeId="0" xr:uid="{00000000-0006-0000-0100-00000A000000}">
      <text>
        <r>
          <rPr>
            <b/>
            <sz val="9"/>
            <color indexed="81"/>
            <rFont val="Tahoma"/>
            <charset val="1"/>
          </rPr>
          <t>Filley, Kimberly S:</t>
        </r>
        <r>
          <rPr>
            <sz val="9"/>
            <color indexed="81"/>
            <rFont val="Tahoma"/>
            <charset val="1"/>
          </rPr>
          <t xml:space="preserve">
updated as result of correction needed in realization to the amount originally provided in July 2023 as a result of rate case finalization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C5" authorId="0" shapeId="0" xr:uid="{00000000-0006-0000-02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DK5" authorId="0" shapeId="0" xr:uid="{00000000-0006-0000-02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DN5" authorId="1" shapeId="0" xr:uid="{00000000-0006-0000-0200-000003000000}">
      <text>
        <r>
          <rPr>
            <b/>
            <sz val="9"/>
            <color indexed="81"/>
            <rFont val="Tahoma"/>
            <family val="2"/>
          </rPr>
          <t>Logan, Raysene:</t>
        </r>
        <r>
          <rPr>
            <sz val="9"/>
            <color indexed="81"/>
            <rFont val="Tahoma"/>
            <family val="2"/>
          </rPr>
          <t xml:space="preserve">
M2 Janaury 2022 ending balances rolled into M3 effective Feb 2022</t>
        </r>
      </text>
    </comment>
    <comment ref="DD6" authorId="0" shapeId="0" xr:uid="{00000000-0006-0000-0200-000004000000}">
      <text>
        <r>
          <rPr>
            <b/>
            <sz val="9"/>
            <color indexed="81"/>
            <rFont val="Tahoma"/>
            <family val="2"/>
          </rPr>
          <t>Filley, Kimberly S:</t>
        </r>
        <r>
          <rPr>
            <sz val="9"/>
            <color indexed="81"/>
            <rFont val="Tahoma"/>
            <family val="2"/>
          </rPr>
          <t xml:space="preserve">
includes $70.13 in costs related to PAYS program</t>
        </r>
      </text>
    </comment>
    <comment ref="DE6" authorId="0" shapeId="0" xr:uid="{00000000-0006-0000-0200-000005000000}">
      <text>
        <r>
          <rPr>
            <b/>
            <sz val="9"/>
            <color indexed="81"/>
            <rFont val="Tahoma"/>
            <family val="2"/>
          </rPr>
          <t>Filley, Kimberly S:</t>
        </r>
        <r>
          <rPr>
            <sz val="9"/>
            <color indexed="81"/>
            <rFont val="Tahoma"/>
            <family val="2"/>
          </rPr>
          <t xml:space="preserve">
includes $169.53 in costs related to PAYS program</t>
        </r>
      </text>
    </comment>
    <comment ref="DF6" authorId="0" shapeId="0" xr:uid="{00000000-0006-0000-0200-000006000000}">
      <text>
        <r>
          <rPr>
            <b/>
            <sz val="9"/>
            <color indexed="81"/>
            <rFont val="Tahoma"/>
            <family val="2"/>
          </rPr>
          <t>Filley, Kimberly S:</t>
        </r>
        <r>
          <rPr>
            <sz val="9"/>
            <color indexed="81"/>
            <rFont val="Tahoma"/>
            <family val="2"/>
          </rPr>
          <t xml:space="preserve">
includes $175.17 in costs related to PAYS program</t>
        </r>
      </text>
    </comment>
    <comment ref="DG6" authorId="0" shapeId="0" xr:uid="{00000000-0006-0000-0200-000007000000}">
      <text>
        <r>
          <rPr>
            <b/>
            <sz val="9"/>
            <color indexed="81"/>
            <rFont val="Tahoma"/>
            <family val="2"/>
          </rPr>
          <t>Filley, Kimberly S:</t>
        </r>
        <r>
          <rPr>
            <sz val="9"/>
            <color indexed="81"/>
            <rFont val="Tahoma"/>
            <family val="2"/>
          </rPr>
          <t xml:space="preserve">
includes $220.92 in costs related to PAYS program</t>
        </r>
      </text>
    </comment>
    <comment ref="DH6" authorId="0" shapeId="0" xr:uid="{00000000-0006-0000-0200-000008000000}">
      <text>
        <r>
          <rPr>
            <b/>
            <sz val="9"/>
            <color indexed="81"/>
            <rFont val="Tahoma"/>
            <family val="2"/>
          </rPr>
          <t>Filley, Kimberly S:</t>
        </r>
        <r>
          <rPr>
            <sz val="9"/>
            <color indexed="81"/>
            <rFont val="Tahoma"/>
            <family val="2"/>
          </rPr>
          <t xml:space="preserve">
includes $379 in costs related to PAYS program</t>
        </r>
      </text>
    </comment>
    <comment ref="DI6" authorId="0" shapeId="0" xr:uid="{00000000-0006-0000-0200-000009000000}">
      <text>
        <r>
          <rPr>
            <b/>
            <sz val="9"/>
            <color indexed="81"/>
            <rFont val="Tahoma"/>
            <family val="2"/>
          </rPr>
          <t>Filley, Kimberly S:</t>
        </r>
        <r>
          <rPr>
            <sz val="9"/>
            <color indexed="81"/>
            <rFont val="Tahoma"/>
            <family val="2"/>
          </rPr>
          <t xml:space="preserve">
includes $592.10 in costs related to PAYS program</t>
        </r>
      </text>
    </comment>
    <comment ref="DJ6" authorId="0" shapeId="0" xr:uid="{00000000-0006-0000-0200-00000A000000}">
      <text>
        <r>
          <rPr>
            <b/>
            <sz val="9"/>
            <color indexed="81"/>
            <rFont val="Tahoma"/>
            <family val="2"/>
          </rPr>
          <t>Filley, Kimberly S:</t>
        </r>
        <r>
          <rPr>
            <sz val="9"/>
            <color indexed="81"/>
            <rFont val="Tahoma"/>
            <family val="2"/>
          </rPr>
          <t xml:space="preserve">
includes $850.16 in costs related to PAYS program</t>
        </r>
      </text>
    </comment>
    <comment ref="DK6" authorId="0" shapeId="0" xr:uid="{00000000-0006-0000-0200-00000B000000}">
      <text>
        <r>
          <rPr>
            <b/>
            <sz val="9"/>
            <color indexed="81"/>
            <rFont val="Tahoma"/>
            <family val="2"/>
          </rPr>
          <t>Filley, Kimberly S:</t>
        </r>
        <r>
          <rPr>
            <sz val="9"/>
            <color indexed="81"/>
            <rFont val="Tahoma"/>
            <family val="2"/>
          </rPr>
          <t xml:space="preserve">
includes $1,213.81 in costs related to PAYS program</t>
        </r>
      </text>
    </comment>
    <comment ref="DL6" authorId="0" shapeId="0" xr:uid="{00000000-0006-0000-0200-00000C000000}">
      <text>
        <r>
          <rPr>
            <b/>
            <sz val="9"/>
            <color indexed="81"/>
            <rFont val="Tahoma"/>
            <family val="2"/>
          </rPr>
          <t>Filley, Kimberly S:</t>
        </r>
        <r>
          <rPr>
            <sz val="9"/>
            <color indexed="81"/>
            <rFont val="Tahoma"/>
            <family val="2"/>
          </rPr>
          <t xml:space="preserve">
includes $1,272.44 in costs related to PAYS program</t>
        </r>
      </text>
    </comment>
    <comment ref="DM6" authorId="0" shapeId="0" xr:uid="{00000000-0006-0000-0200-00000D000000}">
      <text>
        <r>
          <rPr>
            <b/>
            <sz val="9"/>
            <color indexed="81"/>
            <rFont val="Tahoma"/>
            <family val="2"/>
          </rPr>
          <t>Filley, Kimberly S:</t>
        </r>
        <r>
          <rPr>
            <sz val="9"/>
            <color indexed="81"/>
            <rFont val="Tahoma"/>
            <family val="2"/>
          </rPr>
          <t xml:space="preserve">
includes $1,419.25 in costs related to PAYS program</t>
        </r>
      </text>
    </comment>
    <comment ref="DN6" authorId="0" shapeId="0" xr:uid="{00000000-0006-0000-0200-00000E000000}">
      <text>
        <r>
          <rPr>
            <b/>
            <sz val="9"/>
            <color indexed="81"/>
            <rFont val="Tahoma"/>
            <family val="2"/>
          </rPr>
          <t>Filley, Kimberly S:</t>
        </r>
        <r>
          <rPr>
            <sz val="9"/>
            <color indexed="81"/>
            <rFont val="Tahoma"/>
            <family val="2"/>
          </rPr>
          <t xml:space="preserve">
includes $703.04 in costs related to PAYS program</t>
        </r>
      </text>
    </comment>
    <comment ref="DO6" authorId="0" shapeId="0" xr:uid="{00000000-0006-0000-02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DP6" authorId="0" shapeId="0" xr:uid="{00000000-0006-0000-0200-000010000000}">
      <text>
        <r>
          <rPr>
            <b/>
            <sz val="9"/>
            <color indexed="81"/>
            <rFont val="Tahoma"/>
            <family val="2"/>
          </rPr>
          <t>Filley, Kimberly S:</t>
        </r>
        <r>
          <rPr>
            <sz val="9"/>
            <color indexed="81"/>
            <rFont val="Tahoma"/>
            <family val="2"/>
          </rPr>
          <t xml:space="preserve">
includes $1078.71 in costs related to PAYS program </t>
        </r>
      </text>
    </comment>
    <comment ref="DQ6" authorId="0" shapeId="0" xr:uid="{00000000-0006-0000-0200-000011000000}">
      <text>
        <r>
          <rPr>
            <b/>
            <sz val="9"/>
            <color indexed="81"/>
            <rFont val="Tahoma"/>
            <family val="2"/>
          </rPr>
          <t>Filley, Kimberly S:</t>
        </r>
        <r>
          <rPr>
            <sz val="9"/>
            <color indexed="81"/>
            <rFont val="Tahoma"/>
            <family val="2"/>
          </rPr>
          <t xml:space="preserve">
includes $1284.55 in costs related to PAYS program </t>
        </r>
      </text>
    </comment>
    <comment ref="DR6" authorId="0" shapeId="0" xr:uid="{00000000-0006-0000-0200-000012000000}">
      <text>
        <r>
          <rPr>
            <b/>
            <sz val="9"/>
            <color indexed="81"/>
            <rFont val="Tahoma"/>
            <family val="2"/>
          </rPr>
          <t>Filley, Kimberly S:</t>
        </r>
        <r>
          <rPr>
            <sz val="9"/>
            <color indexed="81"/>
            <rFont val="Tahoma"/>
            <family val="2"/>
          </rPr>
          <t xml:space="preserve">
includes $1386.29 in costs related to PAYS program </t>
        </r>
      </text>
    </comment>
    <comment ref="DS6" authorId="0" shapeId="0" xr:uid="{00000000-0006-0000-0200-000013000000}">
      <text>
        <r>
          <rPr>
            <b/>
            <sz val="9"/>
            <color indexed="81"/>
            <rFont val="Tahoma"/>
            <family val="2"/>
          </rPr>
          <t>Filley, Kimberly S:</t>
        </r>
        <r>
          <rPr>
            <sz val="9"/>
            <color indexed="81"/>
            <rFont val="Tahoma"/>
            <family val="2"/>
          </rPr>
          <t xml:space="preserve">
includes $1513.94 in costs related to PAYS program </t>
        </r>
      </text>
    </comment>
    <comment ref="DT6" authorId="0" shapeId="0" xr:uid="{00000000-0006-0000-0200-000014000000}">
      <text>
        <r>
          <rPr>
            <b/>
            <sz val="9"/>
            <color indexed="81"/>
            <rFont val="Tahoma"/>
            <family val="2"/>
          </rPr>
          <t>Filley, Kimberly S:</t>
        </r>
        <r>
          <rPr>
            <sz val="9"/>
            <color indexed="81"/>
            <rFont val="Tahoma"/>
            <family val="2"/>
          </rPr>
          <t xml:space="preserve">
includes $1616.65 in costs related to PAYS program </t>
        </r>
      </text>
    </comment>
    <comment ref="DU6" authorId="0" shapeId="0" xr:uid="{00000000-0006-0000-0200-000015000000}">
      <text>
        <r>
          <rPr>
            <b/>
            <sz val="9"/>
            <color indexed="81"/>
            <rFont val="Tahoma"/>
            <family val="2"/>
          </rPr>
          <t>Filley, Kimberly S:</t>
        </r>
        <r>
          <rPr>
            <sz val="9"/>
            <color indexed="81"/>
            <rFont val="Tahoma"/>
            <family val="2"/>
          </rPr>
          <t xml:space="preserve">
includes $1821.21 in costs related to PAYS program </t>
        </r>
      </text>
    </comment>
    <comment ref="DV6" authorId="0" shapeId="0" xr:uid="{00000000-0006-0000-0200-000016000000}">
      <text>
        <r>
          <rPr>
            <b/>
            <sz val="9"/>
            <color indexed="81"/>
            <rFont val="Tahoma"/>
            <family val="2"/>
          </rPr>
          <t>Filley, Kimberly S:</t>
        </r>
        <r>
          <rPr>
            <sz val="9"/>
            <color indexed="81"/>
            <rFont val="Tahoma"/>
            <family val="2"/>
          </rPr>
          <t xml:space="preserve">
includes $1889.83 in costs related to PAYS program </t>
        </r>
      </text>
    </comment>
    <comment ref="DW6" authorId="0" shapeId="0" xr:uid="{00000000-0006-0000-0200-000017000000}">
      <text>
        <r>
          <rPr>
            <b/>
            <sz val="9"/>
            <color indexed="81"/>
            <rFont val="Tahoma"/>
            <family val="2"/>
          </rPr>
          <t>Filley, Kimberly S:</t>
        </r>
        <r>
          <rPr>
            <sz val="9"/>
            <color indexed="81"/>
            <rFont val="Tahoma"/>
            <family val="2"/>
          </rPr>
          <t xml:space="preserve">
includes $2070.59 in costs related to PAYS program </t>
        </r>
      </text>
    </comment>
    <comment ref="DX6" authorId="0" shapeId="0" xr:uid="{00000000-0006-0000-02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ED6" authorId="0" shapeId="0" xr:uid="{00000000-0006-0000-0200-000019000000}">
      <text>
        <r>
          <rPr>
            <b/>
            <sz val="9"/>
            <color indexed="81"/>
            <rFont val="Tahoma"/>
            <family val="2"/>
          </rPr>
          <t>Filley, Kimberly S:</t>
        </r>
        <r>
          <rPr>
            <sz val="9"/>
            <color indexed="81"/>
            <rFont val="Tahoma"/>
            <family val="2"/>
          </rPr>
          <t xml:space="preserve">
properly excludes $600 related to thermostat costs that had originally been improperly included in the Nov 20 costs</t>
        </r>
      </text>
    </comment>
    <comment ref="EE6" authorId="0" shapeId="0" xr:uid="{00000000-0006-0000-0200-00001A000000}">
      <text>
        <r>
          <rPr>
            <b/>
            <sz val="9"/>
            <color indexed="81"/>
            <rFont val="Tahoma"/>
            <family val="2"/>
          </rPr>
          <t>Filley, Kimberly S:</t>
        </r>
        <r>
          <rPr>
            <sz val="9"/>
            <color indexed="81"/>
            <rFont val="Tahoma"/>
            <family val="2"/>
          </rPr>
          <t xml:space="preserve">
properly excludes $700 related to thermostat costs that had originally been improperly included in the Dec 20 costs</t>
        </r>
      </text>
    </comment>
    <comment ref="EF6" authorId="0" shapeId="0" xr:uid="{00000000-0006-0000-0200-00001B000000}">
      <text>
        <r>
          <rPr>
            <b/>
            <sz val="9"/>
            <color indexed="81"/>
            <rFont val="Tahoma"/>
            <family val="2"/>
          </rPr>
          <t>Filley, Kimberly S:</t>
        </r>
        <r>
          <rPr>
            <sz val="9"/>
            <color indexed="81"/>
            <rFont val="Tahoma"/>
            <family val="2"/>
          </rPr>
          <t xml:space="preserve">
properly excludes $200 related to thermostat costs that had originally been improperly included in the Jan 21 costs</t>
        </r>
      </text>
    </comment>
    <comment ref="EK6" authorId="0" shapeId="0" xr:uid="{00000000-0006-0000-0200-00001C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Jun 21 costs</t>
        </r>
      </text>
    </comment>
    <comment ref="EP6" authorId="0" shapeId="0" xr:uid="{00000000-0006-0000-0200-00001D000000}">
      <text>
        <r>
          <rPr>
            <b/>
            <sz val="9"/>
            <color indexed="81"/>
            <rFont val="Tahoma"/>
            <family val="2"/>
          </rPr>
          <t>Filley, Kimberly S:</t>
        </r>
        <r>
          <rPr>
            <sz val="9"/>
            <color indexed="81"/>
            <rFont val="Tahoma"/>
            <family val="2"/>
          </rPr>
          <t xml:space="preserve">
properly excludes $534,998.70 related to Co-delivery costs that had originally been improperly included in the Nov 21 costs</t>
        </r>
      </text>
    </comment>
    <comment ref="ER6" authorId="0" shapeId="0" xr:uid="{00000000-0006-0000-0200-00001E000000}">
      <text>
        <r>
          <rPr>
            <b/>
            <sz val="9"/>
            <color indexed="81"/>
            <rFont val="Tahoma"/>
            <family val="2"/>
          </rPr>
          <t>Filley, Kimberly S:</t>
        </r>
        <r>
          <rPr>
            <sz val="9"/>
            <color indexed="81"/>
            <rFont val="Tahoma"/>
            <family val="2"/>
          </rPr>
          <t xml:space="preserve">
properly excludes $50 related to thermostat costs and properly includes $562.24 related to EEKITS Co-delivelry costs that had originally been improperly included/excluded in the Jan 22 costs</t>
        </r>
      </text>
    </comment>
    <comment ref="EZ6" authorId="0" shapeId="0" xr:uid="{00000000-0006-0000-0200-00001F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Sep 22 costs</t>
        </r>
      </text>
    </comment>
    <comment ref="FE6" authorId="0" shapeId="0" xr:uid="{00000000-0006-0000-0200-000020000000}">
      <text>
        <r>
          <rPr>
            <b/>
            <sz val="9"/>
            <color indexed="81"/>
            <rFont val="Tahoma"/>
            <family val="2"/>
          </rPr>
          <t>Filley, Kimberly S:</t>
        </r>
        <r>
          <rPr>
            <sz val="9"/>
            <color indexed="81"/>
            <rFont val="Tahoma"/>
            <family val="2"/>
          </rPr>
          <t xml:space="preserve">
backs out cost corrections booked in Feb 2023 related to prud review associated with yellow highlighted periods to the left</t>
        </r>
      </text>
    </comment>
    <comment ref="FK6" authorId="0" shapeId="0" xr:uid="{00000000-0006-0000-0200-000021000000}">
      <text>
        <r>
          <rPr>
            <b/>
            <sz val="9"/>
            <color indexed="81"/>
            <rFont val="Tahoma"/>
            <family val="2"/>
          </rPr>
          <t>Filley, Kimberly S:</t>
        </r>
        <r>
          <rPr>
            <sz val="9"/>
            <color indexed="81"/>
            <rFont val="Tahoma"/>
            <family val="2"/>
          </rPr>
          <t xml:space="preserve">
includes $2,692.03 in costs related to PAYS </t>
        </r>
      </text>
    </comment>
    <comment ref="FL6" authorId="0" shapeId="0" xr:uid="{00000000-0006-0000-0200-000022000000}">
      <text>
        <r>
          <rPr>
            <b/>
            <sz val="9"/>
            <color indexed="81"/>
            <rFont val="Tahoma"/>
            <family val="2"/>
          </rPr>
          <t>Filley, Kimberly S:</t>
        </r>
        <r>
          <rPr>
            <sz val="9"/>
            <color indexed="81"/>
            <rFont val="Tahoma"/>
            <family val="2"/>
          </rPr>
          <t xml:space="preserve">
includes $2,737.36 in costs related to PAYS </t>
        </r>
      </text>
    </comment>
    <comment ref="FM6" authorId="0" shapeId="0" xr:uid="{00000000-0006-0000-0200-000023000000}">
      <text>
        <r>
          <rPr>
            <b/>
            <sz val="9"/>
            <color indexed="81"/>
            <rFont val="Tahoma"/>
            <family val="2"/>
          </rPr>
          <t>Filley, Kimberly S:</t>
        </r>
        <r>
          <rPr>
            <sz val="9"/>
            <color indexed="81"/>
            <rFont val="Tahoma"/>
            <family val="2"/>
          </rPr>
          <t xml:space="preserve">
includes $2,781.49 in costs related to PAYS </t>
        </r>
      </text>
    </comment>
    <comment ref="FN6" authorId="0" shapeId="0" xr:uid="{00000000-0006-0000-0200-000024000000}">
      <text>
        <r>
          <rPr>
            <b/>
            <sz val="9"/>
            <color indexed="81"/>
            <rFont val="Tahoma"/>
            <family val="2"/>
          </rPr>
          <t>Filley, Kimberly S:</t>
        </r>
        <r>
          <rPr>
            <sz val="9"/>
            <color indexed="81"/>
            <rFont val="Tahoma"/>
            <family val="2"/>
          </rPr>
          <t xml:space="preserve">
includes $571.88 in costs related to PAYS </t>
        </r>
      </text>
    </comment>
    <comment ref="FO6" authorId="0" shapeId="0" xr:uid="{00000000-0006-0000-0200-000025000000}">
      <text>
        <r>
          <rPr>
            <b/>
            <sz val="9"/>
            <color indexed="81"/>
            <rFont val="Tahoma"/>
            <family val="2"/>
          </rPr>
          <t>Filley, Kimberly S:</t>
        </r>
        <r>
          <rPr>
            <sz val="9"/>
            <color indexed="81"/>
            <rFont val="Tahoma"/>
            <family val="2"/>
          </rPr>
          <t xml:space="preserve">
includes $743.10 in costs related to PAYS </t>
        </r>
      </text>
    </comment>
    <comment ref="FP6" authorId="0" shapeId="0" xr:uid="{00000000-0006-0000-0200-000026000000}">
      <text>
        <r>
          <rPr>
            <b/>
            <sz val="9"/>
            <color indexed="81"/>
            <rFont val="Tahoma"/>
            <family val="2"/>
          </rPr>
          <t>Filley, Kimberly S:</t>
        </r>
        <r>
          <rPr>
            <sz val="9"/>
            <color indexed="81"/>
            <rFont val="Tahoma"/>
            <family val="2"/>
          </rPr>
          <t xml:space="preserve">
includes $848.98 in costs related to PAYS </t>
        </r>
      </text>
    </comment>
    <comment ref="DM7" authorId="0" shapeId="0" xr:uid="{00000000-0006-0000-0200-000027000000}">
      <text>
        <r>
          <rPr>
            <b/>
            <sz val="9"/>
            <color indexed="81"/>
            <rFont val="Tahoma"/>
            <family val="2"/>
          </rPr>
          <t>Filley, Kimberly S:</t>
        </r>
        <r>
          <rPr>
            <sz val="9"/>
            <color indexed="81"/>
            <rFont val="Tahoma"/>
            <family val="2"/>
          </rPr>
          <t xml:space="preserve">
includes rev true-up related to Nov 21 of $11.21
</t>
        </r>
      </text>
    </comment>
    <comment ref="DR7" authorId="0" shapeId="0" xr:uid="{00000000-0006-0000-0200-000028000000}">
      <text>
        <r>
          <rPr>
            <b/>
            <sz val="9"/>
            <color indexed="81"/>
            <rFont val="Tahoma"/>
            <family val="2"/>
          </rPr>
          <t>Filley, Kimberly S:</t>
        </r>
        <r>
          <rPr>
            <sz val="9"/>
            <color indexed="81"/>
            <rFont val="Tahoma"/>
            <family val="2"/>
          </rPr>
          <t xml:space="preserve">
includes rev true-up related to Nov 21 of 
-$0.19
</t>
        </r>
      </text>
    </comment>
    <comment ref="C9" authorId="1" shapeId="0" xr:uid="{00000000-0006-0000-0200-000029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10" authorId="0" shapeId="0" xr:uid="{00000000-0006-0000-0200-00002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Z10" authorId="0" shapeId="0" xr:uid="{00000000-0006-0000-0200-00002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A10" authorId="0" shapeId="0" xr:uid="{00000000-0006-0000-0200-00002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Z10" authorId="0" shapeId="0" xr:uid="{00000000-0006-0000-0200-00002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A10" authorId="0" shapeId="0" xr:uid="{00000000-0006-0000-0200-00002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19" authorId="1" shapeId="0" xr:uid="{00000000-0006-0000-0200-00002F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DA21" authorId="0" shapeId="0" xr:uid="{00000000-0006-0000-0200-000030000000}">
      <text>
        <r>
          <rPr>
            <b/>
            <sz val="9"/>
            <color indexed="81"/>
            <rFont val="Tahoma"/>
            <family val="2"/>
          </rPr>
          <t>Filley, Kimberly S:</t>
        </r>
        <r>
          <rPr>
            <sz val="9"/>
            <color indexed="81"/>
            <rFont val="Tahoma"/>
            <family val="2"/>
          </rPr>
          <t xml:space="preserve">
when interest changes sign direction have to change the account in je template jul - sep 20 cumulative interest dropping so need to record interest rev for each of these months instead of interest expense like we have been</t>
        </r>
      </text>
    </comment>
    <comment ref="C29" authorId="1" shapeId="0" xr:uid="{00000000-0006-0000-0200-000031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Z29" authorId="1" shapeId="0" xr:uid="{00000000-0006-0000-0200-000032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A29" authorId="1" shapeId="0" xr:uid="{00000000-0006-0000-0200-000033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B29" authorId="1" shapeId="0" xr:uid="{00000000-0006-0000-0200-000034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C29" authorId="1" shapeId="0" xr:uid="{00000000-0006-0000-0200-000035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D29" authorId="1" shapeId="0" xr:uid="{00000000-0006-0000-0200-000036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E29" authorId="1" shapeId="0" xr:uid="{00000000-0006-0000-0200-000037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F29" authorId="1" shapeId="0" xr:uid="{00000000-0006-0000-0200-000038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G29" authorId="1" shapeId="0" xr:uid="{00000000-0006-0000-0200-000039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H29" authorId="1" shapeId="0" xr:uid="{00000000-0006-0000-0200-00003A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I29" authorId="1" shapeId="0" xr:uid="{00000000-0006-0000-0200-00003B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J29" authorId="1" shapeId="0" xr:uid="{00000000-0006-0000-0200-00003C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K29" authorId="1" shapeId="0" xr:uid="{00000000-0006-0000-0200-00003D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L29" authorId="1" shapeId="0" xr:uid="{00000000-0006-0000-0200-00003E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M29" authorId="1" shapeId="0" xr:uid="{00000000-0006-0000-0200-00003F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N29" authorId="1" shapeId="0" xr:uid="{00000000-0006-0000-0200-000040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O29" authorId="1" shapeId="0" xr:uid="{00000000-0006-0000-0200-000041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P29" authorId="1" shapeId="0" xr:uid="{00000000-0006-0000-0200-000042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Q29" authorId="1" shapeId="0" xr:uid="{00000000-0006-0000-0200-000043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R29" authorId="1" shapeId="0" xr:uid="{00000000-0006-0000-0200-000044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S29" authorId="1" shapeId="0" xr:uid="{00000000-0006-0000-0200-000045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T29" authorId="1" shapeId="0" xr:uid="{00000000-0006-0000-0200-000046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U29" authorId="1" shapeId="0" xr:uid="{00000000-0006-0000-0200-000047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V29" authorId="1" shapeId="0" xr:uid="{00000000-0006-0000-0200-000048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W29" authorId="1" shapeId="0" xr:uid="{00000000-0006-0000-0200-000049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X29" authorId="1" shapeId="0" xr:uid="{00000000-0006-0000-0200-00004A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BJ32" authorId="1" shapeId="0" xr:uid="{00000000-0006-0000-0200-00004B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BU32" authorId="1" shapeId="0" xr:uid="{00000000-0006-0000-0200-00004C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C39" authorId="1" shapeId="0" xr:uid="{00000000-0006-0000-0200-00004D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49" authorId="1" shapeId="0" xr:uid="{00000000-0006-0000-0200-00004E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59" authorId="0" shapeId="0" xr:uid="{00000000-0006-0000-0200-00004F000000}">
      <text>
        <r>
          <rPr>
            <b/>
            <sz val="9"/>
            <color indexed="81"/>
            <rFont val="Tahoma"/>
            <family val="2"/>
          </rPr>
          <t>Filley, Kimberly S:</t>
        </r>
        <r>
          <rPr>
            <sz val="9"/>
            <color indexed="81"/>
            <rFont val="Tahoma"/>
            <family val="2"/>
          </rPr>
          <t xml:space="preserve">
comes from M3 Allocation s - TD tab</t>
        </r>
      </text>
    </comment>
    <comment ref="B60" authorId="1" shapeId="0" xr:uid="{00000000-0006-0000-0200-000050000000}">
      <text>
        <r>
          <rPr>
            <b/>
            <sz val="9"/>
            <color indexed="81"/>
            <rFont val="Tahoma"/>
            <family val="2"/>
          </rPr>
          <t>Logan, Raysene:</t>
        </r>
        <r>
          <rPr>
            <sz val="9"/>
            <color indexed="81"/>
            <rFont val="Tahoma"/>
            <family val="2"/>
          </rPr>
          <t xml:space="preserve">
round to $0.01</t>
        </r>
      </text>
    </comment>
    <comment ref="B70" authorId="0" shapeId="0" xr:uid="{00000000-0006-0000-0200-000051000000}">
      <text>
        <r>
          <rPr>
            <b/>
            <sz val="9"/>
            <color indexed="81"/>
            <rFont val="Tahoma"/>
            <family val="2"/>
          </rPr>
          <t>Filley, Kimberly S:</t>
        </r>
        <r>
          <rPr>
            <sz val="9"/>
            <color indexed="81"/>
            <rFont val="Tahoma"/>
            <family val="2"/>
          </rPr>
          <t xml:space="preserve">
from TD calc tab</t>
        </r>
      </text>
    </comment>
    <comment ref="B71" authorId="0" shapeId="0" xr:uid="{00000000-0006-0000-0200-000052000000}">
      <text>
        <r>
          <rPr>
            <b/>
            <sz val="9"/>
            <color indexed="81"/>
            <rFont val="Tahoma"/>
            <family val="2"/>
          </rPr>
          <t>Filley, Kimberly S:</t>
        </r>
        <r>
          <rPr>
            <sz val="9"/>
            <color indexed="81"/>
            <rFont val="Tahoma"/>
            <family val="2"/>
          </rPr>
          <t xml:space="preserve">
from TD calc tab</t>
        </r>
      </text>
    </comment>
    <comment ref="B72" authorId="0" shapeId="0" xr:uid="{00000000-0006-0000-0200-000053000000}">
      <text>
        <r>
          <rPr>
            <b/>
            <sz val="9"/>
            <color indexed="81"/>
            <rFont val="Tahoma"/>
            <family val="2"/>
          </rPr>
          <t>Filley, Kimberly S:</t>
        </r>
        <r>
          <rPr>
            <sz val="9"/>
            <color indexed="81"/>
            <rFont val="Tahoma"/>
            <family val="2"/>
          </rPr>
          <t xml:space="preserve">
from TD true-up file what s/h/be in TD from Jeff F. MEEIA group</t>
        </r>
      </text>
    </comment>
    <comment ref="B73" authorId="0" shapeId="0" xr:uid="{00000000-0006-0000-0200-000054000000}">
      <text>
        <r>
          <rPr>
            <b/>
            <sz val="9"/>
            <color indexed="81"/>
            <rFont val="Tahoma"/>
            <family val="2"/>
          </rPr>
          <t>Filley, Kimberly S:</t>
        </r>
        <r>
          <rPr>
            <sz val="9"/>
            <color indexed="81"/>
            <rFont val="Tahoma"/>
            <family val="2"/>
          </rPr>
          <t xml:space="preserve">
from TD true-up file what s/h/be in TD from Jeff F. MEEIA group</t>
        </r>
      </text>
    </comment>
    <comment ref="B74" authorId="0" shapeId="0" xr:uid="{00000000-0006-0000-0200-000055000000}">
      <text>
        <r>
          <rPr>
            <b/>
            <sz val="9"/>
            <color indexed="81"/>
            <rFont val="Tahoma"/>
            <family val="2"/>
          </rPr>
          <t>Filley, Kimberly S:</t>
        </r>
        <r>
          <rPr>
            <sz val="9"/>
            <color indexed="81"/>
            <rFont val="Tahoma"/>
            <family val="2"/>
          </rPr>
          <t xml:space="preserve">
from TD true-up file what s/h/be in TD from Jeff F. MEEIA group</t>
        </r>
      </text>
    </comment>
    <comment ref="B75" authorId="0" shapeId="0" xr:uid="{00000000-0006-0000-0200-000056000000}">
      <text>
        <r>
          <rPr>
            <b/>
            <sz val="9"/>
            <color indexed="81"/>
            <rFont val="Tahoma"/>
            <family val="2"/>
          </rPr>
          <t>Filley, Kimberly S:</t>
        </r>
        <r>
          <rPr>
            <sz val="9"/>
            <color indexed="81"/>
            <rFont val="Tahoma"/>
            <family val="2"/>
          </rPr>
          <t xml:space="preserve">
from TD true-up file what s/h/be in TD from Jeff F. MEEIA group</t>
        </r>
      </text>
    </comment>
    <comment ref="DB76" authorId="1" shapeId="0" xr:uid="{00000000-0006-0000-0200-000057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DJ76" authorId="1" shapeId="0" xr:uid="{00000000-0006-0000-0200-000058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DK76" authorId="0" shapeId="0" xr:uid="{00000000-0006-0000-0200-000059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DN76" authorId="1" shapeId="0" xr:uid="{00000000-0006-0000-0200-00005A000000}">
      <text>
        <r>
          <rPr>
            <b/>
            <sz val="9"/>
            <color indexed="81"/>
            <rFont val="Tahoma"/>
            <family val="2"/>
          </rPr>
          <t>Logan, Raysene:</t>
        </r>
        <r>
          <rPr>
            <sz val="9"/>
            <color indexed="81"/>
            <rFont val="Tahoma"/>
            <family val="2"/>
          </rPr>
          <t xml:space="preserve">
M2 Janaury 2022 ending balances rolled into M3 effective Feb 2022</t>
        </r>
      </text>
    </comment>
    <comment ref="CY78" authorId="0" shapeId="0" xr:uid="{00000000-0006-0000-0200-00005B000000}">
      <text>
        <r>
          <rPr>
            <b/>
            <sz val="9"/>
            <color indexed="81"/>
            <rFont val="Tahoma"/>
            <family val="2"/>
          </rPr>
          <t>Filley, Kimberly S:</t>
        </r>
        <r>
          <rPr>
            <sz val="9"/>
            <color indexed="81"/>
            <rFont val="Tahoma"/>
            <family val="2"/>
          </rPr>
          <t xml:space="preserve">
cm over/under no cm actvty then value herein</t>
        </r>
      </text>
    </comment>
    <comment ref="DK78" authorId="0" shapeId="0" xr:uid="{00000000-0006-0000-0200-00005C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DC79" authorId="0" shapeId="0" xr:uid="{00000000-0006-0000-0200-00005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K79" authorId="0" shapeId="0" xr:uid="{00000000-0006-0000-0200-00005E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CY84" authorId="0" shapeId="0" xr:uid="{00000000-0006-0000-0200-00005F000000}">
      <text>
        <r>
          <rPr>
            <b/>
            <sz val="9"/>
            <color indexed="81"/>
            <rFont val="Tahoma"/>
            <family val="2"/>
          </rPr>
          <t>Filley, Kimberly S:</t>
        </r>
        <r>
          <rPr>
            <sz val="9"/>
            <color indexed="81"/>
            <rFont val="Tahoma"/>
            <family val="2"/>
          </rPr>
          <t xml:space="preserve">
PI/EO recognized </t>
        </r>
      </text>
    </comment>
    <comment ref="DI84" authorId="1" shapeId="0" xr:uid="{00000000-0006-0000-0200-000060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DN84" authorId="1" shapeId="0" xr:uid="{00000000-0006-0000-0200-000061000000}">
      <text>
        <r>
          <rPr>
            <b/>
            <sz val="9"/>
            <color indexed="81"/>
            <rFont val="Tahoma"/>
            <family val="2"/>
          </rPr>
          <t>Logan, Raysene:</t>
        </r>
        <r>
          <rPr>
            <sz val="9"/>
            <color indexed="81"/>
            <rFont val="Tahoma"/>
            <family val="2"/>
          </rPr>
          <t xml:space="preserve">
M2 Janaury 2022 ending balances rolled into M3 effective Feb 2022</t>
        </r>
      </text>
    </comment>
    <comment ref="DT84" authorId="1" shapeId="0" xr:uid="{00000000-0006-0000-0200-000062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DV84" authorId="1" shapeId="0" xr:uid="{00000000-0006-0000-0200-000063000000}">
      <text>
        <r>
          <rPr>
            <b/>
            <sz val="9"/>
            <color indexed="81"/>
            <rFont val="Tahoma"/>
            <family val="2"/>
          </rPr>
          <t>Filley, Kim:</t>
        </r>
        <r>
          <rPr>
            <sz val="9"/>
            <color indexed="81"/>
            <rFont val="Tahoma"/>
            <family val="2"/>
          </rPr>
          <t xml:space="preserve">
-$197.32: True-up of TD True-up for inclusion in EO booked to GL in October 2022
</t>
        </r>
      </text>
    </comment>
    <comment ref="DX84" authorId="1" shapeId="0" xr:uid="{00000000-0006-0000-0200-000064000000}">
      <text>
        <r>
          <rPr>
            <b/>
            <sz val="9"/>
            <color indexed="81"/>
            <rFont val="Tahoma"/>
            <family val="2"/>
          </rPr>
          <t xml:space="preserve">Filley, Kim:
</t>
        </r>
        <r>
          <rPr>
            <sz val="9"/>
            <color indexed="81"/>
            <rFont val="Tahoma"/>
            <family val="2"/>
          </rPr>
          <t>+$10,734,309.90: M3 PY2022 EO booked to GL in December 2022</t>
        </r>
      </text>
    </comment>
    <comment ref="CY86" authorId="0" shapeId="0" xr:uid="{00000000-0006-0000-0200-000065000000}">
      <text>
        <r>
          <rPr>
            <b/>
            <sz val="9"/>
            <color indexed="81"/>
            <rFont val="Tahoma"/>
            <family val="2"/>
          </rPr>
          <t>Filley, Kimberly S:</t>
        </r>
        <r>
          <rPr>
            <sz val="9"/>
            <color indexed="81"/>
            <rFont val="Tahoma"/>
            <family val="2"/>
          </rPr>
          <t xml:space="preserve">
PI/EO amortized because billed</t>
        </r>
      </text>
    </comment>
    <comment ref="DR86" authorId="0" shapeId="0" xr:uid="{00000000-0006-0000-0200-000066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AL51" authorId="0" shapeId="0" xr:uid="{00000000-0006-0000-0300-000002000000}">
      <text>
        <r>
          <rPr>
            <b/>
            <sz val="9"/>
            <color indexed="81"/>
            <rFont val="Tahoma"/>
            <family val="2"/>
          </rPr>
          <t>Filley, Kimberly S:</t>
        </r>
        <r>
          <rPr>
            <sz val="9"/>
            <color indexed="81"/>
            <rFont val="Tahoma"/>
            <family val="2"/>
          </rPr>
          <t xml:space="preserve">
includes a revenue true up for Nov 2021 $5.36</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4" authorId="0" shapeId="0" xr:uid="{00000000-0006-0000-0400-00000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4" authorId="0" shapeId="0" xr:uid="{00000000-0006-0000-0400-00000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4" authorId="0" shapeId="0" xr:uid="{00000000-0006-0000-0400-00000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4" authorId="0" shapeId="0" xr:uid="{00000000-0006-0000-0400-000004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11" authorId="0" shapeId="0" xr:uid="{00000000-0006-0000-0400-000005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1" authorId="0" shapeId="0" xr:uid="{00000000-0006-0000-0400-000006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1" authorId="0" shapeId="0" xr:uid="{00000000-0006-0000-0400-000007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11" authorId="0" shapeId="0" xr:uid="{00000000-0006-0000-0400-000008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18" authorId="0" shapeId="0" xr:uid="{00000000-0006-0000-0400-000009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8" authorId="0" shapeId="0" xr:uid="{00000000-0006-0000-0400-00000A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8" authorId="0" shapeId="0" xr:uid="{00000000-0006-0000-0400-00000B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18" authorId="0" shapeId="0" xr:uid="{00000000-0006-0000-0400-00000C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25" authorId="0" shapeId="0" xr:uid="{00000000-0006-0000-0400-00000D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25" authorId="0" shapeId="0" xr:uid="{00000000-0006-0000-0400-00000E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25" authorId="0" shapeId="0" xr:uid="{00000000-0006-0000-0400-00000F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25" authorId="0" shapeId="0" xr:uid="{00000000-0006-0000-0400-000010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32" authorId="0" shapeId="0" xr:uid="{00000000-0006-0000-0400-00001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32" authorId="0" shapeId="0" xr:uid="{00000000-0006-0000-0400-00001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32" authorId="0" shapeId="0" xr:uid="{00000000-0006-0000-0400-00001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32" authorId="0" shapeId="0" xr:uid="{00000000-0006-0000-0400-000014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Raysene Logan</author>
  </authors>
  <commentList>
    <comment ref="P5" authorId="0" shapeId="0" xr:uid="{00000000-0006-0000-05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5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5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AS15" authorId="0" shapeId="0" xr:uid="{00000000-0006-0000-0500-000004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CI15" authorId="1" shapeId="0" xr:uid="{00000000-0006-0000-0500-000005000000}">
      <text>
        <r>
          <rPr>
            <b/>
            <sz val="9"/>
            <color indexed="81"/>
            <rFont val="Tahoma"/>
            <family val="2"/>
          </rPr>
          <t>Filley, Kimberly S:</t>
        </r>
        <r>
          <rPr>
            <sz val="9"/>
            <color indexed="81"/>
            <rFont val="Tahoma"/>
            <family val="2"/>
          </rPr>
          <t xml:space="preserve">
interest correction related to change in interest rate in Dec 2020 which resulted in change in interest amount Dec 2020 - Dec 2022 as this amount is already in the TD totals for 1M - 11M below do not need to link to this particular row to this TD-TOTAL total section in gray</t>
        </r>
      </text>
    </comment>
    <comment ref="P26" authorId="0" shapeId="0" xr:uid="{00000000-0006-0000-0500-000006000000}">
      <text>
        <r>
          <rPr>
            <b/>
            <sz val="9"/>
            <color indexed="81"/>
            <rFont val="Tahoma"/>
            <family val="2"/>
          </rPr>
          <t>Logan, Raysene:</t>
        </r>
        <r>
          <rPr>
            <sz val="9"/>
            <color indexed="81"/>
            <rFont val="Tahoma"/>
            <family val="2"/>
          </rPr>
          <t xml:space="preserve">
splits by rate class from M1 final recon to be filed 11-2017</t>
        </r>
      </text>
    </comment>
    <comment ref="AS26" authorId="0" shapeId="0" xr:uid="{00000000-0006-0000-0500-000007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Y76" authorId="0" shapeId="0" xr:uid="{00000000-0006-0000-0500-000008000000}">
      <text>
        <r>
          <rPr>
            <b/>
            <sz val="9"/>
            <color indexed="81"/>
            <rFont val="Tahoma"/>
            <family val="2"/>
          </rPr>
          <t>Logan, Raysene:</t>
        </r>
        <r>
          <rPr>
            <sz val="9"/>
            <color indexed="81"/>
            <rFont val="Tahoma"/>
            <family val="2"/>
          </rPr>
          <t xml:space="preserve">
OA in MEEIA Nov 2017 filing and booked to GL in Nov 2017, will be in rates starting Feb 2018</t>
        </r>
      </text>
    </comment>
    <comment ref="AK76" authorId="0" shapeId="0" xr:uid="{00000000-0006-0000-0500-000009000000}">
      <text>
        <r>
          <rPr>
            <b/>
            <sz val="9"/>
            <color indexed="81"/>
            <rFont val="Tahoma"/>
            <family val="2"/>
          </rPr>
          <t>Logan, Raysene:</t>
        </r>
        <r>
          <rPr>
            <sz val="9"/>
            <color indexed="81"/>
            <rFont val="Tahoma"/>
            <family val="2"/>
          </rPr>
          <t xml:space="preserve">
OA in MEEIA Nov 2018 filing and booked to GL in Nov 2018, will be in rates starting Feb 2019</t>
        </r>
      </text>
    </comment>
    <comment ref="AM84" authorId="0" shapeId="0" xr:uid="{00000000-0006-0000-0500-00000A000000}">
      <text>
        <r>
          <rPr>
            <b/>
            <sz val="9"/>
            <color indexed="81"/>
            <rFont val="Tahoma"/>
            <family val="2"/>
          </rPr>
          <t>Logan, Raysene:</t>
        </r>
        <r>
          <rPr>
            <sz val="9"/>
            <color indexed="81"/>
            <rFont val="Tahoma"/>
            <family val="2"/>
          </rPr>
          <t xml:space="preserve">
Additional $9M awarded in avoided cost complaint ruling, booked in Jan 19 GL</t>
        </r>
      </text>
    </comment>
    <comment ref="AW84" authorId="1" shapeId="0" xr:uid="{00000000-0006-0000-0500-00000B000000}">
      <text>
        <r>
          <rPr>
            <b/>
            <sz val="9"/>
            <color indexed="81"/>
            <rFont val="Tahoma"/>
            <family val="2"/>
          </rPr>
          <t>Filley, Kimberly S:</t>
        </r>
        <r>
          <rPr>
            <sz val="9"/>
            <color indexed="81"/>
            <rFont val="Tahoma"/>
            <family val="2"/>
          </rPr>
          <t xml:space="preserve">
moved into M2 amounts below so anything M1 related for this will be input into the pink cells below going forward</t>
        </r>
      </text>
    </comment>
    <comment ref="AM85" authorId="0" shapeId="0" xr:uid="{00000000-0006-0000-0500-00000C000000}">
      <text>
        <r>
          <rPr>
            <b/>
            <sz val="9"/>
            <color indexed="81"/>
            <rFont val="Tahoma"/>
            <family val="2"/>
          </rPr>
          <t>Logan, Raysene:</t>
        </r>
        <r>
          <rPr>
            <sz val="9"/>
            <color indexed="81"/>
            <rFont val="Tahoma"/>
            <family val="2"/>
          </rPr>
          <t xml:space="preserve">
M1 P1 amount fully amortized as of 12/31</t>
        </r>
      </text>
    </comment>
    <comment ref="AL95" authorId="0" shapeId="0" xr:uid="{00000000-0006-0000-0500-00000D000000}">
      <text>
        <r>
          <rPr>
            <b/>
            <sz val="9"/>
            <color indexed="81"/>
            <rFont val="Tahoma"/>
            <family val="2"/>
          </rPr>
          <t>Logan, Raysene:</t>
        </r>
        <r>
          <rPr>
            <sz val="9"/>
            <color indexed="81"/>
            <rFont val="Tahoma"/>
            <family val="2"/>
          </rPr>
          <t xml:space="preserve">
First 1/2 of 2017 booked in Dec 18 GL</t>
        </r>
      </text>
    </comment>
    <comment ref="AM95" authorId="0" shapeId="0" xr:uid="{00000000-0006-0000-0500-00000E000000}">
      <text>
        <r>
          <rPr>
            <b/>
            <sz val="9"/>
            <color indexed="81"/>
            <rFont val="Tahoma"/>
            <family val="2"/>
          </rPr>
          <t>Logan, Raysene:</t>
        </r>
        <r>
          <rPr>
            <sz val="9"/>
            <color indexed="81"/>
            <rFont val="Tahoma"/>
            <family val="2"/>
          </rPr>
          <t xml:space="preserve">
Second 1/2 of 2017 and 2016 booked in Jan 19 GL</t>
        </r>
      </text>
    </comment>
    <comment ref="AU95" authorId="0" shapeId="0" xr:uid="{00000000-0006-0000-0500-00000F000000}">
      <text>
        <r>
          <rPr>
            <b/>
            <sz val="9"/>
            <color indexed="81"/>
            <rFont val="Tahoma"/>
            <family val="2"/>
          </rPr>
          <t>Logan, Raysene:</t>
        </r>
        <r>
          <rPr>
            <sz val="9"/>
            <color indexed="81"/>
            <rFont val="Tahoma"/>
            <family val="2"/>
          </rPr>
          <t xml:space="preserve">
Final EO calc booked in Sep 19 GL</t>
        </r>
      </text>
    </comment>
    <comment ref="AW95" authorId="2" shapeId="0" xr:uid="{00000000-0006-0000-0500-000010000000}">
      <text>
        <r>
          <rPr>
            <b/>
            <sz val="9"/>
            <color indexed="81"/>
            <rFont val="Tahoma"/>
            <family val="2"/>
          </rPr>
          <t>Raysene Logan:</t>
        </r>
        <r>
          <rPr>
            <sz val="9"/>
            <color indexed="81"/>
            <rFont val="Tahoma"/>
            <family val="2"/>
          </rPr>
          <t xml:space="preserve">
Rolling M1 PI balance into M2 effective Nov 2019 with annual MEEIA rate filing</t>
        </r>
      </text>
    </comment>
    <comment ref="BF95" authorId="0" shapeId="0" xr:uid="{00000000-0006-0000-0500-000011000000}">
      <text>
        <r>
          <rPr>
            <b/>
            <sz val="9"/>
            <color indexed="81"/>
            <rFont val="Tahoma"/>
            <family val="2"/>
          </rPr>
          <t>Logan, Raysene:</t>
        </r>
        <r>
          <rPr>
            <sz val="9"/>
            <color indexed="81"/>
            <rFont val="Tahoma"/>
            <family val="2"/>
          </rPr>
          <t xml:space="preserve">
TD True-up approved for inclusion in EO booked to GL in August 20</t>
        </r>
      </text>
    </comment>
    <comment ref="BR95" authorId="0" shapeId="0" xr:uid="{00000000-0006-0000-0500-000012000000}">
      <text>
        <r>
          <rPr>
            <b/>
            <sz val="9"/>
            <color indexed="81"/>
            <rFont val="Tahoma"/>
            <family val="2"/>
          </rPr>
          <t>Filley, Kim:</t>
        </r>
        <r>
          <rPr>
            <sz val="9"/>
            <color indexed="81"/>
            <rFont val="Tahoma"/>
            <family val="2"/>
          </rPr>
          <t xml:space="preserve">
TD True-up for inclusion in EO booked to GL in August 21</t>
        </r>
      </text>
    </comment>
    <comment ref="AZ96" authorId="1" shapeId="0" xr:uid="{00000000-0006-0000-0500-000013000000}">
      <text>
        <r>
          <rPr>
            <b/>
            <sz val="9"/>
            <color indexed="81"/>
            <rFont val="Tahoma"/>
            <family val="2"/>
          </rPr>
          <t>Filley, Kimberly S:</t>
        </r>
        <r>
          <rPr>
            <sz val="9"/>
            <color indexed="81"/>
            <rFont val="Tahoma"/>
            <family val="2"/>
          </rPr>
          <t xml:space="preserve">
each time new EO rates go into effect have to update this cell - new rates for EO went into effect for M2 in Feb 20 - go into case works MEEIA 3 rate filing workpapers - opened wp WRD2 - MEEIA Rider Calcs November 2019 - Rate - updated 1.2.20 excel file and pulled value in cell B 4 of the EO tab and divided by 23 - this formula is copied over to the subsequent months up to 23 mo.s and then will be updated when new rates go into effect for this.</t>
        </r>
      </text>
    </comment>
    <comment ref="BL96" authorId="1" shapeId="0" xr:uid="{00000000-0006-0000-0500-000014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BW96" authorId="1" shapeId="0" xr:uid="{00000000-0006-0000-0500-000015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 ref="AC104" authorId="0" shapeId="0" xr:uid="{00000000-0006-0000-0500-000016000000}">
      <text>
        <r>
          <rPr>
            <b/>
            <sz val="9"/>
            <color indexed="81"/>
            <rFont val="Tahoma"/>
            <family val="2"/>
          </rPr>
          <t>Logan, Raysene:</t>
        </r>
        <r>
          <rPr>
            <sz val="9"/>
            <color indexed="81"/>
            <rFont val="Tahoma"/>
            <family val="2"/>
          </rPr>
          <t xml:space="preserve">
1/2 of 2016 EMV results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F6" authorId="0" shapeId="0" xr:uid="{00000000-0006-0000-0600-000001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G7" authorId="1" shapeId="0" xr:uid="{00000000-0006-0000-0600-000002000000}">
      <text>
        <r>
          <rPr>
            <b/>
            <sz val="9"/>
            <color indexed="81"/>
            <rFont val="Tahoma"/>
            <family val="2"/>
          </rPr>
          <t>Logan, Raysene:</t>
        </r>
        <r>
          <rPr>
            <sz val="9"/>
            <color indexed="81"/>
            <rFont val="Tahoma"/>
            <family val="2"/>
          </rPr>
          <t xml:space="preserve">
Remove Cardinals sign</t>
        </r>
      </text>
    </comment>
    <comment ref="H7" authorId="1" shapeId="0" xr:uid="{00000000-0006-0000-0600-000003000000}">
      <text>
        <r>
          <rPr>
            <b/>
            <sz val="9"/>
            <color indexed="81"/>
            <rFont val="Tahoma"/>
            <family val="2"/>
          </rPr>
          <t>Logan, Raysene:</t>
        </r>
        <r>
          <rPr>
            <sz val="9"/>
            <color indexed="81"/>
            <rFont val="Tahoma"/>
            <family val="2"/>
          </rPr>
          <t xml:space="preserve">
Correct Cardinals radio allocation</t>
        </r>
      </text>
    </comment>
    <comment ref="L7" authorId="1" shapeId="0" xr:uid="{00000000-0006-0000-0600-000004000000}">
      <text>
        <r>
          <rPr>
            <b/>
            <sz val="9"/>
            <color indexed="81"/>
            <rFont val="Tahoma"/>
            <family val="2"/>
          </rPr>
          <t>Logan, Raysene:</t>
        </r>
        <r>
          <rPr>
            <sz val="9"/>
            <color indexed="81"/>
            <rFont val="Tahoma"/>
            <family val="2"/>
          </rPr>
          <t xml:space="preserve">
Remove Cardinals sign and correct Cardinals radio allocation</t>
        </r>
      </text>
    </comment>
    <comment ref="Q7" authorId="1" shapeId="0" xr:uid="{00000000-0006-0000-0600-000005000000}">
      <text>
        <r>
          <rPr>
            <b/>
            <sz val="9"/>
            <color indexed="81"/>
            <rFont val="Tahoma"/>
            <family val="2"/>
          </rPr>
          <t>Logan, Raysene:</t>
        </r>
        <r>
          <rPr>
            <sz val="9"/>
            <color indexed="81"/>
            <rFont val="Tahoma"/>
            <family val="2"/>
          </rPr>
          <t xml:space="preserve">
Reverse impacts of actual booking for Cardinals corrections in November</t>
        </r>
      </text>
    </comment>
    <comment ref="BQ10" authorId="0" shapeId="0" xr:uid="{00000000-0006-0000-0600-00000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U10" authorId="0" shapeId="0" xr:uid="{00000000-0006-0000-0600-00000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V10" authorId="0" shapeId="0" xr:uid="{00000000-0006-0000-0600-00000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W10" authorId="0" shapeId="0" xr:uid="{00000000-0006-0000-0600-00000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41" authorId="1" shapeId="0" xr:uid="{00000000-0006-0000-0600-000030000000}">
      <text>
        <r>
          <rPr>
            <b/>
            <sz val="9"/>
            <color indexed="81"/>
            <rFont val="Tahoma"/>
            <family val="2"/>
          </rPr>
          <t>Logan, Raysene:</t>
        </r>
        <r>
          <rPr>
            <sz val="9"/>
            <color indexed="81"/>
            <rFont val="Tahoma"/>
            <family val="2"/>
          </rPr>
          <t xml:space="preserve">
round to $0.01</t>
        </r>
      </text>
    </comment>
    <comment ref="DB96" authorId="0" shapeId="0" xr:uid="{00000000-0006-0000-0600-00003E000000}">
      <text>
        <r>
          <rPr>
            <b/>
            <sz val="9"/>
            <color indexed="81"/>
            <rFont val="Tahoma"/>
            <family val="2"/>
          </rPr>
          <t>Filley, Kimberly S:</t>
        </r>
        <r>
          <rPr>
            <sz val="9"/>
            <color indexed="81"/>
            <rFont val="Tahoma"/>
            <family val="2"/>
          </rPr>
          <t xml:space="preserve">
PI/EO recognized </t>
        </r>
      </text>
    </comment>
    <comment ref="DK96" authorId="1" shapeId="0" xr:uid="{00000000-0006-0000-0600-00003F000000}">
      <text>
        <r>
          <rPr>
            <b/>
            <sz val="9"/>
            <color indexed="81"/>
            <rFont val="Tahoma"/>
            <family val="2"/>
          </rPr>
          <t>Filley, Kim:</t>
        </r>
        <r>
          <rPr>
            <sz val="9"/>
            <color indexed="81"/>
            <rFont val="Tahoma"/>
            <family val="2"/>
          </rPr>
          <t xml:space="preserve">
TD True-up for inclusion in EO booked to GL in August 21</t>
        </r>
      </text>
    </comment>
    <comment ref="DE97" authorId="0" shapeId="0" xr:uid="{00000000-0006-0000-0600-000040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DP97" authorId="0" shapeId="0" xr:uid="{00000000-0006-0000-0600-000041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 ref="DB98" authorId="0" shapeId="0" xr:uid="{00000000-0006-0000-0600-000042000000}">
      <text>
        <r>
          <rPr>
            <b/>
            <sz val="9"/>
            <color indexed="81"/>
            <rFont val="Tahoma"/>
            <family val="2"/>
          </rPr>
          <t>Filley, Kimberly S:</t>
        </r>
        <r>
          <rPr>
            <sz val="9"/>
            <color indexed="81"/>
            <rFont val="Tahoma"/>
            <family val="2"/>
          </rPr>
          <t xml:space="preserve">
PI/EO amortized because billed
and remember to flip sign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A50" authorId="0" shapeId="0" xr:uid="{00000000-0006-0000-0700-000001000000}">
      <text>
        <r>
          <rPr>
            <b/>
            <sz val="9"/>
            <color indexed="81"/>
            <rFont val="Tahoma"/>
            <family val="2"/>
          </rPr>
          <t>Filley, Kimberly S:</t>
        </r>
        <r>
          <rPr>
            <sz val="9"/>
            <color indexed="81"/>
            <rFont val="Tahoma"/>
            <family val="2"/>
          </rPr>
          <t xml:space="preserve">
includes a Nov 21 true-up of -$0.99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s>
  <commentList>
    <comment ref="D4" authorId="0" shapeId="0" xr:uid="{00000000-0006-0000-0800-000001000000}">
      <text>
        <r>
          <rPr>
            <b/>
            <sz val="9"/>
            <color indexed="81"/>
            <rFont val="Tahoma"/>
            <family val="2"/>
          </rPr>
          <t>Logan, Raysene:</t>
        </r>
        <r>
          <rPr>
            <sz val="9"/>
            <color indexed="81"/>
            <rFont val="Tahoma"/>
            <family val="2"/>
          </rPr>
          <t xml:space="preserve">
new rates effective Feb 2017</t>
        </r>
      </text>
    </comment>
    <comment ref="P4" authorId="0" shapeId="0" xr:uid="{00000000-0006-0000-0800-000002000000}">
      <text>
        <r>
          <rPr>
            <b/>
            <sz val="9"/>
            <color indexed="81"/>
            <rFont val="Tahoma"/>
            <family val="2"/>
          </rPr>
          <t>Logan, Raysene:</t>
        </r>
        <r>
          <rPr>
            <sz val="9"/>
            <color indexed="81"/>
            <rFont val="Tahoma"/>
            <family val="2"/>
          </rPr>
          <t xml:space="preserve">
new rates effective February 2018
Most classes have a credit (refund) for prior period due to over recovery balance in prior year</t>
        </r>
      </text>
    </comment>
    <comment ref="AB4" authorId="0" shapeId="0" xr:uid="{00000000-0006-0000-0800-000003000000}">
      <text>
        <r>
          <rPr>
            <b/>
            <sz val="9"/>
            <color indexed="81"/>
            <rFont val="Tahoma"/>
            <family val="2"/>
          </rPr>
          <t>Logan, Raysene:</t>
        </r>
        <r>
          <rPr>
            <sz val="9"/>
            <color indexed="81"/>
            <rFont val="Tahoma"/>
            <family val="2"/>
          </rPr>
          <t xml:space="preserve">
new rates effective February 2019
</t>
        </r>
      </text>
    </comment>
    <comment ref="AN4" authorId="1" shapeId="0" xr:uid="{00000000-0006-0000-0800-000004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4" authorId="1" shapeId="0" xr:uid="{00000000-0006-0000-0800-000005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4" authorId="1" shapeId="0" xr:uid="{00000000-0006-0000-0800-000006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X4" authorId="1" shapeId="0" xr:uid="{00000000-0006-0000-0800-000007000000}">
      <text>
        <r>
          <rPr>
            <b/>
            <sz val="9"/>
            <color indexed="81"/>
            <rFont val="Tahoma"/>
            <family val="2"/>
          </rPr>
          <t>Filley, Kimberly S:</t>
        </r>
        <r>
          <rPr>
            <sz val="9"/>
            <color indexed="81"/>
            <rFont val="Tahoma"/>
            <family val="2"/>
          </rPr>
          <t xml:space="preserve">
new M2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11" authorId="1" shapeId="0" xr:uid="{00000000-0006-0000-0800-000008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11" authorId="1" shapeId="0" xr:uid="{00000000-0006-0000-0800-000009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11" authorId="1" shapeId="0" xr:uid="{00000000-0006-0000-0800-00000A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X11" authorId="1" shapeId="0" xr:uid="{00000000-0006-0000-0800-00000B000000}">
      <text>
        <r>
          <rPr>
            <b/>
            <sz val="9"/>
            <color indexed="81"/>
            <rFont val="Tahoma"/>
            <family val="2"/>
          </rPr>
          <t>Filley, Kimberly S:</t>
        </r>
        <r>
          <rPr>
            <sz val="9"/>
            <color indexed="81"/>
            <rFont val="Tahoma"/>
            <family val="2"/>
          </rPr>
          <t xml:space="preserve">
new M2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18" authorId="1" shapeId="0" xr:uid="{00000000-0006-0000-0800-00000C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18" authorId="1" shapeId="0" xr:uid="{00000000-0006-0000-0800-00000D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18" authorId="1" shapeId="0" xr:uid="{00000000-0006-0000-0800-00000E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X18" authorId="1" shapeId="0" xr:uid="{00000000-0006-0000-0800-00000F000000}">
      <text>
        <r>
          <rPr>
            <b/>
            <sz val="9"/>
            <color indexed="81"/>
            <rFont val="Tahoma"/>
            <family val="2"/>
          </rPr>
          <t>Filley, Kimberly S:</t>
        </r>
        <r>
          <rPr>
            <sz val="9"/>
            <color indexed="81"/>
            <rFont val="Tahoma"/>
            <family val="2"/>
          </rPr>
          <t xml:space="preserve">
new M2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25" authorId="1" shapeId="0" xr:uid="{00000000-0006-0000-0800-000010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25" authorId="1" shapeId="0" xr:uid="{00000000-0006-0000-0800-000011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25" authorId="1" shapeId="0" xr:uid="{00000000-0006-0000-0800-000012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X25" authorId="1" shapeId="0" xr:uid="{00000000-0006-0000-0800-000013000000}">
      <text>
        <r>
          <rPr>
            <b/>
            <sz val="9"/>
            <color indexed="81"/>
            <rFont val="Tahoma"/>
            <family val="2"/>
          </rPr>
          <t>Filley, Kimberly S:</t>
        </r>
        <r>
          <rPr>
            <sz val="9"/>
            <color indexed="81"/>
            <rFont val="Tahoma"/>
            <family val="2"/>
          </rPr>
          <t xml:space="preserve">
new M2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32" authorId="1" shapeId="0" xr:uid="{00000000-0006-0000-0800-000014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32" authorId="1" shapeId="0" xr:uid="{00000000-0006-0000-0800-000015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32" authorId="1" shapeId="0" xr:uid="{00000000-0006-0000-0800-000016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X32" authorId="1" shapeId="0" xr:uid="{00000000-0006-0000-0800-000017000000}">
      <text>
        <r>
          <rPr>
            <b/>
            <sz val="9"/>
            <color indexed="81"/>
            <rFont val="Tahoma"/>
            <family val="2"/>
          </rPr>
          <t>Filley, Kimberly S:</t>
        </r>
        <r>
          <rPr>
            <sz val="9"/>
            <color indexed="81"/>
            <rFont val="Tahoma"/>
            <family val="2"/>
          </rPr>
          <t xml:space="preserve">
new M2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List>
</comments>
</file>

<file path=xl/sharedStrings.xml><?xml version="1.0" encoding="utf-8"?>
<sst xmlns="http://schemas.openxmlformats.org/spreadsheetml/2006/main" count="1391" uniqueCount="155">
  <si>
    <t>Program Cost</t>
  </si>
  <si>
    <t>MEEIA Cycle 2</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</si>
  <si>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</si>
  <si>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</si>
  <si>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</si>
  <si>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</si>
  <si>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</si>
  <si>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</si>
  <si>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</si>
  <si>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</si>
  <si>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</si>
  <si>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</si>
  <si>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</si>
  <si>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</si>
  <si>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</si>
  <si>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</si>
  <si>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</si>
  <si>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</si>
  <si>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</si>
  <si>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</si>
  <si>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</si>
  <si>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</si>
  <si>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</si>
  <si>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</si>
  <si>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</si>
  <si>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</si>
  <si>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</si>
  <si>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</si>
  <si>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</si>
  <si>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</si>
  <si>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Allocate TD 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</si>
  <si>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</si>
  <si>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</si>
  <si>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</si>
  <si>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</si>
  <si>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</si>
  <si>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</si>
  <si>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</si>
  <si>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</si>
  <si>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</si>
  <si>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</si>
  <si>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</si>
  <si>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</si>
  <si>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</si>
  <si>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</si>
  <si>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MEEIA Performance Incentive Revenue (Current $)</t>
  </si>
  <si>
    <t>PI (Over)/Under Recovery</t>
  </si>
  <si>
    <t>Cumulative Balance - PI Regulatory Asset/(Liability)</t>
  </si>
  <si>
    <t>Total PI (Over)/Under Recovery - Cumulative</t>
  </si>
  <si>
    <t xml:space="preserve">   Interest (Expense)/Revenue $</t>
  </si>
  <si>
    <t>MEEIA PI Amortization per Rider EEIC tariff</t>
  </si>
  <si>
    <t>Amortization of previous year balance</t>
  </si>
  <si>
    <t>Net TD Revenue</t>
  </si>
  <si>
    <t>TD Billed Rev</t>
  </si>
  <si>
    <t>TDR Rate (o/u)</t>
  </si>
  <si>
    <t>PTD rate (projected)</t>
  </si>
  <si>
    <t>TDR % of rate</t>
  </si>
  <si>
    <t>TDR Billed Revenue $ Amort</t>
  </si>
  <si>
    <t>Total PI (Over)/Under Recovery</t>
  </si>
  <si>
    <t>Allocate TD Low Income Exemption Bill Credits</t>
  </si>
  <si>
    <t>TD Billed Revenue $ - GL query</t>
  </si>
  <si>
    <t>Low Income Exemption (RES) - CDW</t>
  </si>
  <si>
    <t>TD Billed Revenue Allocated</t>
  </si>
  <si>
    <t>Total TD Rate</t>
  </si>
  <si>
    <t>Over/Under Calculation Adjs</t>
  </si>
  <si>
    <t>Ordered Adjustments</t>
  </si>
  <si>
    <t>Ordered Adjustment Revenue</t>
  </si>
  <si>
    <t>OA (Over)/Under Recovery</t>
  </si>
  <si>
    <t>Cardinals sign removal and radio allocation changes - included in MEEIA rate filing and booked to GL in Nov 2017</t>
  </si>
  <si>
    <t>Total OA (Over)/Under Recovery</t>
  </si>
  <si>
    <t>Cumulative Balance - OA Regulatory Asset/(Liability)</t>
  </si>
  <si>
    <t>TDR Rate ((over)/under)</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</si>
  <si>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</si>
  <si>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</si>
  <si>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</si>
  <si>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</si>
  <si>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</si>
  <si>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</si>
  <si>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M2 Earnings Opportunity</t>
  </si>
  <si>
    <t>M1 Performance Incentive</t>
  </si>
  <si>
    <t>MEEIA Cycle 3</t>
  </si>
  <si>
    <t>M3 Earnings Opportunity</t>
  </si>
  <si>
    <t>TD Home Energy Report adjs to book in accordance with tariff - booked to GL in Jul 2019</t>
  </si>
  <si>
    <t>Updated TD per month based on HER adjs</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</si>
  <si>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</si>
  <si>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</si>
  <si>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</si>
  <si>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</si>
  <si>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</si>
  <si>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</si>
  <si>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</si>
  <si>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</si>
  <si>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</si>
  <si>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</si>
  <si>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</si>
  <si>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</si>
  <si>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</si>
  <si>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</si>
  <si>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</si>
  <si>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</si>
  <si>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</si>
  <si>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</si>
  <si>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</si>
  <si>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</si>
  <si>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</si>
  <si>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</si>
  <si>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</si>
  <si>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</si>
  <si>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</si>
  <si>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</si>
  <si>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</si>
  <si>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</si>
  <si>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</si>
  <si>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</si>
  <si>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r>
      <t xml:space="preserve">M3 Ordered Adjustments </t>
    </r>
    <r>
      <rPr>
        <b/>
        <i/>
        <sz val="11"/>
        <color rgb="FFFF0000"/>
        <rFont val="Calibri"/>
        <family val="2"/>
        <scheme val="minor"/>
      </rPr>
      <t>(part of November 2021 CPA3 and CPA4 MEEIA Rider Calc Files)</t>
    </r>
  </si>
  <si>
    <t>M3 OA of $50K should have been booked November 2020 close not booked until Feb 2021.  Thus need to calculate an interest adjustment (starting November 2020 and compounded through October 2021)</t>
  </si>
  <si>
    <t>Original</t>
  </si>
  <si>
    <t>new</t>
  </si>
  <si>
    <t xml:space="preserve">old </t>
  </si>
  <si>
    <t>diff</t>
  </si>
  <si>
    <t>Revised</t>
  </si>
  <si>
    <t>change in kwh adjusted for opt out related to Nov 21-May 22 so adjustment made in Oct 22 to reallocate the TD over/under amounts by rate class, overall impact to TD o/u net $0</t>
  </si>
  <si>
    <t>From November 2021 filing (wp CPA3 MEEIA 3 adjs tab):</t>
  </si>
  <si>
    <t>M3 TD interest correction calculation - booked November 2020 close - see workpaper CPA3.A - M3 over under TD interst error support for calculation details</t>
  </si>
  <si>
    <t>MEEIA 3 Expense - PC  Adjustment</t>
  </si>
  <si>
    <t>From November 2021 filing (wp CPA3 MEEIA 2 adjs tab):</t>
  </si>
  <si>
    <t>Less: Reclass to Rate Base</t>
  </si>
  <si>
    <t xml:space="preserve">Less: Write-off to MEEIA </t>
  </si>
  <si>
    <t>Plus: Amortization Reversed</t>
  </si>
  <si>
    <t/>
  </si>
  <si>
    <t>original</t>
  </si>
  <si>
    <t>pick up in MEEIA 3 calcs</t>
  </si>
  <si>
    <t>represents the values that should have changed had the corrections been booked in the periods they actually related to</t>
  </si>
  <si>
    <t>resulting interest calculation revision shown to the right below; interest adjument booked in GL in March 2023</t>
  </si>
  <si>
    <t>resulting cost and interest calculation revision shown to the right below; interest adjument booked in GL in October 2023</t>
  </si>
  <si>
    <t>cost</t>
  </si>
  <si>
    <t>interest</t>
  </si>
  <si>
    <t>pisa rate revised Sep 2023</t>
  </si>
  <si>
    <t xml:space="preserve">diff </t>
  </si>
  <si>
    <t>change in amt that s/h flowed thru MEEIA</t>
  </si>
  <si>
    <t>PAYS calculator</t>
  </si>
  <si>
    <t>forecast from TD calculator file</t>
  </si>
  <si>
    <t>forecast from PPC.1 tab</t>
  </si>
  <si>
    <t>Rate filing TDR tab, lines 22 - 26</t>
  </si>
  <si>
    <t>Rate filing TDR tab, line 36</t>
  </si>
  <si>
    <t>TDR.1</t>
  </si>
  <si>
    <t>TDR.1F</t>
  </si>
  <si>
    <t>PTD.1</t>
  </si>
  <si>
    <t>thermostat incentive correcting entry recorded Feb 2023 relates to periods Nov 20-Jan 21; Jun 21; Jan 22; Sep 22 residential program</t>
  </si>
  <si>
    <t>gas co-delivery correcting entry recorded Feb 2023 relates to Nov 21 period low income program</t>
  </si>
  <si>
    <t>EEKITS co-delivery correcting entry recorded Feb 2023 relates to Jan 22 period residential program</t>
  </si>
  <si>
    <r>
      <t xml:space="preserve">revised December 2020 interest rate as result of a prudency review </t>
    </r>
    <r>
      <rPr>
        <b/>
        <i/>
        <sz val="11"/>
        <color rgb="FFFF0000"/>
        <rFont val="Calibri"/>
        <family val="2"/>
        <scheme val="minor"/>
      </rPr>
      <t>- see workpaper JNG3.B - MEEIA over under calculations - Dec 2020 intrat rate crrtn support for calculation details</t>
    </r>
  </si>
  <si>
    <r>
      <t xml:space="preserve">revised December 2020 interest rate as result of a prudency review - </t>
    </r>
    <r>
      <rPr>
        <b/>
        <i/>
        <sz val="11"/>
        <color rgb="FFFF0000"/>
        <rFont val="Calibri"/>
        <family val="2"/>
        <scheme val="minor"/>
      </rPr>
      <t>see workpaper JNG3.B - MEEIA over under calculations - Dec 2020 intrat rate crrtn support for calculation details</t>
    </r>
  </si>
  <si>
    <r>
      <t xml:space="preserve">revised costs related to below periods highlighted in yellow resulting from prudence review - </t>
    </r>
    <r>
      <rPr>
        <b/>
        <i/>
        <sz val="11"/>
        <color rgb="FFFF0000"/>
        <rFont val="Calibri"/>
        <family val="2"/>
        <scheme val="minor"/>
      </rPr>
      <t>see workpaper JNG3.C - M3 over under PC - prud review intrst crrtn support for calculation details</t>
    </r>
  </si>
  <si>
    <r>
      <t xml:space="preserve">revised costs related to below periods highlighted in yellow resulting from a revised PISA rate which impacts the PAYS costs that need to flow through MEEIA  - </t>
    </r>
    <r>
      <rPr>
        <b/>
        <i/>
        <sz val="11"/>
        <color rgb="FFFF0000"/>
        <rFont val="Calibri"/>
        <family val="2"/>
        <scheme val="minor"/>
      </rPr>
      <t>see workpaper JNG3.D - M3 over under PAYS cost &amp; intrst crrtn support for calculation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</si>
</sst>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quot;$&quot;#,##0.000000_);[Red]\(&quot;$&quot;#,##0.000000\)"/>
    <numFmt numFmtId="168" formatCode="&quot;$&quot;#,##0.000000_);\(&quot;$&quot;#,##0.000000\)"/>
    <numFmt numFmtId="169" formatCode="&quot;$&quot;#,##0.000000"/>
    <numFmt numFmtId="170" formatCode="mmm\-yyyy"/>
  </numFmts>
  <fonts count="85"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i/>
      <sz val="11"/>
      <color rgb="FFFF0000"/>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i/>
      <sz val="11"/>
      <color theme="1"/>
      <name val="Calibri"/>
      <family val="2"/>
      <scheme val="minor"/>
    </font>
    <font>
      <b/>
      <sz val="11"/>
      <color rgb="FFFF0000"/>
      <name val="Calibri"/>
      <family val="2"/>
      <scheme val="minor"/>
    </font>
    <font>
      <sz val="10"/>
      <name val="Arial"/>
      <family val="2"/>
    </font>
    <font>
      <sz val="11"/>
      <color rgb="FF0000FF"/>
      <name val="Calibri"/>
      <family val="2"/>
      <scheme val="minor"/>
    </font>
    <font>
      <b/>
      <sz val="12"/>
      <color theme="1"/>
      <name val="Calibri"/>
      <family val="2"/>
      <scheme val="minor"/>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
      <b/>
      <sz val="11"/>
      <color theme="5" tint="-0.499984740745262"/>
      <name val="Calibri"/>
      <family val="2"/>
      <scheme val="minor"/>
    </font>
    <font>
      <sz val="9"/>
      <color indexed="81"/>
      <name val="Tahoma"/>
      <charset val="1"/>
    </font>
    <font>
      <b/>
      <sz val="9"/>
      <color indexed="81"/>
      <name val="Tahoma"/>
      <charset val="1"/>
    </font>
  </fonts>
  <fills count="82">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92D050"/>
        <bgColor indexed="64"/>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rgb="FFC9C9CB"/>
      </left>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5" fillId="0" borderId="0"/>
    <xf numFmtId="9" fontId="35"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2" borderId="1" applyNumberFormat="0" applyAlignment="0" applyProtection="0"/>
    <xf numFmtId="0" fontId="45" fillId="3" borderId="8" applyNumberFormat="0" applyAlignment="0" applyProtection="0"/>
    <xf numFmtId="0" fontId="46" fillId="3" borderId="1" applyNumberFormat="0" applyAlignment="0" applyProtection="0"/>
    <xf numFmtId="0" fontId="47" fillId="0" borderId="9" applyNumberFormat="0" applyFill="0" applyAlignment="0" applyProtection="0"/>
    <xf numFmtId="0" fontId="48" fillId="19" borderId="10" applyNumberFormat="0" applyAlignment="0" applyProtection="0"/>
    <xf numFmtId="0" fontId="49" fillId="0" borderId="0" applyNumberFormat="0" applyFill="0" applyBorder="0" applyAlignment="0" applyProtection="0"/>
    <xf numFmtId="0" fontId="37" fillId="4" borderId="2" applyNumberFormat="0" applyFont="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52"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6"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7"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7"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5"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5"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7"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7"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7"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7"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7"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7"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7"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7"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70"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5" fillId="0" borderId="0"/>
  </cellStyleXfs>
  <cellXfs count="310">
    <xf numFmtId="0" fontId="0" fillId="0" borderId="0" xfId="0"/>
    <xf numFmtId="0" fontId="7" fillId="0" borderId="0" xfId="0" applyFont="1"/>
    <xf numFmtId="0" fontId="6" fillId="0" borderId="0" xfId="0" applyFont="1"/>
    <xf numFmtId="0" fontId="10" fillId="0" borderId="0" xfId="0" applyFont="1"/>
    <xf numFmtId="0" fontId="11" fillId="0" borderId="0" xfId="0" applyFont="1"/>
    <xf numFmtId="0" fontId="6" fillId="8" borderId="0" xfId="0" applyFont="1" applyFill="1" applyProtection="1">
      <protection locked="0"/>
    </xf>
    <xf numFmtId="0" fontId="6" fillId="8" borderId="0" xfId="0" applyFont="1" applyFill="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Protection="1">
      <protection locked="0"/>
    </xf>
    <xf numFmtId="17" fontId="4" fillId="12" borderId="4" xfId="0" applyNumberFormat="1" applyFont="1" applyFill="1" applyBorder="1" applyAlignment="1">
      <alignment horizontal="center"/>
    </xf>
    <xf numFmtId="0" fontId="18" fillId="6" borderId="0" xfId="0" applyFont="1" applyFill="1" applyProtection="1">
      <protection locked="0"/>
    </xf>
    <xf numFmtId="164" fontId="6" fillId="6" borderId="3" xfId="2" applyNumberFormat="1" applyFont="1" applyFill="1" applyBorder="1" applyProtection="1"/>
    <xf numFmtId="164" fontId="11"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Protection="1">
      <protection locked="0"/>
    </xf>
    <xf numFmtId="0" fontId="6" fillId="9" borderId="0" xfId="0" applyFont="1" applyFill="1" applyAlignment="1" applyProtection="1">
      <alignment horizontal="left" indent="1"/>
      <protection locked="0"/>
    </xf>
    <xf numFmtId="0" fontId="18" fillId="9" borderId="0" xfId="0" applyFont="1" applyFill="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6" fillId="44" borderId="0" xfId="0" applyFont="1" applyFill="1" applyProtection="1">
      <protection locked="0"/>
    </xf>
    <xf numFmtId="0" fontId="34" fillId="0" borderId="0" xfId="0" applyFont="1"/>
    <xf numFmtId="0" fontId="18" fillId="44" borderId="0" xfId="0" applyFont="1" applyFill="1" applyProtection="1">
      <protection locked="0"/>
    </xf>
    <xf numFmtId="0" fontId="33" fillId="0" borderId="0" xfId="0" applyFont="1"/>
    <xf numFmtId="0" fontId="6" fillId="44" borderId="0" xfId="0" applyFont="1" applyFill="1" applyAlignment="1" applyProtection="1">
      <alignment horizontal="left" indent="1"/>
      <protection locked="0"/>
    </xf>
    <xf numFmtId="17" fontId="4" fillId="0" borderId="0" xfId="0" applyNumberFormat="1" applyFont="1" applyAlignment="1">
      <alignment horizontal="center"/>
    </xf>
    <xf numFmtId="0" fontId="6" fillId="44" borderId="0" xfId="0" applyFont="1" applyFill="1"/>
    <xf numFmtId="0" fontId="4" fillId="44" borderId="0" xfId="0" applyFont="1" applyFill="1"/>
    <xf numFmtId="17" fontId="4" fillId="44" borderId="0" xfId="0" applyNumberFormat="1" applyFont="1" applyFill="1" applyAlignment="1">
      <alignment horizontal="center"/>
    </xf>
    <xf numFmtId="0" fontId="4" fillId="0" borderId="0" xfId="0" applyFont="1"/>
    <xf numFmtId="166" fontId="4" fillId="0" borderId="12" xfId="4" applyNumberFormat="1" applyFont="1" applyBorder="1"/>
    <xf numFmtId="0" fontId="4" fillId="0" borderId="0" xfId="21150" applyFont="1"/>
    <xf numFmtId="0" fontId="33" fillId="0" borderId="0" xfId="21150" applyFont="1"/>
    <xf numFmtId="0" fontId="0" fillId="44" borderId="0" xfId="0" applyFill="1"/>
    <xf numFmtId="0" fontId="0" fillId="0" borderId="0" xfId="21150" applyFont="1"/>
    <xf numFmtId="164" fontId="0" fillId="0" borderId="0" xfId="0" applyNumberForma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1" fillId="0" borderId="0" xfId="0" applyFont="1"/>
    <xf numFmtId="0" fontId="5" fillId="0" borderId="0" xfId="0" applyFont="1"/>
    <xf numFmtId="0" fontId="73" fillId="0" borderId="0" xfId="0" applyFont="1"/>
    <xf numFmtId="0" fontId="74" fillId="0" borderId="0" xfId="0" applyFont="1" applyAlignment="1">
      <alignment horizontal="center"/>
    </xf>
    <xf numFmtId="43" fontId="0" fillId="0" borderId="0" xfId="4" applyFont="1"/>
    <xf numFmtId="8" fontId="0" fillId="15" borderId="0" xfId="644" applyNumberFormat="1" applyFont="1" applyFill="1"/>
    <xf numFmtId="0" fontId="6" fillId="71" borderId="0" xfId="0" applyFont="1" applyFill="1" applyProtection="1">
      <protection locked="0"/>
    </xf>
    <xf numFmtId="0" fontId="6" fillId="71" borderId="0" xfId="0" applyFont="1" applyFill="1" applyAlignment="1" applyProtection="1">
      <alignment horizontal="left" indent="1"/>
      <protection locked="0"/>
    </xf>
    <xf numFmtId="0" fontId="18" fillId="71" borderId="0" xfId="0" applyFont="1" applyFill="1" applyProtection="1">
      <protection locked="0"/>
    </xf>
    <xf numFmtId="0" fontId="74" fillId="0" borderId="0" xfId="0" applyFont="1"/>
    <xf numFmtId="44" fontId="0" fillId="0" borderId="0" xfId="0" applyNumberFormat="1"/>
    <xf numFmtId="0" fontId="72" fillId="0" borderId="0" xfId="0" applyFont="1" applyAlignment="1">
      <alignment horizontal="left"/>
    </xf>
    <xf numFmtId="0" fontId="0" fillId="0" borderId="0" xfId="0" applyAlignment="1">
      <alignment horizontal="righ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7" fontId="0" fillId="72" borderId="0" xfId="0" applyNumberFormat="1" applyFill="1"/>
    <xf numFmtId="43" fontId="1" fillId="14" borderId="0" xfId="4" applyFont="1" applyFill="1"/>
    <xf numFmtId="43" fontId="73" fillId="0" borderId="0" xfId="4" applyFont="1"/>
    <xf numFmtId="43" fontId="73" fillId="6" borderId="0" xfId="4" applyFont="1" applyFill="1"/>
    <xf numFmtId="9" fontId="0" fillId="0" borderId="0" xfId="6" applyFont="1"/>
    <xf numFmtId="164" fontId="11" fillId="0" borderId="3" xfId="2" applyNumberFormat="1" applyFont="1" applyFill="1" applyBorder="1" applyProtection="1"/>
    <xf numFmtId="164" fontId="6" fillId="73" borderId="3" xfId="2" applyNumberFormat="1" applyFont="1" applyFill="1" applyBorder="1" applyProtection="1"/>
    <xf numFmtId="8" fontId="0" fillId="15" borderId="0" xfId="4" applyNumberFormat="1" applyFont="1" applyFill="1"/>
    <xf numFmtId="0" fontId="6" fillId="71" borderId="0" xfId="0" applyFont="1" applyFill="1" applyAlignment="1" applyProtection="1">
      <alignment horizontal="left"/>
      <protection locked="0"/>
    </xf>
    <xf numFmtId="167" fontId="76" fillId="0" borderId="0" xfId="0" applyNumberFormat="1" applyFont="1"/>
    <xf numFmtId="0" fontId="0" fillId="0" borderId="23" xfId="0" applyBorder="1"/>
    <xf numFmtId="0" fontId="0" fillId="0" borderId="24" xfId="0" applyBorder="1"/>
    <xf numFmtId="0" fontId="73" fillId="0" borderId="24" xfId="0" applyFont="1" applyBorder="1"/>
    <xf numFmtId="0" fontId="73" fillId="6" borderId="24" xfId="0" applyFont="1" applyFill="1" applyBorder="1"/>
    <xf numFmtId="0" fontId="73" fillId="6" borderId="25" xfId="0" applyFont="1" applyFill="1" applyBorder="1"/>
    <xf numFmtId="0" fontId="4" fillId="6" borderId="27" xfId="0" applyFont="1" applyFill="1" applyBorder="1" applyAlignment="1">
      <alignment horizontal="center" vertical="center" textRotation="90"/>
    </xf>
    <xf numFmtId="0" fontId="4" fillId="6" borderId="28" xfId="0" applyFont="1" applyFill="1" applyBorder="1" applyAlignment="1">
      <alignment horizontal="center" vertical="center" textRotation="90"/>
    </xf>
    <xf numFmtId="0" fontId="77" fillId="0" borderId="0" xfId="0" applyFont="1"/>
    <xf numFmtId="44" fontId="4" fillId="0" borderId="0" xfId="37697" applyFont="1" applyBorder="1"/>
    <xf numFmtId="166" fontId="76" fillId="0" borderId="0" xfId="4" applyNumberFormat="1" applyFont="1" applyFill="1"/>
    <xf numFmtId="0" fontId="0" fillId="0" borderId="22" xfId="0" applyBorder="1"/>
    <xf numFmtId="43" fontId="0" fillId="0" borderId="0" xfId="0" applyNumberFormat="1"/>
    <xf numFmtId="0" fontId="6" fillId="73" borderId="0" xfId="0" applyFont="1" applyFill="1" applyProtection="1">
      <protection locked="0"/>
    </xf>
    <xf numFmtId="0" fontId="6" fillId="73" borderId="0" xfId="0" applyFont="1" applyFill="1" applyAlignment="1" applyProtection="1">
      <alignment horizontal="left" indent="1"/>
      <protection locked="0"/>
    </xf>
    <xf numFmtId="0" fontId="18" fillId="73" borderId="0" xfId="0" applyFont="1" applyFill="1" applyProtection="1">
      <protection locked="0"/>
    </xf>
    <xf numFmtId="167" fontId="0" fillId="15" borderId="0" xfId="0" applyNumberFormat="1" applyFill="1"/>
    <xf numFmtId="44" fontId="6" fillId="0" borderId="0" xfId="37697" applyFont="1"/>
    <xf numFmtId="44" fontId="5" fillId="0" borderId="0" xfId="37697" applyFont="1"/>
    <xf numFmtId="168" fontId="76" fillId="0" borderId="0" xfId="0" applyNumberFormat="1" applyFont="1"/>
    <xf numFmtId="168" fontId="0" fillId="15" borderId="0" xfId="0" applyNumberFormat="1" applyFill="1"/>
    <xf numFmtId="0" fontId="18" fillId="0" borderId="0" xfId="0" applyFont="1" applyProtection="1">
      <protection locked="0"/>
    </xf>
    <xf numFmtId="2" fontId="4" fillId="0" borderId="0" xfId="0" applyNumberFormat="1" applyFont="1" applyAlignment="1">
      <alignment horizontal="center"/>
    </xf>
    <xf numFmtId="164" fontId="6" fillId="44" borderId="3" xfId="2" applyNumberFormat="1" applyFont="1" applyFill="1" applyBorder="1" applyProtection="1"/>
    <xf numFmtId="164" fontId="6" fillId="44" borderId="3" xfId="1" applyNumberFormat="1" applyFont="1" applyFill="1" applyBorder="1" applyProtection="1"/>
    <xf numFmtId="165" fontId="6" fillId="44" borderId="3" xfId="6" applyNumberFormat="1" applyFont="1" applyFill="1" applyBorder="1" applyProtection="1">
      <protection locked="0"/>
    </xf>
    <xf numFmtId="164" fontId="6" fillId="6" borderId="29" xfId="2" applyNumberFormat="1" applyFont="1" applyFill="1" applyBorder="1" applyProtection="1"/>
    <xf numFmtId="164" fontId="6" fillId="44" borderId="30" xfId="2" applyNumberFormat="1" applyFont="1" applyFill="1" applyBorder="1" applyProtection="1"/>
    <xf numFmtId="164" fontId="6" fillId="6" borderId="0" xfId="2" applyNumberFormat="1" applyFont="1" applyFill="1" applyBorder="1" applyProtection="1"/>
    <xf numFmtId="164" fontId="6" fillId="5" borderId="30" xfId="2" applyNumberFormat="1" applyFont="1" applyFill="1" applyBorder="1" applyProtection="1"/>
    <xf numFmtId="164" fontId="6" fillId="44" borderId="31" xfId="2" applyNumberFormat="1" applyFont="1" applyFill="1" applyBorder="1" applyProtection="1"/>
    <xf numFmtId="17" fontId="5" fillId="0" borderId="0" xfId="0" applyNumberFormat="1" applyFont="1" applyAlignment="1">
      <alignment horizontal="left"/>
    </xf>
    <xf numFmtId="0" fontId="78" fillId="68" borderId="0" xfId="0" applyFont="1" applyFill="1"/>
    <xf numFmtId="43" fontId="78" fillId="68" borderId="0" xfId="4" applyFont="1" applyFill="1"/>
    <xf numFmtId="43" fontId="78" fillId="68" borderId="0" xfId="0" applyNumberFormat="1" applyFont="1" applyFill="1"/>
    <xf numFmtId="43" fontId="4" fillId="0" borderId="0" xfId="4" applyFont="1" applyFill="1"/>
    <xf numFmtId="164" fontId="4" fillId="0" borderId="0" xfId="0" applyNumberFormat="1" applyFont="1" applyAlignment="1">
      <alignment horizontal="center"/>
    </xf>
    <xf numFmtId="164" fontId="6" fillId="0" borderId="3" xfId="6" applyNumberFormat="1" applyFont="1" applyFill="1" applyBorder="1" applyProtection="1">
      <protection locked="0"/>
    </xf>
    <xf numFmtId="38" fontId="0" fillId="15" borderId="0" xfId="4" applyNumberFormat="1" applyFont="1" applyFill="1"/>
    <xf numFmtId="43" fontId="0" fillId="15" borderId="0" xfId="644" applyFont="1" applyFill="1"/>
    <xf numFmtId="44" fontId="0" fillId="15" borderId="0" xfId="4" applyNumberFormat="1" applyFont="1" applyFill="1"/>
    <xf numFmtId="164" fontId="78" fillId="68" borderId="0" xfId="0" applyNumberFormat="1" applyFont="1" applyFill="1"/>
    <xf numFmtId="164" fontId="6" fillId="74" borderId="3" xfId="2" applyNumberFormat="1" applyFont="1" applyFill="1" applyBorder="1" applyProtection="1"/>
    <xf numFmtId="0" fontId="6" fillId="0" borderId="3" xfId="2" applyNumberFormat="1" applyFont="1" applyFill="1" applyBorder="1" applyProtection="1"/>
    <xf numFmtId="169" fontId="6" fillId="0" borderId="3" xfId="2" applyNumberFormat="1" applyFont="1" applyFill="1" applyBorder="1" applyProtection="1"/>
    <xf numFmtId="164" fontId="6" fillId="68" borderId="3" xfId="2" applyNumberFormat="1" applyFont="1" applyFill="1" applyBorder="1" applyProtection="1"/>
    <xf numFmtId="164" fontId="11" fillId="68" borderId="3" xfId="2" applyNumberFormat="1" applyFont="1" applyFill="1" applyBorder="1" applyProtection="1"/>
    <xf numFmtId="164" fontId="6" fillId="76" borderId="3" xfId="1" applyNumberFormat="1" applyFont="1" applyFill="1" applyBorder="1" applyProtection="1"/>
    <xf numFmtId="167" fontId="76" fillId="15" borderId="0" xfId="0" applyNumberFormat="1" applyFont="1" applyFill="1"/>
    <xf numFmtId="168" fontId="76" fillId="15" borderId="0" xfId="0" applyNumberFormat="1" applyFont="1" applyFill="1"/>
    <xf numFmtId="170" fontId="0" fillId="0" borderId="0" xfId="0" applyNumberFormat="1"/>
    <xf numFmtId="0" fontId="7" fillId="70" borderId="0" xfId="0" applyFont="1" applyFill="1" applyAlignment="1">
      <alignment horizontal="center" vertical="center" textRotation="90"/>
    </xf>
    <xf numFmtId="164" fontId="6" fillId="0" borderId="0" xfId="2" applyNumberFormat="1" applyFont="1" applyFill="1" applyBorder="1" applyProtection="1"/>
    <xf numFmtId="164" fontId="6" fillId="0" borderId="29" xfId="2" applyNumberFormat="1" applyFont="1" applyFill="1" applyBorder="1" applyProtection="1"/>
    <xf numFmtId="164" fontId="6" fillId="76" borderId="3" xfId="2" applyNumberFormat="1" applyFont="1" applyFill="1" applyBorder="1" applyProtection="1"/>
    <xf numFmtId="44" fontId="79" fillId="73" borderId="35" xfId="0" applyNumberFormat="1" applyFont="1" applyFill="1" applyBorder="1" applyProtection="1">
      <protection locked="0"/>
    </xf>
    <xf numFmtId="164" fontId="6" fillId="6" borderId="36" xfId="2" applyNumberFormat="1" applyFont="1" applyFill="1" applyBorder="1" applyProtection="1"/>
    <xf numFmtId="164" fontId="6" fillId="0" borderId="36" xfId="2" applyNumberFormat="1" applyFont="1" applyFill="1" applyBorder="1" applyProtection="1"/>
    <xf numFmtId="164" fontId="6" fillId="12" borderId="36" xfId="1" applyNumberFormat="1" applyFont="1" applyFill="1" applyBorder="1" applyProtection="1"/>
    <xf numFmtId="164" fontId="6" fillId="12" borderId="36" xfId="2" applyNumberFormat="1" applyFont="1" applyFill="1" applyBorder="1" applyProtection="1"/>
    <xf numFmtId="164" fontId="6" fillId="14" borderId="36" xfId="2" applyNumberFormat="1" applyFont="1" applyFill="1" applyBorder="1" applyProtection="1"/>
    <xf numFmtId="164" fontId="6" fillId="0" borderId="0" xfId="1" applyNumberFormat="1" applyFont="1" applyFill="1" applyBorder="1" applyProtection="1"/>
    <xf numFmtId="165" fontId="6" fillId="0" borderId="0" xfId="6" applyNumberFormat="1" applyFont="1" applyFill="1" applyBorder="1" applyProtection="1">
      <protection locked="0"/>
    </xf>
    <xf numFmtId="0" fontId="78" fillId="0" borderId="0" xfId="0" applyFont="1"/>
    <xf numFmtId="43" fontId="78" fillId="0" borderId="0" xfId="4" applyFont="1" applyFill="1" applyBorder="1"/>
    <xf numFmtId="44" fontId="79" fillId="0" borderId="0" xfId="0" applyNumberFormat="1"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17" fontId="4" fillId="12" borderId="26" xfId="0" applyNumberFormat="1" applyFont="1" applyFill="1" applyBorder="1" applyAlignment="1">
      <alignment horizontal="center"/>
    </xf>
    <xf numFmtId="17" fontId="4" fillId="12" borderId="37" xfId="0" applyNumberFormat="1" applyFont="1" applyFill="1" applyBorder="1" applyAlignment="1">
      <alignment horizontal="center"/>
    </xf>
    <xf numFmtId="164" fontId="6" fillId="6" borderId="38" xfId="2" applyNumberFormat="1" applyFont="1" applyFill="1" applyBorder="1" applyProtection="1"/>
    <xf numFmtId="164" fontId="6" fillId="6" borderId="31" xfId="2" applyNumberFormat="1" applyFont="1" applyFill="1" applyBorder="1" applyProtection="1"/>
    <xf numFmtId="164" fontId="6" fillId="6" borderId="39" xfId="2" applyNumberFormat="1" applyFont="1" applyFill="1" applyBorder="1" applyProtection="1"/>
    <xf numFmtId="0" fontId="7" fillId="0" borderId="0" xfId="0" applyFont="1" applyAlignment="1">
      <alignment vertical="center" textRotation="90"/>
    </xf>
    <xf numFmtId="164" fontId="6" fillId="6" borderId="30" xfId="2" applyNumberFormat="1" applyFont="1" applyFill="1" applyBorder="1" applyProtection="1"/>
    <xf numFmtId="0" fontId="7" fillId="0" borderId="0" xfId="0" applyFont="1" applyAlignment="1">
      <alignment horizontal="center" vertical="center" textRotation="90"/>
    </xf>
    <xf numFmtId="164" fontId="6" fillId="0" borderId="0" xfId="6" applyNumberFormat="1" applyFont="1" applyFill="1" applyBorder="1" applyProtection="1">
      <protection locked="0"/>
    </xf>
    <xf numFmtId="0" fontId="0" fillId="67" borderId="0" xfId="0" applyFill="1"/>
    <xf numFmtId="0" fontId="11" fillId="67" borderId="0" xfId="0" applyFont="1" applyFill="1"/>
    <xf numFmtId="0" fontId="6" fillId="67" borderId="0" xfId="0" applyFont="1" applyFill="1"/>
    <xf numFmtId="44" fontId="1" fillId="74"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xf numFmtId="17" fontId="74" fillId="12" borderId="0" xfId="0" applyNumberFormat="1" applyFont="1" applyFill="1" applyAlignment="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0" fontId="0" fillId="12" borderId="0" xfId="0" applyFill="1"/>
    <xf numFmtId="0" fontId="10" fillId="12" borderId="0" xfId="0" applyFont="1" applyFill="1"/>
    <xf numFmtId="0" fontId="11" fillId="12" borderId="0" xfId="0" applyFont="1" applyFill="1"/>
    <xf numFmtId="0" fontId="7" fillId="12" borderId="0" xfId="0" applyFont="1" applyFill="1"/>
    <xf numFmtId="164" fontId="0" fillId="68" borderId="40" xfId="0" applyNumberFormat="1" applyFill="1" applyBorder="1"/>
    <xf numFmtId="44" fontId="10" fillId="0" borderId="0" xfId="37697" applyFont="1" applyFill="1"/>
    <xf numFmtId="164" fontId="10" fillId="68" borderId="0" xfId="0" applyNumberFormat="1" applyFont="1" applyFill="1"/>
    <xf numFmtId="0" fontId="4" fillId="68" borderId="0" xfId="0" applyFont="1" applyFill="1"/>
    <xf numFmtId="164" fontId="6" fillId="77" borderId="3" xfId="1" applyNumberFormat="1" applyFont="1" applyFill="1" applyBorder="1" applyProtection="1"/>
    <xf numFmtId="44" fontId="0" fillId="0" borderId="40" xfId="0" applyNumberFormat="1" applyBorder="1"/>
    <xf numFmtId="44" fontId="0" fillId="0" borderId="0" xfId="37697" applyFont="1" applyBorder="1"/>
    <xf numFmtId="44" fontId="0" fillId="0" borderId="40" xfId="37697" applyFont="1" applyBorder="1"/>
    <xf numFmtId="10" fontId="0" fillId="0" borderId="40" xfId="0" applyNumberFormat="1" applyBorder="1"/>
    <xf numFmtId="10" fontId="0" fillId="0" borderId="41"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40" xfId="37697" applyFont="1" applyFill="1" applyBorder="1"/>
    <xf numFmtId="44" fontId="0" fillId="0" borderId="0" xfId="37697" applyFont="1" applyFill="1" applyBorder="1"/>
    <xf numFmtId="10" fontId="0" fillId="0" borderId="0" xfId="6" applyNumberFormat="1" applyFont="1" applyFill="1"/>
    <xf numFmtId="164" fontId="6" fillId="78"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 fillId="67" borderId="0" xfId="0" applyFont="1" applyFill="1"/>
    <xf numFmtId="0" fontId="0" fillId="76" borderId="0" xfId="0" applyFill="1" applyAlignment="1">
      <alignment horizontal="left"/>
    </xf>
    <xf numFmtId="0" fontId="4" fillId="0" borderId="42" xfId="7" applyFont="1" applyBorder="1"/>
    <xf numFmtId="0" fontId="0" fillId="0" borderId="43" xfId="0" applyBorder="1" applyAlignment="1">
      <alignment horizontal="center"/>
    </xf>
    <xf numFmtId="0" fontId="0" fillId="0" borderId="44" xfId="0" applyBorder="1" applyAlignment="1">
      <alignment horizontal="center"/>
    </xf>
    <xf numFmtId="0" fontId="1" fillId="76" borderId="45" xfId="7" applyFont="1" applyFill="1" applyBorder="1"/>
    <xf numFmtId="44" fontId="0" fillId="0" borderId="22" xfId="0" applyNumberFormat="1" applyBorder="1"/>
    <xf numFmtId="9" fontId="0" fillId="0" borderId="22" xfId="6" applyFont="1" applyBorder="1" applyAlignment="1">
      <alignment horizontal="center"/>
    </xf>
    <xf numFmtId="44" fontId="0" fillId="0" borderId="34" xfId="0" applyNumberFormat="1" applyBorder="1"/>
    <xf numFmtId="0" fontId="1" fillId="0" borderId="0" xfId="7" applyFont="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Alignment="1">
      <alignment vertical="top" wrapText="1"/>
    </xf>
    <xf numFmtId="0" fontId="74" fillId="0" borderId="0" xfId="0" applyFont="1" applyAlignment="1">
      <alignment vertical="top"/>
    </xf>
    <xf numFmtId="44" fontId="0" fillId="74" borderId="0" xfId="37697" applyFont="1" applyFill="1"/>
    <xf numFmtId="44" fontId="0" fillId="15" borderId="4" xfId="37697" applyFont="1" applyFill="1" applyBorder="1"/>
    <xf numFmtId="44" fontId="0" fillId="76"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8" xfId="6" applyNumberFormat="1" applyFont="1" applyFill="1" applyBorder="1" applyProtection="1">
      <protection locked="0"/>
    </xf>
    <xf numFmtId="165" fontId="6" fillId="15" borderId="31" xfId="6" applyNumberFormat="1" applyFont="1" applyFill="1" applyBorder="1" applyProtection="1">
      <protection locked="0"/>
    </xf>
    <xf numFmtId="164" fontId="6" fillId="5" borderId="29" xfId="2" applyNumberFormat="1" applyFont="1" applyFill="1" applyBorder="1" applyProtection="1"/>
    <xf numFmtId="164" fontId="11" fillId="0" borderId="0" xfId="0" applyNumberFormat="1" applyFont="1"/>
    <xf numFmtId="44" fontId="0" fillId="74" borderId="0" xfId="0" applyNumberFormat="1" applyFill="1" applyAlignment="1">
      <alignment horizontal="center"/>
    </xf>
    <xf numFmtId="44" fontId="11" fillId="0" borderId="0" xfId="37697" applyFont="1" applyFill="1"/>
    <xf numFmtId="164" fontId="0" fillId="68" borderId="0" xfId="37697" applyNumberFormat="1" applyFont="1" applyFill="1"/>
    <xf numFmtId="44" fontId="0" fillId="76" borderId="0" xfId="37697" applyFont="1" applyFill="1" applyBorder="1" applyAlignment="1" applyProtection="1">
      <alignment horizontal="center"/>
    </xf>
    <xf numFmtId="164" fontId="6" fillId="6" borderId="3" xfId="1" applyNumberFormat="1" applyFont="1" applyFill="1" applyBorder="1" applyProtection="1"/>
    <xf numFmtId="165" fontId="6" fillId="6" borderId="3" xfId="6" applyNumberFormat="1" applyFont="1" applyFill="1" applyBorder="1" applyProtection="1">
      <protection locked="0"/>
    </xf>
    <xf numFmtId="10" fontId="6" fillId="0" borderId="0" xfId="6" applyNumberFormat="1" applyFont="1" applyFill="1"/>
    <xf numFmtId="44" fontId="6" fillId="67" borderId="0" xfId="37697" applyFont="1" applyFill="1"/>
    <xf numFmtId="44" fontId="6" fillId="14" borderId="0" xfId="37697" applyFont="1" applyFill="1"/>
    <xf numFmtId="44" fontId="11" fillId="0" borderId="0" xfId="0" applyNumberFormat="1" applyFont="1"/>
    <xf numFmtId="0" fontId="81" fillId="0" borderId="0" xfId="0" applyFont="1"/>
    <xf numFmtId="0" fontId="80" fillId="0" borderId="0" xfId="0" applyFont="1"/>
    <xf numFmtId="0" fontId="18" fillId="0" borderId="0" xfId="0" applyFont="1"/>
    <xf numFmtId="165" fontId="6" fillId="68" borderId="3" xfId="6" applyNumberFormat="1" applyFont="1" applyFill="1" applyBorder="1" applyProtection="1">
      <protection locked="0"/>
    </xf>
    <xf numFmtId="44" fontId="6" fillId="0" borderId="0" xfId="37697" applyFont="1" applyFill="1"/>
    <xf numFmtId="44" fontId="7" fillId="0" borderId="0" xfId="37697" applyFont="1"/>
    <xf numFmtId="164" fontId="11" fillId="0" borderId="0" xfId="37697" applyNumberFormat="1" applyFont="1" applyFill="1"/>
    <xf numFmtId="164" fontId="6" fillId="0" borderId="0" xfId="37697" applyNumberFormat="1" applyFont="1"/>
    <xf numFmtId="0" fontId="10" fillId="67" borderId="0" xfId="0" applyFont="1" applyFill="1"/>
    <xf numFmtId="44" fontId="0" fillId="0" borderId="0" xfId="0" applyNumberFormat="1" applyAlignment="1">
      <alignment horizontal="center"/>
    </xf>
    <xf numFmtId="0" fontId="0" fillId="68" borderId="32" xfId="0" applyFill="1" applyBorder="1"/>
    <xf numFmtId="0" fontId="5" fillId="0" borderId="49" xfId="0" applyFont="1" applyBorder="1"/>
    <xf numFmtId="0" fontId="0" fillId="0" borderId="50" xfId="0" applyBorder="1"/>
    <xf numFmtId="0" fontId="0" fillId="0" borderId="33" xfId="0" applyBorder="1"/>
    <xf numFmtId="164" fontId="6" fillId="15" borderId="29" xfId="1" applyNumberFormat="1" applyFont="1" applyFill="1" applyBorder="1" applyProtection="1"/>
    <xf numFmtId="164" fontId="6" fillId="15" borderId="31" xfId="2" applyNumberFormat="1" applyFont="1" applyFill="1" applyBorder="1" applyProtection="1"/>
    <xf numFmtId="164" fontId="74" fillId="68" borderId="32" xfId="1" applyNumberFormat="1" applyFont="1" applyFill="1" applyBorder="1" applyProtection="1"/>
    <xf numFmtId="17" fontId="74" fillId="68" borderId="32" xfId="0" applyNumberFormat="1" applyFont="1" applyFill="1" applyBorder="1" applyAlignment="1">
      <alignment horizontal="center"/>
    </xf>
    <xf numFmtId="17" fontId="4" fillId="12" borderId="52" xfId="0" applyNumberFormat="1" applyFont="1" applyFill="1" applyBorder="1" applyAlignment="1">
      <alignment horizontal="center"/>
    </xf>
    <xf numFmtId="17" fontId="4" fillId="12" borderId="53" xfId="0" applyNumberFormat="1" applyFont="1" applyFill="1" applyBorder="1" applyAlignment="1">
      <alignment horizontal="center"/>
    </xf>
    <xf numFmtId="0" fontId="0" fillId="0" borderId="43" xfId="0" applyBorder="1"/>
    <xf numFmtId="17" fontId="74" fillId="68" borderId="33" xfId="0" applyNumberFormat="1" applyFont="1" applyFill="1" applyBorder="1" applyAlignment="1">
      <alignment horizontal="center"/>
    </xf>
    <xf numFmtId="164" fontId="6" fillId="77" borderId="36" xfId="1" applyNumberFormat="1" applyFont="1" applyFill="1" applyBorder="1" applyProtection="1"/>
    <xf numFmtId="164" fontId="6" fillId="78" borderId="29" xfId="1" applyNumberFormat="1" applyFont="1" applyFill="1" applyBorder="1" applyProtection="1"/>
    <xf numFmtId="164" fontId="6" fillId="78" borderId="36" xfId="1" applyNumberFormat="1" applyFont="1" applyFill="1" applyBorder="1" applyProtection="1"/>
    <xf numFmtId="164" fontId="6" fillId="77" borderId="29" xfId="1" applyNumberFormat="1" applyFont="1" applyFill="1" applyBorder="1" applyProtection="1"/>
    <xf numFmtId="164" fontId="6" fillId="77" borderId="51" xfId="1" applyNumberFormat="1" applyFont="1" applyFill="1" applyBorder="1" applyProtection="1"/>
    <xf numFmtId="17" fontId="4" fillId="12" borderId="41" xfId="0" applyNumberFormat="1" applyFont="1" applyFill="1" applyBorder="1" applyAlignment="1">
      <alignment horizontal="center"/>
    </xf>
    <xf numFmtId="17" fontId="4" fillId="68" borderId="53" xfId="0" applyNumberFormat="1" applyFont="1" applyFill="1" applyBorder="1" applyAlignment="1">
      <alignment horizontal="center"/>
    </xf>
    <xf numFmtId="17" fontId="4" fillId="68" borderId="4" xfId="0" applyNumberFormat="1" applyFont="1" applyFill="1" applyBorder="1" applyAlignment="1">
      <alignment horizontal="center"/>
    </xf>
    <xf numFmtId="164" fontId="6" fillId="68" borderId="3" xfId="1" applyNumberFormat="1" applyFont="1" applyFill="1" applyBorder="1" applyProtection="1"/>
    <xf numFmtId="0" fontId="82" fillId="0" borderId="0" xfId="0" applyFont="1"/>
    <xf numFmtId="170" fontId="0" fillId="0" borderId="42" xfId="0" applyNumberFormat="1" applyBorder="1"/>
    <xf numFmtId="170" fontId="0" fillId="0" borderId="43" xfId="0" applyNumberFormat="1" applyBorder="1"/>
    <xf numFmtId="0" fontId="6" fillId="0" borderId="43" xfId="0" applyFont="1" applyBorder="1"/>
    <xf numFmtId="0" fontId="6" fillId="0" borderId="44" xfId="0" applyFont="1" applyBorder="1"/>
    <xf numFmtId="44" fontId="0" fillId="0" borderId="46" xfId="37697" applyFont="1" applyFill="1" applyBorder="1"/>
    <xf numFmtId="0" fontId="11" fillId="0" borderId="47" xfId="0" applyFont="1" applyBorder="1"/>
    <xf numFmtId="44" fontId="0" fillId="0" borderId="46" xfId="0" applyNumberFormat="1" applyBorder="1"/>
    <xf numFmtId="10" fontId="6" fillId="0" borderId="46" xfId="6" applyNumberFormat="1" applyFont="1" applyFill="1" applyBorder="1"/>
    <xf numFmtId="10" fontId="6" fillId="0" borderId="0" xfId="6" applyNumberFormat="1" applyFont="1" applyFill="1" applyBorder="1"/>
    <xf numFmtId="10" fontId="5" fillId="0" borderId="0" xfId="6" applyNumberFormat="1" applyFont="1" applyFill="1" applyBorder="1"/>
    <xf numFmtId="44" fontId="5" fillId="0" borderId="0" xfId="37697" applyFont="1" applyFill="1" applyBorder="1"/>
    <xf numFmtId="0" fontId="6" fillId="0" borderId="47" xfId="0" applyFont="1" applyBorder="1"/>
    <xf numFmtId="0" fontId="0" fillId="0" borderId="46" xfId="0" applyBorder="1"/>
    <xf numFmtId="0" fontId="0" fillId="0" borderId="45" xfId="0" applyBorder="1"/>
    <xf numFmtId="0" fontId="0" fillId="0" borderId="22" xfId="0" applyBorder="1" applyAlignment="1">
      <alignment horizontal="right"/>
    </xf>
    <xf numFmtId="44" fontId="5" fillId="0" borderId="22" xfId="0" applyNumberFormat="1" applyFont="1" applyBorder="1"/>
    <xf numFmtId="0" fontId="5" fillId="0" borderId="22" xfId="0" applyFont="1" applyBorder="1"/>
    <xf numFmtId="0" fontId="11" fillId="0" borderId="22" xfId="0" applyFont="1" applyBorder="1"/>
    <xf numFmtId="0" fontId="11" fillId="0" borderId="34" xfId="0" applyFont="1" applyBorder="1"/>
    <xf numFmtId="10" fontId="0" fillId="0" borderId="46" xfId="0" applyNumberFormat="1" applyBorder="1"/>
    <xf numFmtId="44" fontId="10" fillId="0" borderId="0" xfId="0" applyNumberFormat="1" applyFont="1"/>
    <xf numFmtId="166" fontId="0" fillId="79" borderId="0" xfId="4" applyNumberFormat="1" applyFont="1" applyFill="1"/>
    <xf numFmtId="43" fontId="0" fillId="0" borderId="0" xfId="4" applyFont="1" applyFill="1"/>
    <xf numFmtId="44" fontId="0" fillId="15" borderId="0" xfId="37697" applyFont="1" applyFill="1"/>
    <xf numFmtId="0" fontId="80" fillId="79" borderId="0" xfId="21150" applyFont="1" applyFill="1"/>
    <xf numFmtId="44" fontId="0" fillId="68" borderId="0" xfId="37697" applyFont="1" applyFill="1"/>
    <xf numFmtId="44" fontId="0" fillId="76" borderId="0" xfId="37697" applyFont="1" applyFill="1"/>
    <xf numFmtId="43" fontId="0" fillId="80" borderId="0" xfId="4" applyFont="1" applyFill="1"/>
    <xf numFmtId="0" fontId="80" fillId="80" borderId="0" xfId="21150" applyFont="1" applyFill="1"/>
    <xf numFmtId="17" fontId="4" fillId="80" borderId="0" xfId="0" applyNumberFormat="1" applyFont="1" applyFill="1" applyAlignment="1">
      <alignment horizontal="center"/>
    </xf>
    <xf numFmtId="44" fontId="4" fillId="80" borderId="0" xfId="37697" applyFont="1" applyFill="1" applyBorder="1"/>
    <xf numFmtId="44" fontId="1" fillId="76" borderId="0" xfId="37697" applyFont="1" applyFill="1" applyBorder="1"/>
    <xf numFmtId="44" fontId="1" fillId="68" borderId="0" xfId="37697" applyFont="1" applyFill="1" applyBorder="1"/>
    <xf numFmtId="44" fontId="0" fillId="81" borderId="0" xfId="37697" applyFont="1" applyFill="1"/>
    <xf numFmtId="44" fontId="1" fillId="81" borderId="0" xfId="37697" applyFont="1" applyFill="1" applyBorder="1"/>
    <xf numFmtId="0" fontId="0" fillId="79" borderId="0" xfId="0" applyFill="1"/>
    <xf numFmtId="166" fontId="0" fillId="0" borderId="0" xfId="0" applyNumberFormat="1"/>
    <xf numFmtId="0" fontId="80" fillId="15" borderId="0" xfId="21150" applyFont="1" applyFill="1"/>
    <xf numFmtId="165" fontId="6" fillId="76" borderId="3" xfId="6" applyNumberFormat="1" applyFont="1" applyFill="1" applyBorder="1" applyProtection="1">
      <protection locked="0"/>
    </xf>
    <xf numFmtId="0" fontId="11" fillId="0" borderId="0" xfId="0" applyFont="1" applyAlignment="1">
      <alignment horizontal="center"/>
    </xf>
    <xf numFmtId="0" fontId="11" fillId="0" borderId="0" xfId="0" applyFont="1" applyAlignment="1">
      <alignment horizontal="right"/>
    </xf>
    <xf numFmtId="44" fontId="11" fillId="0" borderId="0" xfId="37697" applyFont="1" applyBorder="1"/>
    <xf numFmtId="9" fontId="11" fillId="0" borderId="0" xfId="6" applyFont="1" applyBorder="1" applyAlignment="1">
      <alignment horizontal="center"/>
    </xf>
    <xf numFmtId="164" fontId="11" fillId="0" borderId="0" xfId="0" applyNumberFormat="1" applyFont="1" applyAlignment="1">
      <alignment horizontal="center"/>
    </xf>
    <xf numFmtId="44" fontId="6" fillId="5" borderId="3" xfId="37697" applyFont="1" applyFill="1" applyBorder="1" applyProtection="1"/>
    <xf numFmtId="44" fontId="80" fillId="0" borderId="0" xfId="37697" applyFont="1" applyFill="1"/>
    <xf numFmtId="0" fontId="7" fillId="13" borderId="0" xfId="0" applyFont="1" applyFill="1" applyAlignment="1">
      <alignment horizontal="center" vertical="center" textRotation="90"/>
    </xf>
    <xf numFmtId="0" fontId="7" fillId="75" borderId="0" xfId="0" applyFont="1" applyFill="1" applyAlignment="1">
      <alignment horizontal="center" vertical="center" textRotation="90"/>
    </xf>
    <xf numFmtId="0" fontId="7" fillId="70" borderId="0" xfId="0" applyFont="1" applyFill="1" applyAlignment="1">
      <alignment horizontal="center" vertical="center" textRotation="90"/>
    </xf>
    <xf numFmtId="0" fontId="7" fillId="7" borderId="0" xfId="0" applyFont="1" applyFill="1" applyAlignment="1">
      <alignment horizontal="center" vertical="center" textRotation="90"/>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0" xfId="0" applyAlignment="1">
      <alignment horizontal="left" vertical="top" wrapText="1"/>
    </xf>
    <xf numFmtId="0" fontId="0" fillId="0" borderId="47" xfId="0" applyBorder="1" applyAlignment="1">
      <alignment horizontal="left" vertical="top" wrapText="1"/>
    </xf>
    <xf numFmtId="0" fontId="0" fillId="0" borderId="22" xfId="0" applyBorder="1" applyAlignment="1">
      <alignment horizontal="left" vertical="top" wrapText="1"/>
    </xf>
    <xf numFmtId="0" fontId="0" fillId="0" borderId="34" xfId="0" applyBorder="1" applyAlignment="1">
      <alignment horizontal="left" vertical="top" wrapText="1"/>
    </xf>
    <xf numFmtId="0" fontId="74" fillId="0" borderId="42" xfId="0" applyFont="1" applyBorder="1" applyAlignment="1">
      <alignment horizontal="right" vertical="top"/>
    </xf>
    <xf numFmtId="0" fontId="74" fillId="0" borderId="46" xfId="0" applyFont="1" applyBorder="1" applyAlignment="1">
      <alignment horizontal="right" vertical="top"/>
    </xf>
    <xf numFmtId="0" fontId="74" fillId="0" borderId="45" xfId="0" applyFont="1" applyBorder="1" applyAlignment="1">
      <alignment horizontal="right" vertical="top"/>
    </xf>
    <xf numFmtId="0" fontId="4" fillId="69" borderId="26" xfId="0" applyFont="1" applyFill="1" applyBorder="1" applyAlignment="1">
      <alignment horizontal="center" vertical="center" textRotation="90"/>
    </xf>
    <xf numFmtId="0" fontId="4" fillId="69" borderId="27" xfId="0" applyFont="1" applyFill="1" applyBorder="1" applyAlignment="1">
      <alignment horizontal="center" vertical="center" textRotation="90"/>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007A37"/>
      <color rgb="FFF7C5BB"/>
      <color rgb="FFFFCC99"/>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16</xdr:row>
      <xdr:rowOff>0</xdr:rowOff>
    </xdr:from>
    <xdr:to>
      <xdr:col>45</xdr:col>
      <xdr:colOff>177672</xdr:colOff>
      <xdr:row>38</xdr:row>
      <xdr:rowOff>54368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twoCellAnchor editAs="oneCell">
    <xdr:from>
      <xdr:col>131</xdr:col>
      <xdr:colOff>0</xdr:colOff>
      <xdr:row>15</xdr:row>
      <xdr:rowOff>0</xdr:rowOff>
    </xdr:from>
    <xdr:to>
      <xdr:col>140</xdr:col>
      <xdr:colOff>707930</xdr:colOff>
      <xdr:row>28</xdr:row>
      <xdr:rowOff>173915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37944412" y="2902324"/>
          <a:ext cx="11219047" cy="2695238"/>
        </a:xfrm>
        <a:prstGeom prst="rect">
          <a:avLst/>
        </a:prstGeom>
      </xdr:spPr>
    </xdr:pic>
    <xdr:clientData/>
  </xdr:twoCellAnchor>
  <xdr:twoCellAnchor editAs="oneCell">
    <xdr:from>
      <xdr:col>131</xdr:col>
      <xdr:colOff>0</xdr:colOff>
      <xdr:row>30</xdr:row>
      <xdr:rowOff>0</xdr:rowOff>
    </xdr:from>
    <xdr:to>
      <xdr:col>137</xdr:col>
      <xdr:colOff>556475</xdr:colOff>
      <xdr:row>45</xdr:row>
      <xdr:rowOff>41647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37944412" y="5804647"/>
          <a:ext cx="8142857" cy="3000000"/>
        </a:xfrm>
        <a:prstGeom prst="rect">
          <a:avLst/>
        </a:prstGeom>
      </xdr:spPr>
    </xdr:pic>
    <xdr:clientData/>
  </xdr:twoCellAnchor>
  <xdr:twoCellAnchor editAs="oneCell">
    <xdr:from>
      <xdr:col>142</xdr:col>
      <xdr:colOff>0</xdr:colOff>
      <xdr:row>15</xdr:row>
      <xdr:rowOff>0</xdr:rowOff>
    </xdr:from>
    <xdr:to>
      <xdr:col>152</xdr:col>
      <xdr:colOff>164623</xdr:colOff>
      <xdr:row>29</xdr:row>
      <xdr:rowOff>173891</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150405353" y="2902324"/>
          <a:ext cx="9790476" cy="2885714"/>
        </a:xfrm>
        <a:prstGeom prst="rect">
          <a:avLst/>
        </a:prstGeom>
      </xdr:spPr>
    </xdr:pic>
    <xdr:clientData/>
  </xdr:twoCellAnchor>
  <xdr:twoCellAnchor editAs="oneCell">
    <xdr:from>
      <xdr:col>153</xdr:col>
      <xdr:colOff>1</xdr:colOff>
      <xdr:row>15</xdr:row>
      <xdr:rowOff>0</xdr:rowOff>
    </xdr:from>
    <xdr:to>
      <xdr:col>162</xdr:col>
      <xdr:colOff>549089</xdr:colOff>
      <xdr:row>28</xdr:row>
      <xdr:rowOff>126296</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161006119" y="2902324"/>
          <a:ext cx="9121588" cy="26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402166</xdr:colOff>
      <xdr:row>15</xdr:row>
      <xdr:rowOff>105833</xdr:rowOff>
    </xdr:from>
    <xdr:to>
      <xdr:col>42</xdr:col>
      <xdr:colOff>666220</xdr:colOff>
      <xdr:row>24</xdr:row>
      <xdr:rowOff>48476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947583" y="2709333"/>
          <a:ext cx="3742857" cy="1657143"/>
        </a:xfrm>
        <a:prstGeom prst="rect">
          <a:avLst/>
        </a:prstGeom>
      </xdr:spPr>
    </xdr:pic>
    <xdr:clientData/>
  </xdr:twoCellAnchor>
  <xdr:twoCellAnchor editAs="oneCell">
    <xdr:from>
      <xdr:col>48</xdr:col>
      <xdr:colOff>0</xdr:colOff>
      <xdr:row>15</xdr:row>
      <xdr:rowOff>0</xdr:rowOff>
    </xdr:from>
    <xdr:to>
      <xdr:col>65</xdr:col>
      <xdr:colOff>1432732</xdr:colOff>
      <xdr:row>37</xdr:row>
      <xdr:rowOff>132809</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2035118" y="2801471"/>
          <a:ext cx="17457143" cy="43238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Rider%20EEIC%20(MEEIA)\MEEIA%20rate%20filings\Nov%202023%20filing\workpapers\working%20copies%20and%20support\JNG2%20-%20MEEIA%20Rider%20Calcs%20November%202023-%20rates%20-%20working%20copy.xlsx" TargetMode="External"/><Relationship Id="rId1" Type="http://schemas.openxmlformats.org/officeDocument/2006/relationships/externalLinkPath" Target="file:///N:\Rider%20EEIC%20(MEEIA)\MEEIA%20rate%20filings\Nov%202023%20filing\workpapers\working%20copies%20and%20support\JNG2%20-%20MEEIA%20Rider%20Calcs%20November%202023-%20rates%20-%20working%20cop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Rider%20EEIC%20(MEEIA)\MEEIA%20rate%20filings\Nov%202023%20filing\workpapers\working%20copies%20and%20support\JNG4%20-%20MEEIA%20Rider%20Calcs%20November%202023%20-%20Support%20-%20working%20copy.xlsx" TargetMode="External"/><Relationship Id="rId1" Type="http://schemas.openxmlformats.org/officeDocument/2006/relationships/externalLinkPath" Target="file:///N:\Rider%20EEIC%20(MEEIA)\MEEIA%20rate%20filings\Nov%202023%20filing\workpapers\working%20copies%20and%20support\JNG4%20-%20MEEIA%20Rider%20Calcs%20November%202023%20-%20Support%20-%20working%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
      <sheetName val="PCR (M3)"/>
      <sheetName val="PTD"/>
      <sheetName val="TDR (M2)"/>
      <sheetName val="TDR (M3)"/>
      <sheetName val="EO"/>
      <sheetName val="EOR (M3)"/>
      <sheetName val="OA"/>
      <sheetName val="OAR (M3)"/>
      <sheetName val="tariff tables (M3)"/>
      <sheetName val="tariff tables (M2)"/>
      <sheetName val="Sheet 91.23"/>
    </sheetNames>
    <sheetDataSet>
      <sheetData sheetId="0" refreshError="1"/>
      <sheetData sheetId="1">
        <row r="15">
          <cell r="BI15">
            <v>1838767.2702340416</v>
          </cell>
          <cell r="BJ15">
            <v>6685307.184425679</v>
          </cell>
          <cell r="BK15">
            <v>4852492.9589663921</v>
          </cell>
        </row>
        <row r="16">
          <cell r="BI16">
            <v>5006136.6895288778</v>
          </cell>
          <cell r="BJ16">
            <v>10163671.301426165</v>
          </cell>
          <cell r="BK16">
            <v>354154.06083333335</v>
          </cell>
        </row>
        <row r="17">
          <cell r="BI17">
            <v>549561.26951762266</v>
          </cell>
          <cell r="BJ17">
            <v>1652821.4918714473</v>
          </cell>
          <cell r="BK17">
            <v>62036.768333333333</v>
          </cell>
        </row>
        <row r="18">
          <cell r="BI18">
            <v>30000</v>
          </cell>
          <cell r="BJ18">
            <v>42500</v>
          </cell>
          <cell r="BK18">
            <v>96000</v>
          </cell>
        </row>
        <row r="35">
          <cell r="BI35">
            <v>1878642.3015770395</v>
          </cell>
          <cell r="BJ35">
            <v>2574112.0165596786</v>
          </cell>
          <cell r="BK35">
            <v>3377653.6965648751</v>
          </cell>
        </row>
        <row r="36">
          <cell r="BI36">
            <v>557843.8940734677</v>
          </cell>
          <cell r="BJ36">
            <v>654845.89971619565</v>
          </cell>
          <cell r="BK36">
            <v>763214.42702631233</v>
          </cell>
        </row>
        <row r="37">
          <cell r="BI37">
            <v>1318769.1092957307</v>
          </cell>
          <cell r="BJ37">
            <v>1417573.328482413</v>
          </cell>
          <cell r="BK37">
            <v>1579622.3482703522</v>
          </cell>
        </row>
        <row r="38">
          <cell r="BI38">
            <v>587440.28955721098</v>
          </cell>
          <cell r="BJ38">
            <v>608710.35718598624</v>
          </cell>
          <cell r="BK38">
            <v>638537.6731991868</v>
          </cell>
        </row>
        <row r="39">
          <cell r="BI39">
            <v>222379.98711713497</v>
          </cell>
          <cell r="BJ39">
            <v>217803.23559398414</v>
          </cell>
          <cell r="BK39">
            <v>226022.3853344839</v>
          </cell>
        </row>
      </sheetData>
      <sheetData sheetId="2" refreshError="1"/>
      <sheetData sheetId="3">
        <row r="22">
          <cell r="CR22">
            <v>13413.237768504692</v>
          </cell>
          <cell r="CS22">
            <v>18378.792222391661</v>
          </cell>
          <cell r="CT22">
            <v>24115.965074171727</v>
          </cell>
        </row>
        <row r="23">
          <cell r="CR23">
            <v>4263.4891341093671</v>
          </cell>
          <cell r="CS23">
            <v>5004.8560316201601</v>
          </cell>
          <cell r="CT23">
            <v>5833.0949772727017</v>
          </cell>
        </row>
        <row r="24">
          <cell r="CR24">
            <v>3536.9286456207337</v>
          </cell>
          <cell r="CS24">
            <v>3801.920804358962</v>
          </cell>
          <cell r="CT24">
            <v>4236.5350336752745</v>
          </cell>
        </row>
        <row r="25">
          <cell r="CR25">
            <v>878.74388864205071</v>
          </cell>
          <cell r="CS25">
            <v>910.56149167686794</v>
          </cell>
          <cell r="CT25">
            <v>955.17976544380974</v>
          </cell>
        </row>
        <row r="26">
          <cell r="CR26">
            <v>0</v>
          </cell>
          <cell r="CS26">
            <v>0</v>
          </cell>
          <cell r="CT26">
            <v>0</v>
          </cell>
        </row>
        <row r="36">
          <cell r="CR36">
            <v>-547.80271476980045</v>
          </cell>
          <cell r="CS36">
            <v>-750.59821106404058</v>
          </cell>
          <cell r="CT36">
            <v>-984.90695273775816</v>
          </cell>
        </row>
      </sheetData>
      <sheetData sheetId="4">
        <row r="22">
          <cell r="BH22">
            <v>691965.26605756558</v>
          </cell>
          <cell r="BI22">
            <v>948129.45759044029</v>
          </cell>
          <cell r="BJ22">
            <v>1244100.0805910944</v>
          </cell>
        </row>
        <row r="23">
          <cell r="BH23">
            <v>124538.76154898416</v>
          </cell>
          <cell r="BI23">
            <v>146194.47881837838</v>
          </cell>
          <cell r="BJ23">
            <v>170387.77433612366</v>
          </cell>
        </row>
        <row r="24">
          <cell r="BH24">
            <v>777113.75099495554</v>
          </cell>
          <cell r="BI24">
            <v>835336.31387201196</v>
          </cell>
          <cell r="BJ24">
            <v>930827.2688275103</v>
          </cell>
        </row>
        <row r="25">
          <cell r="BH25">
            <v>200353.60661038759</v>
          </cell>
          <cell r="BI25">
            <v>207608.02010232591</v>
          </cell>
          <cell r="BJ25">
            <v>217780.98652118864</v>
          </cell>
        </row>
        <row r="26">
          <cell r="BH26">
            <v>25820.82983359382</v>
          </cell>
          <cell r="BI26">
            <v>25289.417255502107</v>
          </cell>
          <cell r="BJ26">
            <v>26243.753432860034</v>
          </cell>
        </row>
        <row r="36">
          <cell r="BH36">
            <v>-28260.175344300882</v>
          </cell>
          <cell r="BI36">
            <v>-38722.037123715498</v>
          </cell>
          <cell r="BJ36">
            <v>-50809.611620647876</v>
          </cell>
        </row>
      </sheetData>
      <sheetData sheetId="5" refreshError="1"/>
      <sheetData sheetId="6">
        <row r="29">
          <cell r="AJ29">
            <v>313887.92957531312</v>
          </cell>
          <cell r="AK29">
            <v>429075.26946975273</v>
          </cell>
          <cell r="AL29">
            <v>562066.0602897139</v>
          </cell>
        </row>
        <row r="30">
          <cell r="AJ30">
            <v>90254.308718076602</v>
          </cell>
          <cell r="AK30">
            <v>105711.17390972294</v>
          </cell>
          <cell r="AL30">
            <v>123007.37573019048</v>
          </cell>
        </row>
        <row r="31">
          <cell r="AJ31">
            <v>206765.44330759457</v>
          </cell>
          <cell r="AK31">
            <v>221767.50883173384</v>
          </cell>
          <cell r="AL31">
            <v>246729.12296819111</v>
          </cell>
        </row>
        <row r="32">
          <cell r="AJ32">
            <v>91655.900726407956</v>
          </cell>
          <cell r="AK32">
            <v>94769.579057870782</v>
          </cell>
          <cell r="AL32">
            <v>99259.646596929801</v>
          </cell>
        </row>
        <row r="33">
          <cell r="AJ33">
            <v>45164.547320033947</v>
          </cell>
          <cell r="AK33">
            <v>44167.645763458633</v>
          </cell>
          <cell r="AL33">
            <v>45784.399339003852</v>
          </cell>
        </row>
      </sheetData>
      <sheetData sheetId="7" refreshError="1"/>
      <sheetData sheetId="8">
        <row r="29">
          <cell r="AI29">
            <v>806.9098446666145</v>
          </cell>
          <cell r="AJ29">
            <v>1103.0212582769991</v>
          </cell>
          <cell r="AK29">
            <v>1444.8998979170024</v>
          </cell>
        </row>
        <row r="30">
          <cell r="AI30">
            <v>-3.914922230723286</v>
          </cell>
          <cell r="AJ30">
            <v>-5.2054948786239565</v>
          </cell>
          <cell r="AK30">
            <v>-6.5749840117596987</v>
          </cell>
        </row>
        <row r="31">
          <cell r="AI31">
            <v>-8.8153556463690812</v>
          </cell>
          <cell r="AJ31">
            <v>-10.733196030551328</v>
          </cell>
          <cell r="AK31">
            <v>-12.961701517288404</v>
          </cell>
        </row>
        <row r="32">
          <cell r="AI32">
            <v>-3.8327801276334936</v>
          </cell>
          <cell r="AJ32">
            <v>-4.4985579945429963</v>
          </cell>
          <cell r="AK32">
            <v>-5.1141607715013802</v>
          </cell>
        </row>
        <row r="33">
          <cell r="AI33">
            <v>-154.11877562596877</v>
          </cell>
          <cell r="AJ33">
            <v>-151.1201067486187</v>
          </cell>
          <cell r="AK33">
            <v>-156.95135263406479</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1, PCR.2F, EO.3"/>
      <sheetName val="PPC.2, PCR.1F"/>
      <sheetName val="PPC.3, PCR.2"/>
      <sheetName val="PCR.1 (M3)"/>
      <sheetName val="PCR1.A (M3)"/>
      <sheetName val="PCR1.B (M3)"/>
      <sheetName val="PCR.3 (M3)"/>
      <sheetName val="PCR.4 (M3)"/>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R.1F, EOR.1"/>
      <sheetName val="EOR.2 (M3)"/>
      <sheetName val="EOR.3 (M3)"/>
      <sheetName val="EOR.4 (M3)"/>
      <sheetName val="EOR.4F"/>
      <sheetName val="OAR.1A (M3)"/>
      <sheetName val="OAR.1B (M3)"/>
      <sheetName val="OAR.1C (M3)"/>
      <sheetName val="OAR.2 (M3)"/>
      <sheetName val="OAR.3 (M3)"/>
      <sheetName val="OAR.4 (M3)"/>
      <sheetName val="OAR.4F"/>
      <sheetName val="EOR.1A (M3)"/>
      <sheetName val="OAR.1D (M3)"/>
      <sheetName val="PCR1.C (M3)"/>
      <sheetName val="PCR1.D (M3)"/>
      <sheetName val="PCR1.E (M3)"/>
    </sheetNames>
    <sheetDataSet>
      <sheetData sheetId="0">
        <row r="27">
          <cell r="B27">
            <v>821237675.48673487</v>
          </cell>
          <cell r="C27">
            <v>1125258260.7915118</v>
          </cell>
          <cell r="D27">
            <v>1476521883.9358521</v>
          </cell>
          <cell r="E27">
            <v>1324838501.5884733</v>
          </cell>
          <cell r="F27">
            <v>1167280731.0079541</v>
          </cell>
          <cell r="G27">
            <v>853023954.2261312</v>
          </cell>
          <cell r="H27">
            <v>773837680.71173882</v>
          </cell>
          <cell r="I27">
            <v>1010038873.7497076</v>
          </cell>
          <cell r="J27">
            <v>1292555359.1744905</v>
          </cell>
          <cell r="K27">
            <v>1264600029.330498</v>
          </cell>
          <cell r="L27">
            <v>1169502121.5208945</v>
          </cell>
          <cell r="M27">
            <v>857751657.077479</v>
          </cell>
          <cell r="N27">
            <v>818315477.25571561</v>
          </cell>
          <cell r="O27">
            <v>1127419667.7622485</v>
          </cell>
          <cell r="P27">
            <v>1384199214.678869</v>
          </cell>
        </row>
        <row r="28">
          <cell r="B28">
            <v>224394164.95312458</v>
          </cell>
          <cell r="C28">
            <v>263413475.34842947</v>
          </cell>
          <cell r="D28">
            <v>307004998.80382639</v>
          </cell>
          <cell r="E28">
            <v>292612333.18518299</v>
          </cell>
          <cell r="F28">
            <v>267792467.08232301</v>
          </cell>
          <cell r="G28">
            <v>228351538.65908313</v>
          </cell>
          <cell r="H28">
            <v>218321066.37314489</v>
          </cell>
          <cell r="I28">
            <v>258620311.68641847</v>
          </cell>
          <cell r="J28">
            <v>300258752.94407535</v>
          </cell>
          <cell r="K28">
            <v>294312486.26432097</v>
          </cell>
          <cell r="L28">
            <v>284995151.77824074</v>
          </cell>
          <cell r="M28">
            <v>242359002.6419659</v>
          </cell>
          <cell r="N28">
            <v>224612822.15629977</v>
          </cell>
          <cell r="O28">
            <v>266365863.85421503</v>
          </cell>
          <cell r="P28">
            <v>305219384.35504919</v>
          </cell>
        </row>
        <row r="29">
          <cell r="B29">
            <v>505275520.80296195</v>
          </cell>
          <cell r="C29">
            <v>543131543.47985172</v>
          </cell>
          <cell r="D29">
            <v>605219290.5250392</v>
          </cell>
          <cell r="E29">
            <v>555746842.3014673</v>
          </cell>
          <cell r="F29">
            <v>527483070.12023365</v>
          </cell>
          <cell r="G29">
            <v>505683014.17189616</v>
          </cell>
          <cell r="H29">
            <v>514257343.16672277</v>
          </cell>
          <cell r="I29">
            <v>573379724.80373895</v>
          </cell>
          <cell r="J29">
            <v>632608842.1893121</v>
          </cell>
          <cell r="K29">
            <v>612048052.14071286</v>
          </cell>
          <cell r="L29">
            <v>609568836.13772011</v>
          </cell>
          <cell r="M29">
            <v>561127090.33666372</v>
          </cell>
          <cell r="N29">
            <v>502046226.16902196</v>
          </cell>
          <cell r="O29">
            <v>545717148.56828618</v>
          </cell>
          <cell r="P29">
            <v>605529088.75454676</v>
          </cell>
        </row>
        <row r="30">
          <cell r="B30">
            <v>219685972.16051269</v>
          </cell>
          <cell r="C30">
            <v>227640372.91921699</v>
          </cell>
          <cell r="D30">
            <v>238794941.36095244</v>
          </cell>
          <cell r="E30">
            <v>225114293.13275322</v>
          </cell>
          <cell r="F30">
            <v>223217592.21408701</v>
          </cell>
          <cell r="G30">
            <v>220002678.80916598</v>
          </cell>
          <cell r="H30">
            <v>224001238.85819954</v>
          </cell>
          <cell r="I30">
            <v>238645636.01157743</v>
          </cell>
          <cell r="J30">
            <v>255478455.58110467</v>
          </cell>
          <cell r="K30">
            <v>257840696.63469875</v>
          </cell>
          <cell r="L30">
            <v>252196812.86939156</v>
          </cell>
          <cell r="M30">
            <v>234836867.16593957</v>
          </cell>
          <cell r="N30">
            <v>219688685.37334043</v>
          </cell>
          <cell r="O30">
            <v>227993735.46639213</v>
          </cell>
          <cell r="P30">
            <v>241180641.87502515</v>
          </cell>
        </row>
        <row r="31">
          <cell r="B31">
            <v>76392987.673354506</v>
          </cell>
          <cell r="C31">
            <v>74820761.110952988</v>
          </cell>
          <cell r="D31">
            <v>77644240.925621405</v>
          </cell>
          <cell r="E31">
            <v>69900682.957841858</v>
          </cell>
          <cell r="F31">
            <v>70948578.020594418</v>
          </cell>
          <cell r="G31">
            <v>76302773.924921751</v>
          </cell>
          <cell r="H31">
            <v>80717474.648572221</v>
          </cell>
          <cell r="I31">
            <v>84716410.230404004</v>
          </cell>
          <cell r="J31">
            <v>90297340.742301986</v>
          </cell>
          <cell r="K31">
            <v>88074024.818592682</v>
          </cell>
          <cell r="L31">
            <v>84653291.753577754</v>
          </cell>
          <cell r="M31">
            <v>82113781.98494634</v>
          </cell>
          <cell r="N31">
            <v>75908932.565945894</v>
          </cell>
          <cell r="O31">
            <v>74712968.059853733</v>
          </cell>
          <cell r="P31">
            <v>75070915.098064989</v>
          </cell>
        </row>
      </sheetData>
      <sheetData sheetId="1">
        <row r="14">
          <cell r="F14">
            <v>23581495.12894699</v>
          </cell>
        </row>
      </sheetData>
      <sheetData sheetId="2">
        <row r="30">
          <cell r="P30">
            <v>785388980</v>
          </cell>
        </row>
      </sheetData>
      <sheetData sheetId="3">
        <row r="84">
          <cell r="AP84">
            <v>2419897.69</v>
          </cell>
        </row>
      </sheetData>
      <sheetData sheetId="4"/>
      <sheetData sheetId="5">
        <row r="10">
          <cell r="B10">
            <v>-60467.71</v>
          </cell>
        </row>
      </sheetData>
      <sheetData sheetId="6">
        <row r="6">
          <cell r="AR6">
            <v>-2143212.9600000009</v>
          </cell>
        </row>
      </sheetData>
      <sheetData sheetId="7">
        <row r="7">
          <cell r="AR7">
            <v>-82735.98000000001</v>
          </cell>
        </row>
      </sheetData>
      <sheetData sheetId="8">
        <row r="54">
          <cell r="W54">
            <v>72513.259999999995</v>
          </cell>
        </row>
      </sheetData>
      <sheetData sheetId="9"/>
      <sheetData sheetId="10"/>
      <sheetData sheetId="11"/>
      <sheetData sheetId="12">
        <row r="7">
          <cell r="CB7">
            <v>7297.6799999999994</v>
          </cell>
        </row>
      </sheetData>
      <sheetData sheetId="13">
        <row r="6">
          <cell r="AR6">
            <v>-484043.54000000004</v>
          </cell>
        </row>
      </sheetData>
      <sheetData sheetId="14">
        <row r="5">
          <cell r="BQ5">
            <v>295.49</v>
          </cell>
        </row>
      </sheetData>
      <sheetData sheetId="15">
        <row r="5">
          <cell r="AR5">
            <v>-18696.190000000002</v>
          </cell>
        </row>
      </sheetData>
      <sheetData sheetId="16">
        <row r="88">
          <cell r="W88">
            <v>-730.54</v>
          </cell>
        </row>
      </sheetData>
      <sheetData sheetId="17">
        <row r="63">
          <cell r="W63">
            <v>-19686.439999999999</v>
          </cell>
        </row>
      </sheetData>
      <sheetData sheetId="18"/>
      <sheetData sheetId="19">
        <row r="41">
          <cell r="H41">
            <v>9982210.7117121015</v>
          </cell>
        </row>
      </sheetData>
      <sheetData sheetId="20">
        <row r="5">
          <cell r="B5">
            <v>11040509151.5189</v>
          </cell>
        </row>
      </sheetData>
      <sheetData sheetId="21">
        <row r="14">
          <cell r="K14">
            <v>468682.42858043453</v>
          </cell>
        </row>
      </sheetData>
      <sheetData sheetId="22">
        <row r="5">
          <cell r="W5">
            <v>-263508.02000000008</v>
          </cell>
        </row>
      </sheetData>
      <sheetData sheetId="23">
        <row r="7">
          <cell r="W7">
            <v>-10179.5</v>
          </cell>
        </row>
      </sheetData>
      <sheetData sheetId="24">
        <row r="26">
          <cell r="W26">
            <v>3262.92</v>
          </cell>
        </row>
      </sheetData>
      <sheetData sheetId="25"/>
      <sheetData sheetId="26"/>
      <sheetData sheetId="27"/>
      <sheetData sheetId="28">
        <row r="13">
          <cell r="R13">
            <v>-967.04033262850135</v>
          </cell>
        </row>
      </sheetData>
      <sheetData sheetId="29">
        <row r="5">
          <cell r="K5">
            <v>6328</v>
          </cell>
        </row>
      </sheetData>
      <sheetData sheetId="30">
        <row r="7">
          <cell r="M7">
            <v>254.03</v>
          </cell>
        </row>
      </sheetData>
      <sheetData sheetId="31">
        <row r="30">
          <cell r="W30">
            <v>103.72</v>
          </cell>
        </row>
      </sheetData>
      <sheetData sheetId="32"/>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BO183"/>
  <sheetViews>
    <sheetView zoomScaleNormal="100" zoomScaleSheetLayoutView="80" workbookViewId="0">
      <pane xSplit="2" ySplit="4" topLeftCell="AZ5" activePane="bottomRight" state="frozen"/>
      <selection pane="topRight"/>
      <selection pane="bottomLeft"/>
      <selection pane="bottomRight" activeCell="BC21" sqref="BC21"/>
    </sheetView>
  </sheetViews>
  <sheetFormatPr defaultColWidth="9.1796875" defaultRowHeight="14.5" zeroHeight="1" outlineLevelRow="1" x14ac:dyDescent="0.35"/>
  <cols>
    <col min="1" max="1" width="3.1796875" style="1" customWidth="1"/>
    <col min="2" max="2" width="48.26953125"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customWidth="1"/>
    <col min="40" max="40" width="14.26953125" customWidth="1"/>
    <col min="41" max="42" width="15.54296875" customWidth="1"/>
    <col min="43" max="50" width="14.54296875" customWidth="1"/>
    <col min="51" max="51" width="13.81640625" customWidth="1"/>
    <col min="52" max="52" width="14.26953125" customWidth="1"/>
    <col min="53" max="58" width="14.54296875" customWidth="1"/>
    <col min="59" max="64" width="14.54296875" bestFit="1" customWidth="1"/>
    <col min="67" max="67" width="10.54296875" bestFit="1" customWidth="1"/>
  </cols>
  <sheetData>
    <row r="1" spans="1:67" ht="15.5" x14ac:dyDescent="0.35">
      <c r="A1" s="46" t="s">
        <v>80</v>
      </c>
      <c r="V1" s="39"/>
      <c r="AL1" s="39"/>
    </row>
    <row r="2" spans="1:67" ht="15.5" x14ac:dyDescent="0.35">
      <c r="A2" s="46" t="s">
        <v>7</v>
      </c>
      <c r="B2" s="33"/>
      <c r="C2" s="106"/>
      <c r="D2" s="50"/>
      <c r="E2" s="50"/>
      <c r="F2" s="154"/>
      <c r="G2" s="50"/>
      <c r="H2" s="50"/>
      <c r="I2" s="50"/>
      <c r="J2" s="50"/>
      <c r="K2" s="50"/>
      <c r="O2" s="39"/>
      <c r="R2" s="39"/>
      <c r="S2" s="39"/>
      <c r="U2" s="39"/>
      <c r="V2" s="39"/>
      <c r="W2" s="39"/>
      <c r="X2" s="39"/>
      <c r="AA2" s="39"/>
      <c r="AB2" s="39"/>
      <c r="AC2" s="39"/>
      <c r="AG2" s="39"/>
      <c r="AL2" s="39"/>
      <c r="AM2" s="39"/>
      <c r="AN2" s="39"/>
      <c r="AO2" s="39"/>
      <c r="AY2" s="39"/>
      <c r="BB2" s="39"/>
      <c r="BC2" s="39"/>
      <c r="BD2" s="39"/>
      <c r="BE2" s="39"/>
      <c r="BF2" s="39"/>
      <c r="BG2" s="39"/>
      <c r="BH2" s="39"/>
      <c r="BI2" s="39"/>
      <c r="BJ2" s="39"/>
      <c r="BK2" s="39"/>
      <c r="BL2" s="39"/>
    </row>
    <row r="3" spans="1:67" x14ac:dyDescent="0.35">
      <c r="A3" s="55"/>
      <c r="F3" s="39"/>
    </row>
    <row r="4" spans="1:67"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10">
        <v>44958</v>
      </c>
      <c r="BB4" s="10">
        <v>44986</v>
      </c>
      <c r="BC4" s="10">
        <v>45017</v>
      </c>
      <c r="BD4" s="10">
        <v>45047</v>
      </c>
      <c r="BE4" s="10">
        <v>45078</v>
      </c>
      <c r="BF4" s="10">
        <v>45108</v>
      </c>
      <c r="BG4" s="10">
        <v>45139</v>
      </c>
      <c r="BH4" s="10">
        <v>45170</v>
      </c>
      <c r="BI4" s="10">
        <v>45200</v>
      </c>
      <c r="BJ4" s="10">
        <v>45231</v>
      </c>
      <c r="BK4" s="10">
        <v>45261</v>
      </c>
      <c r="BL4" s="10">
        <v>45292</v>
      </c>
    </row>
    <row r="5" spans="1:67" ht="15" customHeight="1" x14ac:dyDescent="0.35">
      <c r="A5" s="298" t="s">
        <v>0</v>
      </c>
      <c r="B5" s="5"/>
      <c r="C5" s="29"/>
      <c r="D5" s="29"/>
      <c r="E5" s="29"/>
      <c r="F5" s="29"/>
      <c r="G5" s="29"/>
      <c r="H5" s="29"/>
      <c r="I5" s="29"/>
      <c r="J5" s="29"/>
      <c r="K5" s="29"/>
      <c r="L5" s="29"/>
      <c r="M5" s="29"/>
      <c r="N5" s="29"/>
      <c r="O5" s="7"/>
      <c r="P5" s="29"/>
      <c r="Q5" s="29"/>
      <c r="R5" s="29"/>
      <c r="S5" s="29"/>
      <c r="T5" s="29"/>
      <c r="U5" s="29"/>
      <c r="V5" s="29"/>
      <c r="W5" s="29"/>
      <c r="X5" s="29"/>
      <c r="Y5" s="29"/>
      <c r="Z5" s="29"/>
      <c r="AA5" s="29"/>
      <c r="AB5" s="29"/>
      <c r="AC5" s="29"/>
      <c r="AD5" s="151">
        <f>'MEEIA 3 adjs'!BA1+'MEEIA 3 adjs'!BE11</f>
        <v>-21982.399999997611</v>
      </c>
      <c r="AE5" s="29"/>
      <c r="AF5" s="29"/>
      <c r="AG5" s="29"/>
      <c r="AH5" s="29"/>
      <c r="AI5" s="29"/>
      <c r="AJ5" s="29"/>
      <c r="AK5" s="29"/>
      <c r="AL5" s="207">
        <f>'MEEIA 3 adjs'!BH9+'MEEIA 3 adjs'!BJ9</f>
        <v>-60592.04</v>
      </c>
      <c r="AM5" s="29"/>
      <c r="AN5" s="29"/>
      <c r="AO5" s="210">
        <v>-696083.55703392881</v>
      </c>
      <c r="AP5" s="29"/>
      <c r="AQ5" s="29"/>
      <c r="AR5" s="29"/>
      <c r="AS5" s="29"/>
      <c r="AT5" s="29"/>
      <c r="AU5" s="29"/>
      <c r="AV5" s="29"/>
      <c r="AW5" s="29"/>
      <c r="AX5" s="29"/>
      <c r="AY5" s="29"/>
      <c r="AZ5" s="207">
        <f>'MEEIA 3 adjs'!DZ11+'MEEIA 2 adjs'!EC12</f>
        <v>-558.33848963666242</v>
      </c>
      <c r="BA5" s="226"/>
      <c r="BB5" s="207">
        <f>'MEEIA 3 adjs'!FG11</f>
        <v>-896.80000000004657</v>
      </c>
      <c r="BC5" s="226"/>
      <c r="BD5" s="226"/>
      <c r="BE5" s="226"/>
      <c r="BF5" s="226"/>
      <c r="BG5" s="226"/>
      <c r="BH5" s="226"/>
      <c r="BI5" s="207">
        <f>'MEEIA 3 adjs'!FR6+'MEEIA 3 adjs'!FR11</f>
        <v>345.9166797879152</v>
      </c>
      <c r="BJ5" s="226"/>
      <c r="BK5" s="226"/>
      <c r="BL5" s="226"/>
    </row>
    <row r="6" spans="1:67" s="3" customFormat="1" ht="15" customHeight="1" x14ac:dyDescent="0.35">
      <c r="A6" s="298"/>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68">
        <f>3593026.47+'PAYS interest calculation'!C15</f>
        <v>3593096.5983472401</v>
      </c>
      <c r="AF6" s="168">
        <f>3249647.22+'PAYS interest calculation'!D15</f>
        <v>3249816.752362628</v>
      </c>
      <c r="AG6" s="179">
        <f>6100963.25+'PAYS interest calculation'!E15</f>
        <v>6101138.4180074409</v>
      </c>
      <c r="AH6" s="179">
        <f>5073828.74+'PAYS interest calculation'!F15</f>
        <v>5074049.6564757768</v>
      </c>
      <c r="AI6" s="168">
        <f>6150373.04+'PAYS interest calculation'!G15</f>
        <v>6150752.0389186945</v>
      </c>
      <c r="AJ6" s="168">
        <f>4538294.08+'PAYS interest calculation'!H15</f>
        <v>4538886.177325543</v>
      </c>
      <c r="AK6" s="168">
        <f>5907219.36+'PAYS interest calculation'!I15</f>
        <v>5908069.5179605344</v>
      </c>
      <c r="AL6" s="168">
        <f>11096066.47+'PAYS interest calculation'!J15</f>
        <v>11097280.277224224</v>
      </c>
      <c r="AM6" s="168">
        <f>21855224.8+'PAYS interest calculation'!K15</f>
        <v>21856497.240487527</v>
      </c>
      <c r="AN6" s="168">
        <f>-1207424.55+'PAYS interest calculation'!L15</f>
        <v>-1206005.0706461675</v>
      </c>
      <c r="AO6" s="168">
        <f>3291300.03+'PAYS interest calculation'!M15</f>
        <v>3292003.067914797</v>
      </c>
      <c r="AP6" s="179">
        <f>3839817.3+'PAYS interest calculation'!N15+(-1*'PAYS interest calculation'!N6)</f>
        <v>3848947.3665742185</v>
      </c>
      <c r="AQ6" s="179">
        <f>4451070.5+'PAYS interest calculation'!O15</f>
        <v>4452149.213101591</v>
      </c>
      <c r="AR6" s="179">
        <f>3308454.75+'PAYS interest calculation'!P15</f>
        <v>3309739.301438381</v>
      </c>
      <c r="AS6" s="179">
        <f>6746528.94+'PAYS interest calculation'!Q15</f>
        <v>6747915.2307812814</v>
      </c>
      <c r="AT6" s="179">
        <f>3532913.25+'PAYS interest calculation'!R15</f>
        <v>3534427.1880222401</v>
      </c>
      <c r="AU6" s="179">
        <f>5675518.56+'PAYS interest calculation'!S15</f>
        <v>5677135.2112908112</v>
      </c>
      <c r="AV6" s="179">
        <f>6239208.9+'PAYS interest calculation'!T15</f>
        <v>6241030.1127156857</v>
      </c>
      <c r="AW6" s="179">
        <f>4202063.07+'PAYS interest calculation'!U15</f>
        <v>4203952.8957806081</v>
      </c>
      <c r="AX6" s="179">
        <f>6028471.43+'PAYS interest calculation'!V15</f>
        <v>6030542.0242398335</v>
      </c>
      <c r="AY6" s="179">
        <f>20769312.92+'PAYS interest calculation'!W15+(-1*'PAYS interest calculation'!W6)</f>
        <v>20772311.523251541</v>
      </c>
      <c r="AZ6" s="179">
        <f>2815642.18+'PAYS interest calculation'!X15</f>
        <v>2818085.4973094049</v>
      </c>
      <c r="BA6" s="179">
        <f>4564689.01-16389.29+'PAYS interest calculation'!Y15</f>
        <v>4550893.0217857901</v>
      </c>
      <c r="BB6" s="179">
        <f>4460594.75+'PAYS interest calculation'!Z15</f>
        <v>4463219.4054105142</v>
      </c>
      <c r="BC6" s="179">
        <f>3633263.4+'PAYS interest calculation'!AA15</f>
        <v>3635955.4282210199</v>
      </c>
      <c r="BD6" s="179">
        <f>5937741.17+'PAYS interest calculation'!AB15</f>
        <v>5940478.5337780621</v>
      </c>
      <c r="BE6" s="179">
        <f>4862173.61+'PAYS interest calculation'!AC15</f>
        <v>4864955.095925808</v>
      </c>
      <c r="BF6" s="179">
        <f>6175408.01+'PAYS interest calculation'!AD15</f>
        <v>6175979.8893648321</v>
      </c>
      <c r="BG6" s="179">
        <f>4735345.8+'PAYS interest calculation'!AE15</f>
        <v>4736088.9036643831</v>
      </c>
      <c r="BH6" s="179">
        <f>4815688.12+'PAYS interest calculation'!AF15</f>
        <v>4816537.1018028697</v>
      </c>
      <c r="BI6" s="179">
        <f>5798518.26+'PAYS interest calculation'!AG15</f>
        <v>5799700.9650074607</v>
      </c>
      <c r="BJ6" s="118">
        <f>SUM('[1]PCR (M3)'!BI15:BI18)</f>
        <v>7424465.2292805426</v>
      </c>
      <c r="BK6" s="118">
        <f>SUM('[1]PCR (M3)'!BJ15:BJ18)</f>
        <v>18544299.977723289</v>
      </c>
      <c r="BL6" s="118">
        <f>SUM('[1]PCR (M3)'!BK15:BK18)</f>
        <v>5364683.7881330587</v>
      </c>
    </row>
    <row r="7" spans="1:67" s="3" customFormat="1" x14ac:dyDescent="0.35">
      <c r="A7" s="298"/>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v>6865628.9100000001</v>
      </c>
      <c r="BA7" s="22">
        <v>5890167.4000000004</v>
      </c>
      <c r="BB7" s="22">
        <v>5071608.0599999996</v>
      </c>
      <c r="BC7" s="22">
        <v>4647331.4400000004</v>
      </c>
      <c r="BD7" s="22">
        <v>4309653.22</v>
      </c>
      <c r="BE7" s="22">
        <v>5155063.0199999996</v>
      </c>
      <c r="BF7" s="22">
        <v>6058263.3600000003</v>
      </c>
      <c r="BG7" s="22">
        <v>6335389.6200000001</v>
      </c>
      <c r="BH7" s="22">
        <v>6078515.6699999999</v>
      </c>
      <c r="BI7" s="22">
        <v>4916922.6100000003</v>
      </c>
      <c r="BJ7" s="125">
        <f>SUM('[1]PCR (M3)'!BI35:BI39)</f>
        <v>4565075.5816205842</v>
      </c>
      <c r="BK7" s="125">
        <f>SUM('[1]PCR (M3)'!BJ35:BJ39)</f>
        <v>5473044.8375382572</v>
      </c>
      <c r="BL7" s="125">
        <f>SUM('[1]PCR (M3)'!BK35:BK39)</f>
        <v>6585050.5303952107</v>
      </c>
    </row>
    <row r="8" spans="1:67" s="3" customFormat="1" x14ac:dyDescent="0.35">
      <c r="A8" s="298"/>
      <c r="B8" s="5" t="s">
        <v>11</v>
      </c>
      <c r="C8" s="7">
        <f t="shared" ref="C8" si="0">IF(OR(C6="",C7=""),"",C6-C7)</f>
        <v>472906.7</v>
      </c>
      <c r="D8" s="7">
        <f t="shared" ref="D8:AE8" si="1">IF(OR(D6="",D7=""),"",D6-D7)</f>
        <v>121950.46</v>
      </c>
      <c r="E8" s="7">
        <f t="shared" si="1"/>
        <v>306057.09999999998</v>
      </c>
      <c r="F8" s="7">
        <f t="shared" si="1"/>
        <v>3254515.75</v>
      </c>
      <c r="G8" s="7">
        <f t="shared" si="1"/>
        <v>1441686.8700000006</v>
      </c>
      <c r="H8" s="7">
        <f>IF(OR(H6="",H7=""),"",H6-H7)</f>
        <v>2193801.7700000005</v>
      </c>
      <c r="I8" s="8">
        <f t="shared" si="1"/>
        <v>-3041386.45</v>
      </c>
      <c r="J8" s="8">
        <f t="shared" si="1"/>
        <v>-3633337.8400000008</v>
      </c>
      <c r="K8" s="8">
        <f t="shared" si="1"/>
        <v>-2120193.1100000003</v>
      </c>
      <c r="L8" s="8">
        <f t="shared" si="1"/>
        <v>-2750489.7899999982</v>
      </c>
      <c r="M8" s="8">
        <f t="shared" si="1"/>
        <v>-1700039.8799999971</v>
      </c>
      <c r="N8" s="8">
        <f t="shared" si="1"/>
        <v>2252137.66</v>
      </c>
      <c r="O8" s="8">
        <f>IF(OR(O6="",O7=""),"",O6-O7)</f>
        <v>7272414.0199999968</v>
      </c>
      <c r="P8" s="8">
        <f t="shared" si="1"/>
        <v>-5280061.8100000005</v>
      </c>
      <c r="Q8" s="8">
        <f t="shared" si="1"/>
        <v>-3513948.1099999994</v>
      </c>
      <c r="R8" s="8">
        <f t="shared" si="1"/>
        <v>-590431.75</v>
      </c>
      <c r="S8" s="8">
        <f t="shared" si="1"/>
        <v>-1024286.1299999994</v>
      </c>
      <c r="T8" s="8">
        <f>IF(OR(T6="",T7=""),"",T6-T7)</f>
        <v>-506886.28999999957</v>
      </c>
      <c r="U8" s="8">
        <f t="shared" si="1"/>
        <v>-327188.16999999993</v>
      </c>
      <c r="V8" s="8">
        <f t="shared" si="1"/>
        <v>-1911206.1600000011</v>
      </c>
      <c r="W8" s="8">
        <f>IF(OR(W6="",W7=""),"",W6-W7)</f>
        <v>-921586.43000000063</v>
      </c>
      <c r="X8" s="8">
        <f>IF(OR(X6="",X7=""),"",X6-X7)</f>
        <v>1172486.3200000003</v>
      </c>
      <c r="Y8" s="8">
        <f t="shared" si="1"/>
        <v>713129.13999999873</v>
      </c>
      <c r="Z8" s="8">
        <f t="shared" si="1"/>
        <v>3772427.8999999994</v>
      </c>
      <c r="AA8" s="8">
        <f t="shared" si="1"/>
        <v>11730653.619999997</v>
      </c>
      <c r="AB8" s="8">
        <f t="shared" si="1"/>
        <v>-2926067.8699999992</v>
      </c>
      <c r="AC8" s="8">
        <f t="shared" si="1"/>
        <v>-4543349.9200000009</v>
      </c>
      <c r="AD8" s="8">
        <f>IF(OR(AD6="",AD7=""),"",AD6-AD7)</f>
        <v>-642412.43999999948</v>
      </c>
      <c r="AE8" s="8">
        <f t="shared" si="1"/>
        <v>-2360204.7516527595</v>
      </c>
      <c r="AF8" s="8">
        <f t="shared" ref="AF8" si="2">IF(OR(AF6="",AF7=""),"",AF6-AF7)</f>
        <v>-2596984.9376373724</v>
      </c>
      <c r="AG8" s="8">
        <f t="shared" ref="AG8:AW8" si="3">IF(OR(AG6="",AG7=""),"",AG6-AG7)</f>
        <v>-765270.68199255876</v>
      </c>
      <c r="AH8" s="8">
        <f t="shared" si="3"/>
        <v>-3592433.9235242233</v>
      </c>
      <c r="AI8" s="8">
        <f t="shared" si="3"/>
        <v>-2476067.151081305</v>
      </c>
      <c r="AJ8" s="8">
        <f t="shared" si="3"/>
        <v>-4110030.7426744569</v>
      </c>
      <c r="AK8" s="8">
        <f t="shared" si="3"/>
        <v>-893910.03203946538</v>
      </c>
      <c r="AL8" s="8">
        <f>IF(OR(AL6="",AL7=""),"",AL6-AL7)</f>
        <v>5009512.6372242244</v>
      </c>
      <c r="AM8" s="8">
        <f t="shared" si="3"/>
        <v>14521153.810487527</v>
      </c>
      <c r="AN8" s="8">
        <f t="shared" si="3"/>
        <v>-9738494.1006461661</v>
      </c>
      <c r="AO8" s="8">
        <f>IF(OR(AO6="",AO7=""),"",AO6-AO7)</f>
        <v>-4717627.182085203</v>
      </c>
      <c r="AP8" s="8">
        <f t="shared" si="3"/>
        <v>-1942652.3234257819</v>
      </c>
      <c r="AQ8" s="8">
        <f t="shared" si="3"/>
        <v>-195195.70689840894</v>
      </c>
      <c r="AR8" s="8">
        <f t="shared" si="3"/>
        <v>-1470306.5485616187</v>
      </c>
      <c r="AS8" s="8">
        <f t="shared" si="3"/>
        <v>997044.10078128148</v>
      </c>
      <c r="AT8" s="8">
        <f t="shared" si="3"/>
        <v>-3646239.3719777595</v>
      </c>
      <c r="AU8" s="8">
        <f t="shared" si="3"/>
        <v>-1281261.8887091884</v>
      </c>
      <c r="AV8" s="8">
        <f t="shared" si="3"/>
        <v>49506.982715685852</v>
      </c>
      <c r="AW8" s="8">
        <f t="shared" si="3"/>
        <v>-669704.29421939235</v>
      </c>
      <c r="AX8" s="8">
        <f t="shared" ref="AX8" si="4">IF(OR(AX6="",AX7=""),"",AX6-AX7)</f>
        <v>1331670.8842398338</v>
      </c>
      <c r="AY8" s="8">
        <f>IF(OR(AY6="",AY7=""),"",AY6-AY7)</f>
        <v>14651279.503251541</v>
      </c>
      <c r="AZ8" s="8">
        <f t="shared" ref="AZ8" si="5">IF(OR(AZ6="",AZ7=""),"",AZ6-AZ7)</f>
        <v>-4047543.4126905953</v>
      </c>
      <c r="BA8" s="8">
        <f t="shared" ref="BA8:BF8" si="6">IF(OR(BA6="",BA7=""),"",BA6-BA7)</f>
        <v>-1339274.3782142103</v>
      </c>
      <c r="BB8" s="8">
        <f t="shared" si="6"/>
        <v>-608388.65458948538</v>
      </c>
      <c r="BC8" s="8">
        <f t="shared" si="6"/>
        <v>-1011376.0117789805</v>
      </c>
      <c r="BD8" s="8">
        <f t="shared" si="6"/>
        <v>1630825.3137780624</v>
      </c>
      <c r="BE8" s="8">
        <f t="shared" si="6"/>
        <v>-290107.9240741916</v>
      </c>
      <c r="BF8" s="8">
        <f t="shared" si="6"/>
        <v>117716.52936483175</v>
      </c>
      <c r="BG8" s="8">
        <f t="shared" ref="BG8" si="7">IF(OR(BG6="",BG7=""),"",BG6-BG7)</f>
        <v>-1599300.716335617</v>
      </c>
      <c r="BH8" s="8">
        <f>IF(OR(BH6="",BH7=""),"",BH6-BH7)</f>
        <v>-1261978.5681971302</v>
      </c>
      <c r="BI8" s="8">
        <f>IF(OR(BI6="",BI7=""),"",BI6-BI7)</f>
        <v>882778.35500746034</v>
      </c>
      <c r="BJ8" s="8">
        <f>IF(OR(BJ6="",BJ7=""),"",BJ6-BJ7)</f>
        <v>2859389.6476599583</v>
      </c>
      <c r="BK8" s="8">
        <f>IF(OR(BK6="",BK7=""),"",BK6-BK7)</f>
        <v>13071255.140185032</v>
      </c>
      <c r="BL8" s="8">
        <f>IF(OR(BL6="",BL7=""),"",BL6-BL7)</f>
        <v>-1220366.742262152</v>
      </c>
    </row>
    <row r="9" spans="1:67" s="3" customFormat="1" x14ac:dyDescent="0.35">
      <c r="A9" s="298"/>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v>4.7842519999999999E-2</v>
      </c>
      <c r="BA9" s="23">
        <v>4.847945E-2</v>
      </c>
      <c r="BB9" s="23">
        <v>4.9894139999999997E-2</v>
      </c>
      <c r="BC9" s="23">
        <v>5.2487209999999999E-2</v>
      </c>
      <c r="BD9" s="23">
        <v>5.3267839534246943E-2</v>
      </c>
      <c r="BE9" s="23">
        <v>5.3948219999999998E-2</v>
      </c>
      <c r="BF9" s="23">
        <v>5.4426639999999998E-2</v>
      </c>
      <c r="BG9" s="23">
        <v>5.5204789999999997E-2</v>
      </c>
      <c r="BH9" s="23">
        <v>5.5351270000000001E-2</v>
      </c>
      <c r="BI9" s="23">
        <v>5.5174559999999997E-2</v>
      </c>
      <c r="BJ9" s="287">
        <v>5.5174559999999997E-2</v>
      </c>
      <c r="BK9" s="287">
        <v>5.5174559999999997E-2</v>
      </c>
      <c r="BL9" s="287">
        <v>5.5174559999999997E-2</v>
      </c>
      <c r="BO9" s="269"/>
    </row>
    <row r="10" spans="1:67" s="3" customFormat="1" x14ac:dyDescent="0.35">
      <c r="A10" s="298"/>
      <c r="B10" s="5" t="s">
        <v>5</v>
      </c>
      <c r="C10" s="8">
        <f>IF(OR(C9="",C8=""),"",ROUND((C9*C8)/12,2))</f>
        <v>0</v>
      </c>
      <c r="D10" s="8">
        <f>IF(OR(D9="",D8="",C13=""),"",ROUND(((C13+D8)*D9)/12,2))</f>
        <v>0</v>
      </c>
      <c r="E10" s="8">
        <f t="shared" ref="E10:K10" si="8">IF(OR(E9="",E8="",D13=""),"",ROUND(((D13+E8)*E9)/12,2))</f>
        <v>0</v>
      </c>
      <c r="F10" s="8">
        <f t="shared" si="8"/>
        <v>9653.81</v>
      </c>
      <c r="G10" s="8">
        <f t="shared" si="8"/>
        <v>12438.97</v>
      </c>
      <c r="H10" s="8">
        <f t="shared" si="8"/>
        <v>17431.88</v>
      </c>
      <c r="I10" s="8">
        <f t="shared" si="8"/>
        <v>10576.06</v>
      </c>
      <c r="J10" s="8">
        <f t="shared" si="8"/>
        <v>2521.9899999999998</v>
      </c>
      <c r="K10" s="8">
        <f t="shared" si="8"/>
        <v>-1864.05</v>
      </c>
      <c r="L10" s="8">
        <f t="shared" ref="L10" si="9">IF(OR(L9="",L8="",K13=""),"",ROUND(((K13+L8)*L9)/12,2))</f>
        <v>-6842.24</v>
      </c>
      <c r="M10" s="8">
        <f t="shared" ref="M10" si="10">IF(OR(M9="",M8="",L13=""),"",ROUND(((L13+M8)*M9)/12,2))</f>
        <v>-9531.39</v>
      </c>
      <c r="N10" s="8">
        <f t="shared" ref="N10" si="11">IF(OR(N9="",N8="",M13=""),"",ROUND(((M13+N8)*N9)/12,2))</f>
        <v>-4794.22</v>
      </c>
      <c r="O10" s="8">
        <f t="shared" ref="O10" si="12">IF(OR(O9="",O8="",N13=""),"",ROUND(((N13+O8)*O9)/12,2))</f>
        <v>6542.98</v>
      </c>
      <c r="P10" s="8">
        <f t="shared" ref="P10" si="13">IF(OR(P9="",P8="",O13=""),"",ROUND(((O13+P8)*P9)/12,2))</f>
        <v>-1848</v>
      </c>
      <c r="Q10" s="8">
        <f t="shared" ref="Q10" si="14">IF(OR(Q9="",Q8="",P13=""),"",ROUND(((P13+Q8)*Q9)/12,2))</f>
        <v>-7048.55</v>
      </c>
      <c r="R10" s="8">
        <f t="shared" ref="R10" si="15">IF(OR(R9="",R8="",Q13=""),"",ROUND(((Q13+R8)*R9)/12,2))</f>
        <v>-8321.11</v>
      </c>
      <c r="S10" s="8">
        <f t="shared" ref="S10" si="16">IF(OR(S9="",S8="",R13=""),"",ROUND(((R13+S8)*S9)/12,2))</f>
        <v>-4942.3900000000003</v>
      </c>
      <c r="T10" s="8">
        <f t="shared" ref="T10" si="17">IF(OR(T9="",T8="",S13=""),"",ROUND(((S13+T8)*T9)/12,2))</f>
        <v>-734.78</v>
      </c>
      <c r="U10" s="8">
        <f t="shared" ref="U10" si="18">IF(OR(U9="",U8="",T13=""),"",ROUND(((T13+U8)*U9)/12,2))</f>
        <v>-749.55</v>
      </c>
      <c r="V10" s="8">
        <f t="shared" ref="V10" si="19">IF(OR(V9="",V8="",U13=""),"",ROUND(((U13+V8)*V9)/12,2))</f>
        <v>-1464.01</v>
      </c>
      <c r="W10" s="8">
        <f t="shared" ref="W10" si="20">IF(OR(W9="",W8="",V13=""),"",ROUND(((V13+W8)*W9)/12,2))</f>
        <v>-1137.5899999999999</v>
      </c>
      <c r="X10" s="8">
        <f t="shared" ref="X10" si="21">IF(OR(X9="",X8="",W13=""),"",ROUND(((W13+X8)*X9)/12,2))</f>
        <v>-911.11</v>
      </c>
      <c r="Y10" s="8">
        <f t="shared" ref="Y10" si="22">IF(OR(Y9="",Y8="",X13=""),"",ROUND(((X13+Y8)*Y9)/12,2))</f>
        <v>-1351.83</v>
      </c>
      <c r="Z10" s="8">
        <f t="shared" ref="Z10" si="23">IF(OR(Z9="",Z8="",Y13=""),"",ROUND(((Y13+Z8)*Z9)/12,2))</f>
        <v>-912.99</v>
      </c>
      <c r="AA10" s="8">
        <f>IF(OR(AA9="",AA8="",Z13=""),"",ROUND(((Z13+AA8)*AA9)/12,2))</f>
        <v>1753.23</v>
      </c>
      <c r="AB10" s="8">
        <f>IF(OR(AB9="",AB8="",AA13=""),"",ROUND(((AA13+AB8)*AB9)/12,2))</f>
        <v>767.1</v>
      </c>
      <c r="AC10" s="8">
        <f t="shared" ref="AC10" si="24">IF(OR(AC9="",AC8="",AB13=""),"",ROUND(((AB13+AC8)*AC9)/12,2))</f>
        <v>-14.91</v>
      </c>
      <c r="AD10" s="8">
        <f>IF(OR(AD9="",AD8="",AC13=""),"",ROUND(((AC13+AD8+AD5)*AD9)/12,2))+'MEEIA 3 adjs'!BE11</f>
        <v>-623.98999999999546</v>
      </c>
      <c r="AE10" s="8">
        <f>IF(OR(AE9="",AE8="",AD13=""),"",ROUND(((AD13+AE8)*AE9)/12,2))</f>
        <v>-581.91</v>
      </c>
      <c r="AF10" s="8">
        <f>IF(OR(AF9="",AF8="",AE13=""),"",ROUND(((AE13+AF8)*AF9)/12,2))</f>
        <v>-1065.17</v>
      </c>
      <c r="AG10" s="8">
        <f t="shared" ref="AG10:AX10" si="25">IF(OR(AG9="",AG8="",AF13=""),"",ROUND(((AF13+AG8)*AG9)/12,2))</f>
        <v>-1086.56</v>
      </c>
      <c r="AH10" s="8">
        <f t="shared" si="25"/>
        <v>-1169.8</v>
      </c>
      <c r="AI10" s="8">
        <f t="shared" si="25"/>
        <v>-2142.6799999999998</v>
      </c>
      <c r="AJ10" s="8">
        <f t="shared" si="25"/>
        <v>-2680.89</v>
      </c>
      <c r="AK10" s="8">
        <f t="shared" si="25"/>
        <v>-2193.15</v>
      </c>
      <c r="AL10" s="8">
        <f>IF(OR(AL9="",AL8="",AK13=""),"",ROUND(((AK13+AL8+AL5)*AL9)/12,2))+'MEEIA 3 adjs'!BW19</f>
        <v>-1732.83</v>
      </c>
      <c r="AM10" s="8">
        <f>IF(OR(AM9="",AM8="",AL13=""),"",ROUND(((AL13+AM8)*AM9)/12,2))</f>
        <v>416.97</v>
      </c>
      <c r="AN10" s="8">
        <f t="shared" si="25"/>
        <v>-1527.25</v>
      </c>
      <c r="AO10" s="8">
        <f>IF(OR(AO9="",AO8="",AN13=""),"",ROUND(((AN13+AO5+AO8)*AO9)/12,2))</f>
        <v>-3262.3</v>
      </c>
      <c r="AP10" s="8">
        <f t="shared" si="25"/>
        <v>-8705.91</v>
      </c>
      <c r="AQ10" s="8">
        <f t="shared" si="25"/>
        <v>-7696.38</v>
      </c>
      <c r="AR10" s="8">
        <f t="shared" si="25"/>
        <v>-13343.43</v>
      </c>
      <c r="AS10" s="8">
        <f t="shared" si="25"/>
        <v>-19658.490000000002</v>
      </c>
      <c r="AT10" s="8">
        <f t="shared" si="25"/>
        <v>-33493.69</v>
      </c>
      <c r="AU10" s="8">
        <f t="shared" si="25"/>
        <v>-44565.49</v>
      </c>
      <c r="AV10" s="8">
        <f t="shared" si="25"/>
        <v>-49379.45</v>
      </c>
      <c r="AW10" s="8">
        <f t="shared" si="25"/>
        <v>-62378.84</v>
      </c>
      <c r="AX10" s="8">
        <f t="shared" si="25"/>
        <v>-72513.259999999995</v>
      </c>
      <c r="AY10" s="8">
        <f>IF(OR(AY9="",AY8="",AX13=""),"",ROUND(((AX13+AY8)*AY9)/12,2))</f>
        <v>-22022.62</v>
      </c>
      <c r="AZ10" s="8">
        <f>IF(OR(AZ9="",AZ8="",AY13=""),"",ROUND(((AY13+AZ8+AZ5)*AZ9)/12,2))+AZ5</f>
        <v>-39602.838489636662</v>
      </c>
      <c r="BA10" s="8">
        <f>IF(OR(BA9="",BA8="",AZ13=""),"",ROUND(((AZ13+BA8)*BA9)/12,2))</f>
        <v>-45132.639999999999</v>
      </c>
      <c r="BB10" s="8">
        <f>IF(OR(BB9="",BB8="",BA13=""),"",ROUND(((BA13+BB8+BB5)*BB9)/12,2))+BB5</f>
        <v>-50067.440000000046</v>
      </c>
      <c r="BC10" s="8">
        <f t="shared" ref="BC10:BG10" si="26">IF(OR(BC9="",BC8="",BB13=""),"",ROUND(((BB13+BC8)*BC9)/12,2))</f>
        <v>-56364.87</v>
      </c>
      <c r="BD10" s="8">
        <f t="shared" si="26"/>
        <v>-50214.16</v>
      </c>
      <c r="BE10" s="8">
        <f t="shared" si="26"/>
        <v>-52385.52</v>
      </c>
      <c r="BF10" s="8">
        <f t="shared" si="26"/>
        <v>-52553.77</v>
      </c>
      <c r="BG10" s="8">
        <f t="shared" si="26"/>
        <v>-60904.33</v>
      </c>
      <c r="BH10" s="8">
        <f>IF(OR(BH9="",BH8="",BG13=""),"",ROUND(((BG13+BH8)*BH9)/12,2))</f>
        <v>-67167.87</v>
      </c>
      <c r="BI10" s="8">
        <f>IF(OR(BI9="",BI8="",BH13=""),"",ROUND(((BH13+BI8+BI5)*BI9)/12,2))+'MEEIA 3 adjs'!FR11</f>
        <v>-63197.030000000021</v>
      </c>
      <c r="BJ10" s="8">
        <f>IF(OR(BJ9="",BJ8="",BI13=""),"",ROUND(((BI13+BJ8)*BJ9)/12,2))</f>
        <v>-50345.23</v>
      </c>
      <c r="BK10" s="8">
        <f>IF(OR(BK9="",BK8="",BJ13=""),"",ROUND(((BJ13+BK8)*BK9)/12,2))</f>
        <v>9523.35</v>
      </c>
      <c r="BL10" s="8">
        <f>IF(OR(BL9="",BL8="",BK13=""),"",ROUND(((BK13+BL8)*BL9)/12,2))</f>
        <v>3956.04</v>
      </c>
    </row>
    <row r="11" spans="1:67" s="3" customFormat="1" x14ac:dyDescent="0.35">
      <c r="A11" s="298"/>
      <c r="B11" s="6" t="s">
        <v>6</v>
      </c>
      <c r="C11" s="8">
        <f>C10</f>
        <v>0</v>
      </c>
      <c r="D11" s="8">
        <f>D10</f>
        <v>0</v>
      </c>
      <c r="E11" s="8">
        <f>IF(OR(D11="",E10=""),"",D11+E10)</f>
        <v>0</v>
      </c>
      <c r="F11" s="8">
        <f t="shared" ref="F11:AF11" si="27">IF(OR(E11="",F10=""),"",E11+F10)</f>
        <v>9653.81</v>
      </c>
      <c r="G11" s="8">
        <f t="shared" si="27"/>
        <v>22092.78</v>
      </c>
      <c r="H11" s="8">
        <f t="shared" si="27"/>
        <v>39524.660000000003</v>
      </c>
      <c r="I11" s="8">
        <f t="shared" si="27"/>
        <v>50100.72</v>
      </c>
      <c r="J11" s="8">
        <f t="shared" si="27"/>
        <v>52622.71</v>
      </c>
      <c r="K11" s="8">
        <f t="shared" si="27"/>
        <v>50758.659999999996</v>
      </c>
      <c r="L11" s="8">
        <f t="shared" si="27"/>
        <v>43916.42</v>
      </c>
      <c r="M11" s="8">
        <f t="shared" si="27"/>
        <v>34385.03</v>
      </c>
      <c r="N11" s="8">
        <f t="shared" si="27"/>
        <v>29590.809999999998</v>
      </c>
      <c r="O11" s="8">
        <f>IF(OR(N11="",O10=""),"",N11+O10)</f>
        <v>36133.789999999994</v>
      </c>
      <c r="P11" s="8">
        <f t="shared" si="27"/>
        <v>34285.789999999994</v>
      </c>
      <c r="Q11" s="8">
        <f t="shared" si="27"/>
        <v>27237.239999999994</v>
      </c>
      <c r="R11" s="8">
        <f t="shared" si="27"/>
        <v>18916.129999999994</v>
      </c>
      <c r="S11" s="8">
        <f t="shared" si="27"/>
        <v>13973.739999999994</v>
      </c>
      <c r="T11" s="8">
        <f>IF(OR(S11="",T10=""),"",S11+T10)</f>
        <v>13238.959999999994</v>
      </c>
      <c r="U11" s="8">
        <f t="shared" si="27"/>
        <v>12489.409999999994</v>
      </c>
      <c r="V11" s="8">
        <f t="shared" si="27"/>
        <v>11025.399999999994</v>
      </c>
      <c r="W11" s="8">
        <f t="shared" si="27"/>
        <v>9887.809999999994</v>
      </c>
      <c r="X11" s="8">
        <f>IF(OR(W11="",X10=""),"",W11+X10+X5)</f>
        <v>8976.6999999999935</v>
      </c>
      <c r="Y11" s="8">
        <f t="shared" si="27"/>
        <v>7624.8699999999935</v>
      </c>
      <c r="Z11" s="8">
        <f t="shared" si="27"/>
        <v>6711.8799999999937</v>
      </c>
      <c r="AA11" s="8">
        <f t="shared" si="27"/>
        <v>8465.1099999999933</v>
      </c>
      <c r="AB11" s="8">
        <f t="shared" si="27"/>
        <v>9232.2099999999937</v>
      </c>
      <c r="AC11" s="8">
        <f t="shared" si="27"/>
        <v>9217.2999999999938</v>
      </c>
      <c r="AD11" s="8">
        <f t="shared" si="27"/>
        <v>8593.3099999999977</v>
      </c>
      <c r="AE11" s="8">
        <f t="shared" si="27"/>
        <v>8011.3999999999978</v>
      </c>
      <c r="AF11" s="8">
        <f t="shared" si="27"/>
        <v>6946.2299999999977</v>
      </c>
      <c r="AG11" s="8">
        <f t="shared" ref="AG11" si="28">IF(OR(AF11="",AG10=""),"",AF11+AG10)</f>
        <v>5859.6699999999983</v>
      </c>
      <c r="AH11" s="8">
        <f t="shared" ref="AH11" si="29">IF(OR(AG11="",AH10=""),"",AG11+AH10)</f>
        <v>4689.8699999999981</v>
      </c>
      <c r="AI11" s="8">
        <f t="shared" ref="AI11" si="30">IF(OR(AH11="",AI10=""),"",AH11+AI10)</f>
        <v>2547.1899999999982</v>
      </c>
      <c r="AJ11" s="8">
        <f t="shared" ref="AJ11" si="31">IF(OR(AI11="",AJ10=""),"",AI11+AJ10)</f>
        <v>-133.70000000000164</v>
      </c>
      <c r="AK11" s="8">
        <f t="shared" ref="AK11" si="32">IF(OR(AJ11="",AK10=""),"",AJ11+AK10)</f>
        <v>-2326.8500000000017</v>
      </c>
      <c r="AL11" s="8">
        <f>IF(OR(AK11="",AL10=""),"",AK11+AL10)</f>
        <v>-4059.6800000000017</v>
      </c>
      <c r="AM11" s="8">
        <f t="shared" ref="AM11" si="33">IF(OR(AL11="",AM10=""),"",AL11+AM10)</f>
        <v>-3642.7100000000019</v>
      </c>
      <c r="AN11" s="8">
        <f t="shared" ref="AN11" si="34">IF(OR(AM11="",AN10=""),"",AM11+AN10)</f>
        <v>-5169.9600000000019</v>
      </c>
      <c r="AO11" s="8">
        <f>IF(OR(AN11="",AO10=""),"",AN11+AO10)</f>
        <v>-8432.260000000002</v>
      </c>
      <c r="AP11" s="8">
        <f t="shared" ref="AP11" si="35">IF(OR(AO11="",AP10=""),"",AO11+AP10)</f>
        <v>-17138.170000000002</v>
      </c>
      <c r="AQ11" s="8">
        <f t="shared" ref="AQ11" si="36">IF(OR(AP11="",AQ10=""),"",AP11+AQ10)</f>
        <v>-24834.550000000003</v>
      </c>
      <c r="AR11" s="8">
        <f t="shared" ref="AR11" si="37">IF(OR(AQ11="",AR10=""),"",AQ11+AR10)</f>
        <v>-38177.980000000003</v>
      </c>
      <c r="AS11" s="8">
        <f t="shared" ref="AS11" si="38">IF(OR(AR11="",AS10=""),"",AR11+AS10)</f>
        <v>-57836.47</v>
      </c>
      <c r="AT11" s="8">
        <f t="shared" ref="AT11" si="39">IF(OR(AS11="",AT10=""),"",AS11+AT10)</f>
        <v>-91330.16</v>
      </c>
      <c r="AU11" s="8">
        <f t="shared" ref="AU11" si="40">IF(OR(AT11="",AU10=""),"",AT11+AU10)</f>
        <v>-135895.65</v>
      </c>
      <c r="AV11" s="8">
        <f t="shared" ref="AV11" si="41">IF(OR(AU11="",AV10=""),"",AU11+AV10)</f>
        <v>-185275.09999999998</v>
      </c>
      <c r="AW11" s="8">
        <f t="shared" ref="AW11:AY11" si="42">IF(OR(AV11="",AW10=""),"",AV11+AW10)</f>
        <v>-247653.93999999997</v>
      </c>
      <c r="AX11" s="8">
        <f t="shared" si="42"/>
        <v>-320167.19999999995</v>
      </c>
      <c r="AY11" s="8">
        <f t="shared" si="42"/>
        <v>-342189.81999999995</v>
      </c>
      <c r="AZ11" s="8">
        <f t="shared" ref="AZ11:BH11" si="43">IF(OR(AY11="",AZ10=""),"",AY11+AZ10)</f>
        <v>-381792.65848963661</v>
      </c>
      <c r="BA11" s="8">
        <f t="shared" si="43"/>
        <v>-426925.29848963663</v>
      </c>
      <c r="BB11" s="8">
        <f t="shared" si="43"/>
        <v>-476992.73848963669</v>
      </c>
      <c r="BC11" s="8">
        <f t="shared" si="43"/>
        <v>-533357.60848963668</v>
      </c>
      <c r="BD11" s="8">
        <f t="shared" si="43"/>
        <v>-583571.76848963671</v>
      </c>
      <c r="BE11" s="8">
        <f t="shared" si="43"/>
        <v>-635957.28848963673</v>
      </c>
      <c r="BF11" s="8">
        <f t="shared" si="43"/>
        <v>-688511.05848963675</v>
      </c>
      <c r="BG11" s="8">
        <f t="shared" si="43"/>
        <v>-749415.38848963671</v>
      </c>
      <c r="BH11" s="8">
        <f t="shared" si="43"/>
        <v>-816583.2584896367</v>
      </c>
      <c r="BI11" s="8">
        <f>IF(OR(BH11="",BI10=""),"",BH11+BI10)</f>
        <v>-879780.28848963673</v>
      </c>
      <c r="BJ11" s="8">
        <f>IF(OR(BI11="",BJ10=""),"",BI11+BJ10)</f>
        <v>-930125.51848963671</v>
      </c>
      <c r="BK11" s="8">
        <f>IF(OR(BJ11="",BK10=""),"",BJ11+BK10)</f>
        <v>-920602.16848963674</v>
      </c>
      <c r="BL11" s="8">
        <f>IF(OR(BK11="",BL10=""),"",BK11+BL10)</f>
        <v>-916646.1284896367</v>
      </c>
    </row>
    <row r="12" spans="1:67" s="3" customFormat="1" x14ac:dyDescent="0.35">
      <c r="A12" s="298"/>
      <c r="B12" s="5" t="s">
        <v>12</v>
      </c>
      <c r="C12" s="8">
        <f>IF(OR(C10="",C8=""),"",C8+C10)</f>
        <v>472906.7</v>
      </c>
      <c r="D12" s="8">
        <f>IF(OR(D10="",D8=""),"",D8+D10)</f>
        <v>121950.46</v>
      </c>
      <c r="E12" s="8">
        <f>IF(OR(E10="",E8=""),"",E8+E10)</f>
        <v>306057.09999999998</v>
      </c>
      <c r="F12" s="8">
        <f t="shared" ref="F12:H12" si="44">IF(OR(F10="",F8=""),"",F8+F10)</f>
        <v>3264169.56</v>
      </c>
      <c r="G12" s="8">
        <f>IF(OR(G10="",G8=""),"",G8+G10)</f>
        <v>1454125.8400000005</v>
      </c>
      <c r="H12" s="8">
        <f t="shared" si="44"/>
        <v>2211233.6500000004</v>
      </c>
      <c r="I12" s="8">
        <f>IF(OR(I10="",I8=""),"",I8+I10)</f>
        <v>-3030810.39</v>
      </c>
      <c r="J12" s="8">
        <f t="shared" ref="J12:M12" si="45">IF(OR(J10="",J8=""),"",J8+J10)</f>
        <v>-3630815.8500000006</v>
      </c>
      <c r="K12" s="8">
        <f>IF(OR(K10="",K8=""),"",K8+K10)</f>
        <v>-2122057.16</v>
      </c>
      <c r="L12" s="8">
        <f t="shared" si="45"/>
        <v>-2757332.0299999984</v>
      </c>
      <c r="M12" s="8">
        <f t="shared" si="45"/>
        <v>-1709571.269999997</v>
      </c>
      <c r="N12" s="8">
        <f>IF(OR(N10="",N8=""),"",N8+N10)</f>
        <v>2247343.44</v>
      </c>
      <c r="O12" s="8">
        <f>IF(OR(O10="",O8=""),"",O8+O10)</f>
        <v>7278956.9999999972</v>
      </c>
      <c r="P12" s="8">
        <f t="shared" ref="P12:X12" si="46">IF(OR(P10="",P8=""),"",P8+P10)</f>
        <v>-5281909.8100000005</v>
      </c>
      <c r="Q12" s="8">
        <f t="shared" si="46"/>
        <v>-3520996.6599999992</v>
      </c>
      <c r="R12" s="8">
        <f t="shared" si="46"/>
        <v>-598752.86</v>
      </c>
      <c r="S12" s="8">
        <f t="shared" si="46"/>
        <v>-1029228.5199999994</v>
      </c>
      <c r="T12" s="8">
        <f>IF(OR(T10="",T8=""),"",T8+T10)</f>
        <v>-507621.0699999996</v>
      </c>
      <c r="U12" s="8">
        <f t="shared" si="46"/>
        <v>-327937.71999999991</v>
      </c>
      <c r="V12" s="8">
        <f>IF(OR(V10="",V8=""),"",V8+V10)</f>
        <v>-1912670.1700000011</v>
      </c>
      <c r="W12" s="8">
        <f t="shared" si="46"/>
        <v>-922724.0200000006</v>
      </c>
      <c r="X12" s="8">
        <f t="shared" si="46"/>
        <v>1171575.2100000002</v>
      </c>
      <c r="Y12" s="8">
        <f>IF(OR(Y10="",Y8=""),"",Y8+Y10)</f>
        <v>711777.30999999878</v>
      </c>
      <c r="Z12" s="8">
        <f t="shared" ref="Z12:AE12" si="47">IF(OR(Z10="",Z8=""),"",Z8+Z10)</f>
        <v>3771514.9099999992</v>
      </c>
      <c r="AA12" s="8">
        <f t="shared" si="47"/>
        <v>11732406.849999998</v>
      </c>
      <c r="AB12" s="8">
        <f t="shared" si="47"/>
        <v>-2925300.7699999991</v>
      </c>
      <c r="AC12" s="8">
        <f t="shared" si="47"/>
        <v>-4543364.830000001</v>
      </c>
      <c r="AD12" s="8">
        <f>IF(OR(AD10="",AD8=""),"",AD8+AD10)+'MEEIA 3 adjs'!BA1</f>
        <v>-664526.86999999708</v>
      </c>
      <c r="AE12" s="8">
        <f t="shared" si="47"/>
        <v>-2360786.6616527596</v>
      </c>
      <c r="AF12" s="8">
        <f t="shared" ref="AF12" si="48">IF(OR(AF10="",AF8=""),"",AF8+AF10)</f>
        <v>-2598050.1076373723</v>
      </c>
      <c r="AG12" s="8">
        <f t="shared" ref="AG12:AW12" si="49">IF(OR(AG10="",AG8=""),"",AG8+AG10)</f>
        <v>-766357.24199255882</v>
      </c>
      <c r="AH12" s="8">
        <f t="shared" si="49"/>
        <v>-3593603.7235242231</v>
      </c>
      <c r="AI12" s="8">
        <f t="shared" si="49"/>
        <v>-2478209.8310813052</v>
      </c>
      <c r="AJ12" s="8">
        <f t="shared" si="49"/>
        <v>-4112711.632674457</v>
      </c>
      <c r="AK12" s="8">
        <f>IF(OR(AK10="",AK8=""),"",AK8+AK10)</f>
        <v>-896103.18203946541</v>
      </c>
      <c r="AL12" s="8">
        <f>IF(OR(AL10="",AL8=""),"",AL8+AL10)+'MEEIA 3 adjs'!BH9</f>
        <v>4947312.0972242244</v>
      </c>
      <c r="AM12" s="8">
        <f t="shared" si="49"/>
        <v>14521570.780487528</v>
      </c>
      <c r="AN12" s="8">
        <f>IF(OR(AN10="",AN8=""),"",AN8+AN10)</f>
        <v>-9740021.3506461661</v>
      </c>
      <c r="AO12" s="8">
        <f>IF(OR(AO10="",AO8=""),"",AO8+AO10)</f>
        <v>-4720889.4820852028</v>
      </c>
      <c r="AP12" s="8">
        <f t="shared" si="49"/>
        <v>-1951358.2334257818</v>
      </c>
      <c r="AQ12" s="8">
        <f t="shared" si="49"/>
        <v>-202892.08689840895</v>
      </c>
      <c r="AR12" s="8">
        <f t="shared" si="49"/>
        <v>-1483649.9785616186</v>
      </c>
      <c r="AS12" s="8">
        <f t="shared" si="49"/>
        <v>977385.61078128149</v>
      </c>
      <c r="AT12" s="8">
        <f t="shared" si="49"/>
        <v>-3679733.0619777595</v>
      </c>
      <c r="AU12" s="8">
        <f t="shared" si="49"/>
        <v>-1325827.3787091884</v>
      </c>
      <c r="AV12" s="8">
        <f t="shared" si="49"/>
        <v>127.53271568585478</v>
      </c>
      <c r="AW12" s="8">
        <f t="shared" si="49"/>
        <v>-732083.13421939232</v>
      </c>
      <c r="AX12" s="8">
        <f t="shared" ref="AX12:AY12" si="50">IF(OR(AX10="",AX8=""),"",AX8+AX10)</f>
        <v>1259157.6242398338</v>
      </c>
      <c r="AY12" s="8">
        <f t="shared" si="50"/>
        <v>14629256.883251542</v>
      </c>
      <c r="AZ12" s="8">
        <f t="shared" ref="AZ12:BE12" si="51">IF(OR(AZ10="",AZ8=""),"",AZ8+AZ10)</f>
        <v>-4087146.251180232</v>
      </c>
      <c r="BA12" s="8">
        <f t="shared" si="51"/>
        <v>-1384407.0182142102</v>
      </c>
      <c r="BB12" s="8">
        <f t="shared" si="51"/>
        <v>-658456.09458948544</v>
      </c>
      <c r="BC12" s="8">
        <f t="shared" si="51"/>
        <v>-1067740.8817789806</v>
      </c>
      <c r="BD12" s="8">
        <f t="shared" si="51"/>
        <v>1580611.1537780624</v>
      </c>
      <c r="BE12" s="8">
        <f t="shared" si="51"/>
        <v>-342493.44407419162</v>
      </c>
      <c r="BF12" s="8">
        <f t="shared" ref="BF12:BG12" si="52">IF(OR(BF10="",BF8=""),"",BF8+BF10)</f>
        <v>65162.759364831749</v>
      </c>
      <c r="BG12" s="8">
        <f t="shared" si="52"/>
        <v>-1660205.0463356171</v>
      </c>
      <c r="BH12" s="8">
        <f t="shared" ref="BH12" si="53">IF(OR(BH10="",BH8=""),"",BH8+BH10)</f>
        <v>-1329146.4381971303</v>
      </c>
      <c r="BI12" s="8">
        <f>IF(OR(BI10="",BI8=""),"",BI8+BI10)+'MEEIA 3 adjs'!FR6</f>
        <v>819922.51168724825</v>
      </c>
      <c r="BJ12" s="8">
        <f>IF(OR(BJ10="",BJ8=""),"",BJ8+BJ10)</f>
        <v>2809044.4176599584</v>
      </c>
      <c r="BK12" s="8">
        <f>IF(OR(BK10="",BK8=""),"",BK8+BK10)</f>
        <v>13080778.490185032</v>
      </c>
      <c r="BL12" s="8">
        <f>IF(OR(BL10="",BL8=""),"",BL8+BL10)</f>
        <v>-1216410.702262152</v>
      </c>
    </row>
    <row r="13" spans="1:67" s="3" customFormat="1" x14ac:dyDescent="0.35">
      <c r="A13" s="298"/>
      <c r="B13" s="9" t="s">
        <v>3</v>
      </c>
      <c r="C13" s="100">
        <f>C12</f>
        <v>472906.7</v>
      </c>
      <c r="D13" s="100">
        <f>IF(OR(D12="",C13=""),"",D12+C13)</f>
        <v>594857.16</v>
      </c>
      <c r="E13" s="100">
        <f>IF(OR(E12="",D13=""),"",E12+D13)</f>
        <v>900914.26</v>
      </c>
      <c r="F13" s="8">
        <f>IF(OR(F12="",E13=""),"",F12+E13)</f>
        <v>4165083.8200000003</v>
      </c>
      <c r="G13" s="8">
        <f t="shared" ref="G13:AF13" si="54">IF(OR(G12="",F13=""),"",G12+F13)</f>
        <v>5619209.6600000011</v>
      </c>
      <c r="H13" s="8">
        <f t="shared" si="54"/>
        <v>7830443.3100000015</v>
      </c>
      <c r="I13" s="8">
        <f t="shared" si="54"/>
        <v>4799632.9200000018</v>
      </c>
      <c r="J13" s="8">
        <f t="shared" si="54"/>
        <v>1168817.0700000012</v>
      </c>
      <c r="K13" s="8">
        <f>IF(OR(K12="",J13=""),"",K12+J13)</f>
        <v>-953240.08999999892</v>
      </c>
      <c r="L13" s="8">
        <f t="shared" si="54"/>
        <v>-3710572.1199999973</v>
      </c>
      <c r="M13" s="8">
        <f t="shared" si="54"/>
        <v>-5420143.3899999941</v>
      </c>
      <c r="N13" s="8">
        <f>IF(OR(N12="",M13=""),"",N12+M13)</f>
        <v>-3172799.9499999941</v>
      </c>
      <c r="O13" s="8">
        <f>IF(OR(O12="",N13=""),"",O12+N13+O5)</f>
        <v>4106157.0500000031</v>
      </c>
      <c r="P13" s="8">
        <f t="shared" si="54"/>
        <v>-1175752.7599999974</v>
      </c>
      <c r="Q13" s="8">
        <f t="shared" si="54"/>
        <v>-4696749.4199999962</v>
      </c>
      <c r="R13" s="8">
        <f t="shared" si="54"/>
        <v>-5295502.2799999965</v>
      </c>
      <c r="S13" s="8">
        <f t="shared" si="54"/>
        <v>-6324730.7999999961</v>
      </c>
      <c r="T13" s="8">
        <f>IF(OR(T12="",S13=""),"",T12+S13)</f>
        <v>-6832351.8699999955</v>
      </c>
      <c r="U13" s="8">
        <f t="shared" si="54"/>
        <v>-7160289.5899999952</v>
      </c>
      <c r="V13" s="8">
        <f>IF(OR(V12="",U13=""),"",V12+U13)</f>
        <v>-9072959.7599999961</v>
      </c>
      <c r="W13" s="8">
        <f t="shared" si="54"/>
        <v>-9995683.7799999975</v>
      </c>
      <c r="X13" s="8">
        <f>IF(OR(X12="",W13=""),"",X12+W13+X5)</f>
        <v>-8824108.5699999966</v>
      </c>
      <c r="Y13" s="8">
        <f t="shared" si="54"/>
        <v>-8112331.2599999979</v>
      </c>
      <c r="Z13" s="8">
        <f t="shared" si="54"/>
        <v>-4340816.3499999987</v>
      </c>
      <c r="AA13" s="8">
        <f t="shared" si="54"/>
        <v>7391590.4999999991</v>
      </c>
      <c r="AB13" s="7">
        <f t="shared" si="54"/>
        <v>4466289.7300000004</v>
      </c>
      <c r="AC13" s="7">
        <f t="shared" si="54"/>
        <v>-77075.100000000559</v>
      </c>
      <c r="AD13" s="8">
        <f>IF(OR(AD12="",AC13=""),"",AD12+AC13)</f>
        <v>-741601.96999999764</v>
      </c>
      <c r="AE13" s="8">
        <f t="shared" si="54"/>
        <v>-3102388.6316527575</v>
      </c>
      <c r="AF13" s="8">
        <f t="shared" si="54"/>
        <v>-5700438.7392901294</v>
      </c>
      <c r="AG13" s="8">
        <f t="shared" ref="AG13" si="55">IF(OR(AG12="",AF13=""),"",AG12+AF13)</f>
        <v>-6466795.9812826887</v>
      </c>
      <c r="AH13" s="8">
        <f t="shared" ref="AH13" si="56">IF(OR(AH12="",AG13=""),"",AH12+AG13)</f>
        <v>-10060399.704806913</v>
      </c>
      <c r="AI13" s="8">
        <f t="shared" ref="AI13" si="57">IF(OR(AI12="",AH13=""),"",AI12+AH13)</f>
        <v>-12538609.535888217</v>
      </c>
      <c r="AJ13" s="8">
        <f t="shared" ref="AJ13" si="58">IF(OR(AJ12="",AI13=""),"",AJ12+AI13)</f>
        <v>-16651321.168562675</v>
      </c>
      <c r="AK13" s="8">
        <f t="shared" ref="AK13" si="59">IF(OR(AK12="",AJ13=""),"",AK12+AJ13)</f>
        <v>-17547424.350602139</v>
      </c>
      <c r="AL13" s="8">
        <f>IF(OR(AL12="",AK13=""),"",AL12+AK13)</f>
        <v>-12600112.253377914</v>
      </c>
      <c r="AM13" s="8">
        <f t="shared" ref="AM13" si="60">IF(OR(AM12="",AL13=""),"",AM12+AL13)</f>
        <v>1921458.5271096136</v>
      </c>
      <c r="AN13" s="8">
        <f t="shared" ref="AN13" si="61">IF(OR(AN12="",AM13=""),"",AN12+AM13)</f>
        <v>-7818562.8235365525</v>
      </c>
      <c r="AO13" s="8">
        <f>IF(OR(AO12="",AN13=""),"",AO12+AN13+AO5)</f>
        <v>-13235535.862655682</v>
      </c>
      <c r="AP13" s="8">
        <f t="shared" ref="AP13" si="62">IF(OR(AP12="",AO13=""),"",AP12+AO13)</f>
        <v>-15186894.096081464</v>
      </c>
      <c r="AQ13" s="8">
        <f t="shared" ref="AQ13" si="63">IF(OR(AQ12="",AP13=""),"",AQ12+AP13)</f>
        <v>-15389786.182979872</v>
      </c>
      <c r="AR13" s="8">
        <f t="shared" ref="AR13" si="64">IF(OR(AR12="",AQ13=""),"",AR12+AQ13)</f>
        <v>-16873436.161541492</v>
      </c>
      <c r="AS13" s="8">
        <f t="shared" ref="AS13" si="65">IF(OR(AS12="",AR13=""),"",AS12+AR13)</f>
        <v>-15896050.55076021</v>
      </c>
      <c r="AT13" s="8">
        <f t="shared" ref="AT13" si="66">IF(OR(AT12="",AS13=""),"",AT12+AS13)</f>
        <v>-19575783.612737969</v>
      </c>
      <c r="AU13" s="8">
        <f t="shared" ref="AU13" si="67">IF(OR(AU12="",AT13=""),"",AU12+AT13)</f>
        <v>-20901610.991447158</v>
      </c>
      <c r="AV13" s="8">
        <f t="shared" ref="AV13" si="68">IF(OR(AV12="",AU13=""),"",AV12+AU13)</f>
        <v>-20901483.458731472</v>
      </c>
      <c r="AW13" s="8">
        <f t="shared" ref="AW13:AY13" si="69">IF(OR(AW12="",AV13=""),"",AW12+AV13)</f>
        <v>-21633566.592950866</v>
      </c>
      <c r="AX13" s="8">
        <f t="shared" si="69"/>
        <v>-20374408.968711033</v>
      </c>
      <c r="AY13" s="8">
        <f t="shared" si="69"/>
        <v>-5745152.0854594912</v>
      </c>
      <c r="AZ13" s="8">
        <f t="shared" ref="AZ13:BH13" si="70">IF(OR(AZ12="",AY13=""),"",AZ12+AY13)</f>
        <v>-9832298.3366397228</v>
      </c>
      <c r="BA13" s="8">
        <f t="shared" si="70"/>
        <v>-11216705.354853934</v>
      </c>
      <c r="BB13" s="8">
        <f t="shared" si="70"/>
        <v>-11875161.449443419</v>
      </c>
      <c r="BC13" s="8">
        <f t="shared" si="70"/>
        <v>-12942902.3312224</v>
      </c>
      <c r="BD13" s="8">
        <f t="shared" si="70"/>
        <v>-11362291.177444337</v>
      </c>
      <c r="BE13" s="8">
        <f t="shared" si="70"/>
        <v>-11704784.621518528</v>
      </c>
      <c r="BF13" s="8">
        <f t="shared" si="70"/>
        <v>-11639621.862153696</v>
      </c>
      <c r="BG13" s="8">
        <f t="shared" si="70"/>
        <v>-13299826.908489313</v>
      </c>
      <c r="BH13" s="8">
        <f t="shared" si="70"/>
        <v>-14628973.346686443</v>
      </c>
      <c r="BI13" s="8">
        <f>IF(OR(BI12="",BH13=""),"",BI12+BH13)</f>
        <v>-13809050.834999194</v>
      </c>
      <c r="BJ13" s="8">
        <f>IF(OR(BJ12="",BI13=""),"",BJ12+BI13)</f>
        <v>-11000006.417339236</v>
      </c>
      <c r="BK13" s="8">
        <f>IF(OR(BK12="",BJ13=""),"",BK12+BJ13)</f>
        <v>2080772.0728457961</v>
      </c>
      <c r="BL13" s="8">
        <f>IF(OR(BL12="",BK13=""),"",BL12+BK13)</f>
        <v>864361.37058364414</v>
      </c>
    </row>
    <row r="14" spans="1:67" s="4" customFormat="1" ht="8.25" customHeight="1" x14ac:dyDescent="0.35">
      <c r="A14" s="40"/>
      <c r="B14" s="11"/>
      <c r="C14" s="99"/>
      <c r="D14" s="99"/>
      <c r="E14" s="99"/>
      <c r="F14" s="97"/>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row>
    <row r="15" spans="1:67" s="4" customFormat="1" ht="15" customHeight="1" x14ac:dyDescent="0.35">
      <c r="A15" s="295" t="s">
        <v>25</v>
      </c>
      <c r="B15" s="15"/>
      <c r="C15" s="101"/>
      <c r="D15" s="101"/>
      <c r="E15" s="101"/>
      <c r="F15" s="7"/>
      <c r="G15" s="7"/>
      <c r="H15" s="7"/>
      <c r="I15" s="7"/>
      <c r="J15" s="7"/>
      <c r="K15" s="7"/>
      <c r="L15" s="7"/>
      <c r="M15" s="7"/>
      <c r="N15" s="116">
        <f>N26+N36+N46+N56+N66</f>
        <v>157.77999999999946</v>
      </c>
      <c r="O15" s="7"/>
      <c r="P15" s="7"/>
      <c r="Q15" s="7"/>
      <c r="R15" s="7"/>
      <c r="S15" s="7"/>
      <c r="T15" s="7"/>
      <c r="U15" s="7"/>
      <c r="V15" s="7"/>
      <c r="W15" s="7"/>
      <c r="X15" s="7"/>
      <c r="Y15" s="7"/>
      <c r="Z15" s="116">
        <f>Z26+Z36+Z46+Z56+Z66</f>
        <v>835.41999999999939</v>
      </c>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116">
        <f>AZ26+AZ36+AZ46+AZ56+AZ66</f>
        <v>-254.26999999999953</v>
      </c>
      <c r="BA15" s="7"/>
      <c r="BB15" s="7"/>
      <c r="BC15" s="7"/>
      <c r="BD15" s="7"/>
      <c r="BE15" s="7"/>
      <c r="BF15" s="7"/>
      <c r="BG15" s="7"/>
      <c r="BH15" s="7"/>
      <c r="BI15" s="7"/>
      <c r="BJ15" s="7"/>
      <c r="BK15" s="7"/>
      <c r="BL15" s="7"/>
    </row>
    <row r="16" spans="1:67" s="2" customFormat="1" ht="15" customHeight="1" x14ac:dyDescent="0.35">
      <c r="A16" s="295"/>
      <c r="B16" s="15" t="s">
        <v>28</v>
      </c>
      <c r="C16" s="95"/>
      <c r="D16" s="95"/>
      <c r="E16" s="95"/>
      <c r="F16" s="19">
        <f>IF(F67="","",SUM(F67,F57,F47,F37,F27))</f>
        <v>0.71203150918887492</v>
      </c>
      <c r="G16" s="19">
        <f t="shared" ref="F16:AE19" si="71">IF(G67="","",SUM(G67,G57,G47,G37,G27))</f>
        <v>4695.4207688607348</v>
      </c>
      <c r="H16" s="19">
        <f t="shared" si="71"/>
        <v>39935.570121927383</v>
      </c>
      <c r="I16" s="19">
        <f t="shared" si="71"/>
        <v>291676.37356246018</v>
      </c>
      <c r="J16" s="19">
        <f t="shared" si="71"/>
        <v>544866.33457860805</v>
      </c>
      <c r="K16" s="19">
        <f t="shared" si="71"/>
        <v>663040.94756639062</v>
      </c>
      <c r="L16" s="19">
        <f t="shared" si="71"/>
        <v>547744.67638274864</v>
      </c>
      <c r="M16" s="19">
        <f t="shared" si="71"/>
        <v>270067.89072131994</v>
      </c>
      <c r="N16" s="19">
        <f t="shared" si="71"/>
        <v>449448.83291898982</v>
      </c>
      <c r="O16" s="19">
        <f t="shared" si="71"/>
        <v>672384.11562352558</v>
      </c>
      <c r="P16" s="19">
        <f t="shared" si="71"/>
        <v>860299.05315340089</v>
      </c>
      <c r="Q16" s="19">
        <f t="shared" si="71"/>
        <v>921069.68539476907</v>
      </c>
      <c r="R16" s="19">
        <f t="shared" si="71"/>
        <v>727242.36549864151</v>
      </c>
      <c r="S16" s="19">
        <f t="shared" si="71"/>
        <v>330495.27100759087</v>
      </c>
      <c r="T16" s="19">
        <f t="shared" si="71"/>
        <v>448514.38010054693</v>
      </c>
      <c r="U16" s="19">
        <f t="shared" si="71"/>
        <v>1166466.8526526124</v>
      </c>
      <c r="V16" s="19">
        <f t="shared" si="71"/>
        <v>1596902.1714481553</v>
      </c>
      <c r="W16" s="19">
        <f>IF(W67="","",SUM(W67,W57,W47,W37,W27))</f>
        <v>1748272.4117888492</v>
      </c>
      <c r="X16" s="19">
        <f t="shared" si="71"/>
        <v>1519471.01623757</v>
      </c>
      <c r="Y16" s="19">
        <f t="shared" si="71"/>
        <v>764880.45368540613</v>
      </c>
      <c r="Z16" s="19">
        <f t="shared" ref="Z16:Z20" si="72">IF(Z67="","",SUM(Z67,Z57,Z47,Z37,Z27))</f>
        <v>908807.65228987066</v>
      </c>
      <c r="AA16" s="19">
        <f t="shared" si="71"/>
        <v>1120062.8565557792</v>
      </c>
      <c r="AB16" s="19">
        <f t="shared" si="71"/>
        <v>1377220.6643166305</v>
      </c>
      <c r="AC16" s="19">
        <f t="shared" si="71"/>
        <v>1195166.5723548159</v>
      </c>
      <c r="AD16" s="19">
        <f t="shared" si="71"/>
        <v>1300632.3993987506</v>
      </c>
      <c r="AE16" s="19">
        <f t="shared" si="71"/>
        <v>1205822.8207733985</v>
      </c>
      <c r="AF16" s="19">
        <f t="shared" ref="AF16" si="73">IF(AF67="","",SUM(AF67,AF57,AF47,AF37,AF27))</f>
        <v>1472551.2785682739</v>
      </c>
      <c r="AG16" s="19">
        <f t="shared" ref="AG16:AW16" si="74">IF(AG67="","",SUM(AG67,AG57,AG47,AG37,AG27))</f>
        <v>3602609.9103061222</v>
      </c>
      <c r="AH16" s="19">
        <f t="shared" si="74"/>
        <v>4524979.9029475963</v>
      </c>
      <c r="AI16" s="19">
        <f t="shared" si="74"/>
        <v>4557691.9623519126</v>
      </c>
      <c r="AJ16" s="19">
        <f t="shared" si="74"/>
        <v>3395133.6257571932</v>
      </c>
      <c r="AK16" s="19">
        <f t="shared" si="74"/>
        <v>1618999.5517252116</v>
      </c>
      <c r="AL16" s="19">
        <f t="shared" si="74"/>
        <v>1693340.1593012405</v>
      </c>
      <c r="AM16" s="19">
        <f t="shared" si="74"/>
        <v>2043834.5150522972</v>
      </c>
      <c r="AN16" s="19">
        <f t="shared" si="74"/>
        <v>2546894.0685010902</v>
      </c>
      <c r="AO16" s="19">
        <f t="shared" si="74"/>
        <v>2089616.4766016018</v>
      </c>
      <c r="AP16" s="19">
        <f t="shared" si="74"/>
        <v>912247.85076541686</v>
      </c>
      <c r="AQ16" s="19">
        <f t="shared" si="74"/>
        <v>846334.21711913729</v>
      </c>
      <c r="AR16" s="19">
        <f t="shared" si="74"/>
        <v>1066637.678205363</v>
      </c>
      <c r="AS16" s="19">
        <f>IF(AS67="","",SUM(AS67,AS57,AS47,AS37,AS27))</f>
        <v>2863352.6421243409</v>
      </c>
      <c r="AT16" s="19">
        <f t="shared" si="74"/>
        <v>3675557.5237109675</v>
      </c>
      <c r="AU16" s="19">
        <f t="shared" si="74"/>
        <v>3342039.9312423691</v>
      </c>
      <c r="AV16" s="19">
        <f t="shared" si="74"/>
        <v>2373846.5851787962</v>
      </c>
      <c r="AW16" s="19">
        <f t="shared" si="74"/>
        <v>1051178.3111241481</v>
      </c>
      <c r="AX16" s="19">
        <f t="shared" ref="AX16:AY16" si="75">IF(AX67="","",SUM(AX67,AX57,AX47,AX37,AX27))</f>
        <v>1105092.1759465141</v>
      </c>
      <c r="AY16" s="19">
        <f t="shared" si="75"/>
        <v>1381965.5186848878</v>
      </c>
      <c r="AZ16" s="19">
        <f t="shared" ref="AZ16:BA16" si="76">IF(AZ67="","",SUM(AZ67,AZ57,AZ47,AZ37,AZ27))</f>
        <v>1700717.7639811411</v>
      </c>
      <c r="BA16" s="19">
        <f t="shared" si="76"/>
        <v>1356926.8590753335</v>
      </c>
      <c r="BB16" s="19">
        <f t="shared" ref="BB16:BC16" si="77">IF(BB67="","",SUM(BB67,BB57,BB47,BB37,BB27))</f>
        <v>1353802.1905861669</v>
      </c>
      <c r="BC16" s="19">
        <f t="shared" si="77"/>
        <v>1239676.1204544338</v>
      </c>
      <c r="BD16" s="19">
        <f t="shared" ref="BD16:BE16" si="78">IF(BD67="","",SUM(BD67,BD57,BD47,BD37,BD27))</f>
        <v>1628086.4160208032</v>
      </c>
      <c r="BE16" s="19">
        <f t="shared" si="78"/>
        <v>4511630.5078466404</v>
      </c>
      <c r="BF16" s="19">
        <f t="shared" ref="BF16:BG16" si="79">IF(BF67="","",SUM(BF67,BF57,BF47,BF37,BF27))</f>
        <v>1051039.3753533266</v>
      </c>
      <c r="BG16" s="19">
        <f t="shared" si="79"/>
        <v>1133487.8662933947</v>
      </c>
      <c r="BH16" s="19">
        <f t="shared" ref="BH16:BI16" si="80">IF(BH67="","",SUM(BH67,BH57,BH47,BH37,BH27))</f>
        <v>808760.63763167639</v>
      </c>
      <c r="BI16" s="19">
        <f t="shared" si="80"/>
        <v>375458.03446689073</v>
      </c>
      <c r="BJ16" s="19">
        <f>IF(BJ67="","",SUM(BJ67,BJ57,BJ47,BJ37,BJ27))</f>
        <v>429792.01341834641</v>
      </c>
      <c r="BK16" s="19">
        <f t="shared" ref="BK16:BL16" si="81">IF(BK67="","",SUM(BK67,BK57,BK47,BK37,BK27))</f>
        <v>643347.47593337297</v>
      </c>
      <c r="BL16" s="19">
        <f t="shared" si="81"/>
        <v>756899.69778124825</v>
      </c>
    </row>
    <row r="17" spans="1:64" s="4" customFormat="1" ht="15" customHeight="1" x14ac:dyDescent="0.35">
      <c r="A17" s="295"/>
      <c r="B17" s="16" t="s">
        <v>26</v>
      </c>
      <c r="C17" s="95"/>
      <c r="D17" s="95"/>
      <c r="E17" s="95"/>
      <c r="F17" s="19">
        <f t="shared" si="71"/>
        <v>0</v>
      </c>
      <c r="G17" s="19">
        <f t="shared" si="71"/>
        <v>0</v>
      </c>
      <c r="H17" s="19">
        <f t="shared" si="71"/>
        <v>42385.43</v>
      </c>
      <c r="I17" s="19">
        <f t="shared" si="71"/>
        <v>557603.83999999997</v>
      </c>
      <c r="J17" s="19">
        <f t="shared" si="71"/>
        <v>676036.05</v>
      </c>
      <c r="K17" s="19">
        <f t="shared" si="71"/>
        <v>706998.16999999993</v>
      </c>
      <c r="L17" s="19">
        <f t="shared" si="71"/>
        <v>670246.85</v>
      </c>
      <c r="M17" s="19">
        <f t="shared" si="71"/>
        <v>574404.17000000004</v>
      </c>
      <c r="N17" s="19">
        <f t="shared" si="71"/>
        <v>514881.99</v>
      </c>
      <c r="O17" s="19">
        <f t="shared" si="71"/>
        <v>639874.60000000009</v>
      </c>
      <c r="P17" s="19">
        <f t="shared" si="71"/>
        <v>693023.25</v>
      </c>
      <c r="Q17" s="19">
        <f t="shared" si="71"/>
        <v>705379.12999999989</v>
      </c>
      <c r="R17" s="19">
        <f t="shared" si="71"/>
        <v>656045.5</v>
      </c>
      <c r="S17" s="19">
        <f t="shared" si="71"/>
        <v>537519.55000000005</v>
      </c>
      <c r="T17" s="19">
        <f t="shared" si="71"/>
        <v>488973.88</v>
      </c>
      <c r="U17" s="19">
        <f t="shared" si="71"/>
        <v>614590.80000000005</v>
      </c>
      <c r="V17" s="19">
        <f t="shared" si="71"/>
        <v>791820.69</v>
      </c>
      <c r="W17" s="19">
        <f t="shared" si="71"/>
        <v>759797.67</v>
      </c>
      <c r="X17" s="19">
        <f t="shared" si="71"/>
        <v>707202.3</v>
      </c>
      <c r="Y17" s="19">
        <f t="shared" si="71"/>
        <v>523078.24999999994</v>
      </c>
      <c r="Z17" s="19">
        <f t="shared" si="72"/>
        <v>540041.11</v>
      </c>
      <c r="AA17" s="19">
        <f t="shared" si="71"/>
        <v>664038.72</v>
      </c>
      <c r="AB17" s="19">
        <f t="shared" si="71"/>
        <v>811016.92</v>
      </c>
      <c r="AC17" s="19">
        <f>IF(AC68="","",SUM(AC68,AC58,AC48,AC38,AC28))</f>
        <v>2076902.76</v>
      </c>
      <c r="AD17" s="19">
        <f t="shared" si="71"/>
        <v>2924297.21</v>
      </c>
      <c r="AE17" s="19">
        <f t="shared" si="71"/>
        <v>2229866.6</v>
      </c>
      <c r="AF17" s="19">
        <f t="shared" ref="AF17" si="82">IF(AF68="","",SUM(AF68,AF58,AF48,AF38,AF28))</f>
        <v>2168254.38</v>
      </c>
      <c r="AG17" s="19">
        <f t="shared" ref="AG17:AW17" si="83">IF(AG68="","",SUM(AG68,AG58,AG48,AG38,AG28))</f>
        <v>2621890.16</v>
      </c>
      <c r="AH17" s="19">
        <f t="shared" si="83"/>
        <v>3329515.52</v>
      </c>
      <c r="AI17" s="19">
        <f t="shared" si="83"/>
        <v>3339633.92</v>
      </c>
      <c r="AJ17" s="19">
        <f t="shared" si="83"/>
        <v>3328981</v>
      </c>
      <c r="AK17" s="19">
        <f t="shared" si="83"/>
        <v>2544745.08</v>
      </c>
      <c r="AL17" s="19">
        <f t="shared" si="83"/>
        <v>2313567.6800000002</v>
      </c>
      <c r="AM17" s="19">
        <f t="shared" si="83"/>
        <v>2791286.27</v>
      </c>
      <c r="AN17" s="19">
        <f t="shared" si="83"/>
        <v>3345196.33</v>
      </c>
      <c r="AO17" s="19">
        <f t="shared" si="83"/>
        <v>2693584.13</v>
      </c>
      <c r="AP17" s="19">
        <f t="shared" si="83"/>
        <v>1313029.4300000002</v>
      </c>
      <c r="AQ17" s="19">
        <f t="shared" si="83"/>
        <v>1059088.8899999999</v>
      </c>
      <c r="AR17" s="19">
        <f t="shared" si="83"/>
        <v>1067990.67</v>
      </c>
      <c r="AS17" s="19">
        <f t="shared" si="83"/>
        <v>1283730.6599999999</v>
      </c>
      <c r="AT17" s="19">
        <f t="shared" si="83"/>
        <v>1612267.41</v>
      </c>
      <c r="AU17" s="19">
        <f t="shared" si="83"/>
        <v>1561342.09</v>
      </c>
      <c r="AV17" s="19">
        <f t="shared" si="83"/>
        <v>1380925.98</v>
      </c>
      <c r="AW17" s="19">
        <f t="shared" si="83"/>
        <v>1082294.4100000001</v>
      </c>
      <c r="AX17" s="19">
        <f t="shared" ref="AX17:AY17" si="84">IF(AX68="","",SUM(AX68,AX58,AX48,AX38,AX28))</f>
        <v>1039274.52</v>
      </c>
      <c r="AY17" s="19">
        <f t="shared" si="84"/>
        <v>1374184.39</v>
      </c>
      <c r="AZ17" s="19">
        <f t="shared" ref="AZ17:BA17" si="85">IF(AZ68="","",SUM(AZ68,AZ58,AZ48,AZ38,AZ28))</f>
        <v>1560107.74</v>
      </c>
      <c r="BA17" s="19">
        <f t="shared" si="85"/>
        <v>1696451.89</v>
      </c>
      <c r="BB17" s="19">
        <f t="shared" ref="BB17:BC17" si="86">IF(BB68="","",SUM(BB68,BB58,BB48,BB38,BB28))</f>
        <v>2004809.71</v>
      </c>
      <c r="BC17" s="19">
        <f t="shared" si="86"/>
        <v>1848718.47</v>
      </c>
      <c r="BD17" s="19">
        <f t="shared" ref="BD17:BE17" si="87">IF(BD68="","",SUM(BD68,BD58,BD48,BD38,BD28))</f>
        <v>1727734.28</v>
      </c>
      <c r="BE17" s="19">
        <f t="shared" si="87"/>
        <v>2048568.73</v>
      </c>
      <c r="BF17" s="19">
        <f t="shared" ref="BF17:BG17" si="88">IF(BF68="","",SUM(BF68,BF58,BF48,BF38,BF28))</f>
        <v>2394442.7800000003</v>
      </c>
      <c r="BG17" s="19">
        <f t="shared" si="88"/>
        <v>2495606.9500000002</v>
      </c>
      <c r="BH17" s="19">
        <f t="shared" ref="BH17:BI17" si="89">IF(BH68="","",SUM(BH68,BH58,BH48,BH38,BH28))</f>
        <v>2399769.0599999996</v>
      </c>
      <c r="BI17" s="19">
        <f t="shared" si="89"/>
        <v>1947531.2699999998</v>
      </c>
      <c r="BJ17" s="19">
        <f t="shared" ref="BJ17" si="90">IF(BJ68="","",SUM(BJ68,BJ58,BJ48,BJ38,BJ28))</f>
        <v>1819792.2150454868</v>
      </c>
      <c r="BK17" s="19">
        <f t="shared" ref="BK17:BL17" si="91">IF(BK68="","",SUM(BK68,BK58,BK48,BK38,BK28))</f>
        <v>2162557.6876386586</v>
      </c>
      <c r="BL17" s="19">
        <f t="shared" si="91"/>
        <v>2589339.8637087774</v>
      </c>
    </row>
    <row r="18" spans="1:64" s="4" customFormat="1" ht="15" customHeight="1" x14ac:dyDescent="0.35">
      <c r="A18" s="295"/>
      <c r="B18" s="16" t="s">
        <v>51</v>
      </c>
      <c r="C18" s="95"/>
      <c r="D18" s="95"/>
      <c r="E18" s="95"/>
      <c r="F18" s="19">
        <f t="shared" ref="F18:M18" si="92">IF(F69="","",SUM(F69,F59,F49,F39,F29))</f>
        <v>0</v>
      </c>
      <c r="G18" s="19">
        <f t="shared" si="92"/>
        <v>0</v>
      </c>
      <c r="H18" s="19">
        <f t="shared" si="92"/>
        <v>0</v>
      </c>
      <c r="I18" s="19">
        <f t="shared" si="92"/>
        <v>0</v>
      </c>
      <c r="J18" s="19">
        <f t="shared" si="92"/>
        <v>0</v>
      </c>
      <c r="K18" s="19">
        <f t="shared" si="92"/>
        <v>0</v>
      </c>
      <c r="L18" s="19">
        <f t="shared" si="92"/>
        <v>0</v>
      </c>
      <c r="M18" s="19">
        <f t="shared" si="92"/>
        <v>0</v>
      </c>
      <c r="N18" s="19">
        <f>IF(N69="","",SUM(N69,N59,N49,N39,N29))</f>
        <v>0</v>
      </c>
      <c r="O18" s="19">
        <f>IF(O69="","",SUM(O69,O59,O49,O39,O29))</f>
        <v>0</v>
      </c>
      <c r="P18" s="19">
        <f t="shared" si="71"/>
        <v>0</v>
      </c>
      <c r="Q18" s="19">
        <f t="shared" si="71"/>
        <v>196554.22</v>
      </c>
      <c r="R18" s="19">
        <f>IF(R69="","",SUM(R69,R59,R49,R39,R29))</f>
        <v>181274.15000000002</v>
      </c>
      <c r="S18" s="19">
        <f t="shared" si="71"/>
        <v>149642.01999999999</v>
      </c>
      <c r="T18" s="19">
        <f>IF(T69="","",SUM(T69,T59,T49,T39,T29))</f>
        <v>136362.22</v>
      </c>
      <c r="U18" s="19">
        <f t="shared" si="71"/>
        <v>171212.22</v>
      </c>
      <c r="V18" s="19">
        <f t="shared" si="71"/>
        <v>216757.82</v>
      </c>
      <c r="W18" s="19">
        <f t="shared" si="71"/>
        <v>209115.01</v>
      </c>
      <c r="X18" s="19">
        <f t="shared" si="71"/>
        <v>195955.65999999997</v>
      </c>
      <c r="Y18" s="19">
        <f t="shared" si="71"/>
        <v>147507.93</v>
      </c>
      <c r="Z18" s="19">
        <f t="shared" si="72"/>
        <v>151406.02000000002</v>
      </c>
      <c r="AA18" s="19">
        <f t="shared" si="71"/>
        <v>183380.12</v>
      </c>
      <c r="AB18" s="19">
        <f t="shared" si="71"/>
        <v>220797.02</v>
      </c>
      <c r="AC18" s="19">
        <f t="shared" si="71"/>
        <v>-269418.96999999997</v>
      </c>
      <c r="AD18" s="19">
        <f t="shared" si="71"/>
        <v>-372580.93</v>
      </c>
      <c r="AE18" s="19">
        <f t="shared" si="71"/>
        <v>-266557.01</v>
      </c>
      <c r="AF18" s="19">
        <f t="shared" ref="AF18" si="93">IF(AF69="","",SUM(AF69,AF59,AF49,AF39,AF29))</f>
        <v>-255479.12</v>
      </c>
      <c r="AG18" s="19">
        <f t="shared" ref="AG18:AW18" si="94">IF(AG69="","",SUM(AG69,AG59,AG49,AG39,AG29))</f>
        <v>-321252.77</v>
      </c>
      <c r="AH18" s="19">
        <f>IF(AH69="","",SUM(AH69,AH59,AH49,AH39,AH29))</f>
        <v>-412310.44999999995</v>
      </c>
      <c r="AI18" s="19">
        <f t="shared" si="94"/>
        <v>-417357.26</v>
      </c>
      <c r="AJ18" s="19">
        <f t="shared" si="94"/>
        <v>-413042.95</v>
      </c>
      <c r="AK18" s="19">
        <f t="shared" si="94"/>
        <v>-303496.26</v>
      </c>
      <c r="AL18" s="19">
        <f t="shared" si="94"/>
        <v>-281268.86</v>
      </c>
      <c r="AM18" s="19">
        <f t="shared" si="94"/>
        <v>-341119.99</v>
      </c>
      <c r="AN18" s="19">
        <f t="shared" si="94"/>
        <v>-424246.17</v>
      </c>
      <c r="AO18" s="19">
        <f t="shared" si="94"/>
        <v>-37488.600000000006</v>
      </c>
      <c r="AP18" s="19">
        <f t="shared" si="94"/>
        <v>-16454.500000000015</v>
      </c>
      <c r="AQ18" s="19">
        <f t="shared" si="94"/>
        <v>-60641.26999999999</v>
      </c>
      <c r="AR18" s="19">
        <f t="shared" si="94"/>
        <v>8124.2599999999948</v>
      </c>
      <c r="AS18" s="19">
        <f t="shared" si="94"/>
        <v>-761.50999999999476</v>
      </c>
      <c r="AT18" s="19">
        <f t="shared" si="94"/>
        <v>-28136.840000000011</v>
      </c>
      <c r="AU18" s="19">
        <f t="shared" si="94"/>
        <v>-22606.089999999997</v>
      </c>
      <c r="AV18" s="19">
        <f t="shared" si="94"/>
        <v>-3873.9199999999837</v>
      </c>
      <c r="AW18" s="19">
        <f t="shared" si="94"/>
        <v>12650.119999999995</v>
      </c>
      <c r="AX18" s="19">
        <f t="shared" ref="AX18:AY18" si="95">IF(AX69="","",SUM(AX69,AX59,AX49,AX39,AX29))</f>
        <v>15417.529999999984</v>
      </c>
      <c r="AY18" s="19">
        <f t="shared" si="95"/>
        <v>-16235.439999999988</v>
      </c>
      <c r="AZ18" s="19">
        <f t="shared" ref="AZ18:BA18" si="96">IF(AZ69="","",SUM(AZ69,AZ59,AZ49,AZ39,AZ29))</f>
        <v>-38204.540000000008</v>
      </c>
      <c r="BA18" s="19">
        <f t="shared" si="96"/>
        <v>-365810.75</v>
      </c>
      <c r="BB18" s="19">
        <f t="shared" ref="BB18:BC18" si="97">IF(BB69="","",SUM(BB69,BB59,BB49,BB39,BB29))</f>
        <v>-453443.33999999997</v>
      </c>
      <c r="BC18" s="19">
        <f t="shared" si="97"/>
        <v>-409612.06999999995</v>
      </c>
      <c r="BD18" s="19">
        <f t="shared" ref="BD18:BE18" si="98">IF(BD69="","",SUM(BD69,BD59,BD49,BD39,BD29))</f>
        <v>-376782.53</v>
      </c>
      <c r="BE18" s="19">
        <f t="shared" si="98"/>
        <v>-455878.16000000003</v>
      </c>
      <c r="BF18" s="19">
        <f t="shared" ref="BF18:BG18" si="99">IF(BF69="","",SUM(BF69,BF59,BF49,BF39,BF29))</f>
        <v>-548805.54</v>
      </c>
      <c r="BG18" s="19">
        <f t="shared" si="99"/>
        <v>-566979.27</v>
      </c>
      <c r="BH18" s="19">
        <f t="shared" ref="BH18:BI18" si="100">IF(BH69="","",SUM(BH69,BH59,BH49,BH39,BH29))</f>
        <v>-541890.65999999992</v>
      </c>
      <c r="BI18" s="19">
        <f t="shared" si="100"/>
        <v>-427002.23</v>
      </c>
      <c r="BJ18" s="19">
        <f t="shared" ref="BJ18" si="101">IF(BJ69="","",SUM(BJ69,BJ59,BJ49,BJ39,BJ29))</f>
        <v>-398349.59</v>
      </c>
      <c r="BK18" s="19">
        <f t="shared" ref="BK18:BL18" si="102">IF(BK69="","",SUM(BK69,BK59,BK49,BK39,BK29))</f>
        <v>-489803.45999999996</v>
      </c>
      <c r="BL18" s="19">
        <f t="shared" si="102"/>
        <v>-603344.02</v>
      </c>
    </row>
    <row r="19" spans="1:64" s="4" customFormat="1" ht="15" customHeight="1" x14ac:dyDescent="0.35">
      <c r="A19" s="295"/>
      <c r="B19" s="16" t="s">
        <v>52</v>
      </c>
      <c r="C19" s="95"/>
      <c r="D19" s="95"/>
      <c r="E19" s="95"/>
      <c r="F19" s="19">
        <f t="shared" ref="F19:L19" si="103">IF(F70="","",SUM(F70,F60,F50,F40,F30))</f>
        <v>0</v>
      </c>
      <c r="G19" s="19">
        <f>IF(G70="","",SUM(G70,G60,G50,G40,G30))</f>
        <v>0</v>
      </c>
      <c r="H19" s="19">
        <f t="shared" si="103"/>
        <v>42385.43</v>
      </c>
      <c r="I19" s="19">
        <f t="shared" si="103"/>
        <v>557603.83999999997</v>
      </c>
      <c r="J19" s="19">
        <f t="shared" si="103"/>
        <v>676036.05</v>
      </c>
      <c r="K19" s="19">
        <f t="shared" si="103"/>
        <v>706998.16999999993</v>
      </c>
      <c r="L19" s="19">
        <f t="shared" si="103"/>
        <v>670246.85</v>
      </c>
      <c r="M19" s="19">
        <f>IF(M70="","",SUM(M70,M60,M50,M40,M30))</f>
        <v>574404.17000000004</v>
      </c>
      <c r="N19" s="19">
        <f>IF(N70="","",SUM(N70,N60,N50,N40,N30))</f>
        <v>514881.99</v>
      </c>
      <c r="O19" s="19">
        <f>IF(O70="","",SUM(O70,O60,O50,O40,O30))</f>
        <v>639874.60000000009</v>
      </c>
      <c r="P19" s="19">
        <f t="shared" si="71"/>
        <v>693023.25</v>
      </c>
      <c r="Q19" s="19">
        <f>IF(Q70="","",SUM(Q70,Q60,Q50,Q40,Q30))</f>
        <v>901933.35</v>
      </c>
      <c r="R19" s="19">
        <f t="shared" si="71"/>
        <v>837319.65</v>
      </c>
      <c r="S19" s="19">
        <f t="shared" si="71"/>
        <v>687161.57000000007</v>
      </c>
      <c r="T19" s="19">
        <f t="shared" si="71"/>
        <v>625336.1</v>
      </c>
      <c r="U19" s="19">
        <f t="shared" si="71"/>
        <v>785803.02</v>
      </c>
      <c r="V19" s="19">
        <f t="shared" si="71"/>
        <v>1008578.51</v>
      </c>
      <c r="W19" s="19">
        <f t="shared" si="71"/>
        <v>968912.67999999993</v>
      </c>
      <c r="X19" s="19">
        <f t="shared" si="71"/>
        <v>903157.96</v>
      </c>
      <c r="Y19" s="19">
        <f t="shared" si="71"/>
        <v>670586.17999999993</v>
      </c>
      <c r="Z19" s="19">
        <f t="shared" si="72"/>
        <v>691447.12999999989</v>
      </c>
      <c r="AA19" s="19">
        <f t="shared" si="71"/>
        <v>847418.84</v>
      </c>
      <c r="AB19" s="19">
        <f t="shared" si="71"/>
        <v>1031813.9400000001</v>
      </c>
      <c r="AC19" s="19">
        <f t="shared" si="71"/>
        <v>1807483.79</v>
      </c>
      <c r="AD19" s="19">
        <f t="shared" si="71"/>
        <v>2551716.2800000003</v>
      </c>
      <c r="AE19" s="19">
        <f t="shared" si="71"/>
        <v>1963309.5900000003</v>
      </c>
      <c r="AF19" s="19">
        <f t="shared" ref="AF19" si="104">IF(AF70="","",SUM(AF70,AF60,AF50,AF40,AF30))</f>
        <v>1912775.2599999998</v>
      </c>
      <c r="AG19" s="19">
        <f t="shared" ref="AG19:AW19" si="105">IF(AG70="","",SUM(AG70,AG60,AG50,AG40,AG30))</f>
        <v>2300637.39</v>
      </c>
      <c r="AH19" s="19">
        <f t="shared" si="105"/>
        <v>2917205.0700000003</v>
      </c>
      <c r="AI19" s="19">
        <f t="shared" si="105"/>
        <v>2922276.66</v>
      </c>
      <c r="AJ19" s="19">
        <f t="shared" si="105"/>
        <v>2915938.05</v>
      </c>
      <c r="AK19" s="19">
        <f t="shared" si="105"/>
        <v>2241248.8199999998</v>
      </c>
      <c r="AL19" s="19">
        <f t="shared" si="105"/>
        <v>2032298.8200000003</v>
      </c>
      <c r="AM19" s="19">
        <f t="shared" si="105"/>
        <v>2450166.2800000003</v>
      </c>
      <c r="AN19" s="19">
        <f t="shared" si="105"/>
        <v>2920950.16</v>
      </c>
      <c r="AO19" s="19">
        <f t="shared" si="105"/>
        <v>2656095.5300000003</v>
      </c>
      <c r="AP19" s="19">
        <f t="shared" si="105"/>
        <v>1296574.93</v>
      </c>
      <c r="AQ19" s="19">
        <f t="shared" si="105"/>
        <v>998447.61999999988</v>
      </c>
      <c r="AR19" s="19">
        <f t="shared" si="105"/>
        <v>1076114.93</v>
      </c>
      <c r="AS19" s="19">
        <f t="shared" si="105"/>
        <v>1282969.1499999999</v>
      </c>
      <c r="AT19" s="19">
        <f t="shared" si="105"/>
        <v>1584130.5699999998</v>
      </c>
      <c r="AU19" s="19">
        <f t="shared" si="105"/>
        <v>1538736</v>
      </c>
      <c r="AV19" s="19">
        <f t="shared" si="105"/>
        <v>1377052.06</v>
      </c>
      <c r="AW19" s="19">
        <f t="shared" si="105"/>
        <v>1094944.53</v>
      </c>
      <c r="AX19" s="19">
        <f t="shared" ref="AX19:AY19" si="106">IF(AX70="","",SUM(AX70,AX60,AX50,AX40,AX30))</f>
        <v>1054692.0499999998</v>
      </c>
      <c r="AY19" s="19">
        <f t="shared" si="106"/>
        <v>1357948.95</v>
      </c>
      <c r="AZ19" s="19">
        <f t="shared" ref="AZ19:BA19" si="107">IF(AZ70="","",SUM(AZ70,AZ60,AZ50,AZ40,AZ30))</f>
        <v>1521903.2000000002</v>
      </c>
      <c r="BA19" s="19">
        <f t="shared" si="107"/>
        <v>1330641.1400000001</v>
      </c>
      <c r="BB19" s="19">
        <f t="shared" ref="BB19:BC19" si="108">IF(BB70="","",SUM(BB70,BB60,BB50,BB40,BB30))</f>
        <v>1551366.37</v>
      </c>
      <c r="BC19" s="19">
        <f t="shared" si="108"/>
        <v>1439106.4</v>
      </c>
      <c r="BD19" s="19">
        <f t="shared" ref="BD19:BE19" si="109">IF(BD70="","",SUM(BD70,BD60,BD50,BD40,BD30))</f>
        <v>1350951.75</v>
      </c>
      <c r="BE19" s="19">
        <f t="shared" si="109"/>
        <v>1592690.57</v>
      </c>
      <c r="BF19" s="19">
        <f t="shared" ref="BF19:BG19" si="110">IF(BF70="","",SUM(BF70,BF60,BF50,BF40,BF30))</f>
        <v>1845637.24</v>
      </c>
      <c r="BG19" s="19">
        <f t="shared" si="110"/>
        <v>1928627.68</v>
      </c>
      <c r="BH19" s="19">
        <f t="shared" ref="BH19:BI19" si="111">IF(BH70="","",SUM(BH70,BH60,BH50,BH40,BH30))</f>
        <v>1857878.4</v>
      </c>
      <c r="BI19" s="19">
        <f t="shared" si="111"/>
        <v>1520529.04</v>
      </c>
      <c r="BJ19" s="19">
        <f t="shared" ref="BJ19" si="112">IF(BJ70="","",SUM(BJ70,BJ60,BJ50,BJ40,BJ30))</f>
        <v>1421442.6250454867</v>
      </c>
      <c r="BK19" s="19">
        <f t="shared" ref="BK19:BL19" si="113">IF(BK70="","",SUM(BK70,BK60,BK50,BK40,BK30))</f>
        <v>1672754.2276386586</v>
      </c>
      <c r="BL19" s="19">
        <f t="shared" si="113"/>
        <v>1985995.8437087771</v>
      </c>
    </row>
    <row r="20" spans="1:64" s="4" customFormat="1" x14ac:dyDescent="0.35">
      <c r="A20" s="295"/>
      <c r="B20" s="16" t="s">
        <v>13</v>
      </c>
      <c r="C20" s="95"/>
      <c r="D20" s="95"/>
      <c r="E20" s="95"/>
      <c r="F20" s="19">
        <f t="shared" ref="F20:M21" si="114">IF(F71="","",SUM(F71,F61,F51,F41,F31))</f>
        <v>0.71203150918887492</v>
      </c>
      <c r="G20" s="19">
        <f>IF(G71="","",SUM(G71,G61,G51,G41,G31))</f>
        <v>4695.4207688607348</v>
      </c>
      <c r="H20" s="19">
        <f t="shared" si="114"/>
        <v>-2449.8598780726179</v>
      </c>
      <c r="I20" s="19">
        <f t="shared" si="114"/>
        <v>-265927.46643753978</v>
      </c>
      <c r="J20" s="19">
        <f t="shared" si="114"/>
        <v>-131169.715421392</v>
      </c>
      <c r="K20" s="19">
        <f t="shared" si="114"/>
        <v>-43957.222433609393</v>
      </c>
      <c r="L20" s="19">
        <f t="shared" si="114"/>
        <v>-122502.17361725139</v>
      </c>
      <c r="M20" s="19">
        <f t="shared" si="114"/>
        <v>-304336.2792786801</v>
      </c>
      <c r="N20" s="19">
        <f>IF(N71="","",SUM(N71,N61,N51,N41,N31))</f>
        <v>-65433.157081010191</v>
      </c>
      <c r="O20" s="19">
        <f t="shared" ref="O20:AE21" si="115">IF(O71="","",SUM(O71,O61,O51,O41,O31))</f>
        <v>32509.51562352556</v>
      </c>
      <c r="P20" s="19">
        <f t="shared" si="115"/>
        <v>167275.80315340095</v>
      </c>
      <c r="Q20" s="19">
        <f>IF(Q71="","",SUM(Q71,Q61,Q51,Q41,Q31))</f>
        <v>19136.33539476915</v>
      </c>
      <c r="R20" s="19">
        <f t="shared" si="115"/>
        <v>-110077.28450135858</v>
      </c>
      <c r="S20" s="19">
        <f t="shared" si="115"/>
        <v>-356666.29899240914</v>
      </c>
      <c r="T20" s="19">
        <f t="shared" si="115"/>
        <v>-176821.71989945308</v>
      </c>
      <c r="U20" s="19">
        <f t="shared" si="115"/>
        <v>380663.8326526123</v>
      </c>
      <c r="V20" s="19">
        <f t="shared" si="115"/>
        <v>588323.66144815541</v>
      </c>
      <c r="W20" s="19">
        <f t="shared" si="115"/>
        <v>779359.73178884923</v>
      </c>
      <c r="X20" s="19">
        <f t="shared" si="115"/>
        <v>616313.05623756989</v>
      </c>
      <c r="Y20" s="19">
        <f t="shared" si="115"/>
        <v>94294.273685406195</v>
      </c>
      <c r="Z20" s="19">
        <f t="shared" si="72"/>
        <v>217360.52228987066</v>
      </c>
      <c r="AA20" s="19">
        <f t="shared" si="115"/>
        <v>272644.01655577932</v>
      </c>
      <c r="AB20" s="19">
        <f t="shared" si="115"/>
        <v>345406.72431663051</v>
      </c>
      <c r="AC20" s="19">
        <f t="shared" si="115"/>
        <v>-612317.2176451839</v>
      </c>
      <c r="AD20" s="19">
        <f t="shared" si="115"/>
        <v>-1251083.8806012496</v>
      </c>
      <c r="AE20" s="19">
        <f t="shared" si="115"/>
        <v>-757486.76922660158</v>
      </c>
      <c r="AF20" s="19">
        <f t="shared" ref="AF20" si="116">IF(AF71="","",SUM(AF71,AF61,AF51,AF41,AF31))</f>
        <v>-440223.98143172619</v>
      </c>
      <c r="AG20" s="19">
        <f t="shared" ref="AG20:AW20" si="117">IF(AG71="","",SUM(AG71,AG61,AG51,AG41,AG31))</f>
        <v>1301972.520306122</v>
      </c>
      <c r="AH20" s="19">
        <f t="shared" si="117"/>
        <v>1607774.8329475964</v>
      </c>
      <c r="AI20" s="19">
        <f t="shared" si="117"/>
        <v>1635415.3023519127</v>
      </c>
      <c r="AJ20" s="19">
        <f t="shared" si="117"/>
        <v>479195.57575719332</v>
      </c>
      <c r="AK20" s="19">
        <f t="shared" si="117"/>
        <v>-622249.26827478828</v>
      </c>
      <c r="AL20" s="19">
        <f t="shared" si="117"/>
        <v>-338958.66069875972</v>
      </c>
      <c r="AM20" s="19">
        <f t="shared" si="117"/>
        <v>-406331.76494770299</v>
      </c>
      <c r="AN20" s="19">
        <f t="shared" si="117"/>
        <v>-374056.09149891004</v>
      </c>
      <c r="AO20" s="19">
        <f t="shared" si="117"/>
        <v>-566479.05339839845</v>
      </c>
      <c r="AP20" s="19">
        <f t="shared" si="117"/>
        <v>-384327.07923458319</v>
      </c>
      <c r="AQ20" s="19">
        <f t="shared" si="117"/>
        <v>-152113.4028808627</v>
      </c>
      <c r="AR20" s="19">
        <f t="shared" si="117"/>
        <v>-9477.251794636868</v>
      </c>
      <c r="AS20" s="19">
        <f t="shared" si="117"/>
        <v>1580383.492124341</v>
      </c>
      <c r="AT20" s="19">
        <f t="shared" si="117"/>
        <v>2091426.9537109674</v>
      </c>
      <c r="AU20" s="19">
        <f t="shared" si="117"/>
        <v>1803303.9312423691</v>
      </c>
      <c r="AV20" s="19">
        <f t="shared" si="117"/>
        <v>996794.52517879615</v>
      </c>
      <c r="AW20" s="19">
        <f t="shared" si="117"/>
        <v>-43766.218875852297</v>
      </c>
      <c r="AX20" s="19">
        <f t="shared" ref="AX20:AY20" si="118">IF(AX71="","",SUM(AX71,AX61,AX51,AX41,AX31))</f>
        <v>50400.12594651409</v>
      </c>
      <c r="AY20" s="19">
        <f t="shared" si="118"/>
        <v>24016.56868488781</v>
      </c>
      <c r="AZ20" s="19">
        <f t="shared" ref="AZ20:BA20" si="119">IF(AZ71="","",SUM(AZ71,AZ61,AZ51,AZ41,AZ31))</f>
        <v>178814.56398114111</v>
      </c>
      <c r="BA20" s="19">
        <f t="shared" si="119"/>
        <v>26285.719075333414</v>
      </c>
      <c r="BB20" s="19">
        <f t="shared" ref="BB20:BC20" si="120">IF(BB71="","",SUM(BB71,BB61,BB51,BB41,BB31))</f>
        <v>-197564.17941383313</v>
      </c>
      <c r="BC20" s="19">
        <f t="shared" si="120"/>
        <v>-199430.27954556586</v>
      </c>
      <c r="BD20" s="19">
        <f t="shared" ref="BD20:BE20" si="121">IF(BD71="","",SUM(BD71,BD61,BD51,BD41,BD31))</f>
        <v>277134.66602080304</v>
      </c>
      <c r="BE20" s="19">
        <f t="shared" si="121"/>
        <v>2918939.9378466401</v>
      </c>
      <c r="BF20" s="19">
        <f t="shared" ref="BF20:BG20" si="122">IF(BF71="","",SUM(BF71,BF61,BF51,BF41,BF31))</f>
        <v>-794597.86464667344</v>
      </c>
      <c r="BG20" s="19">
        <f t="shared" si="122"/>
        <v>-795139.81370660523</v>
      </c>
      <c r="BH20" s="19">
        <f t="shared" ref="BH20:BI20" si="123">IF(BH71="","",SUM(BH71,BH61,BH51,BH41,BH31))</f>
        <v>-1049117.7623683237</v>
      </c>
      <c r="BI20" s="19">
        <f t="shared" si="123"/>
        <v>-1145071.0055331092</v>
      </c>
      <c r="BJ20" s="19">
        <f t="shared" ref="BJ20" si="124">IF(BJ71="","",SUM(BJ71,BJ61,BJ51,BJ41,BJ31))</f>
        <v>-991650.61162714032</v>
      </c>
      <c r="BK20" s="19">
        <f t="shared" ref="BK20:BL20" si="125">IF(BK71="","",SUM(BK71,BK61,BK51,BK41,BK31))</f>
        <v>-1029406.7517052857</v>
      </c>
      <c r="BL20" s="19">
        <f t="shared" si="125"/>
        <v>-1229096.1459275289</v>
      </c>
    </row>
    <row r="21" spans="1:64" s="4" customFormat="1" x14ac:dyDescent="0.35">
      <c r="A21" s="295"/>
      <c r="B21" s="17" t="s">
        <v>8</v>
      </c>
      <c r="C21" s="95"/>
      <c r="D21" s="95"/>
      <c r="E21" s="95"/>
      <c r="F21" s="19">
        <f t="shared" si="114"/>
        <v>0</v>
      </c>
      <c r="G21" s="19">
        <f t="shared" si="114"/>
        <v>10.42</v>
      </c>
      <c r="H21" s="19">
        <f t="shared" si="114"/>
        <v>5.0299999999999994</v>
      </c>
      <c r="I21" s="19">
        <f t="shared" si="114"/>
        <v>-582.26</v>
      </c>
      <c r="J21" s="19">
        <f t="shared" si="114"/>
        <v>-855.06</v>
      </c>
      <c r="K21" s="19">
        <f t="shared" si="114"/>
        <v>-862.55</v>
      </c>
      <c r="L21" s="19">
        <f t="shared" si="114"/>
        <v>-1041.1799999999998</v>
      </c>
      <c r="M21" s="19">
        <f t="shared" si="114"/>
        <v>-1530.79</v>
      </c>
      <c r="N21" s="19">
        <f>IF(N72="","",SUM(N72,N62,N52,N42,N32))</f>
        <v>-1258.5900000000006</v>
      </c>
      <c r="O21" s="19">
        <f t="shared" si="115"/>
        <v>-1443.8799999999999</v>
      </c>
      <c r="P21" s="19">
        <f t="shared" si="115"/>
        <v>-1163.1299999999999</v>
      </c>
      <c r="Q21" s="19">
        <f t="shared" si="115"/>
        <v>-1083.47</v>
      </c>
      <c r="R21" s="19">
        <f t="shared" si="115"/>
        <v>-1000.1500000000001</v>
      </c>
      <c r="S21" s="19">
        <f t="shared" si="115"/>
        <v>-634.92999999999995</v>
      </c>
      <c r="T21" s="19">
        <f t="shared" si="115"/>
        <v>-90.31</v>
      </c>
      <c r="U21" s="19">
        <f t="shared" si="115"/>
        <v>-33.789999999999992</v>
      </c>
      <c r="V21" s="19">
        <f t="shared" si="115"/>
        <v>70.47999999999999</v>
      </c>
      <c r="W21" s="19">
        <f t="shared" si="115"/>
        <v>163.1</v>
      </c>
      <c r="X21" s="19">
        <f t="shared" si="115"/>
        <v>233.22</v>
      </c>
      <c r="Y21" s="19">
        <f t="shared" si="115"/>
        <v>424.84000000000003</v>
      </c>
      <c r="Z21" s="19">
        <f>IF(Z72="","",SUM(Z72,Z62,Z52,Z42,Z32))</f>
        <v>1480.5299999999993</v>
      </c>
      <c r="AA21" s="19">
        <f>IF(AA72="","",SUM(AA72,AA62,AA52,AA42,AA32))</f>
        <v>835.87</v>
      </c>
      <c r="AB21" s="19">
        <f t="shared" si="115"/>
        <v>702.63</v>
      </c>
      <c r="AC21" s="19">
        <f t="shared" si="115"/>
        <v>621.02</v>
      </c>
      <c r="AD21" s="19">
        <f t="shared" si="115"/>
        <v>282.43</v>
      </c>
      <c r="AE21" s="19">
        <f t="shared" si="115"/>
        <v>105.50999999999999</v>
      </c>
      <c r="AF21" s="19">
        <f t="shared" ref="AF21" si="126">IF(AF72="","",SUM(AF72,AF62,AF52,AF42,AF32))</f>
        <v>-24.899999999999991</v>
      </c>
      <c r="AG21" s="19">
        <f t="shared" ref="AG21:AW21" si="127">IF(AG72="","",SUM(AG72,AG62,AG52,AG42,AG32))</f>
        <v>142.43</v>
      </c>
      <c r="AH21" s="19">
        <f t="shared" si="127"/>
        <v>237.6</v>
      </c>
      <c r="AI21" s="19">
        <f t="shared" si="127"/>
        <v>557.42999999999995</v>
      </c>
      <c r="AJ21" s="19">
        <f t="shared" si="127"/>
        <v>535.91999999999996</v>
      </c>
      <c r="AK21" s="19">
        <f t="shared" si="127"/>
        <v>300.35000000000002</v>
      </c>
      <c r="AL21" s="19">
        <f t="shared" si="127"/>
        <v>227.64</v>
      </c>
      <c r="AM21" s="19">
        <f t="shared" si="127"/>
        <v>224.82999999999998</v>
      </c>
      <c r="AN21" s="19">
        <f t="shared" si="127"/>
        <v>46.440000000000026</v>
      </c>
      <c r="AO21" s="19">
        <f t="shared" si="127"/>
        <v>-90.289999999999992</v>
      </c>
      <c r="AP21" s="19">
        <f t="shared" si="127"/>
        <v>-440.00000000000011</v>
      </c>
      <c r="AQ21" s="19">
        <f t="shared" si="127"/>
        <v>-490.49</v>
      </c>
      <c r="AR21" s="19">
        <f t="shared" si="127"/>
        <v>-777.29</v>
      </c>
      <c r="AS21" s="19">
        <f t="shared" si="127"/>
        <v>738.84</v>
      </c>
      <c r="AT21" s="19">
        <f t="shared" si="127"/>
        <v>4560.24</v>
      </c>
      <c r="AU21" s="19">
        <f t="shared" si="127"/>
        <v>9499.7900000000009</v>
      </c>
      <c r="AV21" s="19">
        <f t="shared" si="127"/>
        <v>12902.26</v>
      </c>
      <c r="AW21" s="19">
        <f t="shared" si="127"/>
        <v>15702.85</v>
      </c>
      <c r="AX21" s="19">
        <f t="shared" ref="AX21:AY21" si="128">IF(AX72="","",SUM(AX72,AX62,AX52,AX42,AX32))</f>
        <v>19686.440000000002</v>
      </c>
      <c r="AY21" s="19">
        <f t="shared" si="128"/>
        <v>21314.78</v>
      </c>
      <c r="AZ21" s="19">
        <f t="shared" ref="AZ21:BA21" si="129">IF(AZ72="","",SUM(AZ72,AZ62,AZ52,AZ42,AZ32))</f>
        <v>22475.1</v>
      </c>
      <c r="BA21" s="19">
        <f t="shared" si="129"/>
        <v>21751.33</v>
      </c>
      <c r="BB21" s="19">
        <f t="shared" ref="BB21:BC21" si="130">IF(BB72="","",SUM(BB72,BB62,BB52,BB42,BB32))</f>
        <v>19769.699999999997</v>
      </c>
      <c r="BC21" s="19">
        <f t="shared" si="130"/>
        <v>18219.730000000003</v>
      </c>
      <c r="BD21" s="19">
        <f t="shared" ref="BD21:BE21" si="131">IF(BD72="","",SUM(BD72,BD62,BD52,BD42,BD32))</f>
        <v>18129.25</v>
      </c>
      <c r="BE21" s="19">
        <f t="shared" si="131"/>
        <v>29515.460000000003</v>
      </c>
      <c r="BF21" s="19">
        <f t="shared" ref="BF21:BG21" si="132">IF(BF72="","",SUM(BF72,BF62,BF52,BF42,BF32))</f>
        <v>23818</v>
      </c>
      <c r="BG21" s="19">
        <f t="shared" si="132"/>
        <v>18001.809999999998</v>
      </c>
      <c r="BH21" s="19">
        <f t="shared" ref="BH21:BI21" si="133">IF(BH72="","",SUM(BH72,BH62,BH52,BH42,BH32))</f>
        <v>10793.91</v>
      </c>
      <c r="BI21" s="19">
        <f t="shared" si="133"/>
        <v>3580.88</v>
      </c>
      <c r="BJ21" s="118">
        <f t="shared" ref="BJ21" si="134">IF(BJ72="","",SUM(BJ72,BJ62,BJ52,BJ42,BJ32))</f>
        <v>-2793.71</v>
      </c>
      <c r="BK21" s="118">
        <f t="shared" ref="BK21:BL21" si="135">IF(BK72="","",SUM(BK72,BK62,BK52,BK42,BK32))</f>
        <v>-9791.69</v>
      </c>
      <c r="BL21" s="118">
        <f t="shared" si="135"/>
        <v>-18262.060000000001</v>
      </c>
    </row>
    <row r="22" spans="1:64" s="4" customFormat="1" x14ac:dyDescent="0.35">
      <c r="A22" s="295"/>
      <c r="B22" s="17" t="s">
        <v>27</v>
      </c>
      <c r="C22" s="95"/>
      <c r="D22" s="95"/>
      <c r="E22" s="94"/>
      <c r="F22" s="14">
        <f>IF(F21="","",E22+F21)</f>
        <v>0</v>
      </c>
      <c r="G22" s="14">
        <f>IF(G21="","",F22+G21)</f>
        <v>10.42</v>
      </c>
      <c r="H22" s="14">
        <f t="shared" ref="H22:AF22" si="136">IF(H21="","",G22+H21)</f>
        <v>15.45</v>
      </c>
      <c r="I22" s="14">
        <f t="shared" si="136"/>
        <v>-566.80999999999995</v>
      </c>
      <c r="J22" s="14">
        <f t="shared" si="136"/>
        <v>-1421.87</v>
      </c>
      <c r="K22" s="14">
        <f t="shared" si="136"/>
        <v>-2284.42</v>
      </c>
      <c r="L22" s="14">
        <f t="shared" si="136"/>
        <v>-3325.6</v>
      </c>
      <c r="M22" s="14">
        <f t="shared" si="136"/>
        <v>-4856.3899999999994</v>
      </c>
      <c r="N22" s="14">
        <f t="shared" si="136"/>
        <v>-6114.98</v>
      </c>
      <c r="O22" s="14">
        <f t="shared" si="136"/>
        <v>-7558.86</v>
      </c>
      <c r="P22" s="14">
        <f t="shared" si="136"/>
        <v>-8721.99</v>
      </c>
      <c r="Q22" s="14">
        <f t="shared" si="136"/>
        <v>-9805.4599999999991</v>
      </c>
      <c r="R22" s="14">
        <f t="shared" si="136"/>
        <v>-10805.609999999999</v>
      </c>
      <c r="S22" s="14">
        <f t="shared" si="136"/>
        <v>-11440.539999999999</v>
      </c>
      <c r="T22" s="14">
        <f t="shared" si="136"/>
        <v>-11530.849999999999</v>
      </c>
      <c r="U22" s="14">
        <f t="shared" si="136"/>
        <v>-11564.64</v>
      </c>
      <c r="V22" s="14">
        <f t="shared" si="136"/>
        <v>-11494.16</v>
      </c>
      <c r="W22" s="14">
        <f t="shared" si="136"/>
        <v>-11331.06</v>
      </c>
      <c r="X22" s="14">
        <f t="shared" si="136"/>
        <v>-11097.84</v>
      </c>
      <c r="Y22" s="14">
        <f t="shared" si="136"/>
        <v>-10673</v>
      </c>
      <c r="Z22" s="14">
        <f>IF(Z21="","",Y22+Z21)</f>
        <v>-9192.4700000000012</v>
      </c>
      <c r="AA22" s="14">
        <f>IF(AA21="","",Z22+AA21)</f>
        <v>-8356.6</v>
      </c>
      <c r="AB22" s="14">
        <f t="shared" si="136"/>
        <v>-7653.97</v>
      </c>
      <c r="AC22" s="14">
        <f t="shared" si="136"/>
        <v>-7032.9500000000007</v>
      </c>
      <c r="AD22" s="14">
        <f t="shared" si="136"/>
        <v>-6750.52</v>
      </c>
      <c r="AE22" s="14">
        <f t="shared" si="136"/>
        <v>-6645.01</v>
      </c>
      <c r="AF22" s="14">
        <f t="shared" si="136"/>
        <v>-6669.91</v>
      </c>
      <c r="AG22" s="14">
        <f t="shared" ref="AG22" si="137">IF(AG21="","",AF22+AG21)</f>
        <v>-6527.48</v>
      </c>
      <c r="AH22" s="14">
        <f t="shared" ref="AH22" si="138">IF(AH21="","",AG22+AH21)</f>
        <v>-6289.8799999999992</v>
      </c>
      <c r="AI22" s="14">
        <f t="shared" ref="AI22" si="139">IF(AI21="","",AH22+AI21)</f>
        <v>-5732.4499999999989</v>
      </c>
      <c r="AJ22" s="14">
        <f t="shared" ref="AJ22" si="140">IF(AJ21="","",AI22+AJ21)</f>
        <v>-5196.5299999999988</v>
      </c>
      <c r="AK22" s="14">
        <f t="shared" ref="AK22" si="141">IF(AK21="","",AJ22+AK21)</f>
        <v>-4896.1799999999985</v>
      </c>
      <c r="AL22" s="14">
        <f t="shared" ref="AL22" si="142">IF(AL21="","",AK22+AL21)</f>
        <v>-4668.5399999999981</v>
      </c>
      <c r="AM22" s="14">
        <f t="shared" ref="AM22" si="143">IF(AM21="","",AL22+AM21)</f>
        <v>-4443.7099999999982</v>
      </c>
      <c r="AN22" s="14">
        <f t="shared" ref="AN22" si="144">IF(AN21="","",AM22+AN21)</f>
        <v>-4397.2699999999986</v>
      </c>
      <c r="AO22" s="14">
        <f t="shared" ref="AO22" si="145">IF(AO21="","",AN22+AO21)</f>
        <v>-4487.5599999999986</v>
      </c>
      <c r="AP22" s="14">
        <f t="shared" ref="AP22" si="146">IF(AP21="","",AO22+AP21)</f>
        <v>-4927.5599999999986</v>
      </c>
      <c r="AQ22" s="14">
        <f t="shared" ref="AQ22" si="147">IF(AQ21="","",AP22+AQ21)</f>
        <v>-5418.0499999999984</v>
      </c>
      <c r="AR22" s="14">
        <f t="shared" ref="AR22" si="148">IF(AR21="","",AQ22+AR21)</f>
        <v>-6195.3399999999983</v>
      </c>
      <c r="AS22" s="14">
        <f t="shared" ref="AS22" si="149">IF(AS21="","",AR22+AS21)</f>
        <v>-5456.4999999999982</v>
      </c>
      <c r="AT22" s="14">
        <f t="shared" ref="AT22" si="150">IF(AT21="","",AS22+AT21)</f>
        <v>-896.2599999999984</v>
      </c>
      <c r="AU22" s="14">
        <f t="shared" ref="AU22" si="151">IF(AU21="","",AT22+AU21)</f>
        <v>8603.5300000000025</v>
      </c>
      <c r="AV22" s="14">
        <f t="shared" ref="AV22" si="152">IF(AV21="","",AU22+AV21)</f>
        <v>21505.79</v>
      </c>
      <c r="AW22" s="14">
        <f t="shared" ref="AW22:BL22" si="153">IF(AW21="","",AV22+AW21)</f>
        <v>37208.639999999999</v>
      </c>
      <c r="AX22" s="14">
        <f t="shared" si="153"/>
        <v>56895.08</v>
      </c>
      <c r="AY22" s="14">
        <f t="shared" si="153"/>
        <v>78209.86</v>
      </c>
      <c r="AZ22" s="14">
        <f t="shared" si="153"/>
        <v>100684.95999999999</v>
      </c>
      <c r="BA22" s="14">
        <f t="shared" si="153"/>
        <v>122436.29</v>
      </c>
      <c r="BB22" s="14">
        <f t="shared" si="153"/>
        <v>142205.99</v>
      </c>
      <c r="BC22" s="14">
        <f t="shared" si="153"/>
        <v>160425.72</v>
      </c>
      <c r="BD22" s="14">
        <f t="shared" si="153"/>
        <v>178554.97</v>
      </c>
      <c r="BE22" s="14">
        <f t="shared" si="153"/>
        <v>208070.43</v>
      </c>
      <c r="BF22" s="14">
        <f t="shared" si="153"/>
        <v>231888.43</v>
      </c>
      <c r="BG22" s="14">
        <f t="shared" si="153"/>
        <v>249890.24</v>
      </c>
      <c r="BH22" s="14">
        <f t="shared" si="153"/>
        <v>260684.15</v>
      </c>
      <c r="BI22" s="14">
        <f t="shared" si="153"/>
        <v>264265.02999999997</v>
      </c>
      <c r="BJ22" s="14">
        <f t="shared" si="153"/>
        <v>261471.31999999998</v>
      </c>
      <c r="BK22" s="14">
        <f t="shared" si="153"/>
        <v>251679.62999999998</v>
      </c>
      <c r="BL22" s="14">
        <f t="shared" si="153"/>
        <v>233417.56999999998</v>
      </c>
    </row>
    <row r="23" spans="1:64" s="4" customFormat="1" x14ac:dyDescent="0.35">
      <c r="A23" s="295"/>
      <c r="B23" s="16" t="s">
        <v>14</v>
      </c>
      <c r="C23" s="95"/>
      <c r="D23" s="95"/>
      <c r="E23" s="95"/>
      <c r="F23" s="19">
        <f t="shared" ref="F23:AE24" si="154">IF(F73="","",SUM(F73,F63,F53,F43,F33))</f>
        <v>0.71203150918887492</v>
      </c>
      <c r="G23" s="19">
        <f t="shared" si="154"/>
        <v>4705.8407688607349</v>
      </c>
      <c r="H23" s="19">
        <f t="shared" si="154"/>
        <v>-2444.8298780726182</v>
      </c>
      <c r="I23" s="19">
        <f t="shared" si="154"/>
        <v>-266509.72643753979</v>
      </c>
      <c r="J23" s="19">
        <f t="shared" si="154"/>
        <v>-132024.775421392</v>
      </c>
      <c r="K23" s="19">
        <f t="shared" si="154"/>
        <v>-44819.772433609396</v>
      </c>
      <c r="L23" s="19">
        <f t="shared" si="154"/>
        <v>-123543.3536172514</v>
      </c>
      <c r="M23" s="19">
        <f t="shared" si="154"/>
        <v>-305867.06927868014</v>
      </c>
      <c r="N23" s="19">
        <f t="shared" si="154"/>
        <v>-66691.747081010195</v>
      </c>
      <c r="O23" s="19">
        <f>IF(O73="","",SUM(O73,O63,O53,O43,O33))</f>
        <v>31065.635623525563</v>
      </c>
      <c r="P23" s="19">
        <f t="shared" si="154"/>
        <v>166112.67315340095</v>
      </c>
      <c r="Q23" s="19">
        <f t="shared" si="154"/>
        <v>18052.865394769135</v>
      </c>
      <c r="R23" s="19">
        <f t="shared" si="154"/>
        <v>-111077.43450135857</v>
      </c>
      <c r="S23" s="19">
        <f t="shared" si="154"/>
        <v>-357301.22899240913</v>
      </c>
      <c r="T23" s="19">
        <f t="shared" si="154"/>
        <v>-176912.02989945305</v>
      </c>
      <c r="U23" s="19">
        <f t="shared" si="154"/>
        <v>380630.04265261232</v>
      </c>
      <c r="V23" s="19">
        <f t="shared" si="154"/>
        <v>588394.14144815551</v>
      </c>
      <c r="W23" s="19">
        <f t="shared" si="154"/>
        <v>779522.83178884932</v>
      </c>
      <c r="X23" s="19">
        <f t="shared" si="154"/>
        <v>616546.27623756987</v>
      </c>
      <c r="Y23" s="19">
        <f t="shared" si="154"/>
        <v>94719.113685406206</v>
      </c>
      <c r="Z23" s="19">
        <f>IF(Z73="","",SUM(Z73,Z63,Z53,Z43,Z33))</f>
        <v>218841.05228987065</v>
      </c>
      <c r="AA23" s="19">
        <f t="shared" si="154"/>
        <v>273479.88655577932</v>
      </c>
      <c r="AB23" s="19">
        <f t="shared" si="154"/>
        <v>346109.35431663052</v>
      </c>
      <c r="AC23" s="19">
        <f t="shared" si="154"/>
        <v>-611696.19764518389</v>
      </c>
      <c r="AD23" s="19">
        <f t="shared" si="154"/>
        <v>-1250801.4506012495</v>
      </c>
      <c r="AE23" s="19">
        <f t="shared" si="154"/>
        <v>-757381.25922660169</v>
      </c>
      <c r="AF23" s="19">
        <f t="shared" ref="AF23" si="155">IF(AF73="","",SUM(AF73,AF63,AF53,AF43,AF33))</f>
        <v>-440248.88143172616</v>
      </c>
      <c r="AG23" s="19">
        <f t="shared" ref="AG23:AW23" si="156">IF(AG73="","",SUM(AG73,AG63,AG53,AG43,AG33))</f>
        <v>1302114.9503061222</v>
      </c>
      <c r="AH23" s="19">
        <f t="shared" si="156"/>
        <v>1608012.4329475963</v>
      </c>
      <c r="AI23" s="19">
        <f t="shared" si="156"/>
        <v>1635972.7323519127</v>
      </c>
      <c r="AJ23" s="19">
        <f t="shared" si="156"/>
        <v>479731.4957571933</v>
      </c>
      <c r="AK23" s="19">
        <f t="shared" si="156"/>
        <v>-621948.91827478819</v>
      </c>
      <c r="AL23" s="19">
        <f t="shared" si="156"/>
        <v>-338731.02069875965</v>
      </c>
      <c r="AM23" s="19">
        <f t="shared" si="156"/>
        <v>-406106.93494770303</v>
      </c>
      <c r="AN23" s="19">
        <f t="shared" si="156"/>
        <v>-374009.65149891004</v>
      </c>
      <c r="AO23" s="19">
        <f t="shared" si="156"/>
        <v>-566569.34339839849</v>
      </c>
      <c r="AP23" s="19">
        <f t="shared" si="156"/>
        <v>-384767.07923458319</v>
      </c>
      <c r="AQ23" s="19">
        <f t="shared" si="156"/>
        <v>-152603.89288086267</v>
      </c>
      <c r="AR23" s="19">
        <f t="shared" si="156"/>
        <v>-10254.541794636869</v>
      </c>
      <c r="AS23" s="19">
        <f t="shared" si="156"/>
        <v>1581122.3321243408</v>
      </c>
      <c r="AT23" s="19">
        <f t="shared" si="156"/>
        <v>2095987.1937109674</v>
      </c>
      <c r="AU23" s="19">
        <f t="shared" si="156"/>
        <v>1812803.7212423692</v>
      </c>
      <c r="AV23" s="19">
        <f t="shared" si="156"/>
        <v>1009696.7851787962</v>
      </c>
      <c r="AW23" s="19">
        <f t="shared" si="156"/>
        <v>-28063.368875852291</v>
      </c>
      <c r="AX23" s="19">
        <f t="shared" ref="AX23:AY23" si="157">IF(AX73="","",SUM(AX73,AX63,AX53,AX43,AX33))</f>
        <v>70086.565946514078</v>
      </c>
      <c r="AY23" s="19">
        <f t="shared" si="157"/>
        <v>45331.348684887816</v>
      </c>
      <c r="AZ23" s="19">
        <f t="shared" ref="AZ23:BA23" si="158">IF(AZ73="","",SUM(AZ73,AZ63,AZ53,AZ43,AZ33))</f>
        <v>201289.66398114112</v>
      </c>
      <c r="BA23" s="19">
        <f t="shared" si="158"/>
        <v>48037.049075333402</v>
      </c>
      <c r="BB23" s="19">
        <f t="shared" ref="BB23:BC23" si="159">IF(BB73="","",SUM(BB73,BB63,BB53,BB43,BB33))</f>
        <v>-177794.47941383312</v>
      </c>
      <c r="BC23" s="19">
        <f t="shared" si="159"/>
        <v>-181210.54954556585</v>
      </c>
      <c r="BD23" s="19">
        <f t="shared" ref="BD23:BE23" si="160">IF(BD73="","",SUM(BD73,BD63,BD53,BD43,BD33))</f>
        <v>295263.91602080304</v>
      </c>
      <c r="BE23" s="19">
        <f t="shared" si="160"/>
        <v>2948455.3978466401</v>
      </c>
      <c r="BF23" s="19">
        <f t="shared" ref="BF23:BG23" si="161">IF(BF73="","",SUM(BF73,BF63,BF53,BF43,BF33))</f>
        <v>-770779.86464667344</v>
      </c>
      <c r="BG23" s="19">
        <f t="shared" si="161"/>
        <v>-777138.00370660529</v>
      </c>
      <c r="BH23" s="19">
        <f t="shared" ref="BH23:BI23" si="162">IF(BH73="","",SUM(BH73,BH63,BH53,BH43,BH33))</f>
        <v>-1038323.8523683236</v>
      </c>
      <c r="BI23" s="19">
        <f t="shared" si="162"/>
        <v>-1141490.1255331093</v>
      </c>
      <c r="BJ23" s="19">
        <f t="shared" ref="BJ23" si="163">IF(BJ73="","",SUM(BJ73,BJ63,BJ53,BJ43,BJ33))</f>
        <v>-994444.32162714028</v>
      </c>
      <c r="BK23" s="19">
        <f t="shared" ref="BK23:BL23" si="164">IF(BK73="","",SUM(BK73,BK63,BK53,BK43,BK33))</f>
        <v>-1039198.4417052858</v>
      </c>
      <c r="BL23" s="19">
        <f t="shared" si="164"/>
        <v>-1247358.2059275289</v>
      </c>
    </row>
    <row r="24" spans="1:64" s="4" customFormat="1" x14ac:dyDescent="0.35">
      <c r="A24" s="295"/>
      <c r="B24" s="18" t="s">
        <v>2</v>
      </c>
      <c r="C24" s="95"/>
      <c r="D24" s="95"/>
      <c r="E24" s="95"/>
      <c r="F24" s="19">
        <f>IF(F74="","",SUM(F74,F64,F54,F44,F34))</f>
        <v>0.71203150918887492</v>
      </c>
      <c r="G24" s="19">
        <f t="shared" si="154"/>
        <v>4706.5528003699237</v>
      </c>
      <c r="H24" s="19">
        <f t="shared" si="154"/>
        <v>2261.7229222973056</v>
      </c>
      <c r="I24" s="19">
        <f t="shared" si="154"/>
        <v>-264248.00351524254</v>
      </c>
      <c r="J24" s="19">
        <f t="shared" si="154"/>
        <v>-396272.77893663448</v>
      </c>
      <c r="K24" s="19">
        <f t="shared" si="154"/>
        <v>-441092.55137024395</v>
      </c>
      <c r="L24" s="19">
        <f t="shared" si="154"/>
        <v>-564635.90498749528</v>
      </c>
      <c r="M24" s="19">
        <f t="shared" si="154"/>
        <v>-870502.97426617541</v>
      </c>
      <c r="N24" s="19">
        <f t="shared" si="154"/>
        <v>-937194.72134718567</v>
      </c>
      <c r="O24" s="19">
        <f>IF(O74="","",SUM(O74,O64,O54,O44,O34))</f>
        <v>-906129.08572366007</v>
      </c>
      <c r="P24" s="19">
        <f t="shared" si="154"/>
        <v>-740016.41257025907</v>
      </c>
      <c r="Q24" s="19">
        <f t="shared" si="154"/>
        <v>-525409.32717548998</v>
      </c>
      <c r="R24" s="19">
        <f t="shared" si="154"/>
        <v>-455212.61167684849</v>
      </c>
      <c r="S24" s="19">
        <f t="shared" si="154"/>
        <v>-662871.82066925766</v>
      </c>
      <c r="T24" s="19">
        <f t="shared" si="154"/>
        <v>-703421.63056871074</v>
      </c>
      <c r="U24" s="19">
        <f t="shared" si="154"/>
        <v>-151579.36791609845</v>
      </c>
      <c r="V24" s="19">
        <f t="shared" si="154"/>
        <v>653572.59353205701</v>
      </c>
      <c r="W24" s="19">
        <f t="shared" si="154"/>
        <v>1642210.4353209063</v>
      </c>
      <c r="X24" s="19">
        <f t="shared" si="154"/>
        <v>2454712.3715584762</v>
      </c>
      <c r="Y24" s="19">
        <f t="shared" si="154"/>
        <v>2696939.4152438822</v>
      </c>
      <c r="Z24" s="19">
        <f>IF(Z74="","",SUM(Z74,Z64,Z54,Z44,Z34))</f>
        <v>3067186.4875337528</v>
      </c>
      <c r="AA24" s="19">
        <f t="shared" si="154"/>
        <v>3524046.4940895322</v>
      </c>
      <c r="AB24" s="19">
        <f t="shared" si="154"/>
        <v>4090952.8684061626</v>
      </c>
      <c r="AC24" s="19">
        <f t="shared" si="154"/>
        <v>3209837.7007609787</v>
      </c>
      <c r="AD24" s="19">
        <f t="shared" si="154"/>
        <v>1586455.3201597293</v>
      </c>
      <c r="AE24" s="19">
        <f t="shared" si="154"/>
        <v>562517.05093312752</v>
      </c>
      <c r="AF24" s="19">
        <f t="shared" ref="AF24" si="165">IF(AF74="","",SUM(AF74,AF64,AF54,AF44,AF34))</f>
        <v>-133210.95049859863</v>
      </c>
      <c r="AG24" s="19">
        <f t="shared" ref="AG24:AW24" si="166">IF(AG74="","",SUM(AG74,AG64,AG54,AG44,AG34))</f>
        <v>847651.22980752343</v>
      </c>
      <c r="AH24" s="19">
        <f t="shared" si="166"/>
        <v>2043353.2127551197</v>
      </c>
      <c r="AI24" s="19">
        <f t="shared" si="166"/>
        <v>3261968.6851070323</v>
      </c>
      <c r="AJ24" s="19">
        <f t="shared" si="166"/>
        <v>3328657.2308642259</v>
      </c>
      <c r="AK24" s="19">
        <f t="shared" si="166"/>
        <v>2403212.0525894375</v>
      </c>
      <c r="AL24" s="19">
        <f t="shared" si="166"/>
        <v>1783212.1718906779</v>
      </c>
      <c r="AM24" s="19">
        <f t="shared" si="166"/>
        <v>1035985.2469429747</v>
      </c>
      <c r="AN24" s="19">
        <f t="shared" si="166"/>
        <v>237729.42544406466</v>
      </c>
      <c r="AO24" s="19">
        <f t="shared" si="166"/>
        <v>-366328.51795433403</v>
      </c>
      <c r="AP24" s="19">
        <f t="shared" si="166"/>
        <v>-767550.09718891722</v>
      </c>
      <c r="AQ24" s="19">
        <f t="shared" si="166"/>
        <v>-980795.26006977982</v>
      </c>
      <c r="AR24" s="19">
        <f t="shared" si="166"/>
        <v>-982925.54186441668</v>
      </c>
      <c r="AS24" s="19">
        <f t="shared" si="166"/>
        <v>597435.28025992424</v>
      </c>
      <c r="AT24" s="19">
        <f t="shared" si="166"/>
        <v>2665285.6339708916</v>
      </c>
      <c r="AU24" s="19">
        <f t="shared" si="166"/>
        <v>4455483.2652132604</v>
      </c>
      <c r="AV24" s="19">
        <f t="shared" si="166"/>
        <v>5461306.1303920569</v>
      </c>
      <c r="AW24" s="19">
        <f t="shared" si="166"/>
        <v>5445892.8815162042</v>
      </c>
      <c r="AX24" s="19">
        <f t="shared" ref="AX24:AY24" si="167">IF(AX74="","",SUM(AX74,AX64,AX54,AX44,AX34))</f>
        <v>5531396.9774627183</v>
      </c>
      <c r="AY24" s="19">
        <f t="shared" si="167"/>
        <v>5560492.8861476071</v>
      </c>
      <c r="AZ24" s="19">
        <f t="shared" ref="AZ24:BA24" si="168">IF(AZ74="","",SUM(AZ74,AZ64,AZ54,AZ44,AZ34))</f>
        <v>5723578.0101287477</v>
      </c>
      <c r="BA24" s="19">
        <f t="shared" si="168"/>
        <v>5405804.3092040811</v>
      </c>
      <c r="BB24" s="19">
        <f t="shared" ref="BB24:BC24" si="169">IF(BB74="","",SUM(BB74,BB64,BB54,BB44,BB34))</f>
        <v>4774566.4897902478</v>
      </c>
      <c r="BC24" s="19">
        <f t="shared" si="169"/>
        <v>4183743.8702446818</v>
      </c>
      <c r="BD24" s="19">
        <f t="shared" ref="BD24:BE24" si="170">IF(BD74="","",SUM(BD74,BD64,BD54,BD44,BD34))</f>
        <v>4102225.2562654852</v>
      </c>
      <c r="BE24" s="19">
        <f t="shared" si="170"/>
        <v>6594802.4941121247</v>
      </c>
      <c r="BF24" s="19">
        <f t="shared" ref="BF24:BG24" si="171">IF(BF74="","",SUM(BF74,BF64,BF54,BF44,BF34))</f>
        <v>5275217.0894654505</v>
      </c>
      <c r="BG24" s="19">
        <f t="shared" si="171"/>
        <v>3931099.8157588458</v>
      </c>
      <c r="BH24" s="19">
        <f t="shared" ref="BH24:BI24" si="172">IF(BH74="","",SUM(BH74,BH64,BH54,BH44,BH34))</f>
        <v>2350885.3033905225</v>
      </c>
      <c r="BI24" s="19">
        <f t="shared" si="172"/>
        <v>782392.94785741309</v>
      </c>
      <c r="BJ24" s="19">
        <f t="shared" ref="BJ24" si="173">IF(BJ74="","",SUM(BJ74,BJ64,BJ54,BJ44,BJ34))</f>
        <v>-610400.96376972727</v>
      </c>
      <c r="BK24" s="19">
        <f t="shared" ref="BK24:BL24" si="174">IF(BK74="","",SUM(BK74,BK64,BK54,BK44,BK34))</f>
        <v>-2139402.8654750129</v>
      </c>
      <c r="BL24" s="19">
        <f t="shared" si="174"/>
        <v>-3990105.0914025418</v>
      </c>
    </row>
    <row r="25" spans="1:64" s="4" customFormat="1" ht="8.25" customHeight="1" x14ac:dyDescent="0.35">
      <c r="A25" s="40"/>
      <c r="B25" s="11"/>
      <c r="C25" s="99"/>
      <c r="D25" s="99"/>
      <c r="E25" s="99"/>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row>
    <row r="26" spans="1:64" s="4" customFormat="1" ht="15" hidden="1" customHeight="1" outlineLevel="1" x14ac:dyDescent="0.35">
      <c r="A26" s="295" t="s">
        <v>20</v>
      </c>
      <c r="B26" s="15"/>
      <c r="C26" s="94"/>
      <c r="D26" s="94"/>
      <c r="E26" s="94"/>
      <c r="F26" s="7"/>
      <c r="G26" s="7"/>
      <c r="H26" s="7"/>
      <c r="I26" s="7"/>
      <c r="J26" s="7"/>
      <c r="K26" s="7"/>
      <c r="L26" s="7"/>
      <c r="M26" s="7"/>
      <c r="N26" s="113">
        <f>'MEEIA 3 adjs'!L12</f>
        <v>8.9999999999918145E-2</v>
      </c>
      <c r="O26" s="7"/>
      <c r="P26" s="7"/>
      <c r="Q26" s="7"/>
      <c r="R26" s="7"/>
      <c r="S26" s="7"/>
      <c r="T26" s="7"/>
      <c r="U26" s="7"/>
      <c r="V26" s="7"/>
      <c r="W26" s="7"/>
      <c r="X26" s="7"/>
      <c r="Y26" s="7"/>
      <c r="Z26" s="113">
        <f>'MEEIA 3 adjs'!AA34</f>
        <v>481.7</v>
      </c>
      <c r="AA26" s="7"/>
      <c r="AB26" s="7"/>
      <c r="AC26" s="7"/>
      <c r="AD26" s="7"/>
      <c r="AE26" s="7"/>
      <c r="AF26" s="7"/>
      <c r="AG26" s="7"/>
      <c r="AH26" s="7"/>
      <c r="AI26" s="7"/>
      <c r="AJ26" s="7"/>
      <c r="AK26" s="7"/>
      <c r="AL26" s="7"/>
      <c r="AM26" s="7"/>
      <c r="AN26" s="7"/>
      <c r="AO26" s="7"/>
      <c r="AP26" s="7"/>
      <c r="AQ26" s="7"/>
      <c r="AR26" s="7"/>
      <c r="AS26" s="7"/>
      <c r="AT26" s="7"/>
      <c r="AU26" s="7"/>
      <c r="AV26" s="7"/>
      <c r="AW26" s="125">
        <v>-112267.825004852</v>
      </c>
      <c r="AX26" s="7"/>
      <c r="AY26" s="7"/>
      <c r="AZ26" s="113">
        <f>'MEEIA 3 adjs'!DZ32</f>
        <v>-197.79000000000087</v>
      </c>
      <c r="BA26" s="7"/>
      <c r="BB26" s="7"/>
      <c r="BC26" s="7"/>
      <c r="BD26" s="7"/>
      <c r="BE26" s="7"/>
      <c r="BF26" s="7"/>
      <c r="BG26" s="7"/>
      <c r="BH26" s="7"/>
      <c r="BI26" s="7"/>
      <c r="BJ26" s="7"/>
      <c r="BK26" s="7"/>
      <c r="BL26" s="7"/>
    </row>
    <row r="27" spans="1:64" s="2" customFormat="1" ht="15" hidden="1" customHeight="1" outlineLevel="1" x14ac:dyDescent="0.35">
      <c r="A27" s="295"/>
      <c r="B27" s="15" t="s">
        <v>28</v>
      </c>
      <c r="C27" s="94"/>
      <c r="D27" s="94"/>
      <c r="E27" s="94"/>
      <c r="F27" s="20">
        <f>IF('M3 Allocations - TD'!D5="","",'M3 Allocations - TD'!D31)</f>
        <v>0</v>
      </c>
      <c r="G27" s="20">
        <f>IF('M3 Allocations - TD'!E5="","",'M3 Allocations - TD'!E31)</f>
        <v>3542.7066619947968</v>
      </c>
      <c r="H27" s="20">
        <f>IF('M3 Allocations - TD'!F5="","",'M3 Allocations - TD'!F31)</f>
        <v>26593.748856903429</v>
      </c>
      <c r="I27" s="20">
        <f>IF('M3 Allocations - TD'!G5="","",'M3 Allocations - TD'!G31)</f>
        <v>243363.92907678595</v>
      </c>
      <c r="J27" s="20">
        <f>IF('M3 Allocations - TD'!H5="","",'M3 Allocations - TD'!H31)</f>
        <v>441129.8099540461</v>
      </c>
      <c r="K27" s="20">
        <f>IF('M3 Allocations - TD'!I5="","",'M3 Allocations - TD'!I31)</f>
        <v>538055.00088770315</v>
      </c>
      <c r="L27" s="20">
        <f>IF('M3 Allocations - TD'!J5="","",'M3 Allocations - TD'!J31)</f>
        <v>375001.00963366695</v>
      </c>
      <c r="M27" s="20">
        <f>IF('M3 Allocations - TD'!K5="","",'M3 Allocations - TD'!K31)</f>
        <v>137834.38057719183</v>
      </c>
      <c r="N27" s="20">
        <f>IF('M3 Allocations - TD'!L5="","",'M3 Allocations - TD'!L31)</f>
        <v>274809.55657286098</v>
      </c>
      <c r="O27" s="20">
        <f>IF('M3 Allocations - TD'!M5="","",'M3 Allocations - TD'!M31)</f>
        <v>467843.25553902646</v>
      </c>
      <c r="P27" s="20">
        <f>IF('M3 Allocations - TD'!N5="","",'M3 Allocations - TD'!N31)</f>
        <v>544296.07292371744</v>
      </c>
      <c r="Q27" s="20">
        <f>IF('M3 Allocations - TD'!O5="","",'M3 Allocations - TD'!O31)</f>
        <v>676189.22029010952</v>
      </c>
      <c r="R27" s="20">
        <f>IF('M3 Allocations - TD'!P5="","",'M3 Allocations - TD'!P31)</f>
        <v>463090.51540533279</v>
      </c>
      <c r="S27" s="20">
        <f>IF('M3 Allocations - TD'!Q5="","",'M3 Allocations - TD'!Q31)</f>
        <v>212999.83668866704</v>
      </c>
      <c r="T27" s="20">
        <f>IF('M3 Allocations - TD'!R5="","",'M3 Allocations - TD'!R31)</f>
        <v>239315.41925638349</v>
      </c>
      <c r="U27" s="20">
        <f>IF('M3 Allocations - TD'!S5="","",'M3 Allocations - TD'!S31)</f>
        <v>745964.63979628112</v>
      </c>
      <c r="V27" s="20">
        <f>IF('M3 Allocations - TD'!T5="","",'M3 Allocations - TD'!T31)</f>
        <v>1021961.1417325244</v>
      </c>
      <c r="W27" s="20">
        <f>IF('M3 Allocations - TD'!U5="","",'M3 Allocations - TD'!U31)</f>
        <v>1221140.287913003</v>
      </c>
      <c r="X27" s="20">
        <f>IF('M3 Allocations - TD'!V5="","",'M3 Allocations - TD'!V31)</f>
        <v>1038934.5439936385</v>
      </c>
      <c r="Y27" s="20">
        <f>IF('M3 Allocations - TD'!W5="","",'M3 Allocations - TD'!W31)</f>
        <v>456853.18990942289</v>
      </c>
      <c r="Z27" s="20">
        <f>IF('M3 Allocations - TD'!X5="","",'M3 Allocations - TD'!X31)</f>
        <v>609473.30327174987</v>
      </c>
      <c r="AA27" s="20">
        <f>IF('M3 Allocations - TD'!Y5="","",'M3 Allocations - TD'!Y31)</f>
        <v>767580.56672561402</v>
      </c>
      <c r="AB27" s="20">
        <f>IF('M3 Allocations - TD'!Z5="","",'M3 Allocations - TD'!Z31)</f>
        <v>793063.84804214339</v>
      </c>
      <c r="AC27" s="20">
        <f>IF('M3 Allocations - TD'!AA5="","",'M3 Allocations - TD'!AA31)</f>
        <v>764854.30430963449</v>
      </c>
      <c r="AD27" s="20">
        <f>IF('M3 Allocations - TD'!AB5="","",'M3 Allocations - TD'!AB31)</f>
        <v>819560.20806617534</v>
      </c>
      <c r="AE27" s="20">
        <f>IF('M3 Allocations - TD'!AC5="","",'M3 Allocations - TD'!AC31)</f>
        <v>733166.25858200283</v>
      </c>
      <c r="AF27" s="20">
        <f>IF('M3 Allocations - TD'!AD5="","",'M3 Allocations - TD'!AD31)</f>
        <v>808585.44290839287</v>
      </c>
      <c r="AG27" s="20">
        <f>IF('M3 Allocations - TD'!AE5="","",'M3 Allocations - TD'!AE31)</f>
        <v>2229150.475396621</v>
      </c>
      <c r="AH27" s="20">
        <f>IF('M3 Allocations - TD'!AF5="","",'M3 Allocations - TD'!AF31)</f>
        <v>2728598.0253418689</v>
      </c>
      <c r="AI27" s="20">
        <f>IF('M3 Allocations - TD'!AG5="","",'M3 Allocations - TD'!AG31)</f>
        <v>2843181.2454154654</v>
      </c>
      <c r="AJ27" s="20">
        <f>IF('M3 Allocations - TD'!AH5="","",'M3 Allocations - TD'!AH31)</f>
        <v>2152415.8892408246</v>
      </c>
      <c r="AK27" s="20">
        <f>IF('M3 Allocations - TD'!AI5="","",'M3 Allocations - TD'!AI31)</f>
        <v>886771.1903804827</v>
      </c>
      <c r="AL27" s="20">
        <f>IF('M3 Allocations - TD'!AJ5="","",'M3 Allocations - TD'!AJ31)</f>
        <v>1017970.7346454827</v>
      </c>
      <c r="AM27" s="20">
        <f>IF('M3 Allocations - TD'!AK5="","",'M3 Allocations - TD'!AK31)</f>
        <v>1252923.0225376603</v>
      </c>
      <c r="AN27" s="20">
        <f>IF('M3 Allocations - TD'!AL5="","",'M3 Allocations - TD'!AL31)</f>
        <v>1434652.1574546397</v>
      </c>
      <c r="AO27" s="20">
        <f>IF('M3 Allocations - TD'!AM5="","",'M3 Allocations - TD'!AM31)</f>
        <v>1242256.6900827016</v>
      </c>
      <c r="AP27" s="20">
        <f>IF('M3 Allocations - TD'!AN5="","",'M3 Allocations - TD'!AN31)</f>
        <v>466704.19082447694</v>
      </c>
      <c r="AQ27" s="20">
        <f>IF('M3 Allocations - TD'!AO5="","",'M3 Allocations - TD'!AO31)</f>
        <v>411086.64598257263</v>
      </c>
      <c r="AR27" s="20">
        <f>IF('M3 Allocations - TD'!AP5="","",'M3 Allocations - TD'!AP31)</f>
        <v>460606.66199414816</v>
      </c>
      <c r="AS27" s="20">
        <f>IF('M3 Allocations - TD'!AQ5="","",'M3 Allocations - TD'!AQ31)</f>
        <v>1458035.3553365585</v>
      </c>
      <c r="AT27" s="20">
        <f>IF('M3 Allocations - TD'!AR5="","",'M3 Allocations - TD'!AR31)</f>
        <v>1865399.5827007205</v>
      </c>
      <c r="AU27" s="20">
        <f>IF('M3 Allocations - TD'!AS5="","",'M3 Allocations - TD'!AS31)</f>
        <v>1789207.583547906</v>
      </c>
      <c r="AV27" s="20">
        <f>IF('M3 Allocations - TD'!AT5="","",'M3 Allocations - TD'!AT31)</f>
        <v>1230661.6176145528</v>
      </c>
      <c r="AW27" s="20">
        <f>IF('M3 Allocations - TD'!AU5="","",'M3 Allocations - TD'!AU31)</f>
        <v>448108.96181830607</v>
      </c>
      <c r="AX27" s="20">
        <f>IF('M3 Allocations - TD'!AV5="","",'M3 Allocations - TD'!AV31)</f>
        <v>511415.71013617213</v>
      </c>
      <c r="AY27" s="20">
        <f>IF('M3 Allocations - TD'!AW5="","",'M3 Allocations - TD'!AW31)</f>
        <v>657599.6612363765</v>
      </c>
      <c r="AZ27" s="20">
        <f>IF('M3 Allocations - TD'!AX5="","",'M3 Allocations - TD'!AX31)</f>
        <v>715751.71736553009</v>
      </c>
      <c r="BA27" s="20">
        <f>IF('M3 Allocations - TD'!AY5="","",'M3 Allocations - TD'!AY31)</f>
        <v>611610.33271900774</v>
      </c>
      <c r="BB27" s="20">
        <f>IF('M3 Allocations - TD'!AZ5="","",'M3 Allocations - TD'!AZ31)</f>
        <v>580052.23772821727</v>
      </c>
      <c r="BC27" s="20">
        <f>IF('M3 Allocations - TD'!BA5="","",'M3 Allocations - TD'!BA31)</f>
        <v>485147.45423910866</v>
      </c>
      <c r="BD27" s="20">
        <f>IF('M3 Allocations - TD'!BB5="","",'M3 Allocations - TD'!BB31)</f>
        <v>579019.58477694308</v>
      </c>
      <c r="BE27" s="20">
        <f>IF('M3 Allocations - TD'!BC5="","",'M3 Allocations - TD'!BC31)</f>
        <v>2075209.7832731153</v>
      </c>
      <c r="BF27" s="20">
        <f>IF('M3 Allocations - TD'!BD5="","",'M3 Allocations - TD'!BD31)</f>
        <v>336900.48174892482</v>
      </c>
      <c r="BG27" s="20">
        <f>IF('M3 Allocations - TD'!BE5="","",'M3 Allocations - TD'!BE31)</f>
        <v>423106.97149800922</v>
      </c>
      <c r="BH27" s="20">
        <f>IF('M3 Allocations - TD'!BF5="","",'M3 Allocations - TD'!BF31)</f>
        <v>257414.74403194929</v>
      </c>
      <c r="BI27" s="20">
        <f>IF('M3 Allocations - TD'!BG5="","",'M3 Allocations - TD'!BG31)</f>
        <v>72670.704773576188</v>
      </c>
      <c r="BJ27" s="20">
        <f>IF('M3 Allocations - TD'!BH5="","",'M3 Allocations - TD'!BH31)</f>
        <v>108867.56960210996</v>
      </c>
      <c r="BK27" s="20">
        <f>IF('M3 Allocations - TD'!BI5="","",'M3 Allocations - TD'!BI31)</f>
        <v>205048.07300254761</v>
      </c>
      <c r="BL27" s="20">
        <f>IF('M3 Allocations - TD'!BJ5="","",'M3 Allocations - TD'!BJ31)</f>
        <v>237299.6790797576</v>
      </c>
    </row>
    <row r="28" spans="1:64" s="4" customFormat="1" ht="15" hidden="1" customHeight="1" outlineLevel="1" x14ac:dyDescent="0.35">
      <c r="A28" s="295"/>
      <c r="B28" s="16" t="s">
        <v>26</v>
      </c>
      <c r="C28" s="94"/>
      <c r="D28" s="94"/>
      <c r="E28" s="94"/>
      <c r="F28" s="20">
        <f>IF('M3 Allocations - TD'!D51="","",'M3 Allocations - TD'!D69)</f>
        <v>0</v>
      </c>
      <c r="G28" s="20">
        <f>IF('M3 Allocations - TD'!E51="","",'M3 Allocations - TD'!E69)</f>
        <v>0</v>
      </c>
      <c r="H28" s="20">
        <f>IF('M3 Allocations - TD'!F51="","",'M3 Allocations - TD'!F69)</f>
        <v>28636.335868779192</v>
      </c>
      <c r="I28" s="20">
        <f>IF('M3 Allocations - TD'!G51="","",'M3 Allocations - TD'!G69)</f>
        <v>344669.92129031231</v>
      </c>
      <c r="J28" s="20">
        <f>IF('M3 Allocations - TD'!H51="","",'M3 Allocations - TD'!H69)</f>
        <v>437739.69493695599</v>
      </c>
      <c r="K28" s="20">
        <f>IF('M3 Allocations - TD'!I51="","",'M3 Allocations - TD'!I69)</f>
        <v>461093.89388914994</v>
      </c>
      <c r="L28" s="20">
        <f>IF('M3 Allocations - TD'!J51="","",'M3 Allocations - TD'!J69)</f>
        <v>425531.99443758972</v>
      </c>
      <c r="M28" s="20">
        <f>IF('M3 Allocations - TD'!K51="","",'M3 Allocations - TD'!K69)</f>
        <v>350101.97926152864</v>
      </c>
      <c r="N28" s="20">
        <f>IF('M3 Allocations - TD'!L51="","",'M3 Allocations - TD'!L69)</f>
        <v>315194.78964232601</v>
      </c>
      <c r="O28" s="20">
        <f>IF('M3 Allocations - TD'!M51="","",'M3 Allocations - TD'!M69)</f>
        <v>423499.84124645527</v>
      </c>
      <c r="P28" s="20">
        <f>IF('M3 Allocations - TD'!N51="","",'M3 Allocations - TD'!N69)</f>
        <v>467459.76087976695</v>
      </c>
      <c r="Q28" s="20">
        <f>IF('M3 Allocations - TD'!O51="","",'M3 Allocations - TD'!O69)</f>
        <v>474323.05163473397</v>
      </c>
      <c r="R28" s="20">
        <f>IF('M3 Allocations - TD'!P51="","",'M3 Allocations - TD'!P69)</f>
        <v>428810.25716296653</v>
      </c>
      <c r="S28" s="20">
        <f>IF('M3 Allocations - TD'!Q51="","",'M3 Allocations - TD'!Q69)</f>
        <v>339346.33491655142</v>
      </c>
      <c r="T28" s="20">
        <f>IF('M3 Allocations - TD'!R51="","",'M3 Allocations - TD'!R69)</f>
        <v>302925.05162387801</v>
      </c>
      <c r="U28" s="20">
        <f>IF('M3 Allocations - TD'!S51="","",'M3 Allocations - TD'!S69)</f>
        <v>399589.74786578171</v>
      </c>
      <c r="V28" s="20">
        <f>IF('M3 Allocations - TD'!T51="","",'M3 Allocations - TD'!T69)</f>
        <v>536049.73122413771</v>
      </c>
      <c r="W28" s="20">
        <f>IF('M3 Allocations - TD'!U51="","",'M3 Allocations - TD'!U69)</f>
        <v>503311.04413038632</v>
      </c>
      <c r="X28" s="20">
        <f>IF('M3 Allocations - TD'!V51="","",'M3 Allocations - TD'!V69)</f>
        <v>453730.11803544633</v>
      </c>
      <c r="Y28" s="20">
        <f>IF('M3 Allocations - TD'!W51="","",'M3 Allocations - TD'!W69)</f>
        <v>307694.93026905361</v>
      </c>
      <c r="Z28" s="20">
        <f>IF('M3 Allocations - TD'!X51="","",'M3 Allocations - TD'!X69)</f>
        <v>328619.27667869348</v>
      </c>
      <c r="AA28" s="20">
        <f>IF('M3 Allocations - TD'!Y51="","",'M3 Allocations - TD'!Y69)</f>
        <v>435339.54516653361</v>
      </c>
      <c r="AB28" s="20">
        <f>IF('M3 Allocations - TD'!Z51="","",'M3 Allocations - TD'!Z69)</f>
        <v>565868.64496161381</v>
      </c>
      <c r="AC28" s="20">
        <f>IF('M3 Allocations - TD'!AA51="","",'M3 Allocations - TD'!AA69)</f>
        <v>1375644.4768897495</v>
      </c>
      <c r="AD28" s="20">
        <f>IF('M3 Allocations - TD'!AB51="","",'M3 Allocations - TD'!AB69)</f>
        <v>1787809.7846895901</v>
      </c>
      <c r="AE28" s="20">
        <f>IF('M3 Allocations - TD'!AC51="","",'M3 Allocations - TD'!AC69)</f>
        <v>1208966.210998087</v>
      </c>
      <c r="AF28" s="20">
        <f>IF('M3 Allocations - TD'!AD51="","",'M3 Allocations - TD'!AD69)</f>
        <v>1135096.7258818494</v>
      </c>
      <c r="AG28" s="20">
        <f>IF('M3 Allocations - TD'!AE51="","",'M3 Allocations - TD'!AE69)</f>
        <v>1483131.5421443433</v>
      </c>
      <c r="AH28" s="20">
        <f>IF('M3 Allocations - TD'!AF51="","",'M3 Allocations - TD'!AF69)</f>
        <v>1957827.6512690852</v>
      </c>
      <c r="AI28" s="20">
        <f>IF('M3 Allocations - TD'!AG51="","",'M3 Allocations - TD'!AG69)</f>
        <v>1996815.833049651</v>
      </c>
      <c r="AJ28" s="20">
        <f>IF('M3 Allocations - TD'!AH51="","",'M3 Allocations - TD'!AH69)</f>
        <v>1962236.8311878431</v>
      </c>
      <c r="AK28" s="20">
        <f>IF('M3 Allocations - TD'!AI51="","",'M3 Allocations - TD'!AI69)</f>
        <v>1361448.9893388003</v>
      </c>
      <c r="AL28" s="20">
        <f>IF('M3 Allocations - TD'!AJ51="","",'M3 Allocations - TD'!AJ69)</f>
        <v>1278047.5437683114</v>
      </c>
      <c r="AM28" s="20">
        <f>IF('M3 Allocations - TD'!AK51="","",'M3 Allocations - TD'!AK69)</f>
        <v>1599362.0545714868</v>
      </c>
      <c r="AN28" s="20">
        <f>IF('M3 Allocations - TD'!AL51="","",'M3 Allocations - TD'!AL69)</f>
        <v>2061688.4651608262</v>
      </c>
      <c r="AO28" s="20">
        <f>IF('M3 Allocations - TD'!AM51="","",'M3 Allocations - TD'!AM69)</f>
        <v>1660014.398272939</v>
      </c>
      <c r="AP28" s="20">
        <f>IF('M3 Allocations - TD'!AN51="","",'M3 Allocations - TD'!AN69)</f>
        <v>727343.38262135477</v>
      </c>
      <c r="AQ28" s="20">
        <f>IF('M3 Allocations - TD'!AO51="","",'M3 Allocations - TD'!AO69)</f>
        <v>558489.16557480057</v>
      </c>
      <c r="AR28" s="20">
        <f>IF('M3 Allocations - TD'!AP51="","",'M3 Allocations - TD'!AP69)</f>
        <v>521512.93435668247</v>
      </c>
      <c r="AS28" s="20">
        <f>IF('M3 Allocations - TD'!AQ51="","",'M3 Allocations - TD'!AQ69)</f>
        <v>661161.70778882992</v>
      </c>
      <c r="AT28" s="20">
        <f>IF('M3 Allocations - TD'!AR51="","",'M3 Allocations - TD'!AR69)</f>
        <v>907955.1483625297</v>
      </c>
      <c r="AU28" s="20">
        <f>IF('M3 Allocations - TD'!AS51="","",'M3 Allocations - TD'!AS69)</f>
        <v>865613.78677226591</v>
      </c>
      <c r="AV28" s="20">
        <f>IF('M3 Allocations - TD'!AT51="","",'M3 Allocations - TD'!AT69)</f>
        <v>722180.00996221579</v>
      </c>
      <c r="AW28" s="20">
        <f>IF('M3 Allocations - TD'!AU51="","",'M3 Allocations - TD'!AU69)</f>
        <v>521401.47348380275</v>
      </c>
      <c r="AX28" s="20">
        <f>IF('M3 Allocations - TD'!AV51="","",'M3 Allocations - TD'!AV69)</f>
        <v>494704.46538048884</v>
      </c>
      <c r="AY28" s="20">
        <f>IF('M3 Allocations - TD'!AW51="","",'M3 Allocations - TD'!AW69)</f>
        <v>756126.23939637165</v>
      </c>
      <c r="AZ28" s="20">
        <f>IF('M3 Allocations - TD'!AX51="","",'M3 Allocations - TD'!AX69)</f>
        <v>905435.35475830093</v>
      </c>
      <c r="BA28" s="20">
        <f>IF('M3 Allocations - TD'!AY51="","",'M3 Allocations - TD'!AY69)</f>
        <v>894861.30971378379</v>
      </c>
      <c r="BB28" s="20">
        <f>IF('M3 Allocations - TD'!AZ51="","",'M3 Allocations - TD'!AZ69)</f>
        <v>886186.43605950114</v>
      </c>
      <c r="BC28" s="20">
        <f>IF('M3 Allocations - TD'!BA51="","",'M3 Allocations - TD'!BA69)</f>
        <v>765014.07629471621</v>
      </c>
      <c r="BD28" s="20">
        <f>IF('M3 Allocations - TD'!BB51="","",'M3 Allocations - TD'!BB69)</f>
        <v>653602.05200737016</v>
      </c>
      <c r="BE28" s="20">
        <f>IF('M3 Allocations - TD'!BC51="","",'M3 Allocations - TD'!BC69)</f>
        <v>842781.28485866333</v>
      </c>
      <c r="BF28" s="20">
        <f>IF('M3 Allocations - TD'!BD51="","",'M3 Allocations - TD'!BD69)</f>
        <v>1100550.8342116643</v>
      </c>
      <c r="BG28" s="20">
        <f>IF('M3 Allocations - TD'!BE51="","",'M3 Allocations - TD'!BE69)</f>
        <v>1135131.3126591197</v>
      </c>
      <c r="BH28" s="20">
        <f>IF('M3 Allocations - TD'!BF51="","",'M3 Allocations - TD'!BF69)</f>
        <v>1050840.2575926636</v>
      </c>
      <c r="BI28" s="20">
        <f>IF('M3 Allocations - TD'!BG51="","",'M3 Allocations - TD'!BG69)</f>
        <v>764524.99814993259</v>
      </c>
      <c r="BJ28" s="20">
        <f>IF('M3 Allocations - TD'!BH51="","",'M3 Allocations - TD'!BH69)</f>
        <v>707659.93377262098</v>
      </c>
      <c r="BK28" s="20">
        <f>IF('M3 Allocations - TD'!BI51="","",'M3 Allocations - TD'!BI69)</f>
        <v>967349.64350892825</v>
      </c>
      <c r="BL28" s="20">
        <f>IF('M3 Allocations - TD'!BJ51="","",'M3 Allocations - TD'!BJ69)</f>
        <v>1267177.2104732112</v>
      </c>
    </row>
    <row r="29" spans="1:64" s="4" customFormat="1" ht="15" hidden="1" customHeight="1" outlineLevel="1" x14ac:dyDescent="0.35">
      <c r="A29" s="295"/>
      <c r="B29" s="16" t="s">
        <v>51</v>
      </c>
      <c r="C29" s="94"/>
      <c r="D29" s="94"/>
      <c r="E29" s="94"/>
      <c r="F29" s="20">
        <f>IF(F28="","",0)</f>
        <v>0</v>
      </c>
      <c r="G29" s="20">
        <f t="shared" ref="G29:P29" si="175">IF(G28="","",0)</f>
        <v>0</v>
      </c>
      <c r="H29" s="20">
        <f t="shared" si="175"/>
        <v>0</v>
      </c>
      <c r="I29" s="20">
        <f t="shared" si="175"/>
        <v>0</v>
      </c>
      <c r="J29" s="20">
        <f t="shared" si="175"/>
        <v>0</v>
      </c>
      <c r="K29" s="20">
        <f t="shared" si="175"/>
        <v>0</v>
      </c>
      <c r="L29" s="20">
        <f t="shared" si="175"/>
        <v>0</v>
      </c>
      <c r="M29" s="20">
        <f t="shared" si="175"/>
        <v>0</v>
      </c>
      <c r="N29" s="20">
        <f>IF(N28="","",0)</f>
        <v>0</v>
      </c>
      <c r="O29" s="20">
        <f t="shared" si="175"/>
        <v>0</v>
      </c>
      <c r="P29" s="20">
        <f t="shared" si="175"/>
        <v>0</v>
      </c>
      <c r="Q29" s="20">
        <f>IF(Q28="","",-'M3 TD amort'!C8)</f>
        <v>115732.97</v>
      </c>
      <c r="R29" s="20">
        <f>IF(R28="","",-'M3 TD amort'!D8)</f>
        <v>104574.51</v>
      </c>
      <c r="S29" s="20">
        <f>IF(S28="","",-'M3 TD amort'!E8)</f>
        <v>82818.98</v>
      </c>
      <c r="T29" s="20">
        <f>IF(T28="","",-'M3 TD amort'!F8)</f>
        <v>74005.649999999994</v>
      </c>
      <c r="U29" s="20">
        <f>IF(U28="","",-'M3 TD amort'!G8)</f>
        <v>97941.18</v>
      </c>
      <c r="V29" s="20">
        <f>IF(V28="","",-'M3 TD amort'!H8)</f>
        <v>131594.67000000001</v>
      </c>
      <c r="W29" s="20">
        <f>IF(W28="","",-'M3 TD amort'!I8)</f>
        <v>123527.13</v>
      </c>
      <c r="X29" s="20">
        <f>IF(X28="","",-'M3 TD amort'!J8)</f>
        <v>111322.95</v>
      </c>
      <c r="Y29" s="20">
        <f>IF(Y28="","",-'M3 TD amort'!K8)</f>
        <v>75219.710000000006</v>
      </c>
      <c r="Z29" s="20">
        <f>IF(Z28="","",-'M3 TD amort'!L8)</f>
        <v>80241.5</v>
      </c>
      <c r="AA29" s="20">
        <f>IF(AA28="","",-'M3 TD amort'!M8)</f>
        <v>106401.64</v>
      </c>
      <c r="AB29" s="20">
        <f>IF(AB28="","",-'M3 TD amort'!N8)</f>
        <v>138469.78</v>
      </c>
      <c r="AC29" s="20">
        <f>IF(AC28="","",-'M3 TD amort'!O8)</f>
        <v>-214209.84</v>
      </c>
      <c r="AD29" s="20">
        <f>IF(AD28="","",-'M3 TD amort'!P8)</f>
        <v>-278064.93</v>
      </c>
      <c r="AE29" s="20">
        <f>IF(AE28="","",-'M3 TD amort'!Q8)</f>
        <v>-187629.17</v>
      </c>
      <c r="AF29" s="20">
        <f>IF(AF28="","",-'M3 TD amort'!R8)</f>
        <v>-176283.71</v>
      </c>
      <c r="AG29" s="20">
        <f>IF(AG28="","",-'M3 TD amort'!S8)</f>
        <v>-231223.27</v>
      </c>
      <c r="AH29" s="20">
        <f>IF(AH28="","",-'M3 TD amort'!T8)</f>
        <v>-305423.73</v>
      </c>
      <c r="AI29" s="20">
        <f>IF(AI28="","",-'M3 TD amort'!U8)</f>
        <v>-311615.01</v>
      </c>
      <c r="AJ29" s="20">
        <f>IF(AJ28="","",-'M3 TD amort'!V8)</f>
        <v>-306092.45</v>
      </c>
      <c r="AK29" s="20">
        <f>IF(AK28="","",-'M3 TD amort'!W8)</f>
        <v>-211968.1</v>
      </c>
      <c r="AL29" s="20">
        <f>IF(AL28="","",-'M3 TD amort'!X8)</f>
        <v>-198628.63</v>
      </c>
      <c r="AM29" s="20">
        <f>IF(AM28="","",-'M3 TD amort'!Y8)</f>
        <v>-248528.93</v>
      </c>
      <c r="AN29" s="20">
        <f>IF(AN28="","",-'M3 TD amort'!Z8)</f>
        <v>-321239.03999999998</v>
      </c>
      <c r="AO29" s="20">
        <f>IF(AO28="","",-'M3 TD amort'!AA8)</f>
        <v>-270175.45</v>
      </c>
      <c r="AP29" s="20">
        <f>IF(AP28="","",-'M3 TD amort'!AB8)</f>
        <v>-118232.21</v>
      </c>
      <c r="AQ29" s="20">
        <f>IF(AQ28="","",-'M3 TD amort'!AC8)</f>
        <v>-90604.87</v>
      </c>
      <c r="AR29" s="20">
        <f>IF(AR28="","",-'M3 TD amort'!AD8)</f>
        <v>-84722.21</v>
      </c>
      <c r="AS29" s="20">
        <f>IF(AS28="","",-'M3 TD amort'!AE8)</f>
        <v>-107685.96</v>
      </c>
      <c r="AT29" s="20">
        <f>IF(AT28="","",-'M3 TD amort'!AF8)</f>
        <v>-148122.69</v>
      </c>
      <c r="AU29" s="20">
        <f>IF(AU28="","",-'M3 TD amort'!AG8)</f>
        <v>-141095.97</v>
      </c>
      <c r="AV29" s="20">
        <f>IF(AV28="","",-'M3 TD amort'!AH8)</f>
        <v>-117508.65</v>
      </c>
      <c r="AW29" s="20">
        <f>IF(AW28="","",-'M3 TD amort'!AI8)</f>
        <v>-84587.71</v>
      </c>
      <c r="AX29" s="20">
        <f>IF(AX28="","",-'M3 TD amort'!AJ8)</f>
        <v>-80065.600000000006</v>
      </c>
      <c r="AY29" s="20">
        <f>IF(AY28="","",-'M3 TD amort'!AK8)</f>
        <v>-122414.96</v>
      </c>
      <c r="AZ29" s="20">
        <f>IF(AZ28="","",-'M3 TD amort'!AL8)</f>
        <v>-146964.76</v>
      </c>
      <c r="BA29" s="20">
        <f>IF(BA28="","",-'M3 TD amort'!AM8)</f>
        <v>-277535.48</v>
      </c>
      <c r="BB29" s="20">
        <f>IF(BB28="","",-'M3 TD amort'!AN8)</f>
        <v>-274328.76</v>
      </c>
      <c r="BC29" s="20">
        <f>IF(BC28="","",-'M3 TD amort'!AO8)</f>
        <v>-236568.66</v>
      </c>
      <c r="BD29" s="20">
        <f>IF(BD28="","",-'M3 TD amort'!AP8)</f>
        <v>-202231.43</v>
      </c>
      <c r="BE29" s="20">
        <f>IF(BE28="","",-'M3 TD amort'!AQ8)</f>
        <v>-261560.47</v>
      </c>
      <c r="BF29" s="20">
        <f>IF(BF28="","",-'M3 TD amort'!AR8)</f>
        <v>-342264.98</v>
      </c>
      <c r="BG29" s="20">
        <f>IF(BG28="","",-'M3 TD amort'!AS8)</f>
        <v>-352779.45</v>
      </c>
      <c r="BH29" s="20">
        <f>IF(BH28="","",-'M3 TD amort'!AT8)</f>
        <v>-326302.92</v>
      </c>
      <c r="BI29" s="20">
        <f>IF(BI28="","",-'M3 TD amort'!AU8)</f>
        <v>-236589.06</v>
      </c>
      <c r="BJ29" s="20">
        <f>IF(BJ28="","",-'M3 TD amort'!AV8)</f>
        <v>-218971.3</v>
      </c>
      <c r="BK29" s="20">
        <f>IF(BK28="","",-'M3 TD amort'!AW8)</f>
        <v>-300034.03999999998</v>
      </c>
      <c r="BL29" s="20">
        <f>IF(BL28="","",-'M3 TD amort'!AX8)</f>
        <v>-393693.47</v>
      </c>
    </row>
    <row r="30" spans="1:64" s="4" customFormat="1" ht="15" hidden="1" customHeight="1" outlineLevel="1" x14ac:dyDescent="0.35">
      <c r="A30" s="295"/>
      <c r="B30" s="16" t="s">
        <v>52</v>
      </c>
      <c r="C30" s="94"/>
      <c r="D30" s="94"/>
      <c r="E30" s="94"/>
      <c r="F30" s="7">
        <f t="shared" ref="F30:M30" si="176">IF(OR(F29="",F28=""),"",F28+F29)</f>
        <v>0</v>
      </c>
      <c r="G30" s="7">
        <f t="shared" si="176"/>
        <v>0</v>
      </c>
      <c r="H30" s="7">
        <f t="shared" si="176"/>
        <v>28636.335868779192</v>
      </c>
      <c r="I30" s="7">
        <f t="shared" si="176"/>
        <v>344669.92129031231</v>
      </c>
      <c r="J30" s="7">
        <f t="shared" si="176"/>
        <v>437739.69493695599</v>
      </c>
      <c r="K30" s="7">
        <f t="shared" si="176"/>
        <v>461093.89388914994</v>
      </c>
      <c r="L30" s="7">
        <f t="shared" si="176"/>
        <v>425531.99443758972</v>
      </c>
      <c r="M30" s="7">
        <f t="shared" si="176"/>
        <v>350101.97926152864</v>
      </c>
      <c r="N30" s="7">
        <f>IF(OR(N29="",N28=""),"",N28+N29)</f>
        <v>315194.78964232601</v>
      </c>
      <c r="O30" s="7">
        <f>IF(OR(O29="",O28=""),"",O28+O29)</f>
        <v>423499.84124645527</v>
      </c>
      <c r="P30" s="7">
        <f t="shared" ref="P30:AE30" si="177">IF(OR(P29="",P28=""),"",P28+P29)</f>
        <v>467459.76087976695</v>
      </c>
      <c r="Q30" s="7">
        <f t="shared" si="177"/>
        <v>590056.021634734</v>
      </c>
      <c r="R30" s="7">
        <f t="shared" si="177"/>
        <v>533384.76716296654</v>
      </c>
      <c r="S30" s="7">
        <f t="shared" si="177"/>
        <v>422165.3149165514</v>
      </c>
      <c r="T30" s="7">
        <f t="shared" si="177"/>
        <v>376930.70162387798</v>
      </c>
      <c r="U30" s="7">
        <f t="shared" si="177"/>
        <v>497530.9278657817</v>
      </c>
      <c r="V30" s="7">
        <f t="shared" si="177"/>
        <v>667644.40122413775</v>
      </c>
      <c r="W30" s="7">
        <f t="shared" si="177"/>
        <v>626838.17413038632</v>
      </c>
      <c r="X30" s="7">
        <f t="shared" si="177"/>
        <v>565053.06803544634</v>
      </c>
      <c r="Y30" s="7">
        <f t="shared" si="177"/>
        <v>382914.64026905363</v>
      </c>
      <c r="Z30" s="7">
        <f>IF(OR(Z29="",Z28=""),"",Z28+Z29)</f>
        <v>408860.77667869348</v>
      </c>
      <c r="AA30" s="7">
        <f t="shared" si="177"/>
        <v>541741.18516653357</v>
      </c>
      <c r="AB30" s="7">
        <f t="shared" si="177"/>
        <v>704338.42496161384</v>
      </c>
      <c r="AC30" s="7">
        <f t="shared" si="177"/>
        <v>1161434.6368897494</v>
      </c>
      <c r="AD30" s="7">
        <f t="shared" si="177"/>
        <v>1509744.8546895902</v>
      </c>
      <c r="AE30" s="7">
        <f t="shared" si="177"/>
        <v>1021337.0409980869</v>
      </c>
      <c r="AF30" s="7">
        <f t="shared" ref="AF30:AW30" si="178">IF(OR(AF29="",AF28=""),"",AF28+AF29)</f>
        <v>958813.01588184945</v>
      </c>
      <c r="AG30" s="7">
        <f t="shared" si="178"/>
        <v>1251908.2721443432</v>
      </c>
      <c r="AH30" s="7">
        <f t="shared" si="178"/>
        <v>1652403.9212690853</v>
      </c>
      <c r="AI30" s="7">
        <f t="shared" si="178"/>
        <v>1685200.823049651</v>
      </c>
      <c r="AJ30" s="7">
        <f t="shared" si="178"/>
        <v>1656144.3811878432</v>
      </c>
      <c r="AK30" s="7">
        <f t="shared" si="178"/>
        <v>1149480.8893388002</v>
      </c>
      <c r="AL30" s="7">
        <f t="shared" si="178"/>
        <v>1079418.9137683115</v>
      </c>
      <c r="AM30" s="7">
        <f t="shared" si="178"/>
        <v>1350833.1245714868</v>
      </c>
      <c r="AN30" s="7">
        <f t="shared" si="178"/>
        <v>1740449.4251608262</v>
      </c>
      <c r="AO30" s="7">
        <f t="shared" si="178"/>
        <v>1389838.9482729391</v>
      </c>
      <c r="AP30" s="7">
        <f t="shared" si="178"/>
        <v>609111.17262135481</v>
      </c>
      <c r="AQ30" s="7">
        <f t="shared" si="178"/>
        <v>467884.29557480058</v>
      </c>
      <c r="AR30" s="7">
        <f t="shared" si="178"/>
        <v>436790.72435668245</v>
      </c>
      <c r="AS30" s="7">
        <f t="shared" si="178"/>
        <v>553475.74778882996</v>
      </c>
      <c r="AT30" s="7">
        <f t="shared" si="178"/>
        <v>759832.45836252975</v>
      </c>
      <c r="AU30" s="7">
        <f t="shared" si="178"/>
        <v>724517.81677226594</v>
      </c>
      <c r="AV30" s="7">
        <f>IF(OR(AV29="",AV28=""),"",AV28+AV29)</f>
        <v>604671.35996221576</v>
      </c>
      <c r="AW30" s="7">
        <f t="shared" si="178"/>
        <v>436813.76348380273</v>
      </c>
      <c r="AX30" s="7">
        <f>IF(OR(AX29="",AX28=""),"",AX28+AX29)</f>
        <v>414638.8653804888</v>
      </c>
      <c r="AY30" s="7">
        <f t="shared" ref="AY30" si="179">IF(OR(AY29="",AY28=""),"",AY28+AY29)</f>
        <v>633711.27939637168</v>
      </c>
      <c r="AZ30" s="7">
        <f t="shared" ref="AZ30:BA30" si="180">IF(OR(AZ29="",AZ28=""),"",AZ28+AZ29)</f>
        <v>758470.59475830093</v>
      </c>
      <c r="BA30" s="7">
        <f t="shared" si="180"/>
        <v>617325.82971378381</v>
      </c>
      <c r="BB30" s="7">
        <f t="shared" ref="BB30:BC30" si="181">IF(OR(BB29="",BB28=""),"",BB28+BB29)</f>
        <v>611857.67605950113</v>
      </c>
      <c r="BC30" s="7">
        <f t="shared" si="181"/>
        <v>528445.41629471618</v>
      </c>
      <c r="BD30" s="7">
        <f t="shared" ref="BD30:BE30" si="182">IF(OR(BD29="",BD28=""),"",BD28+BD29)</f>
        <v>451370.62200737017</v>
      </c>
      <c r="BE30" s="7">
        <f t="shared" si="182"/>
        <v>581220.81485866336</v>
      </c>
      <c r="BF30" s="7">
        <f t="shared" ref="BF30:BG30" si="183">IF(OR(BF29="",BF28=""),"",BF28+BF29)</f>
        <v>758285.85421166429</v>
      </c>
      <c r="BG30" s="7">
        <f t="shared" si="183"/>
        <v>782351.86265911977</v>
      </c>
      <c r="BH30" s="7">
        <f t="shared" ref="BH30:BI30" si="184">IF(OR(BH29="",BH28=""),"",BH28+BH29)</f>
        <v>724537.33759266371</v>
      </c>
      <c r="BI30" s="7">
        <f t="shared" si="184"/>
        <v>527935.93814993254</v>
      </c>
      <c r="BJ30" s="7">
        <f t="shared" ref="BJ30" si="185">IF(OR(BJ29="",BJ28=""),"",BJ28+BJ29)</f>
        <v>488688.63377262099</v>
      </c>
      <c r="BK30" s="7">
        <f t="shared" ref="BK30:BL30" si="186">IF(OR(BK29="",BK28=""),"",BK28+BK29)</f>
        <v>667315.60350892833</v>
      </c>
      <c r="BL30" s="7">
        <f t="shared" si="186"/>
        <v>873483.74047321128</v>
      </c>
    </row>
    <row r="31" spans="1:64" s="4" customFormat="1" hidden="1" outlineLevel="1" x14ac:dyDescent="0.35">
      <c r="A31" s="295"/>
      <c r="B31" s="16" t="s">
        <v>13</v>
      </c>
      <c r="C31" s="94"/>
      <c r="D31" s="94"/>
      <c r="E31" s="94"/>
      <c r="F31" s="7">
        <f t="shared" ref="F31:L31" si="187">IF(OR(F28="",F27=""),"",F27-F28)</f>
        <v>0</v>
      </c>
      <c r="G31" s="7">
        <f>IF(OR(G28="",G27=""),"",G27-G28)</f>
        <v>3542.7066619947968</v>
      </c>
      <c r="H31" s="7">
        <f t="shared" si="187"/>
        <v>-2042.587011875763</v>
      </c>
      <c r="I31" s="7">
        <f t="shared" si="187"/>
        <v>-101305.99221352636</v>
      </c>
      <c r="J31" s="7">
        <f t="shared" si="187"/>
        <v>3390.1150170901092</v>
      </c>
      <c r="K31" s="7">
        <f t="shared" si="187"/>
        <v>76961.106998553209</v>
      </c>
      <c r="L31" s="7">
        <f t="shared" si="187"/>
        <v>-50530.984803922765</v>
      </c>
      <c r="M31" s="7">
        <f>IF(OR(M28="",M27=""),"",M27-M28)</f>
        <v>-212267.59868433682</v>
      </c>
      <c r="N31" s="7">
        <f>IF(OR(N30="",N27=""),"",N27-N30)</f>
        <v>-40385.23306946503</v>
      </c>
      <c r="O31" s="7">
        <f t="shared" ref="O31:AE31" si="188">IF(OR(O30="",O27=""),"",O27-O30)</f>
        <v>44343.414292571193</v>
      </c>
      <c r="P31" s="7">
        <f t="shared" si="188"/>
        <v>76836.312043950486</v>
      </c>
      <c r="Q31" s="7">
        <f t="shared" si="188"/>
        <v>86133.198655375512</v>
      </c>
      <c r="R31" s="7">
        <f t="shared" si="188"/>
        <v>-70294.251757633756</v>
      </c>
      <c r="S31" s="7">
        <f t="shared" si="188"/>
        <v>-209165.47822788436</v>
      </c>
      <c r="T31" s="7">
        <f t="shared" si="188"/>
        <v>-137615.28236749448</v>
      </c>
      <c r="U31" s="7">
        <f t="shared" si="188"/>
        <v>248433.71193049941</v>
      </c>
      <c r="V31" s="7">
        <f t="shared" si="188"/>
        <v>354316.74050838663</v>
      </c>
      <c r="W31" s="7">
        <f t="shared" si="188"/>
        <v>594302.11378261668</v>
      </c>
      <c r="X31" s="7">
        <f t="shared" si="188"/>
        <v>473881.47595819214</v>
      </c>
      <c r="Y31" s="7">
        <f t="shared" si="188"/>
        <v>73938.549640369252</v>
      </c>
      <c r="Z31" s="7">
        <f>IF(OR(Z30="",Z27=""),"",Z27-Z30)</f>
        <v>200612.52659305639</v>
      </c>
      <c r="AA31" s="7">
        <f t="shared" si="188"/>
        <v>225839.38155908044</v>
      </c>
      <c r="AB31" s="7">
        <f t="shared" si="188"/>
        <v>88725.423080529552</v>
      </c>
      <c r="AC31" s="7">
        <f t="shared" si="188"/>
        <v>-396580.33258011495</v>
      </c>
      <c r="AD31" s="7">
        <f t="shared" si="188"/>
        <v>-690184.64662341482</v>
      </c>
      <c r="AE31" s="7">
        <f t="shared" si="188"/>
        <v>-288170.78241608408</v>
      </c>
      <c r="AF31" s="7">
        <f t="shared" ref="AF31:AU31" si="189">IF(OR(AF30="",AF27=""),"",AF27-AF30)</f>
        <v>-150227.57297345658</v>
      </c>
      <c r="AG31" s="7">
        <f t="shared" si="189"/>
        <v>977242.2032522778</v>
      </c>
      <c r="AH31" s="7">
        <f t="shared" si="189"/>
        <v>1076194.1040727836</v>
      </c>
      <c r="AI31" s="7">
        <f t="shared" si="189"/>
        <v>1157980.4223658144</v>
      </c>
      <c r="AJ31" s="7">
        <f t="shared" si="189"/>
        <v>496271.50805298146</v>
      </c>
      <c r="AK31" s="7">
        <f t="shared" si="189"/>
        <v>-262709.69895831752</v>
      </c>
      <c r="AL31" s="7">
        <f t="shared" si="189"/>
        <v>-61448.179122828762</v>
      </c>
      <c r="AM31" s="7">
        <f t="shared" si="189"/>
        <v>-97910.102033826523</v>
      </c>
      <c r="AN31" s="7">
        <f t="shared" si="189"/>
        <v>-305797.26770618651</v>
      </c>
      <c r="AO31" s="7">
        <f t="shared" si="189"/>
        <v>-147582.25819023745</v>
      </c>
      <c r="AP31" s="7">
        <f t="shared" si="189"/>
        <v>-142406.98179687787</v>
      </c>
      <c r="AQ31" s="7">
        <f t="shared" si="189"/>
        <v>-56797.649592227943</v>
      </c>
      <c r="AR31" s="7">
        <f t="shared" si="189"/>
        <v>23815.937637465715</v>
      </c>
      <c r="AS31" s="7">
        <f t="shared" si="189"/>
        <v>904559.60754772858</v>
      </c>
      <c r="AT31" s="7">
        <f t="shared" si="189"/>
        <v>1105567.1243381908</v>
      </c>
      <c r="AU31" s="7">
        <f t="shared" si="189"/>
        <v>1064689.7667756402</v>
      </c>
      <c r="AV31" s="7">
        <f>IF(OR(AV30="",AV27=""),"",AV27-AV30)</f>
        <v>625990.25765233708</v>
      </c>
      <c r="AW31" s="125">
        <f>IF(OR(AW30="",AW27=""),"",AW27-AW30)+AW26</f>
        <v>-100972.62667034866</v>
      </c>
      <c r="AX31" s="7">
        <f>IF(OR(AX30="",AX27=""),"",AX27-AX30)</f>
        <v>96776.844755683327</v>
      </c>
      <c r="AY31" s="7">
        <f>IF(OR(AY30="",AY27=""),"",AY27-AY30)</f>
        <v>23888.381840004819</v>
      </c>
      <c r="AZ31" s="7">
        <f t="shared" ref="AZ31:BA31" si="190">IF(OR(AZ30="",AZ27=""),"",AZ27-AZ30)</f>
        <v>-42718.877392770839</v>
      </c>
      <c r="BA31" s="7">
        <f t="shared" si="190"/>
        <v>-5715.4969947760692</v>
      </c>
      <c r="BB31" s="7">
        <f t="shared" ref="BB31:BC31" si="191">IF(OR(BB30="",BB27=""),"",BB27-BB30)</f>
        <v>-31805.438331283862</v>
      </c>
      <c r="BC31" s="7">
        <f t="shared" si="191"/>
        <v>-43297.962055607524</v>
      </c>
      <c r="BD31" s="7">
        <f t="shared" ref="BD31:BE31" si="192">IF(OR(BD30="",BD27=""),"",BD27-BD30)</f>
        <v>127648.96276957291</v>
      </c>
      <c r="BE31" s="7">
        <f t="shared" si="192"/>
        <v>1493988.9684144519</v>
      </c>
      <c r="BF31" s="7">
        <f t="shared" ref="BF31:BG31" si="193">IF(OR(BF30="",BF27=""),"",BF27-BF30)</f>
        <v>-421385.37246273947</v>
      </c>
      <c r="BG31" s="7">
        <f t="shared" si="193"/>
        <v>-359244.89116111054</v>
      </c>
      <c r="BH31" s="7">
        <f t="shared" ref="BH31:BI31" si="194">IF(OR(BH30="",BH27=""),"",BH27-BH30)</f>
        <v>-467122.59356071439</v>
      </c>
      <c r="BI31" s="7">
        <f t="shared" si="194"/>
        <v>-455265.23337635637</v>
      </c>
      <c r="BJ31" s="7">
        <f t="shared" ref="BJ31" si="195">IF(OR(BJ30="",BJ27=""),"",BJ27-BJ30)</f>
        <v>-379821.06417051103</v>
      </c>
      <c r="BK31" s="7">
        <f t="shared" ref="BK31:BL31" si="196">IF(OR(BK30="",BK27=""),"",BK27-BK30)</f>
        <v>-462267.53050638072</v>
      </c>
      <c r="BL31" s="7">
        <f t="shared" si="196"/>
        <v>-636184.06139345374</v>
      </c>
    </row>
    <row r="32" spans="1:64" s="4" customFormat="1" hidden="1" outlineLevel="1" x14ac:dyDescent="0.35">
      <c r="A32" s="295"/>
      <c r="B32" s="17" t="s">
        <v>8</v>
      </c>
      <c r="C32" s="94"/>
      <c r="D32" s="94"/>
      <c r="E32" s="94"/>
      <c r="F32" s="7">
        <f>IF(OR(F9="",F31=""),"",ROUND((F31+E34)*F9/12,2))</f>
        <v>0</v>
      </c>
      <c r="G32" s="7">
        <f t="shared" ref="G32:L32" si="197">IF(OR(G9="",G31=""),"",ROUND((G31+F34)*G9/12,2))</f>
        <v>7.86</v>
      </c>
      <c r="H32" s="7">
        <f t="shared" si="197"/>
        <v>3.36</v>
      </c>
      <c r="I32" s="7">
        <f>IF(OR(I9="",I31=""),"",ROUND((I31+H34)*I9/12,2))</f>
        <v>-220.38</v>
      </c>
      <c r="J32" s="7">
        <f>IF(OR(J9="",J31=""),"",ROUND((J31+I34)*J9/12,2))</f>
        <v>-208.94</v>
      </c>
      <c r="K32" s="7">
        <f>IF(OR(K9="",K31=""),"",ROUND((K31+J34)*K9/12,2))</f>
        <v>-38.94</v>
      </c>
      <c r="L32" s="7">
        <f t="shared" si="197"/>
        <v>-130.13999999999999</v>
      </c>
      <c r="M32" s="7">
        <f>IF(OR(M9="",M31=""),"",ROUND((M31+L34)*M9/12,2))</f>
        <v>-498.25</v>
      </c>
      <c r="N32" s="115">
        <f>IF(OR(N9="",N31=""),"",ROUND((N31+M34)*N9/12,2))+N26</f>
        <v>-489.81000000000006</v>
      </c>
      <c r="O32" s="7">
        <f t="shared" ref="O32" si="198">IF(OR(O9="",O31=""),"",ROUND((O31+N34)*O9/12,2))</f>
        <v>-446.67</v>
      </c>
      <c r="P32" s="7">
        <f t="shared" ref="P32" si="199">IF(OR(P9="",P31=""),"",ROUND((P31+O34)*P9/12,2))</f>
        <v>-320.33</v>
      </c>
      <c r="Q32" s="7">
        <f t="shared" ref="Q32:R32" si="200">IF(OR(Q9="",Q31=""),"",ROUND((Q31+P34)*Q9/12,2))</f>
        <v>-176.85</v>
      </c>
      <c r="R32" s="7">
        <f t="shared" si="200"/>
        <v>-113.95</v>
      </c>
      <c r="S32" s="7">
        <f t="shared" ref="S32" si="201">IF(OR(S9="",S31=""),"",ROUND((S31+R34)*S9/12,2))</f>
        <v>-138.51</v>
      </c>
      <c r="T32" s="7">
        <f t="shared" ref="T32" si="202">IF(OR(T9="",T31=""),"",ROUND((T31+S34)*T9/12,2))</f>
        <v>-24.96</v>
      </c>
      <c r="U32" s="7">
        <f t="shared" ref="U32" si="203">IF(OR(U9="",U31=""),"",ROUND((U31+T34)*U9/12,2))</f>
        <v>9.4600000000000009</v>
      </c>
      <c r="V32" s="7">
        <f t="shared" ref="V32" si="204">IF(OR(V9="",V31=""),"",ROUND((V31+U34)*V9/12,2))</f>
        <v>87.57</v>
      </c>
      <c r="W32" s="7">
        <f t="shared" ref="W32:X32" si="205">IF(OR(W9="",W31=""),"",ROUND((W31+V34)*W9/12,2))</f>
        <v>144.4</v>
      </c>
      <c r="X32" s="7">
        <f t="shared" si="205"/>
        <v>192.71</v>
      </c>
      <c r="Y32" s="7">
        <f>IF(OR(Y9="",Y31=""),"",ROUND((Y31+X34)*Y9/12,2))</f>
        <v>341.94</v>
      </c>
      <c r="Z32" s="7">
        <f>IF(OR(Z9="",Z31=""),"",ROUND((Z29+Z31+Y34+Z26)*Z9/12,2))+Z26</f>
        <v>988.38</v>
      </c>
      <c r="AA32" s="7">
        <f>IF(OR(AA9="",AA31=""),"",ROUND((AA29+AA31+Z34)*AA9/12,2))</f>
        <v>650.36</v>
      </c>
      <c r="AB32" s="7">
        <f>IF(OR(AB9="",AB31=""),"",ROUND((AB29+AB31+AA34)*AB9/12,2))</f>
        <v>510.04</v>
      </c>
      <c r="AC32" s="7">
        <f t="shared" ref="AC32:AE32" si="206">IF(OR(AC9="",AC31=""),"",ROUND((AC29+AC31+AB34)*AC9/12,2))</f>
        <v>456.47</v>
      </c>
      <c r="AD32" s="7">
        <f t="shared" si="206"/>
        <v>247.69</v>
      </c>
      <c r="AE32" s="7">
        <f t="shared" si="206"/>
        <v>171.75</v>
      </c>
      <c r="AF32" s="7">
        <f t="shared" ref="AF32" si="207">IF(OR(AF9="",AF31=""),"",ROUND((AF29+AF31+AE34)*AF9/12,2))</f>
        <v>110.11</v>
      </c>
      <c r="AG32" s="7">
        <f t="shared" ref="AG32" si="208">IF(OR(AG9="",AG31=""),"",ROUND((AG29+AG31+AF34)*AG9/12,2))</f>
        <v>224.39</v>
      </c>
      <c r="AH32" s="7">
        <f t="shared" ref="AH32" si="209">IF(OR(AH9="",AH31=""),"",ROUND((AH29+AH31+AG34)*AH9/12,2))</f>
        <v>244.94</v>
      </c>
      <c r="AI32" s="7">
        <f t="shared" ref="AI32" si="210">IF(OR(AI9="",AI31=""),"",ROUND((AI29+AI31+AH34)*AI9/12,2))</f>
        <v>504.7</v>
      </c>
      <c r="AJ32" s="7">
        <f t="shared" ref="AJ32" si="211">IF(OR(AJ9="",AJ31=""),"",ROUND((AJ29+AJ31+AI34)*AJ9/12,2))</f>
        <v>506.2</v>
      </c>
      <c r="AK32" s="7">
        <f t="shared" ref="AK32" si="212">IF(OR(AK9="",AK31=""),"",ROUND((AK29+AK31+AJ34)*AK9/12,2))</f>
        <v>333.67</v>
      </c>
      <c r="AL32" s="7">
        <f t="shared" ref="AL32" si="213">IF(OR(AL9="",AL31=""),"",ROUND((AL29+AL31+AK34)*AL9/12,2))</f>
        <v>307.64999999999998</v>
      </c>
      <c r="AM32" s="7">
        <f t="shared" ref="AM32" si="214">IF(OR(AM9="",AM31=""),"",ROUND((AM29+AM31+AL34)*AM9/12,2))</f>
        <v>447.9</v>
      </c>
      <c r="AN32" s="7">
        <f t="shared" ref="AN32" si="215">IF(OR(AN9="",AN31=""),"",ROUND((AN29+AN31+AM34)*AN9/12,2))</f>
        <v>280.74</v>
      </c>
      <c r="AO32" s="7">
        <f t="shared" ref="AO32" si="216">IF(OR(AO9="",AO31=""),"",ROUND((AO29+AO31+AN34)*AO9/12,2))</f>
        <v>251.34</v>
      </c>
      <c r="AP32" s="7">
        <f t="shared" ref="AP32" si="217">IF(OR(AP9="",AP31=""),"",ROUND((AP29+AP31+AO34)*AP9/12,2))</f>
        <v>435.39</v>
      </c>
      <c r="AQ32" s="7">
        <f t="shared" ref="AQ32" si="218">IF(OR(AQ9="",AQ31=""),"",ROUND((AQ29+AQ31+AP34)*AQ9/12,2))</f>
        <v>306.26</v>
      </c>
      <c r="AR32" s="7">
        <f t="shared" ref="AR32" si="219">IF(OR(AR9="",AR31=""),"",ROUND((AR29+AR31+AQ34)*AR9/12,2))</f>
        <v>436.47</v>
      </c>
      <c r="AS32" s="7">
        <f t="shared" ref="AS32" si="220">IF(OR(AS9="",AS31=""),"",ROUND((AS29+AS31+AR34)*AS9/12,2))</f>
        <v>1670.13</v>
      </c>
      <c r="AT32" s="7">
        <f t="shared" ref="AT32" si="221">IF(OR(AT9="",AT31=""),"",ROUND((AT29+AT31+AS34)*AT9/12,2))</f>
        <v>3955.58</v>
      </c>
      <c r="AU32" s="7">
        <f t="shared" ref="AU32" si="222">IF(OR(AU9="",AU31=""),"",ROUND((AU29+AU31+AT34)*AU9/12,2))</f>
        <v>6913.29</v>
      </c>
      <c r="AV32" s="7">
        <f>IF(OR(AV9="",AV31=""),"",ROUND((AV29+AV31+AU34)*AV9/12,2))</f>
        <v>8882.3700000000008</v>
      </c>
      <c r="AW32" s="7">
        <f>IF(OR(AW9="",AW31=""),"",ROUND((AW29+AW31+AV34)*AW9/12,2))</f>
        <v>10335.74</v>
      </c>
      <c r="AX32" s="7">
        <f>IF(OR(AX9="",AX31=""),"",ROUND((AX29+AX31+AW34)*AX9/12,2))</f>
        <v>12862.73</v>
      </c>
      <c r="AY32" s="7">
        <f>IF(OR(AY9="",AY31=""),"",ROUND((AY29+AY31+AX34)*AY9/12,2))</f>
        <v>13527.96</v>
      </c>
      <c r="AZ32" s="115">
        <f>IF(OR(AZ9="",AZ31=""),"",ROUND((AZ29+AZ31+AY34)*AZ9/12,2))+AZ26</f>
        <v>13116.08</v>
      </c>
      <c r="BA32" s="114">
        <f t="shared" ref="BA32:BL32" si="223">IF(OR(BA9="",BA31=""),"",ROUND((BA29+BA31+AZ34)*BA9/12,2))</f>
        <v>12399.78</v>
      </c>
      <c r="BB32" s="114">
        <f t="shared" si="223"/>
        <v>11540.32</v>
      </c>
      <c r="BC32" s="114">
        <f t="shared" si="223"/>
        <v>10966.45</v>
      </c>
      <c r="BD32" s="114">
        <f t="shared" si="223"/>
        <v>10847.16</v>
      </c>
      <c r="BE32" s="114">
        <f t="shared" si="223"/>
        <v>16575.080000000002</v>
      </c>
      <c r="BF32" s="114">
        <f t="shared" si="223"/>
        <v>13333.67</v>
      </c>
      <c r="BG32" s="114">
        <f t="shared" si="223"/>
        <v>10310.049999999999</v>
      </c>
      <c r="BH32" s="114">
        <f t="shared" si="223"/>
        <v>6725.21</v>
      </c>
      <c r="BI32" s="114">
        <f t="shared" si="223"/>
        <v>3553.59</v>
      </c>
      <c r="BJ32" s="114">
        <f t="shared" si="223"/>
        <v>816.76</v>
      </c>
      <c r="BK32" s="114">
        <f t="shared" si="223"/>
        <v>-2684.46</v>
      </c>
      <c r="BL32" s="114">
        <f t="shared" si="223"/>
        <v>-7432.05</v>
      </c>
    </row>
    <row r="33" spans="1:64" s="4" customFormat="1" hidden="1" outlineLevel="1" x14ac:dyDescent="0.35">
      <c r="A33" s="295"/>
      <c r="B33" s="16" t="s">
        <v>14</v>
      </c>
      <c r="C33" s="94"/>
      <c r="D33" s="94"/>
      <c r="E33" s="94"/>
      <c r="F33" s="7">
        <f t="shared" ref="F33:M33" si="224">IF(OR(F31="",F32=""),"",F31+F32)</f>
        <v>0</v>
      </c>
      <c r="G33" s="7">
        <f>IF(OR(G31="",G32=""),"",G31+G32)</f>
        <v>3550.566661994797</v>
      </c>
      <c r="H33" s="7">
        <f t="shared" si="224"/>
        <v>-2039.2270118757631</v>
      </c>
      <c r="I33" s="7">
        <f t="shared" si="224"/>
        <v>-101526.37221352637</v>
      </c>
      <c r="J33" s="7">
        <f t="shared" si="224"/>
        <v>3181.1750170901091</v>
      </c>
      <c r="K33" s="7">
        <f t="shared" si="224"/>
        <v>76922.166998553206</v>
      </c>
      <c r="L33" s="7">
        <f t="shared" si="224"/>
        <v>-50661.124803922765</v>
      </c>
      <c r="M33" s="7">
        <f t="shared" si="224"/>
        <v>-212765.84868433682</v>
      </c>
      <c r="N33" s="7">
        <f>IF(OR(N31="",N32=""),"",N31+N32)</f>
        <v>-40875.043069465028</v>
      </c>
      <c r="O33" s="7">
        <f>IF(OR(O31="",O32=""),"",O31+O32)</f>
        <v>43896.744292571195</v>
      </c>
      <c r="P33" s="7">
        <f t="shared" ref="P33:AE33" si="225">IF(OR(P31="",P32=""),"",P31+P32)</f>
        <v>76515.982043950484</v>
      </c>
      <c r="Q33" s="7">
        <f>IF(OR(Q31="",Q32=""),"",Q31+Q32)</f>
        <v>85956.348655375506</v>
      </c>
      <c r="R33" s="7">
        <f t="shared" si="225"/>
        <v>-70408.201757633753</v>
      </c>
      <c r="S33" s="7">
        <f t="shared" si="225"/>
        <v>-209303.98822788437</v>
      </c>
      <c r="T33" s="7">
        <f t="shared" si="225"/>
        <v>-137640.24236749447</v>
      </c>
      <c r="U33" s="7">
        <f t="shared" si="225"/>
        <v>248443.1719304994</v>
      </c>
      <c r="V33" s="7">
        <f t="shared" si="225"/>
        <v>354404.31050838664</v>
      </c>
      <c r="W33" s="7">
        <f t="shared" si="225"/>
        <v>594446.5137826167</v>
      </c>
      <c r="X33" s="7">
        <f t="shared" si="225"/>
        <v>474074.18595819216</v>
      </c>
      <c r="Y33" s="7">
        <f t="shared" si="225"/>
        <v>74280.489640369255</v>
      </c>
      <c r="Z33" s="7">
        <f>IF(OR(Z31="",Z32=""),"",Z31+Z32)</f>
        <v>201600.9065930564</v>
      </c>
      <c r="AA33" s="7">
        <f t="shared" si="225"/>
        <v>226489.74155908043</v>
      </c>
      <c r="AB33" s="7">
        <f t="shared" si="225"/>
        <v>89235.463080529546</v>
      </c>
      <c r="AC33" s="7">
        <f t="shared" si="225"/>
        <v>-396123.86258011498</v>
      </c>
      <c r="AD33" s="7">
        <f t="shared" si="225"/>
        <v>-689936.95662341488</v>
      </c>
      <c r="AE33" s="7">
        <f t="shared" si="225"/>
        <v>-287999.03241608408</v>
      </c>
      <c r="AF33" s="7">
        <f t="shared" ref="AF33:AU33" si="226">IF(OR(AF31="",AF32=""),"",AF31+AF32)</f>
        <v>-150117.4629734566</v>
      </c>
      <c r="AG33" s="7">
        <f t="shared" si="226"/>
        <v>977466.59325227782</v>
      </c>
      <c r="AH33" s="7">
        <f t="shared" si="226"/>
        <v>1076439.0440727836</v>
      </c>
      <c r="AI33" s="7">
        <f t="shared" si="226"/>
        <v>1158485.1223658144</v>
      </c>
      <c r="AJ33" s="7">
        <f t="shared" si="226"/>
        <v>496777.70805298147</v>
      </c>
      <c r="AK33" s="7">
        <f t="shared" si="226"/>
        <v>-262376.02895831753</v>
      </c>
      <c r="AL33" s="7">
        <f t="shared" si="226"/>
        <v>-61140.529122828761</v>
      </c>
      <c r="AM33" s="7">
        <f t="shared" si="226"/>
        <v>-97462.202033826528</v>
      </c>
      <c r="AN33" s="7">
        <f t="shared" si="226"/>
        <v>-305516.52770618652</v>
      </c>
      <c r="AO33" s="7">
        <f t="shared" si="226"/>
        <v>-147330.91819023745</v>
      </c>
      <c r="AP33" s="7">
        <f t="shared" si="226"/>
        <v>-141971.59179687785</v>
      </c>
      <c r="AQ33" s="7">
        <f t="shared" si="226"/>
        <v>-56491.389592227941</v>
      </c>
      <c r="AR33" s="7">
        <f t="shared" si="226"/>
        <v>24252.407637465716</v>
      </c>
      <c r="AS33" s="7">
        <f t="shared" si="226"/>
        <v>906229.73754772858</v>
      </c>
      <c r="AT33" s="7">
        <f t="shared" si="226"/>
        <v>1109522.7043381908</v>
      </c>
      <c r="AU33" s="7">
        <f t="shared" si="226"/>
        <v>1071603.0567756402</v>
      </c>
      <c r="AV33" s="7">
        <f>IF(OR(AV31="",AV32=""),"",AV31+AV32)</f>
        <v>634872.62765233708</v>
      </c>
      <c r="AW33" s="7">
        <f>IF(OR(AW31="",AW32=""),"",AW31+AW32)</f>
        <v>-90636.886670348656</v>
      </c>
      <c r="AX33" s="7">
        <f>IF(OR(AX31="",AX32=""),"",AX31+AX32)</f>
        <v>109639.57475568332</v>
      </c>
      <c r="AY33" s="7">
        <f t="shared" ref="AY33" si="227">IF(OR(AY31="",AY32=""),"",AY31+AY32)</f>
        <v>37416.341840004818</v>
      </c>
      <c r="AZ33" s="7">
        <f t="shared" ref="AZ33:BA33" si="228">IF(OR(AZ31="",AZ32=""),"",AZ31+AZ32)</f>
        <v>-29602.797392770837</v>
      </c>
      <c r="BA33" s="7">
        <f t="shared" si="228"/>
        <v>6684.2830052239315</v>
      </c>
      <c r="BB33" s="7">
        <f t="shared" ref="BB33:BC33" si="229">IF(OR(BB31="",BB32=""),"",BB31+BB32)</f>
        <v>-20265.118331283862</v>
      </c>
      <c r="BC33" s="7">
        <f t="shared" si="229"/>
        <v>-32331.512055607524</v>
      </c>
      <c r="BD33" s="7">
        <f t="shared" ref="BD33:BE33" si="230">IF(OR(BD31="",BD32=""),"",BD31+BD32)</f>
        <v>138496.12276957292</v>
      </c>
      <c r="BE33" s="7">
        <f t="shared" si="230"/>
        <v>1510564.048414452</v>
      </c>
      <c r="BF33" s="7">
        <f t="shared" ref="BF33:BG33" si="231">IF(OR(BF31="",BF32=""),"",BF31+BF32)</f>
        <v>-408051.70246273949</v>
      </c>
      <c r="BG33" s="7">
        <f t="shared" si="231"/>
        <v>-348934.84116111055</v>
      </c>
      <c r="BH33" s="7">
        <f t="shared" ref="BH33:BI33" si="232">IF(OR(BH31="",BH32=""),"",BH31+BH32)</f>
        <v>-460397.38356071437</v>
      </c>
      <c r="BI33" s="7">
        <f t="shared" si="232"/>
        <v>-451711.64337635634</v>
      </c>
      <c r="BJ33" s="7">
        <f t="shared" ref="BJ33" si="233">IF(OR(BJ31="",BJ32=""),"",BJ31+BJ32)</f>
        <v>-379004.30417051102</v>
      </c>
      <c r="BK33" s="7">
        <f t="shared" ref="BK33:BL33" si="234">IF(OR(BK31="",BK32=""),"",BK31+BK32)</f>
        <v>-464951.99050638074</v>
      </c>
      <c r="BL33" s="7">
        <f t="shared" si="234"/>
        <v>-643616.11139345379</v>
      </c>
    </row>
    <row r="34" spans="1:64" s="4" customFormat="1" hidden="1" outlineLevel="1" x14ac:dyDescent="0.35">
      <c r="A34" s="295"/>
      <c r="B34" s="18" t="s">
        <v>15</v>
      </c>
      <c r="C34" s="94"/>
      <c r="D34" s="94"/>
      <c r="E34" s="94"/>
      <c r="F34" s="7">
        <f>IF(OR(F33=""),"",F33)</f>
        <v>0</v>
      </c>
      <c r="G34" s="7">
        <f>IF(OR(G33="",F34=""),"",G33+F34)</f>
        <v>3550.566661994797</v>
      </c>
      <c r="H34" s="7">
        <f t="shared" ref="H34:K34" si="235">IF(OR(H33="",G34=""),"",H33+G34)</f>
        <v>1511.3396501190339</v>
      </c>
      <c r="I34" s="7">
        <f t="shared" si="235"/>
        <v>-100015.03256340734</v>
      </c>
      <c r="J34" s="7">
        <f t="shared" si="235"/>
        <v>-96833.857546317231</v>
      </c>
      <c r="K34" s="7">
        <f t="shared" si="235"/>
        <v>-19911.690547764025</v>
      </c>
      <c r="L34" s="7">
        <f>IF(OR(L33="",K34=""),"",L33+K34)</f>
        <v>-70572.81535168679</v>
      </c>
      <c r="M34" s="7">
        <f>IF(OR(M33="",L34=""),"",M33+L34)</f>
        <v>-283338.66403602361</v>
      </c>
      <c r="N34" s="7">
        <f>IF(OR(N33="",M34=""),"",N33+N29+M34)</f>
        <v>-324213.70710548863</v>
      </c>
      <c r="O34" s="7">
        <f>IF(OR(O33="",N34=""),"",O33+O29+N34)</f>
        <v>-280316.96281291742</v>
      </c>
      <c r="P34" s="7">
        <f t="shared" ref="P34:AE34" si="236">IF(OR(P33="",O34=""),"",P33+P29+O34)</f>
        <v>-203800.98076896695</v>
      </c>
      <c r="Q34" s="7">
        <f t="shared" si="236"/>
        <v>-2111.6621135914465</v>
      </c>
      <c r="R34" s="7">
        <f t="shared" si="236"/>
        <v>32054.646128774795</v>
      </c>
      <c r="S34" s="7">
        <f t="shared" si="236"/>
        <v>-94430.362099109581</v>
      </c>
      <c r="T34" s="7">
        <f t="shared" si="236"/>
        <v>-158064.95446660405</v>
      </c>
      <c r="U34" s="7">
        <f t="shared" si="236"/>
        <v>188319.39746389538</v>
      </c>
      <c r="V34" s="7">
        <f t="shared" si="236"/>
        <v>674318.377972282</v>
      </c>
      <c r="W34" s="7">
        <f t="shared" si="236"/>
        <v>1392292.0217548986</v>
      </c>
      <c r="X34" s="7">
        <f t="shared" si="236"/>
        <v>1977689.1577130908</v>
      </c>
      <c r="Y34" s="7">
        <f t="shared" si="236"/>
        <v>2127189.35735346</v>
      </c>
      <c r="Z34" s="7">
        <f>IF(OR(Z33="",Y34=""),"",Z33+Z29+Y34)</f>
        <v>2409031.7639465164</v>
      </c>
      <c r="AA34" s="7">
        <f t="shared" si="236"/>
        <v>2741923.1455055969</v>
      </c>
      <c r="AB34" s="7">
        <f t="shared" si="236"/>
        <v>2969628.3885861263</v>
      </c>
      <c r="AC34" s="7">
        <f t="shared" si="236"/>
        <v>2359294.6860060114</v>
      </c>
      <c r="AD34" s="7">
        <f t="shared" si="236"/>
        <v>1391292.7993825965</v>
      </c>
      <c r="AE34" s="7">
        <f t="shared" si="236"/>
        <v>915664.59696651238</v>
      </c>
      <c r="AF34" s="7">
        <f t="shared" ref="AF34" si="237">IF(OR(AF33="",AE34=""),"",AF33+AF29+AE34)</f>
        <v>589263.42399305583</v>
      </c>
      <c r="AG34" s="7">
        <f t="shared" ref="AG34" si="238">IF(OR(AG33="",AF34=""),"",AG33+AG29+AF34)</f>
        <v>1335506.7472453336</v>
      </c>
      <c r="AH34" s="7">
        <f t="shared" ref="AH34" si="239">IF(OR(AH33="",AG34=""),"",AH33+AH29+AG34)</f>
        <v>2106522.0613181172</v>
      </c>
      <c r="AI34" s="7">
        <f t="shared" ref="AI34" si="240">IF(OR(AI33="",AH34=""),"",AI33+AI29+AH34)</f>
        <v>2953392.1736839316</v>
      </c>
      <c r="AJ34" s="7">
        <f t="shared" ref="AJ34" si="241">IF(OR(AJ33="",AI34=""),"",AJ33+AJ29+AI34)</f>
        <v>3144077.431736913</v>
      </c>
      <c r="AK34" s="7">
        <f t="shared" ref="AK34" si="242">IF(OR(AK33="",AJ34=""),"",AK33+AK29+AJ34)</f>
        <v>2669733.3027785956</v>
      </c>
      <c r="AL34" s="7">
        <f t="shared" ref="AL34" si="243">IF(OR(AL33="",AK34=""),"",AL33+AL29+AK34)</f>
        <v>2409964.1436557667</v>
      </c>
      <c r="AM34" s="7">
        <f t="shared" ref="AM34" si="244">IF(OR(AM33="",AL34=""),"",AM33+AM29+AL34)</f>
        <v>2063973.0116219402</v>
      </c>
      <c r="AN34" s="7">
        <f t="shared" ref="AN34" si="245">IF(OR(AN33="",AM34=""),"",AN33+AN29+AM34)</f>
        <v>1437217.4439157536</v>
      </c>
      <c r="AO34" s="7">
        <f t="shared" ref="AO34" si="246">IF(OR(AO33="",AN34=""),"",AO33+AO29+AN34)</f>
        <v>1019711.0757255162</v>
      </c>
      <c r="AP34" s="7">
        <f t="shared" ref="AP34" si="247">IF(OR(AP33="",AO34=""),"",AP33+AP29+AO34)</f>
        <v>759507.27392863831</v>
      </c>
      <c r="AQ34" s="7">
        <f t="shared" ref="AQ34" si="248">IF(OR(AQ33="",AP34=""),"",AQ33+AQ29+AP34)</f>
        <v>612411.01433641044</v>
      </c>
      <c r="AR34" s="7">
        <f t="shared" ref="AR34" si="249">IF(OR(AR33="",AQ34=""),"",AR33+AR29+AQ34)</f>
        <v>551941.21197387611</v>
      </c>
      <c r="AS34" s="7">
        <f t="shared" ref="AS34" si="250">IF(OR(AS33="",AR34=""),"",AS33+AS29+AR34)</f>
        <v>1350484.9895216047</v>
      </c>
      <c r="AT34" s="7">
        <f t="shared" ref="AT34" si="251">IF(OR(AT33="",AS34=""),"",AT33+AT29+AS34)</f>
        <v>2311885.0038597956</v>
      </c>
      <c r="AU34" s="7">
        <f t="shared" ref="AU34" si="252">IF(OR(AU33="",AT34=""),"",AU33+AU29+AT34)</f>
        <v>3242392.0906354357</v>
      </c>
      <c r="AV34" s="7">
        <f>IF(OR(AV33="",AU34=""),"",AV33+AV29+AU34)</f>
        <v>3759756.0682877726</v>
      </c>
      <c r="AW34" s="7">
        <f>IF(OR(AW33="",AV34=""),"",AW33+AW29+AV34)</f>
        <v>3584531.4716174239</v>
      </c>
      <c r="AX34" s="7">
        <f>IF(OR(AX33="",AW34=""),"",AX33+AX29+AW34)</f>
        <v>3614105.4463731074</v>
      </c>
      <c r="AY34" s="7">
        <f t="shared" ref="AY34:BL34" si="253">IF(OR(AY33="",AX34=""),"",AY33+AY29+AX34)</f>
        <v>3529106.8282131124</v>
      </c>
      <c r="AZ34" s="7">
        <f t="shared" si="253"/>
        <v>3352539.2708203415</v>
      </c>
      <c r="BA34" s="7">
        <f t="shared" si="253"/>
        <v>3081688.0738255656</v>
      </c>
      <c r="BB34" s="7">
        <f t="shared" si="253"/>
        <v>2787094.1954942816</v>
      </c>
      <c r="BC34" s="7">
        <f t="shared" si="253"/>
        <v>2518194.0234386739</v>
      </c>
      <c r="BD34" s="7">
        <f t="shared" si="253"/>
        <v>2454458.716208247</v>
      </c>
      <c r="BE34" s="7">
        <f t="shared" si="253"/>
        <v>3703462.2946226988</v>
      </c>
      <c r="BF34" s="7">
        <f t="shared" si="253"/>
        <v>2953145.612159959</v>
      </c>
      <c r="BG34" s="7">
        <f t="shared" si="253"/>
        <v>2251431.3209988484</v>
      </c>
      <c r="BH34" s="7">
        <f t="shared" si="253"/>
        <v>1464731.0174381342</v>
      </c>
      <c r="BI34" s="7">
        <f t="shared" si="253"/>
        <v>776430.3140617779</v>
      </c>
      <c r="BJ34" s="7">
        <f t="shared" si="253"/>
        <v>178454.70989126689</v>
      </c>
      <c r="BK34" s="7">
        <f t="shared" si="253"/>
        <v>-586531.32061511383</v>
      </c>
      <c r="BL34" s="7">
        <f t="shared" si="253"/>
        <v>-1623840.9020085675</v>
      </c>
    </row>
    <row r="35" spans="1:64" s="4" customFormat="1" ht="8.25" hidden="1" customHeight="1" outlineLevel="1" x14ac:dyDescent="0.35">
      <c r="A35" s="40"/>
      <c r="B35" s="11"/>
      <c r="C35" s="99"/>
      <c r="D35" s="99"/>
      <c r="E35" s="99"/>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64" s="4" customFormat="1" ht="15" hidden="1" customHeight="1" outlineLevel="1" x14ac:dyDescent="0.35">
      <c r="A36" s="295" t="s">
        <v>21</v>
      </c>
      <c r="B36" s="15"/>
      <c r="C36" s="94"/>
      <c r="D36" s="94"/>
      <c r="E36" s="94"/>
      <c r="F36" s="7"/>
      <c r="G36" s="7"/>
      <c r="H36" s="7"/>
      <c r="I36" s="7"/>
      <c r="J36" s="7"/>
      <c r="K36" s="7"/>
      <c r="L36" s="7"/>
      <c r="M36" s="7"/>
      <c r="N36" s="113">
        <f>'MEEIA 3 adjs'!L22</f>
        <v>1.999999999998181E-2</v>
      </c>
      <c r="O36" s="7"/>
      <c r="P36" s="7"/>
      <c r="Q36" s="7"/>
      <c r="R36" s="7"/>
      <c r="S36" s="7"/>
      <c r="T36" s="7"/>
      <c r="U36" s="7"/>
      <c r="V36" s="7"/>
      <c r="W36" s="7"/>
      <c r="X36" s="7"/>
      <c r="Y36" s="7"/>
      <c r="Z36" s="113">
        <f>'MEEIA 3 adjs'!AA44</f>
        <v>78.53</v>
      </c>
      <c r="AA36" s="7"/>
      <c r="AB36" s="7"/>
      <c r="AC36" s="7"/>
      <c r="AD36" s="7"/>
      <c r="AE36" s="7"/>
      <c r="AF36" s="7"/>
      <c r="AG36" s="7"/>
      <c r="AH36" s="7"/>
      <c r="AI36" s="7"/>
      <c r="AJ36" s="7"/>
      <c r="AK36" s="7"/>
      <c r="AL36" s="7"/>
      <c r="AM36" s="7"/>
      <c r="AN36" s="7"/>
      <c r="AO36" s="7"/>
      <c r="AP36" s="7"/>
      <c r="AQ36" s="7"/>
      <c r="AR36" s="7"/>
      <c r="AS36" s="7"/>
      <c r="AT36" s="7"/>
      <c r="AU36" s="7"/>
      <c r="AV36" s="7"/>
      <c r="AW36" s="125">
        <v>26657.471334484057</v>
      </c>
      <c r="AX36" s="7"/>
      <c r="AY36" s="7"/>
      <c r="AZ36" s="113">
        <f>'MEEIA 3 adjs'!DZ42</f>
        <v>-27.780000000000655</v>
      </c>
      <c r="BA36" s="7"/>
      <c r="BB36" s="7"/>
      <c r="BC36" s="7"/>
      <c r="BD36" s="7"/>
      <c r="BE36" s="7"/>
      <c r="BF36" s="7"/>
      <c r="BG36" s="7"/>
      <c r="BH36" s="7"/>
      <c r="BI36" s="7"/>
      <c r="BJ36" s="7"/>
      <c r="BK36" s="7"/>
      <c r="BL36" s="7"/>
    </row>
    <row r="37" spans="1:64" s="2" customFormat="1" ht="15" hidden="1" customHeight="1" outlineLevel="1" x14ac:dyDescent="0.35">
      <c r="A37" s="295"/>
      <c r="B37" s="15" t="s">
        <v>28</v>
      </c>
      <c r="C37" s="94"/>
      <c r="D37" s="94"/>
      <c r="E37" s="94"/>
      <c r="F37" s="20">
        <f>IF('M3 Allocations - TD'!D6="","",'M3 Allocations - TD'!D32)</f>
        <v>0.34412602678174997</v>
      </c>
      <c r="G37" s="20">
        <f>IF('M3 Allocations - TD'!E6="","",'M3 Allocations - TD'!E32)</f>
        <v>593.85341007321881</v>
      </c>
      <c r="H37" s="20">
        <f>IF('M3 Allocations - TD'!F6="","",'M3 Allocations - TD'!F32)</f>
        <v>8368.5225960071712</v>
      </c>
      <c r="I37" s="20">
        <f>IF('M3 Allocations - TD'!G6="","",'M3 Allocations - TD'!G32)</f>
        <v>23641.814181406706</v>
      </c>
      <c r="J37" s="20">
        <f>IF('M3 Allocations - TD'!H6="","",'M3 Allocations - TD'!H32)</f>
        <v>47663.861231335664</v>
      </c>
      <c r="K37" s="20">
        <f>IF('M3 Allocations - TD'!I6="","",'M3 Allocations - TD'!I32)</f>
        <v>53414.007632337976</v>
      </c>
      <c r="L37" s="20">
        <f>IF('M3 Allocations - TD'!J6="","",'M3 Allocations - TD'!J32)</f>
        <v>71963.570102025027</v>
      </c>
      <c r="M37" s="20">
        <f>IF('M3 Allocations - TD'!K6="","",'M3 Allocations - TD'!K32)</f>
        <v>61965.410188273323</v>
      </c>
      <c r="N37" s="20">
        <f>IF('M3 Allocations - TD'!L6="","",'M3 Allocations - TD'!L32)</f>
        <v>64700.998849587129</v>
      </c>
      <c r="O37" s="20">
        <f>IF('M3 Allocations - TD'!M6="","",'M3 Allocations - TD'!M32)</f>
        <v>81956.189294724609</v>
      </c>
      <c r="P37" s="20">
        <f>IF('M3 Allocations - TD'!N6="","",'M3 Allocations - TD'!N32)</f>
        <v>113990.99327753842</v>
      </c>
      <c r="Q37" s="20">
        <f>IF('M3 Allocations - TD'!O6="","",'M3 Allocations - TD'!O32)</f>
        <v>88043.147483850829</v>
      </c>
      <c r="R37" s="20">
        <f>IF('M3 Allocations - TD'!P6="","",'M3 Allocations - TD'!P32)</f>
        <v>103641.60510926238</v>
      </c>
      <c r="S37" s="20">
        <f>IF('M3 Allocations - TD'!Q6="","",'M3 Allocations - TD'!Q32)</f>
        <v>44495.668454394727</v>
      </c>
      <c r="T37" s="20">
        <f>IF('M3 Allocations - TD'!R6="","",'M3 Allocations - TD'!R32)</f>
        <v>72447.479306892477</v>
      </c>
      <c r="U37" s="20">
        <f>IF('M3 Allocations - TD'!S6="","",'M3 Allocations - TD'!S32)</f>
        <v>100242.14080653639</v>
      </c>
      <c r="V37" s="20">
        <f>IF('M3 Allocations - TD'!T6="","",'M3 Allocations - TD'!T32)</f>
        <v>144814.88878280437</v>
      </c>
      <c r="W37" s="20">
        <f>IF('M3 Allocations - TD'!U6="","",'M3 Allocations - TD'!U32)</f>
        <v>113846.66455304027</v>
      </c>
      <c r="X37" s="20">
        <f>IF('M3 Allocations - TD'!V6="","",'M3 Allocations - TD'!V32)</f>
        <v>127713.0610159208</v>
      </c>
      <c r="Y37" s="20">
        <f>IF('M3 Allocations - TD'!W6="","",'M3 Allocations - TD'!W32)</f>
        <v>102944.20736329375</v>
      </c>
      <c r="Z37" s="20">
        <f>IF('M3 Allocations - TD'!X6="","",'M3 Allocations - TD'!X32)</f>
        <v>98619.753088261379</v>
      </c>
      <c r="AA37" s="20">
        <f>IF('M3 Allocations - TD'!Y6="","",'M3 Allocations - TD'!Y32)</f>
        <v>116491.49867964754</v>
      </c>
      <c r="AB37" s="20">
        <f>IF('M3 Allocations - TD'!Z6="","",'M3 Allocations - TD'!Z32)</f>
        <v>196559.66519683803</v>
      </c>
      <c r="AC37" s="20">
        <f>IF('M3 Allocations - TD'!AA6="","",'M3 Allocations - TD'!AA32)</f>
        <v>143190.44336244816</v>
      </c>
      <c r="AD37" s="20">
        <f>IF('M3 Allocations - TD'!AB6="","",'M3 Allocations - TD'!AB32)</f>
        <v>165885.95699877734</v>
      </c>
      <c r="AE37" s="20">
        <f>IF('M3 Allocations - TD'!AC6="","",'M3 Allocations - TD'!AC32)</f>
        <v>168014.93999895826</v>
      </c>
      <c r="AF37" s="20">
        <f>IF('M3 Allocations - TD'!AD6="","",'M3 Allocations - TD'!AD32)</f>
        <v>224708.57117023846</v>
      </c>
      <c r="AG37" s="20">
        <f>IF('M3 Allocations - TD'!AE6="","",'M3 Allocations - TD'!AE32)</f>
        <v>334985.01191056194</v>
      </c>
      <c r="AH37" s="20">
        <f>IF('M3 Allocations - TD'!AF6="","",'M3 Allocations - TD'!AF32)</f>
        <v>449867.18718954525</v>
      </c>
      <c r="AI37" s="20">
        <f>IF('M3 Allocations - TD'!AG6="","",'M3 Allocations - TD'!AG32)</f>
        <v>392143.15877642907</v>
      </c>
      <c r="AJ37" s="20">
        <f>IF('M3 Allocations - TD'!AH6="","",'M3 Allocations - TD'!AH32)</f>
        <v>337751.81199888035</v>
      </c>
      <c r="AK37" s="20">
        <f>IF('M3 Allocations - TD'!AI6="","",'M3 Allocations - TD'!AI32)</f>
        <v>247793.76914859904</v>
      </c>
      <c r="AL37" s="20">
        <f>IF('M3 Allocations - TD'!AJ6="","",'M3 Allocations - TD'!AJ32)</f>
        <v>222262.13845546212</v>
      </c>
      <c r="AM37" s="20">
        <f>IF('M3 Allocations - TD'!AK6="","",'M3 Allocations - TD'!AK32)</f>
        <v>249509.48642011534</v>
      </c>
      <c r="AN37" s="20">
        <f>IF('M3 Allocations - TD'!AL6="","",'M3 Allocations - TD'!AL32)</f>
        <v>321944.69044732186</v>
      </c>
      <c r="AO37" s="20">
        <f>IF('M3 Allocations - TD'!AM6="","",'M3 Allocations - TD'!AM32)</f>
        <v>246962.75301226831</v>
      </c>
      <c r="AP37" s="20">
        <f>IF('M3 Allocations - TD'!AN6="","",'M3 Allocations - TD'!AN32)</f>
        <v>100845.58616926862</v>
      </c>
      <c r="AQ37" s="20">
        <f>IF('M3 Allocations - TD'!AO6="","",'M3 Allocations - TD'!AO32)</f>
        <v>127422.49440160212</v>
      </c>
      <c r="AR37" s="20">
        <f>IF('M3 Allocations - TD'!AP6="","",'M3 Allocations - TD'!AP32)</f>
        <v>191471.00601967305</v>
      </c>
      <c r="AS37" s="20">
        <f>IF('M3 Allocations - TD'!AQ6="","",'M3 Allocations - TD'!AQ32)</f>
        <v>262682.7688338983</v>
      </c>
      <c r="AT37" s="20">
        <f>IF('M3 Allocations - TD'!AR6="","",'M3 Allocations - TD'!AR32)</f>
        <v>354188.78297288192</v>
      </c>
      <c r="AU37" s="20">
        <f>IF('M3 Allocations - TD'!AS6="","",'M3 Allocations - TD'!AS32)</f>
        <v>291793.54141646903</v>
      </c>
      <c r="AV37" s="20">
        <f>IF('M3 Allocations - TD'!AT6="","",'M3 Allocations - TD'!AT32)</f>
        <v>288002.90399346605</v>
      </c>
      <c r="AW37" s="20">
        <f>IF('M3 Allocations - TD'!AU6="","",'M3 Allocations - TD'!AU32)</f>
        <v>176158.92806469859</v>
      </c>
      <c r="AX37" s="20">
        <f>IF('M3 Allocations - TD'!AV6="","",'M3 Allocations - TD'!AV32)</f>
        <v>148988.71783347923</v>
      </c>
      <c r="AY37" s="20">
        <f>IF('M3 Allocations - TD'!AW6="","",'M3 Allocations - TD'!AW32)</f>
        <v>166383.33688258496</v>
      </c>
      <c r="AZ37" s="20">
        <f>IF('M3 Allocations - TD'!AX6="","",'M3 Allocations - TD'!AX32)</f>
        <v>230424.97504364184</v>
      </c>
      <c r="BA37" s="20">
        <f>IF('M3 Allocations - TD'!AY6="","",'M3 Allocations - TD'!AY32)</f>
        <v>167267.8186977868</v>
      </c>
      <c r="BB37" s="20">
        <f>IF('M3 Allocations - TD'!AZ6="","",'M3 Allocations - TD'!AZ32)</f>
        <v>188556.51884636932</v>
      </c>
      <c r="BC37" s="20">
        <f>IF('M3 Allocations - TD'!BA6="","",'M3 Allocations - TD'!BA32)</f>
        <v>207172.72942284547</v>
      </c>
      <c r="BD37" s="20">
        <f>IF('M3 Allocations - TD'!BB6="","",'M3 Allocations - TD'!BB32)</f>
        <v>282077.02604301338</v>
      </c>
      <c r="BE37" s="20">
        <f>IF('M3 Allocations - TD'!BC6="","",'M3 Allocations - TD'!BC32)</f>
        <v>384908.25435282208</v>
      </c>
      <c r="BF37" s="20">
        <f>IF('M3 Allocations - TD'!BD6="","",'M3 Allocations - TD'!BD32)</f>
        <v>139737.20125715411</v>
      </c>
      <c r="BG37" s="20">
        <f>IF('M3 Allocations - TD'!BE6="","",'M3 Allocations - TD'!BE32)</f>
        <v>125981.43604405341</v>
      </c>
      <c r="BH37" s="20">
        <f>IF('M3 Allocations - TD'!BF6="","",'M3 Allocations - TD'!BF32)</f>
        <v>117180.62967897265</v>
      </c>
      <c r="BI37" s="20">
        <f>IF('M3 Allocations - TD'!BG6="","",'M3 Allocations - TD'!BG32)</f>
        <v>83769.976962386063</v>
      </c>
      <c r="BJ37" s="20">
        <f>IF('M3 Allocations - TD'!BH6="","",'M3 Allocations - TD'!BH32)</f>
        <v>83752.207064133108</v>
      </c>
      <c r="BK37" s="20">
        <f>IF('M3 Allocations - TD'!BI6="","",'M3 Allocations - TD'!BI32)</f>
        <v>108088.1003338694</v>
      </c>
      <c r="BL37" s="20">
        <f>IF('M3 Allocations - TD'!BJ6="","",'M3 Allocations - TD'!BJ32)</f>
        <v>124335.73983668641</v>
      </c>
    </row>
    <row r="38" spans="1:64" s="4" customFormat="1" ht="15" hidden="1" customHeight="1" outlineLevel="1" x14ac:dyDescent="0.35">
      <c r="A38" s="295"/>
      <c r="B38" s="16" t="s">
        <v>26</v>
      </c>
      <c r="C38" s="94"/>
      <c r="D38" s="94"/>
      <c r="E38" s="94"/>
      <c r="F38" s="20">
        <f>IF('M3 Allocations - TD'!D52="","",'M3 Allocations - TD'!D70)</f>
        <v>0</v>
      </c>
      <c r="G38" s="20">
        <f>IF('M3 Allocations - TD'!E52="","",'M3 Allocations - TD'!E70)</f>
        <v>0</v>
      </c>
      <c r="H38" s="20">
        <f>IF('M3 Allocations - TD'!F52="","",'M3 Allocations - TD'!F70)</f>
        <v>4662.874879564878</v>
      </c>
      <c r="I38" s="20">
        <f>IF('M3 Allocations - TD'!G52="","",'M3 Allocations - TD'!G70)</f>
        <v>60575.806014450071</v>
      </c>
      <c r="J38" s="20">
        <f>IF('M3 Allocations - TD'!H52="","",'M3 Allocations - TD'!H70)</f>
        <v>69235.226705339766</v>
      </c>
      <c r="K38" s="20">
        <f>IF('M3 Allocations - TD'!I52="","",'M3 Allocations - TD'!I70)</f>
        <v>71132.268141530934</v>
      </c>
      <c r="L38" s="20">
        <f>IF('M3 Allocations - TD'!J52="","",'M3 Allocations - TD'!J70)</f>
        <v>68766.003213137257</v>
      </c>
      <c r="M38" s="20">
        <f>IF('M3 Allocations - TD'!K52="","",'M3 Allocations - TD'!K70)</f>
        <v>61936.863591354115</v>
      </c>
      <c r="N38" s="20">
        <f>IF('M3 Allocations - TD'!L52="","",'M3 Allocations - TD'!L70)</f>
        <v>55314.675500358826</v>
      </c>
      <c r="O38" s="20">
        <f>IF('M3 Allocations - TD'!M52="","",'M3 Allocations - TD'!M70)</f>
        <v>64772.869833744619</v>
      </c>
      <c r="P38" s="20">
        <f>IF('M3 Allocations - TD'!N52="","",'M3 Allocations - TD'!N70)</f>
        <v>69020.979330338465</v>
      </c>
      <c r="Q38" s="20">
        <f>IF('M3 Allocations - TD'!O52="","",'M3 Allocations - TD'!O70)</f>
        <v>72477.677451482814</v>
      </c>
      <c r="R38" s="20">
        <f>IF('M3 Allocations - TD'!P52="","",'M3 Allocations - TD'!P70)</f>
        <v>71928.028717536567</v>
      </c>
      <c r="S38" s="20">
        <f>IF('M3 Allocations - TD'!Q52="","",'M3 Allocations - TD'!Q70)</f>
        <v>55453.451619799707</v>
      </c>
      <c r="T38" s="20">
        <f>IF('M3 Allocations - TD'!R52="","",'M3 Allocations - TD'!R70)</f>
        <v>50391.746026202469</v>
      </c>
      <c r="U38" s="20">
        <f>IF('M3 Allocations - TD'!S52="","",'M3 Allocations - TD'!S70)</f>
        <v>63389.498728401399</v>
      </c>
      <c r="V38" s="20">
        <f>IF('M3 Allocations - TD'!T52="","",'M3 Allocations - TD'!T70)</f>
        <v>78881.855890584935</v>
      </c>
      <c r="W38" s="20">
        <f>IF('M3 Allocations - TD'!U52="","",'M3 Allocations - TD'!U70)</f>
        <v>76955.02703194521</v>
      </c>
      <c r="X38" s="20">
        <f>IF('M3 Allocations - TD'!V52="","",'M3 Allocations - TD'!V70)</f>
        <v>73755.388306573834</v>
      </c>
      <c r="Y38" s="20">
        <f>IF('M3 Allocations - TD'!W52="","",'M3 Allocations - TD'!W70)</f>
        <v>59772.834718849517</v>
      </c>
      <c r="Z38" s="20">
        <f>IF('M3 Allocations - TD'!X52="","",'M3 Allocations - TD'!X70)</f>
        <v>59572.876185864705</v>
      </c>
      <c r="AA38" s="20">
        <f>IF('M3 Allocations - TD'!Y52="","",'M3 Allocations - TD'!Y70)</f>
        <v>68599.470346323797</v>
      </c>
      <c r="AB38" s="20">
        <f>IF('M3 Allocations - TD'!Z52="","",'M3 Allocations - TD'!Z70)</f>
        <v>81564.73791205966</v>
      </c>
      <c r="AC38" s="20">
        <f>IF('M3 Allocations - TD'!AA52="","",'M3 Allocations - TD'!AA70)</f>
        <v>242664.75286538465</v>
      </c>
      <c r="AD38" s="20">
        <f>IF('M3 Allocations - TD'!AB52="","",'M3 Allocations - TD'!AB70)</f>
        <v>375919.83719992841</v>
      </c>
      <c r="AE38" s="20">
        <f>IF('M3 Allocations - TD'!AC52="","",'M3 Allocations - TD'!AC70)</f>
        <v>300075.62636462261</v>
      </c>
      <c r="AF38" s="20">
        <f>IF('M3 Allocations - TD'!AD52="","",'M3 Allocations - TD'!AD70)</f>
        <v>293923.98139317043</v>
      </c>
      <c r="AG38" s="20">
        <f>IF('M3 Allocations - TD'!AE52="","",'M3 Allocations - TD'!AE70)</f>
        <v>350815.31218641665</v>
      </c>
      <c r="AH38" s="20">
        <f>IF('M3 Allocations - TD'!AF52="","",'M3 Allocations - TD'!AF70)</f>
        <v>415012.49945076351</v>
      </c>
      <c r="AI38" s="20">
        <f>IF('M3 Allocations - TD'!AG52="","",'M3 Allocations - TD'!AG70)</f>
        <v>415043.37829811877</v>
      </c>
      <c r="AJ38" s="20">
        <f>IF('M3 Allocations - TD'!AH52="","",'M3 Allocations - TD'!AH70)</f>
        <v>419425.17682734353</v>
      </c>
      <c r="AK38" s="20">
        <f>IF('M3 Allocations - TD'!AI52="","",'M3 Allocations - TD'!AI70)</f>
        <v>350351.57477839955</v>
      </c>
      <c r="AL38" s="20">
        <f>IF('M3 Allocations - TD'!AJ52="","",'M3 Allocations - TD'!AJ70)</f>
        <v>312397.32107489841</v>
      </c>
      <c r="AM38" s="20">
        <f>IF('M3 Allocations - TD'!AK52="","",'M3 Allocations - TD'!AK70)</f>
        <v>355639.37645809754</v>
      </c>
      <c r="AN38" s="20">
        <f>IF('M3 Allocations - TD'!AL52="","",'M3 Allocations - TD'!AL70)</f>
        <v>419510.42236398638</v>
      </c>
      <c r="AO38" s="20">
        <f>IF('M3 Allocations - TD'!AM52="","",'M3 Allocations - TD'!AM70)</f>
        <v>345889.73802590865</v>
      </c>
      <c r="AP38" s="20">
        <f>IF('M3 Allocations - TD'!AN52="","",'M3 Allocations - TD'!AN70)</f>
        <v>199586.56344967708</v>
      </c>
      <c r="AQ38" s="20">
        <f>IF('M3 Allocations - TD'!AO52="","",'M3 Allocations - TD'!AO70)</f>
        <v>176831.15319493209</v>
      </c>
      <c r="AR38" s="20">
        <f>IF('M3 Allocations - TD'!AP52="","",'M3 Allocations - TD'!AP70)</f>
        <v>171543.19774187819</v>
      </c>
      <c r="AS38" s="20">
        <f>IF('M3 Allocations - TD'!AQ52="","",'M3 Allocations - TD'!AQ70)</f>
        <v>199615.15184616181</v>
      </c>
      <c r="AT38" s="20">
        <f>IF('M3 Allocations - TD'!AR52="","",'M3 Allocations - TD'!AR70)</f>
        <v>238634.42662698543</v>
      </c>
      <c r="AU38" s="20">
        <f>IF('M3 Allocations - TD'!AS52="","",'M3 Allocations - TD'!AS70)</f>
        <v>233703.41244781748</v>
      </c>
      <c r="AV38" s="20">
        <f>IF('M3 Allocations - TD'!AT52="","",'M3 Allocations - TD'!AT70)</f>
        <v>214332.64423371092</v>
      </c>
      <c r="AW38" s="20">
        <f>IF('M3 Allocations - TD'!AU52="","",'M3 Allocations - TD'!AU70)</f>
        <v>176304.098950004</v>
      </c>
      <c r="AX38" s="20">
        <f>IF('M3 Allocations - TD'!AV52="","",'M3 Allocations - TD'!AV70)</f>
        <v>167898.42293823551</v>
      </c>
      <c r="AY38" s="20">
        <f>IF('M3 Allocations - TD'!AW52="","",'M3 Allocations - TD'!AW70)</f>
        <v>208742.33055279544</v>
      </c>
      <c r="AZ38" s="20">
        <f>IF('M3 Allocations - TD'!AX52="","",'M3 Allocations - TD'!AX70)</f>
        <v>238776.54615310833</v>
      </c>
      <c r="BA38" s="20">
        <f>IF('M3 Allocations - TD'!AY52="","",'M3 Allocations - TD'!AY70)</f>
        <v>183122.16294648265</v>
      </c>
      <c r="BB38" s="20">
        <f>IF('M3 Allocations - TD'!AZ52="","",'M3 Allocations - TD'!AZ70)</f>
        <v>132175.3110263155</v>
      </c>
      <c r="BC38" s="20">
        <f>IF('M3 Allocations - TD'!BA52="","",'M3 Allocations - TD'!BA70)</f>
        <v>121716.31880553745</v>
      </c>
      <c r="BD38" s="20">
        <f>IF('M3 Allocations - TD'!BB52="","",'M3 Allocations - TD'!BB70)</f>
        <v>112859.12458406219</v>
      </c>
      <c r="BE38" s="20">
        <f>IF('M3 Allocations - TD'!BC52="","",'M3 Allocations - TD'!BC70)</f>
        <v>135711.65425614105</v>
      </c>
      <c r="BF38" s="20">
        <f>IF('M3 Allocations - TD'!BD52="","",'M3 Allocations - TD'!BD70)</f>
        <v>157092.67328108675</v>
      </c>
      <c r="BG38" s="20">
        <f>IF('M3 Allocations - TD'!BE52="","",'M3 Allocations - TD'!BE70)</f>
        <v>160402.84864590407</v>
      </c>
      <c r="BH38" s="20">
        <f>IF('M3 Allocations - TD'!BF52="","",'M3 Allocations - TD'!BF70)</f>
        <v>155339.15490700732</v>
      </c>
      <c r="BI38" s="20">
        <f>IF('M3 Allocations - TD'!BG52="","",'M3 Allocations - TD'!BG70)</f>
        <v>131677.62985970045</v>
      </c>
      <c r="BJ38" s="20">
        <f>IF('M3 Allocations - TD'!BH52="","",'M3 Allocations - TD'!BH70)</f>
        <v>121105.37475263984</v>
      </c>
      <c r="BK38" s="20">
        <f>IF('M3 Allocations - TD'!BI52="","",'M3 Allocations - TD'!BI70)</f>
        <v>141629.25980982516</v>
      </c>
      <c r="BL38" s="20">
        <f>IF('M3 Allocations - TD'!BJ52="","",'M3 Allocations - TD'!BJ70)</f>
        <v>164621.51335781041</v>
      </c>
    </row>
    <row r="39" spans="1:64" s="4" customFormat="1" ht="15" hidden="1" customHeight="1" outlineLevel="1" x14ac:dyDescent="0.35">
      <c r="A39" s="295"/>
      <c r="B39" s="16" t="s">
        <v>51</v>
      </c>
      <c r="C39" s="94"/>
      <c r="D39" s="94"/>
      <c r="E39" s="94"/>
      <c r="F39" s="20">
        <f>IF(F38="","",0)</f>
        <v>0</v>
      </c>
      <c r="G39" s="20">
        <f t="shared" ref="G39" si="254">IF(G38="","",0)</f>
        <v>0</v>
      </c>
      <c r="H39" s="20">
        <f t="shared" ref="H39" si="255">IF(H38="","",0)</f>
        <v>0</v>
      </c>
      <c r="I39" s="20">
        <f t="shared" ref="I39" si="256">IF(I38="","",0)</f>
        <v>0</v>
      </c>
      <c r="J39" s="20">
        <f t="shared" ref="J39" si="257">IF(J38="","",0)</f>
        <v>0</v>
      </c>
      <c r="K39" s="20">
        <f t="shared" ref="K39" si="258">IF(K38="","",0)</f>
        <v>0</v>
      </c>
      <c r="L39" s="20">
        <f t="shared" ref="L39" si="259">IF(L38="","",0)</f>
        <v>0</v>
      </c>
      <c r="M39" s="20">
        <f t="shared" ref="M39" si="260">IF(M38="","",0)</f>
        <v>0</v>
      </c>
      <c r="N39" s="20">
        <f t="shared" ref="N39" si="261">IF(N38="","",0)</f>
        <v>0</v>
      </c>
      <c r="O39" s="20">
        <f t="shared" ref="O39" si="262">IF(O38="","",0)</f>
        <v>0</v>
      </c>
      <c r="P39" s="20">
        <f t="shared" ref="P39" si="263">IF(P38="","",0)</f>
        <v>0</v>
      </c>
      <c r="Q39" s="20">
        <f>IF(Q38="","",-'M3 TD amort'!C15)</f>
        <v>17996.03</v>
      </c>
      <c r="R39" s="20">
        <f>IF(R38="","",-'M3 TD amort'!D15)</f>
        <v>17828.82</v>
      </c>
      <c r="S39" s="20">
        <f>IF(S38="","",-'M3 TD amort'!E15)</f>
        <v>13698.34</v>
      </c>
      <c r="T39" s="20">
        <f>IF(T38="","",-'M3 TD amort'!F15)</f>
        <v>12419.68</v>
      </c>
      <c r="U39" s="20">
        <f>IF(U38="","",-'M3 TD amort'!G15)</f>
        <v>15595.43</v>
      </c>
      <c r="V39" s="20">
        <f>IF(V38="","",-'M3 TD amort'!H15)</f>
        <v>19419.18</v>
      </c>
      <c r="W39" s="20">
        <f>IF(W38="","",-'M3 TD amort'!I15)</f>
        <v>18927.88</v>
      </c>
      <c r="X39" s="20">
        <f>IF(X38="","",-'M3 TD amort'!J15)</f>
        <v>18118.43</v>
      </c>
      <c r="Y39" s="20">
        <f>IF(Y38="","",-'M3 TD amort'!K15)</f>
        <v>14686.23</v>
      </c>
      <c r="Z39" s="20">
        <f>IF(Z38="","",-'M3 TD amort'!L15)</f>
        <v>14677.84</v>
      </c>
      <c r="AA39" s="20">
        <f>IF(AA38="","",-'M3 TD amort'!M15)</f>
        <v>16957.169999999998</v>
      </c>
      <c r="AB39" s="20">
        <f>IF(AB38="","",-'M3 TD amort'!N15)</f>
        <v>20227.96</v>
      </c>
      <c r="AC39" s="20">
        <f>IF(AC38="","",-'M3 TD amort'!O15)</f>
        <v>-27075.87</v>
      </c>
      <c r="AD39" s="20">
        <f>IF(AD38="","",-'M3 TD amort'!P15)</f>
        <v>-41869.919999999998</v>
      </c>
      <c r="AE39" s="20">
        <f>IF(AE38="","",-'M3 TD amort'!Q15)</f>
        <v>-33303.57</v>
      </c>
      <c r="AF39" s="20">
        <f>IF(AF38="","",-'M3 TD amort'!R15)</f>
        <v>-32560.29</v>
      </c>
      <c r="AG39" s="20">
        <f>IF(AG38="","",-'M3 TD amort'!S15)</f>
        <v>-38841.39</v>
      </c>
      <c r="AH39" s="20">
        <f>IF(AH38="","",-'M3 TD amort'!T15)</f>
        <v>-45977.98</v>
      </c>
      <c r="AI39" s="20">
        <f>IF(AI38="","",-'M3 TD amort'!U15)</f>
        <v>-45995.38</v>
      </c>
      <c r="AJ39" s="20">
        <f>IF(AJ38="","",-'M3 TD amort'!V15)</f>
        <v>-46474.38</v>
      </c>
      <c r="AK39" s="20">
        <f>IF(AK38="","",-'M3 TD amort'!W15)</f>
        <v>-38765.449999999997</v>
      </c>
      <c r="AL39" s="20">
        <f>IF(AL38="","",-'M3 TD amort'!X15)</f>
        <v>-34659.79</v>
      </c>
      <c r="AM39" s="20">
        <f>IF(AM38="","",-'M3 TD amort'!Y15)</f>
        <v>-39489.65</v>
      </c>
      <c r="AN39" s="20">
        <f>IF(AN38="","",-'M3 TD amort'!Z15)</f>
        <v>-46633.93</v>
      </c>
      <c r="AO39" s="20">
        <f>IF(AO38="","",-'M3 TD amort'!AA15)</f>
        <v>59971.88</v>
      </c>
      <c r="AP39" s="20">
        <f>IF(AP38="","",-'M3 TD amort'!AB15)</f>
        <v>34460.21</v>
      </c>
      <c r="AQ39" s="20">
        <f>IF(AQ38="","",-'M3 TD amort'!AC15)</f>
        <v>30482.11</v>
      </c>
      <c r="AR39" s="20">
        <f>IF(AR38="","",-'M3 TD amort'!AD15)</f>
        <v>29523.43</v>
      </c>
      <c r="AS39" s="20">
        <f>IF(AS38="","",-'M3 TD amort'!AE15)</f>
        <v>34337.879999999997</v>
      </c>
      <c r="AT39" s="20">
        <f>IF(AT38="","",-'M3 TD amort'!AF15)</f>
        <v>41091.919999999998</v>
      </c>
      <c r="AU39" s="20">
        <f>IF(AU38="","",-'M3 TD amort'!AG15)</f>
        <v>40250.86</v>
      </c>
      <c r="AV39" s="20">
        <f>IF(AV38="","",-'M3 TD amort'!AH15)</f>
        <v>36905.46</v>
      </c>
      <c r="AW39" s="20">
        <f>IF(AW38="","",-'M3 TD amort'!AI15)</f>
        <v>30354.95</v>
      </c>
      <c r="AX39" s="20">
        <f>IF(AX38="","",-'M3 TD amort'!AJ15)</f>
        <v>28938.2</v>
      </c>
      <c r="AY39" s="20">
        <f>IF(AY38="","",-'M3 TD amort'!AK15)</f>
        <v>36146.32</v>
      </c>
      <c r="AZ39" s="20">
        <f>IF(AZ38="","",-'M3 TD amort'!AL15)</f>
        <v>41356.58</v>
      </c>
      <c r="BA39" s="20">
        <f>IF(BA38="","",-'M3 TD amort'!AM15)</f>
        <v>51287.19</v>
      </c>
      <c r="BB39" s="20">
        <f>IF(BB38="","",-'M3 TD amort'!AN15)</f>
        <v>37406.94</v>
      </c>
      <c r="BC39" s="20">
        <f>IF(BC38="","",-'M3 TD amort'!AO15)</f>
        <v>34363.08</v>
      </c>
      <c r="BD39" s="20">
        <f>IF(BD38="","",-'M3 TD amort'!AP15)</f>
        <v>31707.18</v>
      </c>
      <c r="BE39" s="20">
        <f>IF(BE38="","",-'M3 TD amort'!AQ15)</f>
        <v>38111.519999999997</v>
      </c>
      <c r="BF39" s="20">
        <f>IF(BF38="","",-'M3 TD amort'!AR15)</f>
        <v>44222.96</v>
      </c>
      <c r="BG39" s="20">
        <f>IF(BG38="","",-'M3 TD amort'!AS15)</f>
        <v>45175.25</v>
      </c>
      <c r="BH39" s="20">
        <f>IF(BH38="","",-'M3 TD amort'!AT15)</f>
        <v>43726.97</v>
      </c>
      <c r="BI39" s="20">
        <f>IF(BI38="","",-'M3 TD amort'!AU15)</f>
        <v>37032.21</v>
      </c>
      <c r="BJ39" s="20">
        <f>IF(BJ38="","",-'M3 TD amort'!AV15)</f>
        <v>34056.019999999997</v>
      </c>
      <c r="BK39" s="20">
        <f>IF(BK38="","",-'M3 TD amort'!AW15)</f>
        <v>39977.93</v>
      </c>
      <c r="BL39" s="20">
        <f>IF(BL38="","",-'M3 TD amort'!AX15)</f>
        <v>46593.760000000002</v>
      </c>
    </row>
    <row r="40" spans="1:64" s="4" customFormat="1" ht="15" hidden="1" customHeight="1" outlineLevel="1" x14ac:dyDescent="0.35">
      <c r="A40" s="295"/>
      <c r="B40" s="16" t="s">
        <v>52</v>
      </c>
      <c r="C40" s="94"/>
      <c r="D40" s="94"/>
      <c r="E40" s="94"/>
      <c r="F40" s="7">
        <f t="shared" ref="F40:M40" si="264">IF(OR(F39="",F38=""),"",F38+F39)</f>
        <v>0</v>
      </c>
      <c r="G40" s="7">
        <f t="shared" si="264"/>
        <v>0</v>
      </c>
      <c r="H40" s="7">
        <f t="shared" si="264"/>
        <v>4662.874879564878</v>
      </c>
      <c r="I40" s="7">
        <f t="shared" si="264"/>
        <v>60575.806014450071</v>
      </c>
      <c r="J40" s="7">
        <f t="shared" si="264"/>
        <v>69235.226705339766</v>
      </c>
      <c r="K40" s="7">
        <f t="shared" si="264"/>
        <v>71132.268141530934</v>
      </c>
      <c r="L40" s="7">
        <f t="shared" si="264"/>
        <v>68766.003213137257</v>
      </c>
      <c r="M40" s="7">
        <f t="shared" si="264"/>
        <v>61936.863591354115</v>
      </c>
      <c r="N40" s="7">
        <f>IF(OR(N39="",N38=""),"",N38+N39)</f>
        <v>55314.675500358826</v>
      </c>
      <c r="O40" s="7">
        <f t="shared" ref="O40:AE40" si="265">IF(OR(O39="",O38=""),"",O38+O39)</f>
        <v>64772.869833744619</v>
      </c>
      <c r="P40" s="7">
        <f t="shared" si="265"/>
        <v>69020.979330338465</v>
      </c>
      <c r="Q40" s="7">
        <f t="shared" si="265"/>
        <v>90473.707451482813</v>
      </c>
      <c r="R40" s="7">
        <f t="shared" si="265"/>
        <v>89756.848717536574</v>
      </c>
      <c r="S40" s="7">
        <f t="shared" si="265"/>
        <v>69151.791619799711</v>
      </c>
      <c r="T40" s="7">
        <f t="shared" si="265"/>
        <v>62811.426026202469</v>
      </c>
      <c r="U40" s="7">
        <f t="shared" si="265"/>
        <v>78984.928728401399</v>
      </c>
      <c r="V40" s="7">
        <f t="shared" si="265"/>
        <v>98301.035890584928</v>
      </c>
      <c r="W40" s="7">
        <f t="shared" si="265"/>
        <v>95882.907031945215</v>
      </c>
      <c r="X40" s="7">
        <f t="shared" si="265"/>
        <v>91873.818306573841</v>
      </c>
      <c r="Y40" s="7">
        <f t="shared" si="265"/>
        <v>74459.06471884952</v>
      </c>
      <c r="Z40" s="7">
        <f>IF(OR(Z39="",Z38=""),"",Z38+Z39)</f>
        <v>74250.716185864701</v>
      </c>
      <c r="AA40" s="7">
        <f t="shared" si="265"/>
        <v>85556.640346323795</v>
      </c>
      <c r="AB40" s="7">
        <f t="shared" si="265"/>
        <v>101792.69791205967</v>
      </c>
      <c r="AC40" s="7">
        <f t="shared" si="265"/>
        <v>215588.88286538466</v>
      </c>
      <c r="AD40" s="7">
        <f t="shared" si="265"/>
        <v>334049.91719992843</v>
      </c>
      <c r="AE40" s="7">
        <f t="shared" si="265"/>
        <v>266772.05636462261</v>
      </c>
      <c r="AF40" s="7">
        <f t="shared" ref="AF40:AW40" si="266">IF(OR(AF39="",AF38=""),"",AF38+AF39)</f>
        <v>261363.69139317042</v>
      </c>
      <c r="AG40" s="7">
        <f t="shared" si="266"/>
        <v>311973.92218641663</v>
      </c>
      <c r="AH40" s="7">
        <f t="shared" si="266"/>
        <v>369034.51945076353</v>
      </c>
      <c r="AI40" s="7">
        <f t="shared" si="266"/>
        <v>369047.99829811876</v>
      </c>
      <c r="AJ40" s="7">
        <f t="shared" si="266"/>
        <v>372950.79682734353</v>
      </c>
      <c r="AK40" s="7">
        <f t="shared" si="266"/>
        <v>311586.12477839953</v>
      </c>
      <c r="AL40" s="7">
        <f t="shared" si="266"/>
        <v>277737.53107489843</v>
      </c>
      <c r="AM40" s="7">
        <f t="shared" si="266"/>
        <v>316149.72645809752</v>
      </c>
      <c r="AN40" s="7">
        <f t="shared" si="266"/>
        <v>372876.49236398638</v>
      </c>
      <c r="AO40" s="7">
        <f t="shared" si="266"/>
        <v>405861.61802590865</v>
      </c>
      <c r="AP40" s="7">
        <f t="shared" si="266"/>
        <v>234046.77344967707</v>
      </c>
      <c r="AQ40" s="7">
        <f t="shared" si="266"/>
        <v>207313.26319493208</v>
      </c>
      <c r="AR40" s="7">
        <f t="shared" si="266"/>
        <v>201066.62774187818</v>
      </c>
      <c r="AS40" s="7">
        <f t="shared" si="266"/>
        <v>233953.03184616182</v>
      </c>
      <c r="AT40" s="7">
        <f t="shared" si="266"/>
        <v>279726.34662698541</v>
      </c>
      <c r="AU40" s="7">
        <f t="shared" si="266"/>
        <v>273954.27244781749</v>
      </c>
      <c r="AV40" s="7">
        <f t="shared" si="266"/>
        <v>251238.10423371091</v>
      </c>
      <c r="AW40" s="7">
        <f t="shared" si="266"/>
        <v>206659.04895000401</v>
      </c>
      <c r="AX40" s="7">
        <f t="shared" ref="AX40:AY40" si="267">IF(OR(AX39="",AX38=""),"",AX38+AX39)</f>
        <v>196836.62293823552</v>
      </c>
      <c r="AY40" s="7">
        <f t="shared" si="267"/>
        <v>244888.65055279544</v>
      </c>
      <c r="AZ40" s="7">
        <f t="shared" ref="AZ40:BA40" si="268">IF(OR(AZ39="",AZ38=""),"",AZ38+AZ39)</f>
        <v>280133.12615310831</v>
      </c>
      <c r="BA40" s="7">
        <f t="shared" si="268"/>
        <v>234409.35294648266</v>
      </c>
      <c r="BB40" s="7">
        <f t="shared" ref="BB40:BC40" si="269">IF(OR(BB39="",BB38=""),"",BB38+BB39)</f>
        <v>169582.2510263155</v>
      </c>
      <c r="BC40" s="7">
        <f t="shared" si="269"/>
        <v>156079.39880553744</v>
      </c>
      <c r="BD40" s="7">
        <f t="shared" ref="BD40:BE40" si="270">IF(OR(BD39="",BD38=""),"",BD38+BD39)</f>
        <v>144566.30458406219</v>
      </c>
      <c r="BE40" s="7">
        <f t="shared" si="270"/>
        <v>173823.17425614104</v>
      </c>
      <c r="BF40" s="7">
        <f t="shared" ref="BF40:BG40" si="271">IF(OR(BF39="",BF38=""),"",BF38+BF39)</f>
        <v>201315.63328108675</v>
      </c>
      <c r="BG40" s="7">
        <f t="shared" si="271"/>
        <v>205578.09864590407</v>
      </c>
      <c r="BH40" s="7">
        <f t="shared" ref="BH40:BI40" si="272">IF(OR(BH39="",BH38=""),"",BH38+BH39)</f>
        <v>199066.12490700732</v>
      </c>
      <c r="BI40" s="7">
        <f t="shared" si="272"/>
        <v>168709.83985970044</v>
      </c>
      <c r="BJ40" s="7">
        <f t="shared" ref="BJ40" si="273">IF(OR(BJ39="",BJ38=""),"",BJ38+BJ39)</f>
        <v>155161.39475263984</v>
      </c>
      <c r="BK40" s="7">
        <f t="shared" ref="BK40:BL40" si="274">IF(OR(BK39="",BK38=""),"",BK38+BK39)</f>
        <v>181607.18980982515</v>
      </c>
      <c r="BL40" s="7">
        <f t="shared" si="274"/>
        <v>211215.27335781042</v>
      </c>
    </row>
    <row r="41" spans="1:64" s="4" customFormat="1" hidden="1" outlineLevel="1" x14ac:dyDescent="0.35">
      <c r="A41" s="295"/>
      <c r="B41" s="16" t="s">
        <v>13</v>
      </c>
      <c r="C41" s="94"/>
      <c r="D41" s="94"/>
      <c r="E41" s="94"/>
      <c r="F41" s="7">
        <f t="shared" ref="F41:M41" si="275">IF(OR(F38="",F37=""),"",F37-F38)</f>
        <v>0.34412602678174997</v>
      </c>
      <c r="G41" s="7">
        <f t="shared" si="275"/>
        <v>593.85341007321881</v>
      </c>
      <c r="H41" s="7">
        <f t="shared" si="275"/>
        <v>3705.6477164422931</v>
      </c>
      <c r="I41" s="7">
        <f t="shared" si="275"/>
        <v>-36933.991833043365</v>
      </c>
      <c r="J41" s="7">
        <f t="shared" si="275"/>
        <v>-21571.365474004102</v>
      </c>
      <c r="K41" s="7">
        <f t="shared" si="275"/>
        <v>-17718.260509192958</v>
      </c>
      <c r="L41" s="7">
        <f t="shared" si="275"/>
        <v>3197.5668888877699</v>
      </c>
      <c r="M41" s="7">
        <f t="shared" si="275"/>
        <v>28.546596919208241</v>
      </c>
      <c r="N41" s="7">
        <f>IF(OR(N40="",N37=""),"",N37-N40)</f>
        <v>9386.3233492283034</v>
      </c>
      <c r="O41" s="7">
        <f t="shared" ref="O41:AE41" si="276">IF(OR(O40="",O37=""),"",O37-O40)</f>
        <v>17183.31946097999</v>
      </c>
      <c r="P41" s="7">
        <f t="shared" si="276"/>
        <v>44970.013947199957</v>
      </c>
      <c r="Q41" s="7">
        <f>IF(OR(Q40="",Q37=""),"",Q37-Q40)</f>
        <v>-2430.5599676319835</v>
      </c>
      <c r="R41" s="7">
        <f t="shared" si="276"/>
        <v>13884.756391725808</v>
      </c>
      <c r="S41" s="7">
        <f t="shared" si="276"/>
        <v>-24656.123165404984</v>
      </c>
      <c r="T41" s="7">
        <f t="shared" si="276"/>
        <v>9636.0532806900083</v>
      </c>
      <c r="U41" s="7">
        <f t="shared" si="276"/>
        <v>21257.212078134995</v>
      </c>
      <c r="V41" s="7">
        <f t="shared" si="276"/>
        <v>46513.852892219438</v>
      </c>
      <c r="W41" s="7">
        <f t="shared" si="276"/>
        <v>17963.75752109506</v>
      </c>
      <c r="X41" s="7">
        <f t="shared" si="276"/>
        <v>35839.24270934696</v>
      </c>
      <c r="Y41" s="7">
        <f t="shared" si="276"/>
        <v>28485.142644444233</v>
      </c>
      <c r="Z41" s="7">
        <f>IF(OR(Z40="",Z37=""),"",Z37-Z40)</f>
        <v>24369.036902396678</v>
      </c>
      <c r="AA41" s="7">
        <f t="shared" si="276"/>
        <v>30934.858333323748</v>
      </c>
      <c r="AB41" s="7">
        <f t="shared" si="276"/>
        <v>94766.967284778366</v>
      </c>
      <c r="AC41" s="7">
        <f t="shared" si="276"/>
        <v>-72398.439502936497</v>
      </c>
      <c r="AD41" s="7">
        <f t="shared" si="276"/>
        <v>-168163.96020115109</v>
      </c>
      <c r="AE41" s="7">
        <f t="shared" si="276"/>
        <v>-98757.116365664348</v>
      </c>
      <c r="AF41" s="7">
        <f t="shared" ref="AF41:AV41" si="277">IF(OR(AF40="",AF37=""),"",AF37-AF40)</f>
        <v>-36655.120222931961</v>
      </c>
      <c r="AG41" s="7">
        <f t="shared" si="277"/>
        <v>23011.089724145306</v>
      </c>
      <c r="AH41" s="7">
        <f t="shared" si="277"/>
        <v>80832.667738781718</v>
      </c>
      <c r="AI41" s="7">
        <f t="shared" si="277"/>
        <v>23095.16047831031</v>
      </c>
      <c r="AJ41" s="7">
        <f t="shared" si="277"/>
        <v>-35198.984828463173</v>
      </c>
      <c r="AK41" s="7">
        <f t="shared" si="277"/>
        <v>-63792.355629800499</v>
      </c>
      <c r="AL41" s="7">
        <f t="shared" si="277"/>
        <v>-55475.392619436316</v>
      </c>
      <c r="AM41" s="7">
        <f t="shared" si="277"/>
        <v>-66640.240037982177</v>
      </c>
      <c r="AN41" s="7">
        <f t="shared" si="277"/>
        <v>-50931.801916664524</v>
      </c>
      <c r="AO41" s="7">
        <f t="shared" si="277"/>
        <v>-158898.86501364034</v>
      </c>
      <c r="AP41" s="7">
        <f t="shared" si="277"/>
        <v>-133201.18728040846</v>
      </c>
      <c r="AQ41" s="7">
        <f t="shared" si="277"/>
        <v>-79890.76879332996</v>
      </c>
      <c r="AR41" s="7">
        <f t="shared" si="277"/>
        <v>-9595.6217222051346</v>
      </c>
      <c r="AS41" s="7">
        <f t="shared" si="277"/>
        <v>28729.736987736484</v>
      </c>
      <c r="AT41" s="7">
        <f t="shared" si="277"/>
        <v>74462.436345896509</v>
      </c>
      <c r="AU41" s="7">
        <f t="shared" si="277"/>
        <v>17839.268968651537</v>
      </c>
      <c r="AV41" s="7">
        <f t="shared" si="277"/>
        <v>36764.799759755144</v>
      </c>
      <c r="AW41" s="125">
        <f>IF(OR(AW40="",AW37=""),"",AW37-AW40)+AW36</f>
        <v>-3842.6495508213702</v>
      </c>
      <c r="AX41" s="7">
        <f t="shared" ref="AX41:AY41" si="278">IF(OR(AX40="",AX37=""),"",AX37-AX40)</f>
        <v>-47847.905104756297</v>
      </c>
      <c r="AY41" s="7">
        <f t="shared" si="278"/>
        <v>-78505.313670210482</v>
      </c>
      <c r="AZ41" s="7">
        <f t="shared" ref="AZ41:BA41" si="279">IF(OR(AZ40="",AZ37=""),"",AZ37-AZ40)</f>
        <v>-49708.151109466475</v>
      </c>
      <c r="BA41" s="7">
        <f t="shared" si="279"/>
        <v>-67141.534248695854</v>
      </c>
      <c r="BB41" s="7">
        <f t="shared" ref="BB41:BC41" si="280">IF(OR(BB40="",BB37=""),"",BB37-BB40)</f>
        <v>18974.267820053821</v>
      </c>
      <c r="BC41" s="7">
        <f t="shared" si="280"/>
        <v>51093.330617308035</v>
      </c>
      <c r="BD41" s="7">
        <f t="shared" ref="BD41:BE41" si="281">IF(OR(BD40="",BD37=""),"",BD37-BD40)</f>
        <v>137510.72145895119</v>
      </c>
      <c r="BE41" s="7">
        <f t="shared" si="281"/>
        <v>211085.08009668105</v>
      </c>
      <c r="BF41" s="7">
        <f t="shared" ref="BF41:BG41" si="282">IF(OR(BF40="",BF37=""),"",BF37-BF40)</f>
        <v>-61578.432023932633</v>
      </c>
      <c r="BG41" s="7">
        <f t="shared" si="282"/>
        <v>-79596.662601850665</v>
      </c>
      <c r="BH41" s="7">
        <f t="shared" ref="BH41:BI41" si="283">IF(OR(BH40="",BH37=""),"",BH37-BH40)</f>
        <v>-81885.495228034677</v>
      </c>
      <c r="BI41" s="7">
        <f t="shared" si="283"/>
        <v>-84939.862897314379</v>
      </c>
      <c r="BJ41" s="7">
        <f t="shared" ref="BJ41" si="284">IF(OR(BJ40="",BJ37=""),"",BJ37-BJ40)</f>
        <v>-71409.187688506732</v>
      </c>
      <c r="BK41" s="7">
        <f t="shared" ref="BK41:BL41" si="285">IF(OR(BK40="",BK37=""),"",BK37-BK40)</f>
        <v>-73519.089475955756</v>
      </c>
      <c r="BL41" s="7">
        <f t="shared" si="285"/>
        <v>-86879.533521124016</v>
      </c>
    </row>
    <row r="42" spans="1:64" s="4" customFormat="1" hidden="1" outlineLevel="1" x14ac:dyDescent="0.35">
      <c r="A42" s="295"/>
      <c r="B42" s="17" t="s">
        <v>8</v>
      </c>
      <c r="C42" s="94"/>
      <c r="D42" s="94"/>
      <c r="E42" s="94"/>
      <c r="F42" s="7">
        <f>IF(OR(F9="",F41=""),"",ROUND((F41+E44)*F9/12,2))</f>
        <v>0</v>
      </c>
      <c r="G42" s="7">
        <f t="shared" ref="G42:L42" si="286">IF(OR(G9="",G41=""),"",ROUND((G41+F44)*G9/12,2))</f>
        <v>1.32</v>
      </c>
      <c r="H42" s="7">
        <f t="shared" si="286"/>
        <v>9.6</v>
      </c>
      <c r="I42" s="7">
        <f t="shared" si="286"/>
        <v>-72.040000000000006</v>
      </c>
      <c r="J42" s="7">
        <f t="shared" si="286"/>
        <v>-117.35</v>
      </c>
      <c r="K42" s="7">
        <f t="shared" si="286"/>
        <v>-141.27000000000001</v>
      </c>
      <c r="L42" s="7">
        <f t="shared" si="286"/>
        <v>-127.55</v>
      </c>
      <c r="M42" s="7">
        <f t="shared" ref="M42" si="287">IF(OR(M9="",M41=""),"",ROUND((M41+L44)*M9/12,2))</f>
        <v>-121.81</v>
      </c>
      <c r="N42" s="114">
        <f>IF(OR(N9="",N41=""),"",ROUND((N41+M44)*N9/12,2))+N36</f>
        <v>-90.600000000000023</v>
      </c>
      <c r="O42" s="7">
        <f t="shared" ref="O42" si="288">IF(OR(O9="",O41=""),"",ROUND((O41+N44)*O9/12,2))</f>
        <v>-68.290000000000006</v>
      </c>
      <c r="P42" s="7">
        <f t="shared" ref="P42" si="289">IF(OR(P9="",P41=""),"",ROUND((P41+O44)*P9/12,2))</f>
        <v>3.33</v>
      </c>
      <c r="Q42" s="7">
        <f t="shared" ref="Q42:R42" si="290">IF(OR(Q9="",Q41=""),"",ROUND((Q41+P44)*Q9/12,2))</f>
        <v>-0.47</v>
      </c>
      <c r="R42" s="7">
        <f t="shared" si="290"/>
        <v>49.68</v>
      </c>
      <c r="S42" s="7">
        <f t="shared" ref="S42" si="291">IF(OR(S9="",S41=""),"",ROUND((S41+R44)*S9/12,2))</f>
        <v>19.39</v>
      </c>
      <c r="T42" s="7">
        <f t="shared" ref="T42" si="292">IF(OR(T9="",T41=""),"",ROUND((T41+S44)*T9/12,2))</f>
        <v>5.18</v>
      </c>
      <c r="U42" s="7">
        <f t="shared" ref="U42" si="293">IF(OR(U9="",U41=""),"",ROUND((U41+T44)*U9/12,2))</f>
        <v>8.57</v>
      </c>
      <c r="V42" s="7">
        <f t="shared" ref="V42" si="294">IF(OR(V9="",V41=""),"",ROUND((V41+U44)*V9/12,2))</f>
        <v>23.23</v>
      </c>
      <c r="W42" s="7">
        <f t="shared" ref="W42:X42" si="295">IF(OR(W9="",W41=""),"",ROUND((W41+V44)*W9/12,2))</f>
        <v>20.64</v>
      </c>
      <c r="X42" s="7">
        <f t="shared" si="295"/>
        <v>24.38</v>
      </c>
      <c r="Y42" s="7">
        <f>IF(OR(Y9="",Y41=""),"",ROUND((Y41+X44)*Y9/12,2))</f>
        <v>47.13</v>
      </c>
      <c r="Z42" s="7">
        <f>IF(OR(Z9="",Z41=""),"",ROUND((Z39+Z41+Y44+Z36)*Z9/12,2))+Z36</f>
        <v>149.35</v>
      </c>
      <c r="AA42" s="7">
        <f>IF(OR(AA9="",AA41=""),"",ROUND((AA39+AA41+Z44)*AA9/12,2))</f>
        <v>91.24</v>
      </c>
      <c r="AB42" s="7">
        <f>IF(OR(AB9="",AB41=""),"",ROUND((AB39+AB41+AA44)*AB9/12,2))</f>
        <v>85.84</v>
      </c>
      <c r="AC42" s="7">
        <f t="shared" ref="AC42:AE42" si="296">IF(OR(AC9="",AC41=""),"",ROUND((AC39+AC41+AB44)*AC9/12,2))</f>
        <v>77.459999999999994</v>
      </c>
      <c r="AD42" s="7">
        <f t="shared" si="296"/>
        <v>33.89</v>
      </c>
      <c r="AE42" s="7">
        <f t="shared" si="296"/>
        <v>10.94</v>
      </c>
      <c r="AF42" s="7">
        <f t="shared" ref="AF42" si="297">IF(OR(AF9="",AF41=""),"",ROUND((AF39+AF41+AE44)*AF9/12,2))</f>
        <v>-2.04</v>
      </c>
      <c r="AG42" s="7">
        <f t="shared" ref="AG42" si="298">IF(OR(AG9="",AG41=""),"",ROUND((AG39+AG41+AF44)*AG9/12,2))</f>
        <v>-4.49</v>
      </c>
      <c r="AH42" s="7">
        <f t="shared" ref="AH42" si="299">IF(OR(AH9="",AH41=""),"",ROUND((AH39+AH41+AG44)*AH9/12,2))</f>
        <v>0.94</v>
      </c>
      <c r="AI42" s="7">
        <f t="shared" ref="AI42" si="300">IF(OR(AI9="",AI41=""),"",ROUND((AI39+AI41+AH44)*AI9/12,2))</f>
        <v>-2.5299999999999998</v>
      </c>
      <c r="AJ42" s="7">
        <f t="shared" ref="AJ42" si="301">IF(OR(AJ9="",AJ41=""),"",ROUND((AJ39+AJ41+AI44)*AJ9/12,2))</f>
        <v>-15.53</v>
      </c>
      <c r="AK42" s="7">
        <f t="shared" ref="AK42" si="302">IF(OR(AK9="",AK41=""),"",ROUND((AK39+AK41+AJ44)*AK9/12,2))</f>
        <v>-24.88</v>
      </c>
      <c r="AL42" s="7">
        <f t="shared" ref="AL42" si="303">IF(OR(AL9="",AL41=""),"",ROUND((AL39+AL41+AK44)*AL9/12,2))</f>
        <v>-36.92</v>
      </c>
      <c r="AM42" s="7">
        <f t="shared" ref="AM42" si="304">IF(OR(AM9="",AM41=""),"",ROUND((AM39+AM41+AL44)*AM9/12,2))</f>
        <v>-85.81</v>
      </c>
      <c r="AN42" s="7">
        <f t="shared" ref="AN42" si="305">IF(OR(AN9="",AN41=""),"",ROUND((AN39+AN41+AM44)*AN9/12,2))</f>
        <v>-96.32</v>
      </c>
      <c r="AO42" s="7">
        <f t="shared" ref="AO42" si="306">IF(OR(AO9="",AO41=""),"",ROUND((AO39+AO41+AN44)*AO9/12,2))</f>
        <v>-145.96</v>
      </c>
      <c r="AP42" s="7">
        <f t="shared" ref="AP42" si="307">IF(OR(AP9="",AP41=""),"",ROUND((AP39+AP41+AO44)*AP9/12,2))</f>
        <v>-396.3</v>
      </c>
      <c r="AQ42" s="7">
        <f t="shared" ref="AQ42" si="308">IF(OR(AQ9="",AQ41=""),"",ROUND((AQ39+AQ41+AP44)*AQ9/12,2))</f>
        <v>-370.62</v>
      </c>
      <c r="AR42" s="7">
        <f t="shared" ref="AR42" si="309">IF(OR(AR9="",AR41=""),"",ROUND((AR39+AR41+AQ44)*AR9/12,2))</f>
        <v>-570.75</v>
      </c>
      <c r="AS42" s="7">
        <f t="shared" ref="AS42" si="310">IF(OR(AS9="",AS41=""),"",ROUND((AS39+AS41+AR44)*AS9/12,2))</f>
        <v>-815.58</v>
      </c>
      <c r="AT42" s="7">
        <f t="shared" ref="AT42" si="311">IF(OR(AT9="",AT41=""),"",ROUND((AT39+AT41+AS44)*AT9/12,2))</f>
        <v>-932.25</v>
      </c>
      <c r="AU42" s="7">
        <f t="shared" ref="AU42" si="312">IF(OR(AU9="",AU41=""),"",ROUND((AU39+AU41+AT44)*AU9/12,2))</f>
        <v>-1040.0999999999999</v>
      </c>
      <c r="AV42" s="7">
        <f t="shared" ref="AV42" si="313">IF(OR(AV9="",AV41=""),"",ROUND((AV39+AV41+AU44)*AV9/12,2))</f>
        <v>-980.73</v>
      </c>
      <c r="AW42" s="7">
        <f t="shared" ref="AW42:AY42" si="314">IF(OR(AW9="",AW41=""),"",ROUND((AW39+AW41+AV44)*AW9/12,2))</f>
        <v>-1123.78</v>
      </c>
      <c r="AX42" s="7">
        <f t="shared" si="314"/>
        <v>-1459.59</v>
      </c>
      <c r="AY42" s="7">
        <f t="shared" si="314"/>
        <v>-1741.09</v>
      </c>
      <c r="AZ42" s="114">
        <f>IF(OR(AZ9="",AZ41=""),"",ROUND((AZ39+AZ41+AY44+AZ36)*AZ9/12,2))+AZ36</f>
        <v>-1872.0600000000006</v>
      </c>
      <c r="BA42" s="114">
        <f t="shared" ref="BA42:BL42" si="315">IF(OR(BA9="",BA41=""),"",ROUND((BA39+BA41+AZ44)*BA9/12,2))</f>
        <v>-1940.33</v>
      </c>
      <c r="BB42" s="114">
        <f t="shared" si="315"/>
        <v>-1770.6</v>
      </c>
      <c r="BC42" s="114">
        <f t="shared" si="315"/>
        <v>-1496.58</v>
      </c>
      <c r="BD42" s="114">
        <f t="shared" si="315"/>
        <v>-774.33</v>
      </c>
      <c r="BE42" s="114">
        <f t="shared" si="315"/>
        <v>332.61</v>
      </c>
      <c r="BF42" s="114">
        <f t="shared" si="315"/>
        <v>258.35000000000002</v>
      </c>
      <c r="BG42" s="114">
        <f t="shared" si="315"/>
        <v>104.88</v>
      </c>
      <c r="BH42" s="114">
        <f t="shared" si="315"/>
        <v>-70.37</v>
      </c>
      <c r="BI42" s="114">
        <f t="shared" si="315"/>
        <v>-290.74</v>
      </c>
      <c r="BJ42" s="114">
        <f t="shared" si="315"/>
        <v>-463.82</v>
      </c>
      <c r="BK42" s="114">
        <f t="shared" si="315"/>
        <v>-620.16999999999996</v>
      </c>
      <c r="BL42" s="114">
        <f t="shared" si="315"/>
        <v>-808.25</v>
      </c>
    </row>
    <row r="43" spans="1:64" s="4" customFormat="1" hidden="1" outlineLevel="1" x14ac:dyDescent="0.35">
      <c r="A43" s="295"/>
      <c r="B43" s="16" t="s">
        <v>14</v>
      </c>
      <c r="C43" s="94"/>
      <c r="D43" s="94"/>
      <c r="E43" s="94"/>
      <c r="F43" s="7">
        <f t="shared" ref="F43:M43" si="316">IF(OR(F41="",F42=""),"",F41+F42)</f>
        <v>0.34412602678174997</v>
      </c>
      <c r="G43" s="7">
        <f t="shared" si="316"/>
        <v>595.17341007321886</v>
      </c>
      <c r="H43" s="7">
        <f t="shared" si="316"/>
        <v>3715.247716442293</v>
      </c>
      <c r="I43" s="7">
        <f t="shared" si="316"/>
        <v>-37006.031833043366</v>
      </c>
      <c r="J43" s="7">
        <f t="shared" si="316"/>
        <v>-21688.715474004101</v>
      </c>
      <c r="K43" s="7">
        <f t="shared" si="316"/>
        <v>-17859.530509192959</v>
      </c>
      <c r="L43" s="7">
        <f t="shared" si="316"/>
        <v>3070.0168888877697</v>
      </c>
      <c r="M43" s="7">
        <f t="shared" si="316"/>
        <v>-93.263403080791761</v>
      </c>
      <c r="N43" s="7">
        <f>IF(OR(N41="",N42=""),"",N41+N42)</f>
        <v>9295.7233492283031</v>
      </c>
      <c r="O43" s="7">
        <f t="shared" ref="O43:AE43" si="317">IF(OR(O41="",O42=""),"",O41+O42)</f>
        <v>17115.029460979989</v>
      </c>
      <c r="P43" s="7">
        <f t="shared" si="317"/>
        <v>44973.343947199959</v>
      </c>
      <c r="Q43" s="7">
        <f t="shared" si="317"/>
        <v>-2431.0299676319833</v>
      </c>
      <c r="R43" s="7">
        <f t="shared" si="317"/>
        <v>13934.436391725809</v>
      </c>
      <c r="S43" s="7">
        <f t="shared" si="317"/>
        <v>-24636.733165404985</v>
      </c>
      <c r="T43" s="7">
        <f t="shared" si="317"/>
        <v>9641.2332806900085</v>
      </c>
      <c r="U43" s="7">
        <f t="shared" si="317"/>
        <v>21265.782078134995</v>
      </c>
      <c r="V43" s="7">
        <f t="shared" si="317"/>
        <v>46537.082892219441</v>
      </c>
      <c r="W43" s="7">
        <f t="shared" si="317"/>
        <v>17984.397521095059</v>
      </c>
      <c r="X43" s="7">
        <f t="shared" si="317"/>
        <v>35863.622709346957</v>
      </c>
      <c r="Y43" s="7">
        <f t="shared" si="317"/>
        <v>28532.272644444234</v>
      </c>
      <c r="Z43" s="7">
        <f>IF(OR(Z41="",Z42=""),"",Z41+Z42)</f>
        <v>24518.386902396676</v>
      </c>
      <c r="AA43" s="7">
        <f t="shared" si="317"/>
        <v>31026.098333323749</v>
      </c>
      <c r="AB43" s="7">
        <f t="shared" si="317"/>
        <v>94852.807284778362</v>
      </c>
      <c r="AC43" s="7">
        <f t="shared" si="317"/>
        <v>-72320.97950293649</v>
      </c>
      <c r="AD43" s="7">
        <f t="shared" si="317"/>
        <v>-168130.07020115107</v>
      </c>
      <c r="AE43" s="7">
        <f t="shared" si="317"/>
        <v>-98746.176365664345</v>
      </c>
      <c r="AF43" s="7">
        <f t="shared" ref="AF43:AW43" si="318">IF(OR(AF41="",AF42=""),"",AF41+AF42)</f>
        <v>-36657.160222931961</v>
      </c>
      <c r="AG43" s="7">
        <f t="shared" si="318"/>
        <v>23006.599724145304</v>
      </c>
      <c r="AH43" s="7">
        <f t="shared" si="318"/>
        <v>80833.60773878172</v>
      </c>
      <c r="AI43" s="7">
        <f t="shared" si="318"/>
        <v>23092.630478310311</v>
      </c>
      <c r="AJ43" s="7">
        <f t="shared" si="318"/>
        <v>-35214.514828463172</v>
      </c>
      <c r="AK43" s="7">
        <f t="shared" si="318"/>
        <v>-63817.235629800496</v>
      </c>
      <c r="AL43" s="7">
        <f t="shared" si="318"/>
        <v>-55512.312619436314</v>
      </c>
      <c r="AM43" s="7">
        <f t="shared" si="318"/>
        <v>-66726.050037982175</v>
      </c>
      <c r="AN43" s="7">
        <f t="shared" si="318"/>
        <v>-51028.121916664524</v>
      </c>
      <c r="AO43" s="7">
        <f t="shared" si="318"/>
        <v>-159044.82501364034</v>
      </c>
      <c r="AP43" s="7">
        <f t="shared" si="318"/>
        <v>-133597.48728040844</v>
      </c>
      <c r="AQ43" s="7">
        <f t="shared" si="318"/>
        <v>-80261.388793329956</v>
      </c>
      <c r="AR43" s="7">
        <f t="shared" si="318"/>
        <v>-10166.371722205135</v>
      </c>
      <c r="AS43" s="7">
        <f t="shared" si="318"/>
        <v>27914.156987736482</v>
      </c>
      <c r="AT43" s="7">
        <f t="shared" si="318"/>
        <v>73530.186345896509</v>
      </c>
      <c r="AU43" s="7">
        <f t="shared" si="318"/>
        <v>16799.168968651538</v>
      </c>
      <c r="AV43" s="7">
        <f t="shared" si="318"/>
        <v>35784.069759755141</v>
      </c>
      <c r="AW43" s="7">
        <f t="shared" si="318"/>
        <v>-4966.42955082137</v>
      </c>
      <c r="AX43" s="7">
        <f t="shared" ref="AX43:AY43" si="319">IF(OR(AX41="",AX42=""),"",AX41+AX42)</f>
        <v>-49307.495104756294</v>
      </c>
      <c r="AY43" s="7">
        <f t="shared" si="319"/>
        <v>-80246.403670210479</v>
      </c>
      <c r="AZ43" s="7">
        <f t="shared" ref="AZ43:BE43" si="320">IF(OR(AZ41="",AZ42=""),"",AZ41+AZ42)</f>
        <v>-51580.211109466472</v>
      </c>
      <c r="BA43" s="7">
        <f t="shared" si="320"/>
        <v>-69081.864248695856</v>
      </c>
      <c r="BB43" s="7">
        <f t="shared" si="320"/>
        <v>17203.667820053823</v>
      </c>
      <c r="BC43" s="7">
        <f t="shared" si="320"/>
        <v>49596.750617308033</v>
      </c>
      <c r="BD43" s="7">
        <f t="shared" si="320"/>
        <v>136736.3914589512</v>
      </c>
      <c r="BE43" s="7">
        <f t="shared" si="320"/>
        <v>211417.69009668104</v>
      </c>
      <c r="BF43" s="7">
        <f t="shared" ref="BF43:BG43" si="321">IF(OR(BF41="",BF42=""),"",BF41+BF42)</f>
        <v>-61320.082023932635</v>
      </c>
      <c r="BG43" s="7">
        <f t="shared" si="321"/>
        <v>-79491.78260185066</v>
      </c>
      <c r="BH43" s="7">
        <f t="shared" ref="BH43:BI43" si="322">IF(OR(BH41="",BH42=""),"",BH41+BH42)</f>
        <v>-81955.865228034672</v>
      </c>
      <c r="BI43" s="7">
        <f t="shared" si="322"/>
        <v>-85230.602897314384</v>
      </c>
      <c r="BJ43" s="7">
        <f t="shared" ref="BJ43" si="323">IF(OR(BJ41="",BJ42=""),"",BJ41+BJ42)</f>
        <v>-71873.007688506739</v>
      </c>
      <c r="BK43" s="7">
        <f t="shared" ref="BK43:BL43" si="324">IF(OR(BK41="",BK42=""),"",BK41+BK42)</f>
        <v>-74139.259475955754</v>
      </c>
      <c r="BL43" s="7">
        <f t="shared" si="324"/>
        <v>-87687.783521124016</v>
      </c>
    </row>
    <row r="44" spans="1:64" s="4" customFormat="1" hidden="1" outlineLevel="1" x14ac:dyDescent="0.35">
      <c r="A44" s="295"/>
      <c r="B44" s="18" t="s">
        <v>16</v>
      </c>
      <c r="C44" s="94"/>
      <c r="D44" s="94"/>
      <c r="E44" s="94"/>
      <c r="F44" s="7">
        <f>IF(OR(F43=""),"",F43)</f>
        <v>0.34412602678174997</v>
      </c>
      <c r="G44" s="7">
        <f t="shared" ref="G44:M44" si="325">IF(OR(G43="",F44=""),"",G43+F44)</f>
        <v>595.5175361000006</v>
      </c>
      <c r="H44" s="7">
        <f t="shared" si="325"/>
        <v>4310.7652525422936</v>
      </c>
      <c r="I44" s="7">
        <f t="shared" si="325"/>
        <v>-32695.266580501073</v>
      </c>
      <c r="J44" s="7">
        <f t="shared" si="325"/>
        <v>-54383.982054505177</v>
      </c>
      <c r="K44" s="7">
        <f t="shared" si="325"/>
        <v>-72243.512563698139</v>
      </c>
      <c r="L44" s="7">
        <f t="shared" si="325"/>
        <v>-69173.495674810372</v>
      </c>
      <c r="M44" s="7">
        <f t="shared" si="325"/>
        <v>-69266.759077891169</v>
      </c>
      <c r="N44" s="7">
        <f>IF(OR(N43="",M44=""),"",N43+N39+M44)</f>
        <v>-59971.035728662864</v>
      </c>
      <c r="O44" s="7">
        <f>IF(OR(O43="",N44=""),"",O43+O39+N44)</f>
        <v>-42856.006267682875</v>
      </c>
      <c r="P44" s="7">
        <f t="shared" ref="P44:AE44" si="326">IF(OR(P43="",O44=""),"",P43+P39+O44)</f>
        <v>2117.3376795170843</v>
      </c>
      <c r="Q44" s="7">
        <f t="shared" si="326"/>
        <v>17682.337711885099</v>
      </c>
      <c r="R44" s="7">
        <f t="shared" si="326"/>
        <v>49445.594103610907</v>
      </c>
      <c r="S44" s="7">
        <f t="shared" si="326"/>
        <v>38507.200938205919</v>
      </c>
      <c r="T44" s="7">
        <f>IF(OR(T43="",S44=""),"",T43+T39+S44)</f>
        <v>60568.114218895927</v>
      </c>
      <c r="U44" s="7">
        <f t="shared" si="326"/>
        <v>97429.32629703093</v>
      </c>
      <c r="V44" s="7">
        <f t="shared" si="326"/>
        <v>163385.58918925037</v>
      </c>
      <c r="W44" s="7">
        <f t="shared" si="326"/>
        <v>200297.86671034544</v>
      </c>
      <c r="X44" s="7">
        <f t="shared" si="326"/>
        <v>254279.91941969239</v>
      </c>
      <c r="Y44" s="7">
        <f t="shared" si="326"/>
        <v>297498.4220641366</v>
      </c>
      <c r="Z44" s="7">
        <f>IF(OR(Z43="",Y44=""),"",Z43+Z39+Y44)</f>
        <v>336694.64896653325</v>
      </c>
      <c r="AA44" s="7">
        <f t="shared" si="326"/>
        <v>384677.91729985701</v>
      </c>
      <c r="AB44" s="7">
        <f t="shared" si="326"/>
        <v>499758.68458463537</v>
      </c>
      <c r="AC44" s="7">
        <f t="shared" si="326"/>
        <v>400361.8350816989</v>
      </c>
      <c r="AD44" s="7">
        <f t="shared" si="326"/>
        <v>190361.84488054784</v>
      </c>
      <c r="AE44" s="7">
        <f t="shared" si="326"/>
        <v>58312.098514883488</v>
      </c>
      <c r="AF44" s="7">
        <f t="shared" ref="AF44" si="327">IF(OR(AF43="",AE44=""),"",AF43+AF39+AE44)</f>
        <v>-10905.351708048474</v>
      </c>
      <c r="AG44" s="7">
        <f t="shared" ref="AG44" si="328">IF(OR(AG43="",AF44=""),"",AG43+AG39+AF44)</f>
        <v>-26740.14198390317</v>
      </c>
      <c r="AH44" s="7">
        <f t="shared" ref="AH44" si="329">IF(OR(AH43="",AG44=""),"",AH43+AH39+AG44)</f>
        <v>8115.4857548785476</v>
      </c>
      <c r="AI44" s="7">
        <f t="shared" ref="AI44" si="330">IF(OR(AI43="",AH44=""),"",AI43+AI39+AH44)</f>
        <v>-14787.263766811138</v>
      </c>
      <c r="AJ44" s="7">
        <f t="shared" ref="AJ44" si="331">IF(OR(AJ43="",AI44=""),"",AJ43+AJ39+AI44)</f>
        <v>-96476.158595274319</v>
      </c>
      <c r="AK44" s="7">
        <f t="shared" ref="AK44" si="332">IF(OR(AK43="",AJ44=""),"",AK43+AK39+AJ44)</f>
        <v>-199058.8442250748</v>
      </c>
      <c r="AL44" s="7">
        <f t="shared" ref="AL44" si="333">IF(OR(AL43="",AK44=""),"",AL43+AL39+AK44)</f>
        <v>-289230.94684451108</v>
      </c>
      <c r="AM44" s="7">
        <f t="shared" ref="AM44" si="334">IF(OR(AM43="",AL44=""),"",AM43+AM39+AL44)</f>
        <v>-395446.64688249328</v>
      </c>
      <c r="AN44" s="7">
        <f t="shared" ref="AN44" si="335">IF(OR(AN43="",AM44=""),"",AN43+AN39+AM44)</f>
        <v>-493108.69879915781</v>
      </c>
      <c r="AO44" s="7">
        <f t="shared" ref="AO44" si="336">IF(OR(AO43="",AN44=""),"",AO43+AO39+AN44)</f>
        <v>-592181.6438127982</v>
      </c>
      <c r="AP44" s="7">
        <f t="shared" ref="AP44" si="337">IF(OR(AP43="",AO44=""),"",AP43+AP39+AO44)</f>
        <v>-691318.92109320662</v>
      </c>
      <c r="AQ44" s="7">
        <f t="shared" ref="AQ44" si="338">IF(OR(AQ43="",AP44=""),"",AQ43+AQ39+AP44)</f>
        <v>-741098.19988653657</v>
      </c>
      <c r="AR44" s="7">
        <f t="shared" ref="AR44" si="339">IF(OR(AR43="",AQ44=""),"",AR43+AR39+AQ44)</f>
        <v>-721741.14160874172</v>
      </c>
      <c r="AS44" s="7">
        <f t="shared" ref="AS44" si="340">IF(OR(AS43="",AR44=""),"",AS43+AS39+AR44)</f>
        <v>-659489.10462100524</v>
      </c>
      <c r="AT44" s="7">
        <f t="shared" ref="AT44" si="341">IF(OR(AT43="",AS44=""),"",AT43+AT39+AS44)</f>
        <v>-544866.99827510875</v>
      </c>
      <c r="AU44" s="7">
        <f t="shared" ref="AU44" si="342">IF(OR(AU43="",AT44=""),"",AU43+AU39+AT44)</f>
        <v>-487816.96930645721</v>
      </c>
      <c r="AV44" s="7">
        <f t="shared" ref="AV44" si="343">IF(OR(AV43="",AU44=""),"",AV43+AV39+AU44)</f>
        <v>-415127.43954670208</v>
      </c>
      <c r="AW44" s="7">
        <f t="shared" ref="AW44:AY44" si="344">IF(OR(AW43="",AV44=""),"",AW43+AW39+AV44)</f>
        <v>-389738.91909752344</v>
      </c>
      <c r="AX44" s="7">
        <f t="shared" si="344"/>
        <v>-410108.21420227975</v>
      </c>
      <c r="AY44" s="7">
        <f t="shared" si="344"/>
        <v>-454208.29787249025</v>
      </c>
      <c r="AZ44" s="7">
        <f t="shared" ref="AZ44:BL44" si="345">IF(OR(AZ43="",AY44=""),"",AZ43+AZ39+AY44)</f>
        <v>-464431.92898195673</v>
      </c>
      <c r="BA44" s="7">
        <f t="shared" si="345"/>
        <v>-482226.60323065257</v>
      </c>
      <c r="BB44" s="7">
        <f t="shared" si="345"/>
        <v>-427615.99541059876</v>
      </c>
      <c r="BC44" s="7">
        <f t="shared" si="345"/>
        <v>-343656.16479329072</v>
      </c>
      <c r="BD44" s="7">
        <f t="shared" si="345"/>
        <v>-175212.59333433953</v>
      </c>
      <c r="BE44" s="7">
        <f t="shared" si="345"/>
        <v>74316.616762341495</v>
      </c>
      <c r="BF44" s="7">
        <f t="shared" si="345"/>
        <v>57219.494738408859</v>
      </c>
      <c r="BG44" s="7">
        <f t="shared" si="345"/>
        <v>22902.962136558199</v>
      </c>
      <c r="BH44" s="7">
        <f t="shared" si="345"/>
        <v>-15325.933091476472</v>
      </c>
      <c r="BI44" s="7">
        <f t="shared" si="345"/>
        <v>-63524.325988790857</v>
      </c>
      <c r="BJ44" s="7">
        <f t="shared" si="345"/>
        <v>-101341.3136772976</v>
      </c>
      <c r="BK44" s="7">
        <f t="shared" si="345"/>
        <v>-135502.64315325336</v>
      </c>
      <c r="BL44" s="7">
        <f t="shared" si="345"/>
        <v>-176596.66667437737</v>
      </c>
    </row>
    <row r="45" spans="1:64" s="4" customFormat="1" ht="8.25" hidden="1" customHeight="1" outlineLevel="1" x14ac:dyDescent="0.35">
      <c r="A45" s="40"/>
      <c r="B45" s="11"/>
      <c r="C45" s="99"/>
      <c r="D45" s="99"/>
      <c r="E45" s="99"/>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row>
    <row r="46" spans="1:64" s="4" customFormat="1" ht="15" hidden="1" customHeight="1" outlineLevel="1" x14ac:dyDescent="0.35">
      <c r="A46" s="295" t="s">
        <v>22</v>
      </c>
      <c r="B46" s="15"/>
      <c r="C46" s="94"/>
      <c r="D46" s="94"/>
      <c r="E46" s="94"/>
      <c r="F46" s="7"/>
      <c r="G46" s="7"/>
      <c r="H46" s="7"/>
      <c r="I46" s="7"/>
      <c r="J46" s="7"/>
      <c r="K46" s="7"/>
      <c r="L46" s="7"/>
      <c r="M46" s="7"/>
      <c r="N46" s="113">
        <f>'MEEIA 3 adjs'!L32</f>
        <v>95.419999999999618</v>
      </c>
      <c r="O46" s="7"/>
      <c r="P46" s="7"/>
      <c r="Q46" s="7"/>
      <c r="R46" s="7"/>
      <c r="S46" s="7"/>
      <c r="T46" s="7"/>
      <c r="U46" s="7"/>
      <c r="V46" s="7"/>
      <c r="W46" s="7"/>
      <c r="X46" s="7"/>
      <c r="Y46" s="7"/>
      <c r="Z46" s="113">
        <f>'MEEIA 3 adjs'!AA54</f>
        <v>176.33999999999946</v>
      </c>
      <c r="AA46" s="7"/>
      <c r="AB46" s="7"/>
      <c r="AC46" s="7"/>
      <c r="AD46" s="7"/>
      <c r="AE46" s="7"/>
      <c r="AF46" s="7"/>
      <c r="AG46" s="7"/>
      <c r="AH46" s="7"/>
      <c r="AI46" s="7"/>
      <c r="AJ46" s="7"/>
      <c r="AK46" s="7"/>
      <c r="AL46" s="7"/>
      <c r="AM46" s="7"/>
      <c r="AN46" s="7"/>
      <c r="AO46" s="7"/>
      <c r="AP46" s="7"/>
      <c r="AQ46" s="7"/>
      <c r="AR46" s="7"/>
      <c r="AS46" s="7"/>
      <c r="AT46" s="7"/>
      <c r="AU46" s="7"/>
      <c r="AV46" s="7"/>
      <c r="AW46" s="125">
        <v>54573.283373827086</v>
      </c>
      <c r="AX46" s="7"/>
      <c r="AY46" s="7"/>
      <c r="AZ46" s="113">
        <f>'MEEIA 3 adjs'!DZ52</f>
        <v>-28.739999999997963</v>
      </c>
      <c r="BA46" s="7"/>
      <c r="BB46" s="7"/>
      <c r="BC46" s="7"/>
      <c r="BD46" s="7"/>
      <c r="BE46" s="7"/>
      <c r="BF46" s="7"/>
      <c r="BG46" s="7"/>
      <c r="BH46" s="7"/>
      <c r="BI46" s="7"/>
      <c r="BJ46" s="7"/>
      <c r="BK46" s="7"/>
      <c r="BL46" s="7"/>
    </row>
    <row r="47" spans="1:64" s="2" customFormat="1" ht="15" hidden="1" customHeight="1" outlineLevel="1" x14ac:dyDescent="0.35">
      <c r="A47" s="295"/>
      <c r="B47" s="15" t="s">
        <v>28</v>
      </c>
      <c r="C47" s="94"/>
      <c r="D47" s="94"/>
      <c r="E47" s="94"/>
      <c r="F47" s="20">
        <f>IF('M3 Allocations - TD'!D7="","",'M3 Allocations - TD'!D33)</f>
        <v>0.36790548240712501</v>
      </c>
      <c r="G47" s="20">
        <f>IF('M3 Allocations - TD'!E7="","",'M3 Allocations - TD'!E33)</f>
        <v>549.3842450882164</v>
      </c>
      <c r="H47" s="20">
        <f>IF('M3 Allocations - TD'!F7="","",'M3 Allocations - TD'!F33)</f>
        <v>3822.5375931394819</v>
      </c>
      <c r="I47" s="20">
        <f>IF('M3 Allocations - TD'!G7="","",'M3 Allocations - TD'!G33)</f>
        <v>16781.332362054229</v>
      </c>
      <c r="J47" s="20">
        <f>IF('M3 Allocations - TD'!H7="","",'M3 Allocations - TD'!H33)</f>
        <v>40077.718380542559</v>
      </c>
      <c r="K47" s="20">
        <f>IF('M3 Allocations - TD'!I7="","",'M3 Allocations - TD'!I33)</f>
        <v>54061.137994792116</v>
      </c>
      <c r="L47" s="20">
        <f>IF('M3 Allocations - TD'!J7="","",'M3 Allocations - TD'!J33)</f>
        <v>79608.348605740233</v>
      </c>
      <c r="M47" s="20">
        <f>IF('M3 Allocations - TD'!K7="","",'M3 Allocations - TD'!K33)</f>
        <v>56432.915123633284</v>
      </c>
      <c r="N47" s="20">
        <f>IF('M3 Allocations - TD'!L7="","",'M3 Allocations - TD'!L33)</f>
        <v>84805.665004540322</v>
      </c>
      <c r="O47" s="20">
        <f>IF('M3 Allocations - TD'!M7="","",'M3 Allocations - TD'!M33)</f>
        <v>101585.96799703788</v>
      </c>
      <c r="P47" s="20">
        <f>IF('M3 Allocations - TD'!N7="","",'M3 Allocations - TD'!N33)</f>
        <v>154209.2659634623</v>
      </c>
      <c r="Q47" s="20">
        <f>IF('M3 Allocations - TD'!O7="","",'M3 Allocations - TD'!O33)</f>
        <v>122696.92137199735</v>
      </c>
      <c r="R47" s="20">
        <f>IF('M3 Allocations - TD'!P7="","",'M3 Allocations - TD'!P33)</f>
        <v>123411.87388052933</v>
      </c>
      <c r="S47" s="20">
        <f>IF('M3 Allocations - TD'!Q7="","",'M3 Allocations - TD'!Q33)</f>
        <v>47446.211556775474</v>
      </c>
      <c r="T47" s="20">
        <f>IF('M3 Allocations - TD'!R7="","",'M3 Allocations - TD'!R33)</f>
        <v>83556.534245541465</v>
      </c>
      <c r="U47" s="20">
        <f>IF('M3 Allocations - TD'!S7="","",'M3 Allocations - TD'!S33)</f>
        <v>189049.36683437167</v>
      </c>
      <c r="V47" s="20">
        <f>IF('M3 Allocations - TD'!T7="","",'M3 Allocations - TD'!T33)</f>
        <v>265484.4397628404</v>
      </c>
      <c r="W47" s="20">
        <f>IF('M3 Allocations - TD'!U7="","",'M3 Allocations - TD'!U33)</f>
        <v>248590.59560852987</v>
      </c>
      <c r="X47" s="20">
        <f>IF('M3 Allocations - TD'!V7="","",'M3 Allocations - TD'!V33)</f>
        <v>229992.78825383674</v>
      </c>
      <c r="Y47" s="20">
        <f>IF('M3 Allocations - TD'!W7="","",'M3 Allocations - TD'!W33)</f>
        <v>142655.78999924072</v>
      </c>
      <c r="Z47" s="20">
        <f>IF('M3 Allocations - TD'!X7="","",'M3 Allocations - TD'!X33)</f>
        <v>140592.80164431839</v>
      </c>
      <c r="AA47" s="20">
        <f>IF('M3 Allocations - TD'!Y7="","",'M3 Allocations - TD'!Y33)</f>
        <v>171784.13279113677</v>
      </c>
      <c r="AB47" s="20">
        <f>IF('M3 Allocations - TD'!Z7="","",'M3 Allocations - TD'!Z33)</f>
        <v>283797.45031291858</v>
      </c>
      <c r="AC47" s="20">
        <f>IF('M3 Allocations - TD'!AA7="","",'M3 Allocations - TD'!AA33)</f>
        <v>210481.86723637651</v>
      </c>
      <c r="AD47" s="20">
        <f>IF('M3 Allocations - TD'!AB7="","",'M3 Allocations - TD'!AB33)</f>
        <v>232927.56555946911</v>
      </c>
      <c r="AE47" s="20">
        <f>IF('M3 Allocations - TD'!AC7="","",'M3 Allocations - TD'!AC33)</f>
        <v>221111.27962203597</v>
      </c>
      <c r="AF47" s="20">
        <f>IF('M3 Allocations - TD'!AD7="","",'M3 Allocations - TD'!AD33)</f>
        <v>314679.79966629087</v>
      </c>
      <c r="AG47" s="20">
        <f>IF('M3 Allocations - TD'!AE7="","",'M3 Allocations - TD'!AE33)</f>
        <v>715299.40366319334</v>
      </c>
      <c r="AH47" s="20">
        <f>IF('M3 Allocations - TD'!AF7="","",'M3 Allocations - TD'!AF33)</f>
        <v>953627.42461110547</v>
      </c>
      <c r="AI47" s="20">
        <f>IF('M3 Allocations - TD'!AG7="","",'M3 Allocations - TD'!AG33)</f>
        <v>939310.43288894033</v>
      </c>
      <c r="AJ47" s="20">
        <f>IF('M3 Allocations - TD'!AH7="","",'M3 Allocations - TD'!AH33)</f>
        <v>659615.18241367524</v>
      </c>
      <c r="AK47" s="20">
        <f>IF('M3 Allocations - TD'!AI7="","",'M3 Allocations - TD'!AI33)</f>
        <v>353569.18814987835</v>
      </c>
      <c r="AL47" s="20">
        <f>IF('M3 Allocations - TD'!AJ7="","",'M3 Allocations - TD'!AJ33)</f>
        <v>343727.65210763505</v>
      </c>
      <c r="AM47" s="20">
        <f>IF('M3 Allocations - TD'!AK7="","",'M3 Allocations - TD'!AK33)</f>
        <v>418850.04670264991</v>
      </c>
      <c r="AN47" s="20">
        <f>IF('M3 Allocations - TD'!AL7="","",'M3 Allocations - TD'!AL33)</f>
        <v>627056.98298263596</v>
      </c>
      <c r="AO47" s="20">
        <f>IF('M3 Allocations - TD'!AM7="","",'M3 Allocations - TD'!AM33)</f>
        <v>475288.11809378932</v>
      </c>
      <c r="AP47" s="20">
        <f>IF('M3 Allocations - TD'!AN7="","",'M3 Allocations - TD'!AN33)</f>
        <v>288997.35659879085</v>
      </c>
      <c r="AQ47" s="20">
        <f>IF('M3 Allocations - TD'!AO7="","",'M3 Allocations - TD'!AO33)</f>
        <v>253245.26358346242</v>
      </c>
      <c r="AR47" s="20">
        <f>IF('M3 Allocations - TD'!AP7="","",'M3 Allocations - TD'!AP33)</f>
        <v>337719.24594805558</v>
      </c>
      <c r="AS47" s="20">
        <f>IF('M3 Allocations - TD'!AQ7="","",'M3 Allocations - TD'!AQ33)</f>
        <v>917413.81462190335</v>
      </c>
      <c r="AT47" s="20">
        <f>IF('M3 Allocations - TD'!AR7="","",'M3 Allocations - TD'!AR33)</f>
        <v>1145597.0197120309</v>
      </c>
      <c r="AU47" s="20">
        <f>IF('M3 Allocations - TD'!AS7="","",'M3 Allocations - TD'!AS33)</f>
        <v>988866.58881189337</v>
      </c>
      <c r="AV47" s="20">
        <f>IF('M3 Allocations - TD'!AT7="","",'M3 Allocations - TD'!AT33)</f>
        <v>672365.26793086936</v>
      </c>
      <c r="AW47" s="20">
        <f>IF('M3 Allocations - TD'!AU7="","",'M3 Allocations - TD'!AU33)</f>
        <v>344986.1375718661</v>
      </c>
      <c r="AX47" s="20">
        <f>IF('M3 Allocations - TD'!AV7="","",'M3 Allocations - TD'!AV33)</f>
        <v>367525.10463732504</v>
      </c>
      <c r="AY47" s="20">
        <f>IF('M3 Allocations - TD'!AW7="","",'M3 Allocations - TD'!AW33)</f>
        <v>468411.57966709038</v>
      </c>
      <c r="AZ47" s="20">
        <f>IF('M3 Allocations - TD'!AX7="","",'M3 Allocations - TD'!AX33)</f>
        <v>620203.95847182651</v>
      </c>
      <c r="BA47" s="20">
        <f>IF('M3 Allocations - TD'!AY7="","",'M3 Allocations - TD'!AY33)</f>
        <v>478324.36066286819</v>
      </c>
      <c r="BB47" s="20">
        <f>IF('M3 Allocations - TD'!AZ7="","",'M3 Allocations - TD'!AZ33)</f>
        <v>479847.59845747025</v>
      </c>
      <c r="BC47" s="20">
        <f>IF('M3 Allocations - TD'!BA7="","",'M3 Allocations - TD'!BA33)</f>
        <v>438290.6610723678</v>
      </c>
      <c r="BD47" s="20">
        <f>IF('M3 Allocations - TD'!BB7="","",'M3 Allocations - TD'!BB33)</f>
        <v>600233.99929541291</v>
      </c>
      <c r="BE47" s="20">
        <f>IF('M3 Allocations - TD'!BC7="","",'M3 Allocations - TD'!BC33)</f>
        <v>1562742.7352753344</v>
      </c>
      <c r="BF47" s="20">
        <f>IF('M3 Allocations - TD'!BD7="","",'M3 Allocations - TD'!BD33)</f>
        <v>403317.94432410318</v>
      </c>
      <c r="BG47" s="20">
        <f>IF('M3 Allocations - TD'!BE7="","",'M3 Allocations - TD'!BE33)</f>
        <v>405009.19644890801</v>
      </c>
      <c r="BH47" s="20">
        <f>IF('M3 Allocations - TD'!BF7="","",'M3 Allocations - TD'!BF33)</f>
        <v>309717.05932065495</v>
      </c>
      <c r="BI47" s="20">
        <f>IF('M3 Allocations - TD'!BG7="","",'M3 Allocations - TD'!BG33)</f>
        <v>165446.63321632627</v>
      </c>
      <c r="BJ47" s="20">
        <f>IF('M3 Allocations - TD'!BH7="","",'M3 Allocations - TD'!BH33)</f>
        <v>180653.18400490476</v>
      </c>
      <c r="BK47" s="20">
        <f>IF('M3 Allocations - TD'!BI7="","",'M3 Allocations - TD'!BI33)</f>
        <v>253613.67901658814</v>
      </c>
      <c r="BL47" s="20">
        <f>IF('M3 Allocations - TD'!BJ7="","",'M3 Allocations - TD'!BJ33)</f>
        <v>304292.92028891429</v>
      </c>
    </row>
    <row r="48" spans="1:64" s="4" customFormat="1" ht="15" hidden="1" customHeight="1" outlineLevel="1" x14ac:dyDescent="0.35">
      <c r="A48" s="295"/>
      <c r="B48" s="16" t="s">
        <v>26</v>
      </c>
      <c r="C48" s="94"/>
      <c r="D48" s="94"/>
      <c r="E48" s="94"/>
      <c r="F48" s="20">
        <f>IF('M3 Allocations - TD'!D53="","",'M3 Allocations - TD'!D71)</f>
        <v>0</v>
      </c>
      <c r="G48" s="20">
        <f>IF('M3 Allocations - TD'!E53="","",'M3 Allocations - TD'!E71)</f>
        <v>0</v>
      </c>
      <c r="H48" s="20">
        <f>IF('M3 Allocations - TD'!F53="","",'M3 Allocations - TD'!F71)</f>
        <v>6753.6701978728988</v>
      </c>
      <c r="I48" s="20">
        <f>IF('M3 Allocations - TD'!G53="","",'M3 Allocations - TD'!G71)</f>
        <v>107151.44580605239</v>
      </c>
      <c r="J48" s="20">
        <f>IF('M3 Allocations - TD'!H53="","",'M3 Allocations - TD'!H71)</f>
        <v>115634.5208649429</v>
      </c>
      <c r="K48" s="20">
        <f>IF('M3 Allocations - TD'!I53="","",'M3 Allocations - TD'!I71)</f>
        <v>118331.81312804784</v>
      </c>
      <c r="L48" s="20">
        <f>IF('M3 Allocations - TD'!J53="","",'M3 Allocations - TD'!J71)</f>
        <v>119601.33814288217</v>
      </c>
      <c r="M48" s="20">
        <f>IF('M3 Allocations - TD'!K53="","",'M3 Allocations - TD'!K71)</f>
        <v>109968.9574924099</v>
      </c>
      <c r="N48" s="20">
        <f>IF('M3 Allocations - TD'!L53="","",'M3 Allocations - TD'!L71)</f>
        <v>96533.881711475129</v>
      </c>
      <c r="O48" s="20">
        <f>IF('M3 Allocations - TD'!M53="","",'M3 Allocations - TD'!M71)</f>
        <v>104142.56971532079</v>
      </c>
      <c r="P48" s="20">
        <f>IF('M3 Allocations - TD'!N53="","",'M3 Allocations - TD'!N71)</f>
        <v>107611.86637282498</v>
      </c>
      <c r="Q48" s="20">
        <f>IF('M3 Allocations - TD'!O53="","",'M3 Allocations - TD'!O71)</f>
        <v>104313.87773241718</v>
      </c>
      <c r="R48" s="20">
        <f>IF('M3 Allocations - TD'!P53="","",'M3 Allocations - TD'!P71)</f>
        <v>98420.974410363575</v>
      </c>
      <c r="S48" s="20">
        <f>IF('M3 Allocations - TD'!Q53="","",'M3 Allocations - TD'!Q71)</f>
        <v>84560.155028366615</v>
      </c>
      <c r="T48" s="20">
        <f>IF('M3 Allocations - TD'!R53="","",'M3 Allocations - TD'!R71)</f>
        <v>79147.524446379844</v>
      </c>
      <c r="U48" s="20">
        <f>IF('M3 Allocations - TD'!S53="","",'M3 Allocations - TD'!S71)</f>
        <v>94049.927973792379</v>
      </c>
      <c r="V48" s="20">
        <f>IF('M3 Allocations - TD'!T53="","",'M3 Allocations - TD'!T71)</f>
        <v>109708.48677351972</v>
      </c>
      <c r="W48" s="20">
        <f>IF('M3 Allocations - TD'!U53="","",'M3 Allocations - TD'!U71)</f>
        <v>109463.73998502946</v>
      </c>
      <c r="X48" s="20">
        <f>IF('M3 Allocations - TD'!V53="","",'M3 Allocations - TD'!V71)</f>
        <v>109154.24836711264</v>
      </c>
      <c r="Y48" s="20">
        <f>IF('M3 Allocations - TD'!W53="","",'M3 Allocations - TD'!W71)</f>
        <v>93111.170115006884</v>
      </c>
      <c r="Z48" s="20">
        <f>IF('M3 Allocations - TD'!X53="","",'M3 Allocations - TD'!X71)</f>
        <v>90314.439841834988</v>
      </c>
      <c r="AA48" s="20">
        <f>IF('M3 Allocations - TD'!Y53="","",'M3 Allocations - TD'!Y71)</f>
        <v>96572.606390330679</v>
      </c>
      <c r="AB48" s="20">
        <f>IF('M3 Allocations - TD'!Z53="","",'M3 Allocations - TD'!Z71)</f>
        <v>102973.56100695563</v>
      </c>
      <c r="AC48" s="20">
        <f>IF('M3 Allocations - TD'!AA53="","",'M3 Allocations - TD'!AA71)</f>
        <v>317054.12799449282</v>
      </c>
      <c r="AD48" s="20">
        <f>IF('M3 Allocations - TD'!AB53="","",'M3 Allocations - TD'!AB71)</f>
        <v>555274.69988765684</v>
      </c>
      <c r="AE48" s="20">
        <f>IF('M3 Allocations - TD'!AC53="","",'M3 Allocations - TD'!AC71)</f>
        <v>496959.09444564459</v>
      </c>
      <c r="AF48" s="20">
        <f>IF('M3 Allocations - TD'!AD53="","",'M3 Allocations - TD'!AD71)</f>
        <v>507462.60422851134</v>
      </c>
      <c r="AG48" s="20">
        <f>IF('M3 Allocations - TD'!AE53="","",'M3 Allocations - TD'!AE71)</f>
        <v>564396.00989380945</v>
      </c>
      <c r="AH48" s="20">
        <f>IF('M3 Allocations - TD'!AF53="","",'M3 Allocations - TD'!AF71)</f>
        <v>660447.26760719228</v>
      </c>
      <c r="AI48" s="20">
        <f>IF('M3 Allocations - TD'!AG53="","",'M3 Allocations - TD'!AG71)</f>
        <v>654260.67532357096</v>
      </c>
      <c r="AJ48" s="20">
        <f>IF('M3 Allocations - TD'!AH53="","",'M3 Allocations - TD'!AH71)</f>
        <v>666957.41235823918</v>
      </c>
      <c r="AK48" s="20">
        <f>IF('M3 Allocations - TD'!AI53="","",'M3 Allocations - TD'!AI71)</f>
        <v>587413.62430156593</v>
      </c>
      <c r="AL48" s="20">
        <f>IF('M3 Allocations - TD'!AJ53="","",'M3 Allocations - TD'!AJ71)</f>
        <v>519976.82051891321</v>
      </c>
      <c r="AM48" s="20">
        <f>IF('M3 Allocations - TD'!AK53="","",'M3 Allocations - TD'!AK71)</f>
        <v>567613.70409043762</v>
      </c>
      <c r="AN48" s="20">
        <f>IF('M3 Allocations - TD'!AL53="","",'M3 Allocations - TD'!AL71)</f>
        <v>605915.85091646248</v>
      </c>
      <c r="AO48" s="20">
        <f>IF('M3 Allocations - TD'!AM53="","",'M3 Allocations - TD'!AM71)</f>
        <v>491377.50787101442</v>
      </c>
      <c r="AP48" s="20">
        <f>IF('M3 Allocations - TD'!AN53="","",'M3 Allocations - TD'!AN71)</f>
        <v>295776.31891815155</v>
      </c>
      <c r="AQ48" s="20">
        <f>IF('M3 Allocations - TD'!AO53="","",'M3 Allocations - TD'!AO71)</f>
        <v>275370.89343587006</v>
      </c>
      <c r="AR48" s="20">
        <f>IF('M3 Allocations - TD'!AP53="","",'M3 Allocations - TD'!AP71)</f>
        <v>285530.13328453153</v>
      </c>
      <c r="AS48" s="20">
        <f>IF('M3 Allocations - TD'!AQ53="","",'M3 Allocations - TD'!AQ71)</f>
        <v>320626.18147462484</v>
      </c>
      <c r="AT48" s="20">
        <f>IF('M3 Allocations - TD'!AR53="","",'M3 Allocations - TD'!AR71)</f>
        <v>359045.8467287785</v>
      </c>
      <c r="AU48" s="20">
        <f>IF('M3 Allocations - TD'!AS53="","",'M3 Allocations - TD'!AS71)</f>
        <v>356393.75583709526</v>
      </c>
      <c r="AV48" s="20">
        <f>IF('M3 Allocations - TD'!AT53="","",'M3 Allocations - TD'!AT71)</f>
        <v>340966.67570072628</v>
      </c>
      <c r="AW48" s="20">
        <f>IF('M3 Allocations - TD'!AU53="","",'M3 Allocations - TD'!AU71)</f>
        <v>293032.69252515415</v>
      </c>
      <c r="AX48" s="20">
        <f>IF('M3 Allocations - TD'!AV53="","",'M3 Allocations - TD'!AV71)</f>
        <v>284530.72242752794</v>
      </c>
      <c r="AY48" s="20">
        <f>IF('M3 Allocations - TD'!AW53="","",'M3 Allocations - TD'!AW71)</f>
        <v>315151.4942720079</v>
      </c>
      <c r="AZ48" s="20">
        <f>IF('M3 Allocations - TD'!AX53="","",'M3 Allocations - TD'!AX71)</f>
        <v>326915.51533468132</v>
      </c>
      <c r="BA48" s="20">
        <f>IF('M3 Allocations - TD'!AY53="","",'M3 Allocations - TD'!AY71)</f>
        <v>495028.13257713738</v>
      </c>
      <c r="BB48" s="20">
        <f>IF('M3 Allocations - TD'!AZ53="","",'M3 Allocations - TD'!AZ71)</f>
        <v>776601.02939900942</v>
      </c>
      <c r="BC48" s="20">
        <f>IF('M3 Allocations - TD'!BA53="","",'M3 Allocations - TD'!BA71)</f>
        <v>744958.66884249065</v>
      </c>
      <c r="BD48" s="20">
        <f>IF('M3 Allocations - TD'!BB53="","",'M3 Allocations - TD'!BB71)</f>
        <v>742679.53603549488</v>
      </c>
      <c r="BE48" s="20">
        <f>IF('M3 Allocations - TD'!BC53="","",'M3 Allocations - TD'!BC71)</f>
        <v>838043.54050146521</v>
      </c>
      <c r="BF48" s="20">
        <f>IF('M3 Allocations - TD'!BD53="","",'M3 Allocations - TD'!BD71)</f>
        <v>901539.36414699082</v>
      </c>
      <c r="BG48" s="20">
        <f>IF('M3 Allocations - TD'!BE53="","",'M3 Allocations - TD'!BE71)</f>
        <v>933578.0584226402</v>
      </c>
      <c r="BH48" s="20">
        <f>IF('M3 Allocations - TD'!BF53="","",'M3 Allocations - TD'!BF71)</f>
        <v>935041.31426513928</v>
      </c>
      <c r="BI48" s="20">
        <f>IF('M3 Allocations - TD'!BG53="","",'M3 Allocations - TD'!BG71)</f>
        <v>822431.07735931734</v>
      </c>
      <c r="BJ48" s="20">
        <f>IF('M3 Allocations - TD'!BH53="","",'M3 Allocations - TD'!BH71)</f>
        <v>769382.68409308989</v>
      </c>
      <c r="BK48" s="20">
        <f>IF('M3 Allocations - TD'!BI53="","",'M3 Allocations - TD'!BI71)</f>
        <v>825923.30095321848</v>
      </c>
      <c r="BL48" s="20">
        <f>IF('M3 Allocations - TD'!BJ53="","",'M3 Allocations - TD'!BJ71)</f>
        <v>919459.85659684835</v>
      </c>
    </row>
    <row r="49" spans="1:64" s="4" customFormat="1" ht="15" hidden="1" customHeight="1" outlineLevel="1" x14ac:dyDescent="0.35">
      <c r="A49" s="295"/>
      <c r="B49" s="16" t="s">
        <v>51</v>
      </c>
      <c r="C49" s="94"/>
      <c r="D49" s="94"/>
      <c r="E49" s="94"/>
      <c r="F49" s="20">
        <f>IF(F48="","",0)</f>
        <v>0</v>
      </c>
      <c r="G49" s="20">
        <f t="shared" ref="G49" si="346">IF(G48="","",0)</f>
        <v>0</v>
      </c>
      <c r="H49" s="20">
        <f t="shared" ref="H49" si="347">IF(H48="","",0)</f>
        <v>0</v>
      </c>
      <c r="I49" s="20">
        <f t="shared" ref="I49" si="348">IF(I48="","",0)</f>
        <v>0</v>
      </c>
      <c r="J49" s="20">
        <f t="shared" ref="J49" si="349">IF(J48="","",0)</f>
        <v>0</v>
      </c>
      <c r="K49" s="20">
        <f t="shared" ref="K49" si="350">IF(K48="","",0)</f>
        <v>0</v>
      </c>
      <c r="L49" s="20">
        <f t="shared" ref="L49" si="351">IF(L48="","",0)</f>
        <v>0</v>
      </c>
      <c r="M49" s="20">
        <f t="shared" ref="M49" si="352">IF(M48="","",0)</f>
        <v>0</v>
      </c>
      <c r="N49" s="20">
        <f t="shared" ref="N49" si="353">IF(N48="","",0)</f>
        <v>0</v>
      </c>
      <c r="O49" s="20">
        <f t="shared" ref="O49" si="354">IF(O48="","",0)</f>
        <v>0</v>
      </c>
      <c r="P49" s="20">
        <f t="shared" ref="P49" si="355">IF(P48="","",0)</f>
        <v>0</v>
      </c>
      <c r="Q49" s="20">
        <f>IF(Q48="","",-'M3 TD amort'!C22)</f>
        <v>40612.01</v>
      </c>
      <c r="R49" s="20">
        <f>IF(R48="","",-'M3 TD amort'!D22)</f>
        <v>38351.11</v>
      </c>
      <c r="S49" s="20">
        <f>IF(S48="","",-'M3 TD amort'!E22)</f>
        <v>32774.379999999997</v>
      </c>
      <c r="T49" s="20">
        <f>IF(T48="","",-'M3 TD amort'!F22)</f>
        <v>30569.17</v>
      </c>
      <c r="U49" s="20">
        <f>IF(U48="","",-'M3 TD amort'!G22)</f>
        <v>36225.06</v>
      </c>
      <c r="V49" s="20">
        <f>IF(V48="","",-'M3 TD amort'!H22)</f>
        <v>42295.91</v>
      </c>
      <c r="W49" s="20">
        <f>IF(W48="","",-'M3 TD amort'!I22)</f>
        <v>42141.33</v>
      </c>
      <c r="X49" s="20">
        <f>IF(X48="","",-'M3 TD amort'!J22)</f>
        <v>41942.74</v>
      </c>
      <c r="Y49" s="20">
        <f>IF(Y48="","",-'M3 TD amort'!K22)</f>
        <v>35788.269999999997</v>
      </c>
      <c r="Z49" s="20">
        <f>IF(Z48="","",-'M3 TD amort'!L22)</f>
        <v>34863.54</v>
      </c>
      <c r="AA49" s="20">
        <f>IF(AA48="","",-'M3 TD amort'!M22)</f>
        <v>37469.9</v>
      </c>
      <c r="AB49" s="20">
        <f>IF(AB48="","",-'M3 TD amort'!N22)</f>
        <v>40157.82</v>
      </c>
      <c r="AC49" s="20">
        <f>IF(AC48="","",-'M3 TD amort'!O22)</f>
        <v>-26804.880000000001</v>
      </c>
      <c r="AD49" s="20">
        <f>IF(AD48="","",-'M3 TD amort'!P22)</f>
        <v>-46741.51</v>
      </c>
      <c r="AE49" s="20">
        <f>IF(AE48="","",-'M3 TD amort'!Q22)</f>
        <v>-41624.800000000003</v>
      </c>
      <c r="AF49" s="20">
        <f>IF(AF48="","",-'M3 TD amort'!R22)</f>
        <v>-42397.51</v>
      </c>
      <c r="AG49" s="20">
        <f>IF(AG48="","",-'M3 TD amort'!S22)</f>
        <v>-47114.93</v>
      </c>
      <c r="AH49" s="20">
        <f>IF(AH48="","",-'M3 TD amort'!T22)</f>
        <v>-55182.37</v>
      </c>
      <c r="AI49" s="20">
        <f>IF(AI48="","",-'M3 TD amort'!U22)</f>
        <v>-54689.09</v>
      </c>
      <c r="AJ49" s="20">
        <f>IF(AJ48="","",-'M3 TD amort'!V22)</f>
        <v>-55739.85</v>
      </c>
      <c r="AK49" s="20">
        <f>IF(AK48="","",-'M3 TD amort'!W22)</f>
        <v>-48995.69</v>
      </c>
      <c r="AL49" s="20">
        <f>IF(AL48="","",-'M3 TD amort'!X22)</f>
        <v>-43533.32</v>
      </c>
      <c r="AM49" s="20">
        <f>IF(AM48="","",-'M3 TD amort'!Y22)</f>
        <v>-47580.19</v>
      </c>
      <c r="AN49" s="20">
        <f>IF(AN48="","",-'M3 TD amort'!Z22)</f>
        <v>-50865.22</v>
      </c>
      <c r="AO49" s="20">
        <f>IF(AO48="","",-'M3 TD amort'!AA22)</f>
        <v>38543.78</v>
      </c>
      <c r="AP49" s="20">
        <f>IF(AP48="","",-'M3 TD amort'!AB22)</f>
        <v>23075.85</v>
      </c>
      <c r="AQ49" s="20">
        <f>IF(AQ48="","",-'M3 TD amort'!AC22)</f>
        <v>21444.13</v>
      </c>
      <c r="AR49" s="20">
        <f>IF(AR48="","",-'M3 TD amort'!AD22)</f>
        <v>22179.41</v>
      </c>
      <c r="AS49" s="20">
        <f>IF(AS48="","",-'M3 TD amort'!AE22)</f>
        <v>24889.02</v>
      </c>
      <c r="AT49" s="20">
        <f>IF(AT48="","",-'M3 TD amort'!AF22)</f>
        <v>27910.6</v>
      </c>
      <c r="AU49" s="20">
        <f>IF(AU48="","",-'M3 TD amort'!AG22)</f>
        <v>27712.27</v>
      </c>
      <c r="AV49" s="20">
        <f>IF(AV48="","",-'M3 TD amort'!AH22)</f>
        <v>26504</v>
      </c>
      <c r="AW49" s="20">
        <f>IF(AW48="","",-'M3 TD amort'!AI22)</f>
        <v>22775.33</v>
      </c>
      <c r="AX49" s="20">
        <f>IF(AX48="","",-'M3 TD amort'!AJ22)</f>
        <v>22147.35</v>
      </c>
      <c r="AY49" s="20">
        <f>IF(AY48="","",-'M3 TD amort'!AK22)</f>
        <v>24687.83</v>
      </c>
      <c r="AZ49" s="20">
        <f>IF(AZ48="","",-'M3 TD amort'!AL22)</f>
        <v>25625.98</v>
      </c>
      <c r="BA49" s="20">
        <f>IF(BA48="","",-'M3 TD amort'!AM22)</f>
        <v>-140314.01</v>
      </c>
      <c r="BB49" s="20">
        <f>IF(BB48="","",-'M3 TD amort'!AN22)</f>
        <v>-219033.77</v>
      </c>
      <c r="BC49" s="20">
        <f>IF(BC48="","",-'M3 TD amort'!AO22)</f>
        <v>-209918.87</v>
      </c>
      <c r="BD49" s="20">
        <f>IF(BD48="","",-'M3 TD amort'!AP22)</f>
        <v>-208910.7</v>
      </c>
      <c r="BE49" s="20">
        <f>IF(BE48="","",-'M3 TD amort'!AQ22)</f>
        <v>-235701.66</v>
      </c>
      <c r="BF49" s="20">
        <f>IF(BF48="","",-'M3 TD amort'!AR22)</f>
        <v>-253779.93</v>
      </c>
      <c r="BG49" s="20">
        <f>IF(BG48="","",-'M3 TD amort'!AS22)</f>
        <v>-262841.98</v>
      </c>
      <c r="BH49" s="20">
        <f>IF(BH48="","",-'M3 TD amort'!AT22)</f>
        <v>-263181.37</v>
      </c>
      <c r="BI49" s="20">
        <f>IF(BI48="","",-'M3 TD amort'!AU22)</f>
        <v>-231429.61</v>
      </c>
      <c r="BJ49" s="20">
        <f>IF(BJ48="","",-'M3 TD amort'!AV22)</f>
        <v>-216496.89</v>
      </c>
      <c r="BK49" s="20">
        <f>IF(BK48="","",-'M3 TD amort'!AW22)</f>
        <v>-232717.17</v>
      </c>
      <c r="BL49" s="20">
        <f>IF(BL48="","",-'M3 TD amort'!AX22)</f>
        <v>-259320.09</v>
      </c>
    </row>
    <row r="50" spans="1:64" s="4" customFormat="1" ht="15" hidden="1" customHeight="1" outlineLevel="1" x14ac:dyDescent="0.35">
      <c r="A50" s="295"/>
      <c r="B50" s="16" t="s">
        <v>52</v>
      </c>
      <c r="C50" s="94"/>
      <c r="D50" s="94"/>
      <c r="E50" s="94"/>
      <c r="F50" s="7">
        <f t="shared" ref="F50:M50" si="356">IF(OR(F49="",F48=""),"",F48+F49)</f>
        <v>0</v>
      </c>
      <c r="G50" s="7">
        <f t="shared" si="356"/>
        <v>0</v>
      </c>
      <c r="H50" s="7">
        <f t="shared" si="356"/>
        <v>6753.6701978728988</v>
      </c>
      <c r="I50" s="7">
        <f t="shared" si="356"/>
        <v>107151.44580605239</v>
      </c>
      <c r="J50" s="7">
        <f t="shared" si="356"/>
        <v>115634.5208649429</v>
      </c>
      <c r="K50" s="7">
        <f t="shared" si="356"/>
        <v>118331.81312804784</v>
      </c>
      <c r="L50" s="7">
        <f t="shared" si="356"/>
        <v>119601.33814288217</v>
      </c>
      <c r="M50" s="7">
        <f t="shared" si="356"/>
        <v>109968.9574924099</v>
      </c>
      <c r="N50" s="7">
        <f>IF(OR(N49="",N48=""),"",N48+N49)</f>
        <v>96533.881711475129</v>
      </c>
      <c r="O50" s="7">
        <f t="shared" ref="O50:AE50" si="357">IF(OR(O49="",O48=""),"",O48+O49)</f>
        <v>104142.56971532079</v>
      </c>
      <c r="P50" s="7">
        <f t="shared" si="357"/>
        <v>107611.86637282498</v>
      </c>
      <c r="Q50" s="7">
        <f t="shared" si="357"/>
        <v>144925.88773241718</v>
      </c>
      <c r="R50" s="7">
        <f t="shared" si="357"/>
        <v>136772.08441036358</v>
      </c>
      <c r="S50" s="7">
        <f t="shared" si="357"/>
        <v>117334.5350283666</v>
      </c>
      <c r="T50" s="7">
        <f t="shared" si="357"/>
        <v>109716.69444637984</v>
      </c>
      <c r="U50" s="7">
        <f t="shared" si="357"/>
        <v>130274.98797379238</v>
      </c>
      <c r="V50" s="7">
        <f t="shared" si="357"/>
        <v>152004.39677351972</v>
      </c>
      <c r="W50" s="7">
        <f t="shared" si="357"/>
        <v>151605.06998502946</v>
      </c>
      <c r="X50" s="7">
        <f t="shared" si="357"/>
        <v>151096.98836711264</v>
      </c>
      <c r="Y50" s="7">
        <f t="shared" si="357"/>
        <v>128899.44011500687</v>
      </c>
      <c r="Z50" s="7">
        <f t="shared" si="357"/>
        <v>125177.97984183498</v>
      </c>
      <c r="AA50" s="7">
        <f t="shared" si="357"/>
        <v>134042.50639033067</v>
      </c>
      <c r="AB50" s="7">
        <f t="shared" si="357"/>
        <v>143131.38100695563</v>
      </c>
      <c r="AC50" s="7">
        <f t="shared" si="357"/>
        <v>290249.24799449282</v>
      </c>
      <c r="AD50" s="7">
        <f t="shared" si="357"/>
        <v>508533.18988765683</v>
      </c>
      <c r="AE50" s="7">
        <f t="shared" si="357"/>
        <v>455334.2944456446</v>
      </c>
      <c r="AF50" s="7">
        <f t="shared" ref="AF50:AV50" si="358">IF(OR(AF49="",AF48=""),"",AF48+AF49)</f>
        <v>465065.09422851133</v>
      </c>
      <c r="AG50" s="7">
        <f t="shared" si="358"/>
        <v>517281.07989380945</v>
      </c>
      <c r="AH50" s="7">
        <f t="shared" si="358"/>
        <v>605264.89760719228</v>
      </c>
      <c r="AI50" s="7">
        <f t="shared" si="358"/>
        <v>599571.58532357099</v>
      </c>
      <c r="AJ50" s="7">
        <f t="shared" si="358"/>
        <v>611217.5623582392</v>
      </c>
      <c r="AK50" s="7">
        <f t="shared" si="358"/>
        <v>538417.93430156587</v>
      </c>
      <c r="AL50" s="7">
        <f t="shared" si="358"/>
        <v>476443.50051891321</v>
      </c>
      <c r="AM50" s="7">
        <f t="shared" si="358"/>
        <v>520033.51409043762</v>
      </c>
      <c r="AN50" s="7">
        <f t="shared" si="358"/>
        <v>555050.63091646251</v>
      </c>
      <c r="AO50" s="7">
        <f t="shared" si="358"/>
        <v>529921.28787101444</v>
      </c>
      <c r="AP50" s="7">
        <f t="shared" si="358"/>
        <v>318852.16891815152</v>
      </c>
      <c r="AQ50" s="7">
        <f t="shared" si="358"/>
        <v>296815.02343587007</v>
      </c>
      <c r="AR50" s="7">
        <f t="shared" si="358"/>
        <v>307709.54328453151</v>
      </c>
      <c r="AS50" s="7">
        <f t="shared" si="358"/>
        <v>345515.20147462486</v>
      </c>
      <c r="AT50" s="7">
        <f t="shared" si="358"/>
        <v>386956.44672877848</v>
      </c>
      <c r="AU50" s="7">
        <f t="shared" si="358"/>
        <v>384106.02583709528</v>
      </c>
      <c r="AV50" s="7">
        <f t="shared" si="358"/>
        <v>367470.67570072628</v>
      </c>
      <c r="AW50" s="7">
        <f>IF(OR(AW49="",AW48=""),"",AW48+AW49)</f>
        <v>315808.02252515417</v>
      </c>
      <c r="AX50" s="7">
        <f t="shared" ref="AX50:AY50" si="359">IF(OR(AX49="",AX48=""),"",AX48+AX49)</f>
        <v>306678.07242752792</v>
      </c>
      <c r="AY50" s="7">
        <f t="shared" si="359"/>
        <v>339839.32427200791</v>
      </c>
      <c r="AZ50" s="7">
        <f t="shared" ref="AZ50:BA50" si="360">IF(OR(AZ49="",AZ48=""),"",AZ48+AZ49)</f>
        <v>352541.4953346813</v>
      </c>
      <c r="BA50" s="7">
        <f t="shared" si="360"/>
        <v>354714.12257713737</v>
      </c>
      <c r="BB50" s="7">
        <f t="shared" ref="BB50:BC50" si="361">IF(OR(BB49="",BB48=""),"",BB48+BB49)</f>
        <v>557567.2593990094</v>
      </c>
      <c r="BC50" s="7">
        <f t="shared" si="361"/>
        <v>535039.79884249065</v>
      </c>
      <c r="BD50" s="7">
        <f t="shared" ref="BD50:BE50" si="362">IF(OR(BD49="",BD48=""),"",BD48+BD49)</f>
        <v>533768.83603549493</v>
      </c>
      <c r="BE50" s="7">
        <f t="shared" si="362"/>
        <v>602341.88050146517</v>
      </c>
      <c r="BF50" s="7">
        <f t="shared" ref="BF50:BG50" si="363">IF(OR(BF49="",BF48=""),"",BF48+BF49)</f>
        <v>647759.43414699077</v>
      </c>
      <c r="BG50" s="7">
        <f t="shared" si="363"/>
        <v>670736.07842264022</v>
      </c>
      <c r="BH50" s="7">
        <f t="shared" ref="BH50:BI50" si="364">IF(OR(BH49="",BH48=""),"",BH48+BH49)</f>
        <v>671859.94426513929</v>
      </c>
      <c r="BI50" s="7">
        <f t="shared" si="364"/>
        <v>591001.46735931735</v>
      </c>
      <c r="BJ50" s="7">
        <f t="shared" ref="BJ50" si="365">IF(OR(BJ49="",BJ48=""),"",BJ48+BJ49)</f>
        <v>552885.79409308988</v>
      </c>
      <c r="BK50" s="7">
        <f t="shared" ref="BK50:BL50" si="366">IF(OR(BK49="",BK48=""),"",BK48+BK49)</f>
        <v>593206.13095321844</v>
      </c>
      <c r="BL50" s="7">
        <f t="shared" si="366"/>
        <v>660139.76659684838</v>
      </c>
    </row>
    <row r="51" spans="1:64" s="4" customFormat="1" hidden="1" outlineLevel="1" x14ac:dyDescent="0.35">
      <c r="A51" s="295"/>
      <c r="B51" s="16" t="s">
        <v>13</v>
      </c>
      <c r="C51" s="94"/>
      <c r="D51" s="94"/>
      <c r="E51" s="94"/>
      <c r="F51" s="7">
        <f t="shared" ref="F51:M51" si="367">IF(OR(F48="",F47=""),"",F47-F48)</f>
        <v>0.36790548240712501</v>
      </c>
      <c r="G51" s="7">
        <f t="shared" si="367"/>
        <v>549.3842450882164</v>
      </c>
      <c r="H51" s="7">
        <f t="shared" si="367"/>
        <v>-2931.1326047334169</v>
      </c>
      <c r="I51" s="7">
        <f t="shared" si="367"/>
        <v>-90370.113443998154</v>
      </c>
      <c r="J51" s="7">
        <f t="shared" si="367"/>
        <v>-75556.802484400338</v>
      </c>
      <c r="K51" s="7">
        <f t="shared" si="367"/>
        <v>-64270.675133255725</v>
      </c>
      <c r="L51" s="7">
        <f t="shared" si="367"/>
        <v>-39992.989537141941</v>
      </c>
      <c r="M51" s="7">
        <f t="shared" si="367"/>
        <v>-53536.042368776616</v>
      </c>
      <c r="N51" s="7">
        <f>IF(OR(N50="",N47=""),"",N47-N50)</f>
        <v>-11728.216706934807</v>
      </c>
      <c r="O51" s="7">
        <f t="shared" ref="O51:AE51" si="368">IF(OR(O50="",O47=""),"",O47-O50)</f>
        <v>-2556.6017182829091</v>
      </c>
      <c r="P51" s="7">
        <f t="shared" si="368"/>
        <v>46597.399590637317</v>
      </c>
      <c r="Q51" s="7">
        <f t="shared" si="368"/>
        <v>-22228.966360419829</v>
      </c>
      <c r="R51" s="7">
        <f t="shared" si="368"/>
        <v>-13360.21052983425</v>
      </c>
      <c r="S51" s="7">
        <f t="shared" si="368"/>
        <v>-69888.323471591139</v>
      </c>
      <c r="T51" s="7">
        <f t="shared" si="368"/>
        <v>-26160.160200838378</v>
      </c>
      <c r="U51" s="7">
        <f t="shared" si="368"/>
        <v>58774.378860579294</v>
      </c>
      <c r="V51" s="7">
        <f t="shared" si="368"/>
        <v>113480.04298932067</v>
      </c>
      <c r="W51" s="7">
        <f t="shared" si="368"/>
        <v>96985.525623500405</v>
      </c>
      <c r="X51" s="7">
        <f t="shared" si="368"/>
        <v>78895.799886724097</v>
      </c>
      <c r="Y51" s="7">
        <f t="shared" si="368"/>
        <v>13756.349884233845</v>
      </c>
      <c r="Z51" s="7">
        <f t="shared" si="368"/>
        <v>15414.821802483406</v>
      </c>
      <c r="AA51" s="7">
        <f t="shared" si="368"/>
        <v>37741.626400806097</v>
      </c>
      <c r="AB51" s="7">
        <f t="shared" si="368"/>
        <v>140666.06930596294</v>
      </c>
      <c r="AC51" s="7">
        <f t="shared" si="368"/>
        <v>-79767.380758116313</v>
      </c>
      <c r="AD51" s="7">
        <f t="shared" si="368"/>
        <v>-275605.62432818773</v>
      </c>
      <c r="AE51" s="7">
        <f t="shared" si="368"/>
        <v>-234223.01482360862</v>
      </c>
      <c r="AF51" s="7">
        <f t="shared" ref="AF51:AV51" si="369">IF(OR(AF50="",AF47=""),"",AF47-AF50)</f>
        <v>-150385.29456222046</v>
      </c>
      <c r="AG51" s="7">
        <f t="shared" si="369"/>
        <v>198018.32376938389</v>
      </c>
      <c r="AH51" s="7">
        <f t="shared" si="369"/>
        <v>348362.52700391319</v>
      </c>
      <c r="AI51" s="7">
        <f t="shared" si="369"/>
        <v>339738.84756536933</v>
      </c>
      <c r="AJ51" s="7">
        <f t="shared" si="369"/>
        <v>48397.62005543604</v>
      </c>
      <c r="AK51" s="7">
        <f t="shared" si="369"/>
        <v>-184848.74615168752</v>
      </c>
      <c r="AL51" s="7">
        <f t="shared" si="369"/>
        <v>-132715.84841127816</v>
      </c>
      <c r="AM51" s="7">
        <f t="shared" si="369"/>
        <v>-101183.46738778771</v>
      </c>
      <c r="AN51" s="7">
        <f t="shared" si="369"/>
        <v>72006.352066173451</v>
      </c>
      <c r="AO51" s="7">
        <f t="shared" si="369"/>
        <v>-54633.169777225121</v>
      </c>
      <c r="AP51" s="7">
        <f t="shared" si="369"/>
        <v>-29854.812319360673</v>
      </c>
      <c r="AQ51" s="7">
        <f t="shared" si="369"/>
        <v>-43569.759852407646</v>
      </c>
      <c r="AR51" s="7">
        <f t="shared" si="369"/>
        <v>30009.702663524076</v>
      </c>
      <c r="AS51" s="7">
        <f t="shared" si="369"/>
        <v>571898.61314727855</v>
      </c>
      <c r="AT51" s="7">
        <f t="shared" si="369"/>
        <v>758640.57298325235</v>
      </c>
      <c r="AU51" s="7">
        <f t="shared" si="369"/>
        <v>604760.56297479803</v>
      </c>
      <c r="AV51" s="7">
        <f t="shared" si="369"/>
        <v>304894.59223014308</v>
      </c>
      <c r="AW51" s="125">
        <f>IF(OR(AW50="",AW47=""),"",AW47-AW50)+AW46</f>
        <v>83751.398420539015</v>
      </c>
      <c r="AX51" s="7">
        <f t="shared" ref="AX51:AY51" si="370">IF(OR(AX50="",AX47=""),"",AX47-AX50)</f>
        <v>60847.032209797122</v>
      </c>
      <c r="AY51" s="7">
        <f t="shared" si="370"/>
        <v>128572.25539508247</v>
      </c>
      <c r="AZ51" s="7">
        <f t="shared" ref="AZ51:BA51" si="371">IF(OR(AZ50="",AZ47=""),"",AZ47-AZ50)</f>
        <v>267662.46313714521</v>
      </c>
      <c r="BA51" s="7">
        <f t="shared" si="371"/>
        <v>123610.23808573082</v>
      </c>
      <c r="BB51" s="7">
        <f t="shared" ref="BB51:BC51" si="372">IF(OR(BB50="",BB47=""),"",BB47-BB50)</f>
        <v>-77719.660941539158</v>
      </c>
      <c r="BC51" s="7">
        <f t="shared" si="372"/>
        <v>-96749.137770122848</v>
      </c>
      <c r="BD51" s="7">
        <f t="shared" ref="BD51:BE51" si="373">IF(OR(BD50="",BD47=""),"",BD47-BD50)</f>
        <v>66465.163259917987</v>
      </c>
      <c r="BE51" s="7">
        <f t="shared" si="373"/>
        <v>960400.85477386927</v>
      </c>
      <c r="BF51" s="7">
        <f t="shared" ref="BF51:BG51" si="374">IF(OR(BF50="",BF47=""),"",BF47-BF50)</f>
        <v>-244441.48982288758</v>
      </c>
      <c r="BG51" s="7">
        <f t="shared" si="374"/>
        <v>-265726.8819737322</v>
      </c>
      <c r="BH51" s="7">
        <f t="shared" ref="BH51:BI51" si="375">IF(OR(BH50="",BH47=""),"",BH47-BH50)</f>
        <v>-362142.88494448434</v>
      </c>
      <c r="BI51" s="7">
        <f t="shared" si="375"/>
        <v>-425554.83414299111</v>
      </c>
      <c r="BJ51" s="7">
        <f t="shared" ref="BJ51" si="376">IF(OR(BJ50="",BJ47=""),"",BJ47-BJ50)</f>
        <v>-372232.61008818512</v>
      </c>
      <c r="BK51" s="7">
        <f t="shared" ref="BK51:BL51" si="377">IF(OR(BK50="",BK47=""),"",BK47-BK50)</f>
        <v>-339592.4519366303</v>
      </c>
      <c r="BL51" s="7">
        <f t="shared" si="377"/>
        <v>-355846.84630793409</v>
      </c>
    </row>
    <row r="52" spans="1:64" s="4" customFormat="1" hidden="1" outlineLevel="1" x14ac:dyDescent="0.35">
      <c r="A52" s="295"/>
      <c r="B52" s="17" t="s">
        <v>8</v>
      </c>
      <c r="C52" s="94"/>
      <c r="D52" s="94"/>
      <c r="E52" s="94"/>
      <c r="F52" s="7">
        <f>IF(OR(F9="",F51=""),"",ROUND((F51+E54)*F9/12,2))</f>
        <v>0</v>
      </c>
      <c r="G52" s="7">
        <f t="shared" ref="G52:L52" si="378">IF(OR(G9="",G51=""),"",ROUND((G51+F54)*G9/12,2))</f>
        <v>1.22</v>
      </c>
      <c r="H52" s="7">
        <f t="shared" si="378"/>
        <v>-5.31</v>
      </c>
      <c r="I52" s="7">
        <f t="shared" si="378"/>
        <v>-204.84</v>
      </c>
      <c r="J52" s="7">
        <f t="shared" si="378"/>
        <v>-364.4</v>
      </c>
      <c r="K52" s="7">
        <f t="shared" si="378"/>
        <v>-456.82</v>
      </c>
      <c r="L52" s="7">
        <f t="shared" si="378"/>
        <v>-505.45</v>
      </c>
      <c r="M52" s="7">
        <f t="shared" ref="M52" si="379">IF(OR(M9="",M51=""),"",ROUND((M51+L54)*M9/12,2))</f>
        <v>-577.17999999999995</v>
      </c>
      <c r="N52" s="114">
        <f>IF(OR(N9="",N51=""),"",ROUND((N51+M54)*N9/12,2))+N46</f>
        <v>-419.03000000000043</v>
      </c>
      <c r="O52" s="7">
        <f t="shared" ref="O52" si="380">IF(OR(O9="",O51=""),"",ROUND((O51+N54)*O9/12,2))</f>
        <v>-547.30999999999995</v>
      </c>
      <c r="P52" s="7">
        <f t="shared" ref="P52" si="381">IF(OR(P9="",P51=""),"",ROUND((P51+O54)*P9/12,2))</f>
        <v>-467.35</v>
      </c>
      <c r="Q52" s="7">
        <f t="shared" ref="Q52:R52" si="382">IF(OR(Q9="",Q51=""),"",ROUND((Q51+P54)*Q9/12,2))</f>
        <v>-480.31</v>
      </c>
      <c r="R52" s="7">
        <f t="shared" si="382"/>
        <v>-460.82</v>
      </c>
      <c r="S52" s="7">
        <f t="shared" ref="S52" si="383">IF(OR(S9="",S51=""),"",ROUND((S51+R54)*S9/12,2))</f>
        <v>-254.01</v>
      </c>
      <c r="T52" s="7">
        <f t="shared" ref="T52" si="384">IF(OR(T9="",T51=""),"",ROUND((T51+S54)*T9/12,2))</f>
        <v>-34.25</v>
      </c>
      <c r="U52" s="7">
        <f t="shared" ref="U52" si="385">IF(OR(U9="",U51=""),"",ROUND((U51+T54)*U9/12,2))</f>
        <v>-23.99</v>
      </c>
      <c r="V52" s="7">
        <f t="shared" ref="V52" si="386">IF(OR(V9="",V51=""),"",ROUND((V51+U54)*V9/12,2))</f>
        <v>-12.82</v>
      </c>
      <c r="W52" s="7">
        <f>IF(OR(W9="",W51=""),"",ROUND((W51+V54)*W9/12,2))</f>
        <v>6.81</v>
      </c>
      <c r="X52" s="7">
        <f t="shared" ref="X52" si="387">IF(OR(X9="",X51=""),"",ROUND((X51+W54)*X9/12,2))</f>
        <v>18.68</v>
      </c>
      <c r="Y52" s="7">
        <f>IF(OR(Y9="",Y51=""),"",ROUND((Y51+X54)*Y9/12,2))</f>
        <v>39.43</v>
      </c>
      <c r="Z52" s="7">
        <f>IF(OR(Z9="",Z51=""),"",ROUND((Z49+Z51+Y54+Z46)*Z9/12,2))+Z46</f>
        <v>244.25999999999948</v>
      </c>
      <c r="AA52" s="7">
        <f>IF(OR(AA9="",AA51=""),"",ROUND((AA49+AA51+Z54)*AA9/12,2))</f>
        <v>94.46</v>
      </c>
      <c r="AB52" s="7">
        <f>IF(OR(AB9="",AB51=""),"",ROUND((AB49+AB51+AA54)*AB9/12,2))</f>
        <v>99.47</v>
      </c>
      <c r="AC52" s="7">
        <f t="shared" ref="AC52:AE52" si="388">IF(OR(AC9="",AC51=""),"",ROUND((AC49+AC51+AB54)*AC9/12,2))</f>
        <v>91.45</v>
      </c>
      <c r="AD52" s="7">
        <f t="shared" si="388"/>
        <v>26.77</v>
      </c>
      <c r="AE52" s="7">
        <f t="shared" si="388"/>
        <v>-23.54</v>
      </c>
      <c r="AF52" s="7">
        <f t="shared" ref="AF52" si="389">IF(OR(AF9="",AF51=""),"",ROUND((AF49+AF51+AE54)*AF9/12,2))</f>
        <v>-59.49</v>
      </c>
      <c r="AG52" s="7">
        <f t="shared" ref="AG52" si="390">IF(OR(AG9="",AG51=""),"",ROUND((AG49+AG51+AF54)*AG9/12,2))</f>
        <v>-28.14</v>
      </c>
      <c r="AH52" s="7">
        <f t="shared" ref="AH52" si="391">IF(OR(AH9="",AH51=""),"",ROUND((AH49+AH51+AG54)*AH9/12,2))</f>
        <v>14.62</v>
      </c>
      <c r="AI52" s="7">
        <f t="shared" ref="AI52" si="392">IF(OR(AI9="",AI51=""),"",ROUND((AI49+AI51+AH54)*AI9/12,2))</f>
        <v>70.209999999999994</v>
      </c>
      <c r="AJ52" s="7">
        <f t="shared" ref="AJ52" si="393">IF(OR(AJ9="",AJ51=""),"",ROUND((AJ49+AJ51+AI54)*AJ9/12,2))</f>
        <v>64.97</v>
      </c>
      <c r="AK52" s="7">
        <f t="shared" ref="AK52" si="394">IF(OR(AK9="",AK51=""),"",ROUND((AK49+AK51+AJ54)*AK9/12,2))</f>
        <v>21.21</v>
      </c>
      <c r="AL52" s="7">
        <f t="shared" ref="AL52" si="395">IF(OR(AL9="",AL51=""),"",ROUND((AL49+AL51+AK54)*AL9/12,2))</f>
        <v>-0.83</v>
      </c>
      <c r="AM52" s="7">
        <f t="shared" ref="AM52" si="396">IF(OR(AM9="",AM51=""),"",ROUND((AM49+AM51+AL54)*AM9/12,2))</f>
        <v>-33.700000000000003</v>
      </c>
      <c r="AN52" s="7">
        <f t="shared" ref="AN52" si="397">IF(OR(AN9="",AN51=""),"",ROUND((AN49+AN51+AM54)*AN9/12,2))</f>
        <v>-26.21</v>
      </c>
      <c r="AO52" s="7">
        <f t="shared" ref="AO52" si="398">IF(OR(AO9="",AO51=""),"",ROUND((AO49+AO51+AN54)*AO9/12,2))</f>
        <v>-37.049999999999997</v>
      </c>
      <c r="AP52" s="7">
        <f t="shared" ref="AP52" si="399">IF(OR(AP9="",AP51=""),"",ROUND((AP49+AP51+AO54)*AP9/12,2))</f>
        <v>-90.11</v>
      </c>
      <c r="AQ52" s="7">
        <f t="shared" ref="AQ52" si="400">IF(OR(AQ9="",AQ51=""),"",ROUND((AQ49+AQ51+AP54)*AQ9/12,2))</f>
        <v>-89.72</v>
      </c>
      <c r="AR52" s="7">
        <f t="shared" ref="AR52" si="401">IF(OR(AR9="",AR51=""),"",ROUND((AR49+AR51+AQ54)*AR9/12,2))</f>
        <v>-100.68</v>
      </c>
      <c r="AS52" s="7">
        <f t="shared" ref="AS52" si="402">IF(OR(AS9="",AS51=""),"",ROUND((AS49+AS51+AR54)*AS9/12,2))</f>
        <v>581.30999999999995</v>
      </c>
      <c r="AT52" s="7">
        <f t="shared" ref="AT52" si="403">IF(OR(AT9="",AT51=""),"",ROUND((AT49+AT51+AS54)*AT9/12,2))</f>
        <v>2153.6999999999998</v>
      </c>
      <c r="AU52" s="7">
        <f t="shared" ref="AU52" si="404">IF(OR(AU9="",AU51=""),"",ROUND((AU49+AU51+AT54)*AU9/12,2))</f>
        <v>4041.01</v>
      </c>
      <c r="AV52" s="7">
        <f t="shared" ref="AV52" si="405">IF(OR(AV9="",AV51=""),"",ROUND((AV49+AV51+AU54)*AV9/12,2))</f>
        <v>5272.93</v>
      </c>
      <c r="AW52" s="7">
        <f t="shared" ref="AW52:AY52" si="406">IF(OR(AW9="",AW51=""),"",ROUND((AW49+AW51+AV54)*AW9/12,2))</f>
        <v>6762.31</v>
      </c>
      <c r="AX52" s="7">
        <f t="shared" si="406"/>
        <v>8673.01</v>
      </c>
      <c r="AY52" s="7">
        <f t="shared" si="406"/>
        <v>9966.94</v>
      </c>
      <c r="AZ52" s="114">
        <f>IF(OR(AZ9="",AZ51=""),"",ROUND((AZ49+AZ51+AY54+AZ46)*AZ9/12,2))+AZ46</f>
        <v>11506.830000000002</v>
      </c>
      <c r="BA52" s="114">
        <f t="shared" ref="BA52:BL52" si="407">IF(OR(BA9="",BA51=""),"",ROUND((BA49+BA51+AZ54)*BA9/12,2))</f>
        <v>11668.27</v>
      </c>
      <c r="BB52" s="114">
        <f t="shared" si="407"/>
        <v>10823.42</v>
      </c>
      <c r="BC52" s="114">
        <f t="shared" si="407"/>
        <v>10091.92</v>
      </c>
      <c r="BD52" s="114">
        <f t="shared" si="407"/>
        <v>9654.5</v>
      </c>
      <c r="BE52" s="114">
        <f t="shared" si="407"/>
        <v>13079.24</v>
      </c>
      <c r="BF52" s="114">
        <f t="shared" si="407"/>
        <v>10994.84</v>
      </c>
      <c r="BG52" s="114">
        <f t="shared" si="407"/>
        <v>8770.99</v>
      </c>
      <c r="BH52" s="114">
        <f t="shared" si="407"/>
        <v>5950.34</v>
      </c>
      <c r="BI52" s="114">
        <f t="shared" si="407"/>
        <v>2937.97</v>
      </c>
      <c r="BJ52" s="114">
        <f t="shared" si="407"/>
        <v>244.57</v>
      </c>
      <c r="BK52" s="114">
        <f t="shared" si="407"/>
        <v>-2385.71</v>
      </c>
      <c r="BL52" s="114">
        <f t="shared" si="407"/>
        <v>-5225.1499999999996</v>
      </c>
    </row>
    <row r="53" spans="1:64" s="4" customFormat="1" hidden="1" outlineLevel="1" x14ac:dyDescent="0.35">
      <c r="A53" s="295"/>
      <c r="B53" s="16" t="s">
        <v>14</v>
      </c>
      <c r="C53" s="94"/>
      <c r="D53" s="94"/>
      <c r="E53" s="94"/>
      <c r="F53" s="7">
        <f t="shared" ref="F53:M53" si="408">IF(OR(F51="",F52=""),"",F51+F52)</f>
        <v>0.36790548240712501</v>
      </c>
      <c r="G53" s="7">
        <f t="shared" si="408"/>
        <v>550.60424508821643</v>
      </c>
      <c r="H53" s="7">
        <f t="shared" si="408"/>
        <v>-2936.4426047334168</v>
      </c>
      <c r="I53" s="7">
        <f t="shared" si="408"/>
        <v>-90574.953443998151</v>
      </c>
      <c r="J53" s="7">
        <f t="shared" si="408"/>
        <v>-75921.202484400332</v>
      </c>
      <c r="K53" s="7">
        <f t="shared" si="408"/>
        <v>-64727.495133255725</v>
      </c>
      <c r="L53" s="7">
        <f t="shared" si="408"/>
        <v>-40498.439537141938</v>
      </c>
      <c r="M53" s="7">
        <f t="shared" si="408"/>
        <v>-54113.222368776616</v>
      </c>
      <c r="N53" s="7">
        <f>IF(OR(N51="",N52=""),"",N51+N52)</f>
        <v>-12147.246706934808</v>
      </c>
      <c r="O53" s="7">
        <f>IF(OR(O51="",O52=""),"",O51+O52)</f>
        <v>-3103.9117182829091</v>
      </c>
      <c r="P53" s="7">
        <f t="shared" ref="P53:AE53" si="409">IF(OR(P51="",P52=""),"",P51+P52)</f>
        <v>46130.049590637318</v>
      </c>
      <c r="Q53" s="7">
        <f t="shared" si="409"/>
        <v>-22709.27636041983</v>
      </c>
      <c r="R53" s="7">
        <f t="shared" si="409"/>
        <v>-13821.03052983425</v>
      </c>
      <c r="S53" s="7">
        <f t="shared" si="409"/>
        <v>-70142.333471591133</v>
      </c>
      <c r="T53" s="7">
        <f t="shared" si="409"/>
        <v>-26194.410200838378</v>
      </c>
      <c r="U53" s="7">
        <f t="shared" si="409"/>
        <v>58750.388860579296</v>
      </c>
      <c r="V53" s="7">
        <f t="shared" si="409"/>
        <v>113467.22298932067</v>
      </c>
      <c r="W53" s="7">
        <f t="shared" si="409"/>
        <v>96992.335623500403</v>
      </c>
      <c r="X53" s="7">
        <f t="shared" si="409"/>
        <v>78914.47988672409</v>
      </c>
      <c r="Y53" s="7">
        <f t="shared" si="409"/>
        <v>13795.779884233845</v>
      </c>
      <c r="Z53" s="7">
        <f>IF(OR(Z51="",Z52=""),"",Z51+Z52)</f>
        <v>15659.081802483406</v>
      </c>
      <c r="AA53" s="7">
        <f t="shared" si="409"/>
        <v>37836.086400806096</v>
      </c>
      <c r="AB53" s="7">
        <f t="shared" si="409"/>
        <v>140765.53930596294</v>
      </c>
      <c r="AC53" s="7">
        <f t="shared" si="409"/>
        <v>-79675.930758116316</v>
      </c>
      <c r="AD53" s="7">
        <f t="shared" si="409"/>
        <v>-275578.85432818771</v>
      </c>
      <c r="AE53" s="7">
        <f t="shared" si="409"/>
        <v>-234246.55482360863</v>
      </c>
      <c r="AF53" s="7">
        <f t="shared" ref="AF53:AW53" si="410">IF(OR(AF51="",AF52=""),"",AF51+AF52)</f>
        <v>-150444.78456222045</v>
      </c>
      <c r="AG53" s="7">
        <f t="shared" si="410"/>
        <v>197990.18376938388</v>
      </c>
      <c r="AH53" s="7">
        <f t="shared" si="410"/>
        <v>348377.14700391318</v>
      </c>
      <c r="AI53" s="7">
        <f t="shared" si="410"/>
        <v>339809.05756536935</v>
      </c>
      <c r="AJ53" s="7">
        <f t="shared" si="410"/>
        <v>48462.590055436041</v>
      </c>
      <c r="AK53" s="7">
        <f t="shared" si="410"/>
        <v>-184827.53615168753</v>
      </c>
      <c r="AL53" s="7">
        <f t="shared" si="410"/>
        <v>-132716.67841127815</v>
      </c>
      <c r="AM53" s="7">
        <f t="shared" si="410"/>
        <v>-101217.1673877877</v>
      </c>
      <c r="AN53" s="7">
        <f t="shared" si="410"/>
        <v>71980.142066173445</v>
      </c>
      <c r="AO53" s="7">
        <f t="shared" si="410"/>
        <v>-54670.219777225124</v>
      </c>
      <c r="AP53" s="7">
        <f t="shared" si="410"/>
        <v>-29944.922319360674</v>
      </c>
      <c r="AQ53" s="7">
        <f t="shared" si="410"/>
        <v>-43659.479852407647</v>
      </c>
      <c r="AR53" s="7">
        <f t="shared" si="410"/>
        <v>29909.022663524076</v>
      </c>
      <c r="AS53" s="7">
        <f t="shared" si="410"/>
        <v>572479.92314727861</v>
      </c>
      <c r="AT53" s="7">
        <f t="shared" si="410"/>
        <v>760794.2729832523</v>
      </c>
      <c r="AU53" s="7">
        <f t="shared" si="410"/>
        <v>608801.57297479804</v>
      </c>
      <c r="AV53" s="7">
        <f t="shared" si="410"/>
        <v>310167.52223014308</v>
      </c>
      <c r="AW53" s="7">
        <f t="shared" si="410"/>
        <v>90513.708420539013</v>
      </c>
      <c r="AX53" s="7">
        <f t="shared" ref="AX53:AY53" si="411">IF(OR(AX51="",AX52=""),"",AX51+AX52)</f>
        <v>69520.042209797117</v>
      </c>
      <c r="AY53" s="7">
        <f t="shared" si="411"/>
        <v>138539.19539508247</v>
      </c>
      <c r="AZ53" s="7">
        <f t="shared" ref="AZ53:BA53" si="412">IF(OR(AZ51="",AZ52=""),"",AZ51+AZ52)</f>
        <v>279169.29313714523</v>
      </c>
      <c r="BA53" s="7">
        <f t="shared" si="412"/>
        <v>135278.50808573081</v>
      </c>
      <c r="BB53" s="7">
        <f t="shared" ref="BB53:BC53" si="413">IF(OR(BB51="",BB52=""),"",BB51+BB52)</f>
        <v>-66896.240941539159</v>
      </c>
      <c r="BC53" s="7">
        <f t="shared" si="413"/>
        <v>-86657.21777012285</v>
      </c>
      <c r="BD53" s="7">
        <f t="shared" ref="BD53:BE53" si="414">IF(OR(BD51="",BD52=""),"",BD51+BD52)</f>
        <v>76119.663259917987</v>
      </c>
      <c r="BE53" s="7">
        <f t="shared" si="414"/>
        <v>973480.09477386926</v>
      </c>
      <c r="BF53" s="7">
        <f t="shared" ref="BF53:BG53" si="415">IF(OR(BF51="",BF52=""),"",BF51+BF52)</f>
        <v>-233446.64982288759</v>
      </c>
      <c r="BG53" s="7">
        <f t="shared" si="415"/>
        <v>-256955.89197373221</v>
      </c>
      <c r="BH53" s="7">
        <f t="shared" ref="BH53:BI53" si="416">IF(OR(BH51="",BH52=""),"",BH51+BH52)</f>
        <v>-356192.54494448431</v>
      </c>
      <c r="BI53" s="7">
        <f t="shared" si="416"/>
        <v>-422616.86414299114</v>
      </c>
      <c r="BJ53" s="7">
        <f t="shared" ref="BJ53" si="417">IF(OR(BJ51="",BJ52=""),"",BJ51+BJ52)</f>
        <v>-371988.04008818511</v>
      </c>
      <c r="BK53" s="7">
        <f t="shared" ref="BK53:BL53" si="418">IF(OR(BK51="",BK52=""),"",BK51+BK52)</f>
        <v>-341978.16193663032</v>
      </c>
      <c r="BL53" s="7">
        <f t="shared" si="418"/>
        <v>-361071.99630793411</v>
      </c>
    </row>
    <row r="54" spans="1:64" s="4" customFormat="1" hidden="1" outlineLevel="1" x14ac:dyDescent="0.35">
      <c r="A54" s="295"/>
      <c r="B54" s="18" t="s">
        <v>17</v>
      </c>
      <c r="C54" s="94"/>
      <c r="D54" s="94"/>
      <c r="E54" s="94"/>
      <c r="F54" s="7">
        <f>IF(OR(F53=""),"",F53)</f>
        <v>0.36790548240712501</v>
      </c>
      <c r="G54" s="7">
        <f t="shared" ref="G54:M54" si="419">IF(OR(G53="",F54=""),"",G53+F54)</f>
        <v>550.97215057062351</v>
      </c>
      <c r="H54" s="7">
        <f t="shared" si="419"/>
        <v>-2385.4704541627934</v>
      </c>
      <c r="I54" s="7">
        <f t="shared" si="419"/>
        <v>-92960.423898160938</v>
      </c>
      <c r="J54" s="7">
        <f t="shared" si="419"/>
        <v>-168881.62638256128</v>
      </c>
      <c r="K54" s="7">
        <f t="shared" si="419"/>
        <v>-233609.12151581701</v>
      </c>
      <c r="L54" s="7">
        <f t="shared" si="419"/>
        <v>-274107.56105295895</v>
      </c>
      <c r="M54" s="7">
        <f t="shared" si="419"/>
        <v>-328220.78342173557</v>
      </c>
      <c r="N54" s="7">
        <f>IF(OR(N53="",M54=""),"",N53+N49+M54)</f>
        <v>-340368.03012867039</v>
      </c>
      <c r="O54" s="7">
        <f>IF(OR(O53="",N54=""),"",O53+O49+N54)</f>
        <v>-343471.9418469533</v>
      </c>
      <c r="P54" s="7">
        <f t="shared" ref="P54:AE54" si="420">IF(OR(P53="",O54=""),"",P53+P49+O54)</f>
        <v>-297341.89225631597</v>
      </c>
      <c r="Q54" s="7">
        <f t="shared" si="420"/>
        <v>-279439.15861673577</v>
      </c>
      <c r="R54" s="7">
        <f t="shared" si="420"/>
        <v>-254909.07914657003</v>
      </c>
      <c r="S54" s="7">
        <f t="shared" si="420"/>
        <v>-292277.03261816117</v>
      </c>
      <c r="T54" s="7">
        <f t="shared" si="420"/>
        <v>-287902.27281899954</v>
      </c>
      <c r="U54" s="7">
        <f t="shared" si="420"/>
        <v>-192926.82395842025</v>
      </c>
      <c r="V54" s="7">
        <f t="shared" si="420"/>
        <v>-37163.690969099582</v>
      </c>
      <c r="W54" s="7">
        <f t="shared" si="420"/>
        <v>101969.97465440084</v>
      </c>
      <c r="X54" s="7">
        <f t="shared" si="420"/>
        <v>222827.19454112492</v>
      </c>
      <c r="Y54" s="7">
        <f t="shared" si="420"/>
        <v>272411.24442535877</v>
      </c>
      <c r="Z54" s="7">
        <f t="shared" si="420"/>
        <v>322933.86622784217</v>
      </c>
      <c r="AA54" s="7">
        <f t="shared" si="420"/>
        <v>398239.85262864828</v>
      </c>
      <c r="AB54" s="7">
        <f t="shared" si="420"/>
        <v>579163.2119346112</v>
      </c>
      <c r="AC54" s="7">
        <f t="shared" si="420"/>
        <v>472682.4011764949</v>
      </c>
      <c r="AD54" s="7">
        <f t="shared" si="420"/>
        <v>150362.03684830718</v>
      </c>
      <c r="AE54" s="7">
        <f t="shared" si="420"/>
        <v>-125509.31797530147</v>
      </c>
      <c r="AF54" s="7">
        <f t="shared" ref="AF54" si="421">IF(OR(AF53="",AE54=""),"",AF53+AF49+AE54)</f>
        <v>-318351.61253752193</v>
      </c>
      <c r="AG54" s="7">
        <f t="shared" ref="AG54" si="422">IF(OR(AG53="",AF54=""),"",AG53+AG49+AF54)</f>
        <v>-167476.35876813804</v>
      </c>
      <c r="AH54" s="7">
        <f t="shared" ref="AH54" si="423">IF(OR(AH53="",AG54=""),"",AH53+AH49+AG54)</f>
        <v>125718.41823577514</v>
      </c>
      <c r="AI54" s="7">
        <f t="shared" ref="AI54" si="424">IF(OR(AI53="",AH54=""),"",AI53+AI49+AH54)</f>
        <v>410838.38580114447</v>
      </c>
      <c r="AJ54" s="7">
        <f t="shared" ref="AJ54" si="425">IF(OR(AJ53="",AI54=""),"",AJ53+AJ49+AI54)</f>
        <v>403561.1258565805</v>
      </c>
      <c r="AK54" s="7">
        <f t="shared" ref="AK54" si="426">IF(OR(AK53="",AJ54=""),"",AK53+AK49+AJ54)</f>
        <v>169737.89970489297</v>
      </c>
      <c r="AL54" s="7">
        <f t="shared" ref="AL54" si="427">IF(OR(AL53="",AK54=""),"",AL53+AL49+AK54)</f>
        <v>-6512.098706385179</v>
      </c>
      <c r="AM54" s="7">
        <f t="shared" ref="AM54" si="428">IF(OR(AM53="",AL54=""),"",AM53+AM49+AL54)</f>
        <v>-155309.4560941729</v>
      </c>
      <c r="AN54" s="7">
        <f t="shared" ref="AN54" si="429">IF(OR(AN53="",AM54=""),"",AN53+AN49+AM54)</f>
        <v>-134194.53402799944</v>
      </c>
      <c r="AO54" s="7">
        <f t="shared" ref="AO54" si="430">IF(OR(AO53="",AN54=""),"",AO53+AO49+AN54)</f>
        <v>-150320.97380522458</v>
      </c>
      <c r="AP54" s="7">
        <f t="shared" ref="AP54" si="431">IF(OR(AP53="",AO54=""),"",AP53+AP49+AO54)</f>
        <v>-157190.04612458526</v>
      </c>
      <c r="AQ54" s="7">
        <f t="shared" ref="AQ54" si="432">IF(OR(AQ53="",AP54=""),"",AQ53+AQ49+AP54)</f>
        <v>-179405.39597699291</v>
      </c>
      <c r="AR54" s="7">
        <f t="shared" ref="AR54" si="433">IF(OR(AR53="",AQ54=""),"",AR53+AR49+AQ54)</f>
        <v>-127316.96331346883</v>
      </c>
      <c r="AS54" s="7">
        <f t="shared" ref="AS54" si="434">IF(OR(AS53="",AR54=""),"",AS53+AS49+AR54)</f>
        <v>470051.97983380978</v>
      </c>
      <c r="AT54" s="7">
        <f t="shared" ref="AT54" si="435">IF(OR(AT53="",AS54=""),"",AT53+AT49+AS54)</f>
        <v>1258756.8528170621</v>
      </c>
      <c r="AU54" s="7">
        <f t="shared" ref="AU54" si="436">IF(OR(AU53="",AT54=""),"",AU53+AU49+AT54)</f>
        <v>1895270.6957918601</v>
      </c>
      <c r="AV54" s="7">
        <f t="shared" ref="AV54" si="437">IF(OR(AV53="",AU54=""),"",AV53+AV49+AU54)</f>
        <v>2231942.2180220033</v>
      </c>
      <c r="AW54" s="7">
        <f t="shared" ref="AW54:BL54" si="438">IF(OR(AW53="",AV54=""),"",AW53+AW49+AV54)</f>
        <v>2345231.2564425422</v>
      </c>
      <c r="AX54" s="7">
        <f t="shared" si="438"/>
        <v>2436898.6486523394</v>
      </c>
      <c r="AY54" s="7">
        <f t="shared" si="438"/>
        <v>2600125.6740474217</v>
      </c>
      <c r="AZ54" s="7">
        <f t="shared" si="438"/>
        <v>2904920.9471845669</v>
      </c>
      <c r="BA54" s="7">
        <f t="shared" si="438"/>
        <v>2899885.4452702976</v>
      </c>
      <c r="BB54" s="7">
        <f t="shared" si="438"/>
        <v>2613955.4343287586</v>
      </c>
      <c r="BC54" s="7">
        <f t="shared" si="438"/>
        <v>2317379.3465586356</v>
      </c>
      <c r="BD54" s="7">
        <f t="shared" si="438"/>
        <v>2184588.3098185537</v>
      </c>
      <c r="BE54" s="7">
        <f t="shared" si="438"/>
        <v>2922366.7445924231</v>
      </c>
      <c r="BF54" s="7">
        <f t="shared" si="438"/>
        <v>2435140.1647695354</v>
      </c>
      <c r="BG54" s="7">
        <f t="shared" si="438"/>
        <v>1915342.2927958032</v>
      </c>
      <c r="BH54" s="7">
        <f t="shared" si="438"/>
        <v>1295968.3778513188</v>
      </c>
      <c r="BI54" s="7">
        <f t="shared" si="438"/>
        <v>641921.90370832768</v>
      </c>
      <c r="BJ54" s="7">
        <f t="shared" si="438"/>
        <v>53436.973620142555</v>
      </c>
      <c r="BK54" s="7">
        <f t="shared" si="438"/>
        <v>-521258.35831648775</v>
      </c>
      <c r="BL54" s="7">
        <f t="shared" si="438"/>
        <v>-1141650.4446244219</v>
      </c>
    </row>
    <row r="55" spans="1:64" s="4" customFormat="1" ht="8.25" hidden="1" customHeight="1" outlineLevel="1" x14ac:dyDescent="0.35">
      <c r="A55" s="40"/>
      <c r="B55" s="11"/>
      <c r="C55" s="99"/>
      <c r="D55" s="99"/>
      <c r="E55" s="99"/>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row>
    <row r="56" spans="1:64" s="4" customFormat="1" ht="15" hidden="1" customHeight="1" outlineLevel="1" x14ac:dyDescent="0.35">
      <c r="A56" s="295" t="s">
        <v>23</v>
      </c>
      <c r="B56" s="15"/>
      <c r="C56" s="94"/>
      <c r="D56" s="94"/>
      <c r="E56" s="94"/>
      <c r="F56" s="7"/>
      <c r="G56" s="7"/>
      <c r="H56" s="7"/>
      <c r="I56" s="7"/>
      <c r="J56" s="7"/>
      <c r="K56" s="7"/>
      <c r="L56" s="7"/>
      <c r="M56" s="7"/>
      <c r="N56" s="113">
        <f>'MEEIA 3 adjs'!L42</f>
        <v>46.569999999999936</v>
      </c>
      <c r="O56" s="7"/>
      <c r="P56" s="7"/>
      <c r="Q56" s="7"/>
      <c r="R56" s="7"/>
      <c r="S56" s="7"/>
      <c r="T56" s="7"/>
      <c r="U56" s="7"/>
      <c r="V56" s="7"/>
      <c r="W56" s="7"/>
      <c r="X56" s="7"/>
      <c r="Y56" s="7"/>
      <c r="Z56" s="113">
        <f>'MEEIA 3 adjs'!AA64</f>
        <v>87.969999999999914</v>
      </c>
      <c r="AA56" s="7"/>
      <c r="AB56" s="7"/>
      <c r="AC56" s="7"/>
      <c r="AD56" s="7"/>
      <c r="AE56" s="7"/>
      <c r="AF56" s="7"/>
      <c r="AG56" s="7"/>
      <c r="AH56" s="7"/>
      <c r="AI56" s="7"/>
      <c r="AJ56" s="7"/>
      <c r="AK56" s="7"/>
      <c r="AL56" s="7"/>
      <c r="AM56" s="7"/>
      <c r="AN56" s="7"/>
      <c r="AO56" s="7"/>
      <c r="AP56" s="7"/>
      <c r="AQ56" s="7"/>
      <c r="AR56" s="7"/>
      <c r="AS56" s="7"/>
      <c r="AT56" s="7"/>
      <c r="AU56" s="7"/>
      <c r="AV56" s="7"/>
      <c r="AW56" s="125">
        <v>23064.805500861024</v>
      </c>
      <c r="AX56" s="7"/>
      <c r="AY56" s="7"/>
      <c r="AZ56" s="113">
        <f>'MEEIA 3 adjs'!DZ62</f>
        <v>-4.3600000000001273</v>
      </c>
      <c r="BA56" s="7"/>
      <c r="BB56" s="7"/>
      <c r="BC56" s="7"/>
      <c r="BD56" s="7"/>
      <c r="BE56" s="7"/>
      <c r="BF56" s="7"/>
      <c r="BG56" s="7"/>
      <c r="BH56" s="7"/>
      <c r="BI56" s="7"/>
      <c r="BJ56" s="7"/>
      <c r="BK56" s="7"/>
      <c r="BL56" s="7"/>
    </row>
    <row r="57" spans="1:64" s="2" customFormat="1" ht="15" hidden="1" customHeight="1" outlineLevel="1" x14ac:dyDescent="0.35">
      <c r="A57" s="295"/>
      <c r="B57" s="15" t="s">
        <v>28</v>
      </c>
      <c r="C57" s="94"/>
      <c r="D57" s="94"/>
      <c r="E57" s="94"/>
      <c r="F57" s="20">
        <f>IF('M3 Allocations - TD'!D8="","",'M3 Allocations - TD'!D34)</f>
        <v>0</v>
      </c>
      <c r="G57" s="20">
        <f>IF('M3 Allocations - TD'!E8="","",'M3 Allocations - TD'!E34)</f>
        <v>9.4764517045030008</v>
      </c>
      <c r="H57" s="20">
        <f>IF('M3 Allocations - TD'!F8="","",'M3 Allocations - TD'!F34)</f>
        <v>992.38480063141662</v>
      </c>
      <c r="I57" s="20">
        <f>IF('M3 Allocations - TD'!G8="","",'M3 Allocations - TD'!G34)</f>
        <v>7292.1248374502911</v>
      </c>
      <c r="J57" s="20">
        <f>IF('M3 Allocations - TD'!H8="","",'M3 Allocations - TD'!H34)</f>
        <v>15994.94501268368</v>
      </c>
      <c r="K57" s="20">
        <f>IF('M3 Allocations - TD'!I8="","",'M3 Allocations - TD'!I34)</f>
        <v>17286.492613957165</v>
      </c>
      <c r="L57" s="20">
        <f>IF('M3 Allocations - TD'!J8="","",'M3 Allocations - TD'!J34)</f>
        <v>20593.63561343183</v>
      </c>
      <c r="M57" s="20">
        <f>IF('M3 Allocations - TD'!K8="","",'M3 Allocations - TD'!K34)</f>
        <v>13281.46306563299</v>
      </c>
      <c r="N57" s="20">
        <f>IF('M3 Allocations - TD'!L8="","",'M3 Allocations - TD'!L34)</f>
        <v>20634.15638219006</v>
      </c>
      <c r="O57" s="20">
        <f>IF('M3 Allocations - TD'!M8="","",'M3 Allocations - TD'!M34)</f>
        <v>18530.128304448888</v>
      </c>
      <c r="P57" s="20">
        <f>IF('M3 Allocations - TD'!N8="","",'M3 Allocations - TD'!N34)</f>
        <v>41320.38859087076</v>
      </c>
      <c r="Q57" s="20">
        <f>IF('M3 Allocations - TD'!O8="","",'M3 Allocations - TD'!O34)</f>
        <v>29425.974245256413</v>
      </c>
      <c r="R57" s="20">
        <f>IF('M3 Allocations - TD'!P8="","",'M3 Allocations - TD'!P34)</f>
        <v>32165.147795809222</v>
      </c>
      <c r="S57" s="20">
        <f>IF('M3 Allocations - TD'!Q8="","",'M3 Allocations - TD'!Q34)</f>
        <v>21213.003373036219</v>
      </c>
      <c r="T57" s="20">
        <f>IF('M3 Allocations - TD'!R8="","",'M3 Allocations - TD'!R34)</f>
        <v>41395.000804902586</v>
      </c>
      <c r="U57" s="20">
        <f>IF('M3 Allocations - TD'!S8="","",'M3 Allocations - TD'!S34)</f>
        <v>92952.761963081415</v>
      </c>
      <c r="V57" s="20">
        <f>IF('M3 Allocations - TD'!T8="","",'M3 Allocations - TD'!T34)</f>
        <v>123951.10916307675</v>
      </c>
      <c r="W57" s="20">
        <f>IF('M3 Allocations - TD'!U8="","",'M3 Allocations - TD'!U34)</f>
        <v>122809.27801030048</v>
      </c>
      <c r="X57" s="20">
        <f>IF('M3 Allocations - TD'!V8="","",'M3 Allocations - TD'!V34)</f>
        <v>96049.861338882605</v>
      </c>
      <c r="Y57" s="20">
        <f>IF('M3 Allocations - TD'!W8="","",'M3 Allocations - TD'!W34)</f>
        <v>51830.00376307463</v>
      </c>
      <c r="Z57" s="20">
        <f>IF('M3 Allocations - TD'!X8="","",'M3 Allocations - TD'!X34)</f>
        <v>49578.466987818043</v>
      </c>
      <c r="AA57" s="20">
        <f>IF('M3 Allocations - TD'!Y8="","",'M3 Allocations - TD'!Y34)</f>
        <v>51735.412802116007</v>
      </c>
      <c r="AB57" s="20">
        <f>IF('M3 Allocations - TD'!Z8="","",'M3 Allocations - TD'!Z34)</f>
        <v>90838.744276912417</v>
      </c>
      <c r="AC57" s="20">
        <f>IF('M3 Allocations - TD'!AA8="","",'M3 Allocations - TD'!AA34)</f>
        <v>65459.948883100595</v>
      </c>
      <c r="AD57" s="20">
        <f>IF('M3 Allocations - TD'!AB8="","",'M3 Allocations - TD'!AB34)</f>
        <v>71534.944524128558</v>
      </c>
      <c r="AE57" s="20">
        <f>IF('M3 Allocations - TD'!AC8="","",'M3 Allocations - TD'!AC34)</f>
        <v>71343.757771636898</v>
      </c>
      <c r="AF57" s="20">
        <f>IF('M3 Allocations - TD'!AD8="","",'M3 Allocations - TD'!AD34)</f>
        <v>103296.3103477702</v>
      </c>
      <c r="AG57" s="20">
        <f>IF('M3 Allocations - TD'!AE8="","",'M3 Allocations - TD'!AE34)</f>
        <v>256562.81120160531</v>
      </c>
      <c r="AH57" s="20">
        <f>IF('M3 Allocations - TD'!AF8="","",'M3 Allocations - TD'!AF34)</f>
        <v>319479.07850425603</v>
      </c>
      <c r="AI57" s="20">
        <f>IF('M3 Allocations - TD'!AG8="","",'M3 Allocations - TD'!AG34)</f>
        <v>309875.12991512951</v>
      </c>
      <c r="AJ57" s="20">
        <f>IF('M3 Allocations - TD'!AH8="","",'M3 Allocations - TD'!AH34)</f>
        <v>200668.49634980995</v>
      </c>
      <c r="AK57" s="20">
        <f>IF('M3 Allocations - TD'!AI8="","",'M3 Allocations - TD'!AI34)</f>
        <v>111417.50190042912</v>
      </c>
      <c r="AL57" s="20">
        <f>IF('M3 Allocations - TD'!AJ8="","",'M3 Allocations - TD'!AJ34)</f>
        <v>93253.892629017733</v>
      </c>
      <c r="AM57" s="20">
        <f>IF('M3 Allocations - TD'!AK8="","",'M3 Allocations - TD'!AK34)</f>
        <v>103488.5984224446</v>
      </c>
      <c r="AN57" s="20">
        <f>IF('M3 Allocations - TD'!AL8="","",'M3 Allocations - TD'!AL34)</f>
        <v>144414.82989089785</v>
      </c>
      <c r="AO57" s="20">
        <f>IF('M3 Allocations - TD'!AM8="","",'M3 Allocations - TD'!AM34)</f>
        <v>110066.63506595949</v>
      </c>
      <c r="AP57" s="20">
        <f>IF('M3 Allocations - TD'!AN8="","",'M3 Allocations - TD'!AN34)</f>
        <v>50328.1679847302</v>
      </c>
      <c r="AQ57" s="20">
        <f>IF('M3 Allocations - TD'!AO8="","",'M3 Allocations - TD'!AO34)</f>
        <v>48818.637830727937</v>
      </c>
      <c r="AR57" s="20">
        <f>IF('M3 Allocations - TD'!AP8="","",'M3 Allocations - TD'!AP34)</f>
        <v>69139.5977047872</v>
      </c>
      <c r="AS57" s="20">
        <f>IF('M3 Allocations - TD'!AQ8="","",'M3 Allocations - TD'!AQ34)</f>
        <v>204404.00741586328</v>
      </c>
      <c r="AT57" s="20">
        <f>IF('M3 Allocations - TD'!AR8="","",'M3 Allocations - TD'!AR34)</f>
        <v>281050.68735267245</v>
      </c>
      <c r="AU57" s="20">
        <f>IF('M3 Allocations - TD'!AS8="","",'M3 Allocations - TD'!AS34)</f>
        <v>243115.17544525067</v>
      </c>
      <c r="AV57" s="20">
        <f>IF('M3 Allocations - TD'!AT8="","",'M3 Allocations - TD'!AT34)</f>
        <v>160177.67633933009</v>
      </c>
      <c r="AW57" s="20">
        <f>IF('M3 Allocations - TD'!AU8="","",'M3 Allocations - TD'!AU34)</f>
        <v>71401.608823197399</v>
      </c>
      <c r="AX57" s="20">
        <f>IF('M3 Allocations - TD'!AV8="","",'M3 Allocations - TD'!AV34)</f>
        <v>68759.703767405808</v>
      </c>
      <c r="AY57" s="20">
        <f>IF('M3 Allocations - TD'!AW8="","",'M3 Allocations - TD'!AW34)</f>
        <v>79423.074388787179</v>
      </c>
      <c r="AZ57" s="20">
        <f>IF('M3 Allocations - TD'!AX8="","",'M3 Allocations - TD'!AX34)</f>
        <v>124152.16010630637</v>
      </c>
      <c r="BA57" s="20">
        <f>IF('M3 Allocations - TD'!AY8="","",'M3 Allocations - TD'!AY34)</f>
        <v>90652.290206343227</v>
      </c>
      <c r="BB57" s="20">
        <f>IF('M3 Allocations - TD'!AZ8="","",'M3 Allocations - TD'!AZ34)</f>
        <v>95391.182401412632</v>
      </c>
      <c r="BC57" s="20">
        <f>IF('M3 Allocations - TD'!BA8="","",'M3 Allocations - TD'!BA34)</f>
        <v>98092.186887780408</v>
      </c>
      <c r="BD57" s="20">
        <f>IF('M3 Allocations - TD'!BB8="","",'M3 Allocations - TD'!BB34)</f>
        <v>146238.88433112807</v>
      </c>
      <c r="BE57" s="20">
        <f>IF('M3 Allocations - TD'!BC8="","",'M3 Allocations - TD'!BC34)</f>
        <v>408596.36444724287</v>
      </c>
      <c r="BF57" s="20">
        <f>IF('M3 Allocations - TD'!BD8="","",'M3 Allocations - TD'!BD34)</f>
        <v>130017.57406535599</v>
      </c>
      <c r="BG57" s="20">
        <f>IF('M3 Allocations - TD'!BE8="","",'M3 Allocations - TD'!BE34)</f>
        <v>135925.39692325707</v>
      </c>
      <c r="BH57" s="20">
        <f>IF('M3 Allocations - TD'!BF8="","",'M3 Allocations - TD'!BF34)</f>
        <v>99875.595046319839</v>
      </c>
      <c r="BI57" s="20">
        <f>IF('M3 Allocations - TD'!BG8="","",'M3 Allocations - TD'!BG34)</f>
        <v>47172.903672076238</v>
      </c>
      <c r="BJ57" s="20">
        <f>IF('M3 Allocations - TD'!BH8="","",'M3 Allocations - TD'!BH34)</f>
        <v>51134.45035131117</v>
      </c>
      <c r="BK57" s="20">
        <f>IF('M3 Allocations - TD'!BI8="","",'M3 Allocations - TD'!BI34)</f>
        <v>70898.851209851491</v>
      </c>
      <c r="BL57" s="20">
        <f>IF('M3 Allocations - TD'!BJ8="","",'M3 Allocations - TD'!BJ34)</f>
        <v>85095.314894603143</v>
      </c>
    </row>
    <row r="58" spans="1:64" s="4" customFormat="1" ht="15" hidden="1" customHeight="1" outlineLevel="1" x14ac:dyDescent="0.35">
      <c r="A58" s="295"/>
      <c r="B58" s="16" t="s">
        <v>26</v>
      </c>
      <c r="C58" s="94"/>
      <c r="D58" s="94"/>
      <c r="E58" s="94"/>
      <c r="F58" s="20">
        <f>IF('M3 Allocations - TD'!D54="","",'M3 Allocations - TD'!D72)</f>
        <v>0</v>
      </c>
      <c r="G58" s="20">
        <f>IF('M3 Allocations - TD'!E54="","",'M3 Allocations - TD'!E72)</f>
        <v>0</v>
      </c>
      <c r="H58" s="20">
        <f>IF('M3 Allocations - TD'!F54="","",'M3 Allocations - TD'!F72)</f>
        <v>2381.1324731369587</v>
      </c>
      <c r="I58" s="20">
        <f>IF('M3 Allocations - TD'!G54="","",'M3 Allocations - TD'!G72)</f>
        <v>41080.759711289073</v>
      </c>
      <c r="J58" s="20">
        <f>IF('M3 Allocations - TD'!H54="","",'M3 Allocations - TD'!H72)</f>
        <v>46620.227707662583</v>
      </c>
      <c r="K58" s="20">
        <f>IF('M3 Allocations - TD'!I54="","",'M3 Allocations - TD'!I72)</f>
        <v>48915.290383093015</v>
      </c>
      <c r="L58" s="20">
        <f>IF('M3 Allocations - TD'!J54="","",'M3 Allocations - TD'!J72)</f>
        <v>48689.064699160743</v>
      </c>
      <c r="M58" s="20">
        <f>IF('M3 Allocations - TD'!K54="","",'M3 Allocations - TD'!K72)</f>
        <v>45154.720570269681</v>
      </c>
      <c r="N58" s="20">
        <f>IF('M3 Allocations - TD'!L54="","",'M3 Allocations - TD'!L72)</f>
        <v>41515.04923810179</v>
      </c>
      <c r="O58" s="20">
        <f>IF('M3 Allocations - TD'!M54="","",'M3 Allocations - TD'!M72)</f>
        <v>41594.548478057877</v>
      </c>
      <c r="P58" s="20">
        <f>IF('M3 Allocations - TD'!N54="","",'M3 Allocations - TD'!N72)</f>
        <v>42743.649469302021</v>
      </c>
      <c r="Q58" s="20">
        <f>IF('M3 Allocations - TD'!O54="","",'M3 Allocations - TD'!O72)</f>
        <v>43471.756585125317</v>
      </c>
      <c r="R58" s="20">
        <f>IF('M3 Allocations - TD'!P54="","",'M3 Allocations - TD'!P72)</f>
        <v>37573.855689531287</v>
      </c>
      <c r="S58" s="20">
        <f>IF('M3 Allocations - TD'!Q54="","",'M3 Allocations - TD'!Q72)</f>
        <v>36905.295455925545</v>
      </c>
      <c r="T58" s="20">
        <f>IF('M3 Allocations - TD'!R54="","",'M3 Allocations - TD'!R72)</f>
        <v>34871.894488322658</v>
      </c>
      <c r="U58" s="20">
        <f>IF('M3 Allocations - TD'!S54="","",'M3 Allocations - TD'!S72)</f>
        <v>40727.091457001268</v>
      </c>
      <c r="V58" s="20">
        <f>IF('M3 Allocations - TD'!T54="","",'M3 Allocations - TD'!T72)</f>
        <v>42825.077518324979</v>
      </c>
      <c r="W58" s="20">
        <f>IF('M3 Allocations - TD'!U54="","",'M3 Allocations - TD'!U72)</f>
        <v>44954.202556147626</v>
      </c>
      <c r="X58" s="20">
        <f>IF('M3 Allocations - TD'!V54="","",'M3 Allocations - TD'!V72)</f>
        <v>45054.75137109276</v>
      </c>
      <c r="Y58" s="20">
        <f>IF('M3 Allocations - TD'!W54="","",'M3 Allocations - TD'!W72)</f>
        <v>40035.738044047088</v>
      </c>
      <c r="Z58" s="20">
        <f>IF('M3 Allocations - TD'!X54="","",'M3 Allocations - TD'!X72)</f>
        <v>39574.059026383933</v>
      </c>
      <c r="AA58" s="20">
        <f>IF('M3 Allocations - TD'!Y54="","",'M3 Allocations - TD'!Y72)</f>
        <v>41188.257144152223</v>
      </c>
      <c r="AB58" s="20">
        <f>IF('M3 Allocations - TD'!Z54="","",'M3 Allocations - TD'!Z72)</f>
        <v>40226.995717895465</v>
      </c>
      <c r="AC58" s="20">
        <f>IF('M3 Allocations - TD'!AA54="","",'M3 Allocations - TD'!AA72)</f>
        <v>108585.49808616596</v>
      </c>
      <c r="AD58" s="20">
        <f>IF('M3 Allocations - TD'!AB54="","",'M3 Allocations - TD'!AB72)</f>
        <v>181792.64072508441</v>
      </c>
      <c r="AE58" s="20">
        <f>IF('M3 Allocations - TD'!AC54="","",'M3 Allocations - TD'!AC72)</f>
        <v>183572.05910467496</v>
      </c>
      <c r="AF58" s="20">
        <f>IF('M3 Allocations - TD'!AD54="","",'M3 Allocations - TD'!AD72)</f>
        <v>190770.53370651661</v>
      </c>
      <c r="AG58" s="20">
        <f>IF('M3 Allocations - TD'!AE54="","",'M3 Allocations - TD'!AE72)</f>
        <v>183881.99525765545</v>
      </c>
      <c r="AH58" s="20">
        <f>IF('M3 Allocations - TD'!AF54="","",'M3 Allocations - TD'!AF72)</f>
        <v>245635.92921565124</v>
      </c>
      <c r="AI58" s="20">
        <f>IF('M3 Allocations - TD'!AG54="","",'M3 Allocations - TD'!AG72)</f>
        <v>225402.14448890529</v>
      </c>
      <c r="AJ58" s="20">
        <f>IF('M3 Allocations - TD'!AH54="","",'M3 Allocations - TD'!AH72)</f>
        <v>228315.5064563354</v>
      </c>
      <c r="AK58" s="20">
        <f>IF('M3 Allocations - TD'!AI54="","",'M3 Allocations - TD'!AI72)</f>
        <v>197613.76683715408</v>
      </c>
      <c r="AL58" s="20">
        <f>IF('M3 Allocations - TD'!AJ54="","",'M3 Allocations - TD'!AJ72)</f>
        <v>171603.607119394</v>
      </c>
      <c r="AM58" s="20">
        <f>IF('M3 Allocations - TD'!AK54="","",'M3 Allocations - TD'!AK72)</f>
        <v>225113.97993017494</v>
      </c>
      <c r="AN58" s="20">
        <f>IF('M3 Allocations - TD'!AL54="","",'M3 Allocations - TD'!AL72)</f>
        <v>217125.39653110137</v>
      </c>
      <c r="AO58" s="20">
        <f>IF('M3 Allocations - TD'!AM54="","",'M3 Allocations - TD'!AM72)</f>
        <v>162221.33538769459</v>
      </c>
      <c r="AP58" s="20">
        <f>IF('M3 Allocations - TD'!AN54="","",'M3 Allocations - TD'!AN72)</f>
        <v>84753.684454895163</v>
      </c>
      <c r="AQ58" s="20">
        <f>IF('M3 Allocations - TD'!AO54="","",'M3 Allocations - TD'!AO72)</f>
        <v>72198.807943159496</v>
      </c>
      <c r="AR58" s="20">
        <f>IF('M3 Allocations - TD'!AP54="","",'M3 Allocations - TD'!AP72)</f>
        <v>84979.402614517516</v>
      </c>
      <c r="AS58" s="20">
        <f>IF('M3 Allocations - TD'!AQ54="","",'M3 Allocations - TD'!AQ72)</f>
        <v>96900.261492082005</v>
      </c>
      <c r="AT58" s="20">
        <f>IF('M3 Allocations - TD'!AR54="","",'M3 Allocations - TD'!AR72)</f>
        <v>100482.39287136923</v>
      </c>
      <c r="AU58" s="20">
        <f>IF('M3 Allocations - TD'!AS54="","",'M3 Allocations - TD'!AS72)</f>
        <v>99567.440007197365</v>
      </c>
      <c r="AV58" s="20">
        <f>IF('M3 Allocations - TD'!AT54="","",'M3 Allocations - TD'!AT72)</f>
        <v>97105.740111514999</v>
      </c>
      <c r="AW58" s="20">
        <f>IF('M3 Allocations - TD'!AU54="","",'M3 Allocations - TD'!AU72)</f>
        <v>86103.564631792964</v>
      </c>
      <c r="AX58" s="20">
        <f>IF('M3 Allocations - TD'!AV54="","",'M3 Allocations - TD'!AV72)</f>
        <v>86765.912910017505</v>
      </c>
      <c r="AY58" s="20">
        <f>IF('M3 Allocations - TD'!AW54="","",'M3 Allocations - TD'!AW72)</f>
        <v>89195.654381293964</v>
      </c>
      <c r="AZ58" s="20">
        <f>IF('M3 Allocations - TD'!AX54="","",'M3 Allocations - TD'!AX72)</f>
        <v>84853.67359430436</v>
      </c>
      <c r="BA58" s="20">
        <f>IF('M3 Allocations - TD'!AY54="","",'M3 Allocations - TD'!AY72)</f>
        <v>116964.64095577589</v>
      </c>
      <c r="BB58" s="20">
        <f>IF('M3 Allocations - TD'!AZ54="","",'M3 Allocations - TD'!AZ72)</f>
        <v>189332.91154715291</v>
      </c>
      <c r="BC58" s="20">
        <f>IF('M3 Allocations - TD'!BA54="","",'M3 Allocations - TD'!BA72)</f>
        <v>196301.33578545341</v>
      </c>
      <c r="BD58" s="20">
        <f>IF('M3 Allocations - TD'!BB54="","",'M3 Allocations - TD'!BB72)</f>
        <v>196733.17904220874</v>
      </c>
      <c r="BE58" s="20">
        <f>IF('M3 Allocations - TD'!BC54="","",'M3 Allocations - TD'!BC72)</f>
        <v>205719.5189357409</v>
      </c>
      <c r="BF58" s="20">
        <f>IF('M3 Allocations - TD'!BD54="","",'M3 Allocations - TD'!BD72)</f>
        <v>210715.73838310986</v>
      </c>
      <c r="BG58" s="20">
        <f>IF('M3 Allocations - TD'!BE54="","",'M3 Allocations - TD'!BE72)</f>
        <v>238375.38279456849</v>
      </c>
      <c r="BH58" s="20">
        <f>IF('M3 Allocations - TD'!BF54="","",'M3 Allocations - TD'!BF72)</f>
        <v>227841.78131597498</v>
      </c>
      <c r="BI58" s="20">
        <f>IF('M3 Allocations - TD'!BG54="","",'M3 Allocations - TD'!BG72)</f>
        <v>197896.49528830158</v>
      </c>
      <c r="BJ58" s="20">
        <f>IF('M3 Allocations - TD'!BH54="","",'M3 Allocations - TD'!BH72)</f>
        <v>196992.25843845302</v>
      </c>
      <c r="BK58" s="20">
        <f>IF('M3 Allocations - TD'!BI54="","",'M3 Allocations - TD'!BI72)</f>
        <v>203662.78474111171</v>
      </c>
      <c r="BL58" s="20">
        <f>IF('M3 Allocations - TD'!BJ54="","",'M3 Allocations - TD'!BJ72)</f>
        <v>213295.86752458193</v>
      </c>
    </row>
    <row r="59" spans="1:64" s="4" customFormat="1" ht="15" hidden="1" customHeight="1" outlineLevel="1" x14ac:dyDescent="0.35">
      <c r="A59" s="295"/>
      <c r="B59" s="16" t="s">
        <v>51</v>
      </c>
      <c r="C59" s="94"/>
      <c r="D59" s="94"/>
      <c r="E59" s="94"/>
      <c r="F59" s="20">
        <f>IF(F58="","",0)</f>
        <v>0</v>
      </c>
      <c r="G59" s="20">
        <f t="shared" ref="G59" si="439">IF(G58="","",0)</f>
        <v>0</v>
      </c>
      <c r="H59" s="20">
        <f t="shared" ref="H59" si="440">IF(H58="","",0)</f>
        <v>0</v>
      </c>
      <c r="I59" s="20">
        <f t="shared" ref="I59" si="441">IF(I58="","",0)</f>
        <v>0</v>
      </c>
      <c r="J59" s="20">
        <f t="shared" ref="J59" si="442">IF(J58="","",0)</f>
        <v>0</v>
      </c>
      <c r="K59" s="20">
        <f t="shared" ref="K59" si="443">IF(K58="","",0)</f>
        <v>0</v>
      </c>
      <c r="L59" s="20">
        <f t="shared" ref="L59" si="444">IF(L58="","",0)</f>
        <v>0</v>
      </c>
      <c r="M59" s="20">
        <f t="shared" ref="M59" si="445">IF(M58="","",0)</f>
        <v>0</v>
      </c>
      <c r="N59" s="20">
        <f t="shared" ref="N59" si="446">IF(N58="","",0)</f>
        <v>0</v>
      </c>
      <c r="O59" s="20">
        <f t="shared" ref="O59" si="447">IF(O58="","",0)</f>
        <v>0</v>
      </c>
      <c r="P59" s="20">
        <f t="shared" ref="P59" si="448">IF(P58="","",0)</f>
        <v>0</v>
      </c>
      <c r="Q59" s="20">
        <f>IF(Q58="","",-'M3 TD amort'!C29)</f>
        <v>20708.53</v>
      </c>
      <c r="R59" s="20">
        <f>IF(R58="","",-'M3 TD amort'!D29)</f>
        <v>17927.830000000002</v>
      </c>
      <c r="S59" s="20">
        <f>IF(S58="","",-'M3 TD amort'!E29)</f>
        <v>17511.97</v>
      </c>
      <c r="T59" s="20">
        <f>IF(T58="","",-'M3 TD amort'!F29)</f>
        <v>16485.95</v>
      </c>
      <c r="U59" s="20">
        <f>IF(U58="","",-'M3 TD amort'!G29)</f>
        <v>19200.04</v>
      </c>
      <c r="V59" s="20">
        <f>IF(V58="","",-'M3 TD amort'!H29)</f>
        <v>20208.66</v>
      </c>
      <c r="W59" s="20">
        <f>IF(W58="","",-'M3 TD amort'!I29)</f>
        <v>21182.03</v>
      </c>
      <c r="X59" s="20">
        <f>IF(X58="","",-'M3 TD amort'!J29)</f>
        <v>21187.42</v>
      </c>
      <c r="Y59" s="20">
        <f>IF(Y58="","",-'M3 TD amort'!K29)</f>
        <v>18832.849999999999</v>
      </c>
      <c r="Z59" s="20">
        <f>IF(Z58="","",-'M3 TD amort'!L29)</f>
        <v>18699.46</v>
      </c>
      <c r="AA59" s="20">
        <f>IF(AA58="","",-'M3 TD amort'!M29)</f>
        <v>19565.84</v>
      </c>
      <c r="AB59" s="20">
        <f>IF(AB58="","",-'M3 TD amort'!N29)</f>
        <v>19211.02</v>
      </c>
      <c r="AC59" s="20">
        <f>IF(AC58="","",-'M3 TD amort'!O29)</f>
        <v>-5225.53</v>
      </c>
      <c r="AD59" s="20">
        <f>IF(AD58="","",-'M3 TD amort'!P29)</f>
        <v>-8688.59</v>
      </c>
      <c r="AE59" s="20">
        <f>IF(AE58="","",-'M3 TD amort'!Q29)</f>
        <v>-8718.77</v>
      </c>
      <c r="AF59" s="20">
        <f>IF(AF58="","",-'M3 TD amort'!R29)</f>
        <v>-9032.2099999999991</v>
      </c>
      <c r="AG59" s="20">
        <f>IF(AG58="","",-'M3 TD amort'!S29)</f>
        <v>-8700.5300000000007</v>
      </c>
      <c r="AH59" s="20">
        <f>IF(AH58="","",-'M3 TD amort'!T29)</f>
        <v>-11631.74</v>
      </c>
      <c r="AI59" s="20">
        <f>IF(AI58="","",-'M3 TD amort'!U29)</f>
        <v>-10679.45</v>
      </c>
      <c r="AJ59" s="20">
        <f>IF(AJ58="","",-'M3 TD amort'!V29)</f>
        <v>-10815</v>
      </c>
      <c r="AK59" s="20">
        <f>IF(AK58="","",-'M3 TD amort'!W29)</f>
        <v>-9338.6</v>
      </c>
      <c r="AL59" s="20">
        <f>IF(AL58="","",-'M3 TD amort'!X29)</f>
        <v>-8146.01</v>
      </c>
      <c r="AM59" s="20">
        <f>IF(AM58="","",-'M3 TD amort'!Y29)</f>
        <v>-10707.36</v>
      </c>
      <c r="AN59" s="20">
        <f>IF(AN58="","",-'M3 TD amort'!Z29)</f>
        <v>-10340.290000000001</v>
      </c>
      <c r="AO59" s="20">
        <f>IF(AO58="","",-'M3 TD amort'!AA29)</f>
        <v>58728.46</v>
      </c>
      <c r="AP59" s="20">
        <f>IF(AP58="","",-'M3 TD amort'!AB29)</f>
        <v>30610.37</v>
      </c>
      <c r="AQ59" s="20">
        <f>IF(AQ58="","",-'M3 TD amort'!AC29)</f>
        <v>26134.63</v>
      </c>
      <c r="AR59" s="20">
        <f>IF(AR58="","",-'M3 TD amort'!AD29)</f>
        <v>30515.41</v>
      </c>
      <c r="AS59" s="20">
        <f>IF(AS58="","",-'M3 TD amort'!AE29)</f>
        <v>34741.599999999999</v>
      </c>
      <c r="AT59" s="20">
        <f>IF(AT58="","",-'M3 TD amort'!AF29)</f>
        <v>36119.75</v>
      </c>
      <c r="AU59" s="20">
        <f>IF(AU58="","",-'M3 TD amort'!AG29)</f>
        <v>35830</v>
      </c>
      <c r="AV59" s="20">
        <f>IF(AV58="","",-'M3 TD amort'!AH29)</f>
        <v>34903.65</v>
      </c>
      <c r="AW59" s="20">
        <f>IF(AW58="","",-'M3 TD amort'!AI29)</f>
        <v>30944.84</v>
      </c>
      <c r="AX59" s="20">
        <f>IF(AX58="","",-'M3 TD amort'!AJ29)</f>
        <v>31250.06</v>
      </c>
      <c r="AY59" s="20">
        <f>IF(AY58="","",-'M3 TD amort'!AK29)</f>
        <v>32438.34</v>
      </c>
      <c r="AZ59" s="20">
        <f>IF(AZ58="","",-'M3 TD amort'!AL29)</f>
        <v>30881.82</v>
      </c>
      <c r="BA59" s="20">
        <f>IF(BA58="","",-'M3 TD amort'!AM29)</f>
        <v>-314.94</v>
      </c>
      <c r="BB59" s="20">
        <f>IF(BB58="","",-'M3 TD amort'!AN29)</f>
        <v>-504.74</v>
      </c>
      <c r="BC59" s="20">
        <f>IF(BC58="","",-'M3 TD amort'!AO29)</f>
        <v>-522.91</v>
      </c>
      <c r="BD59" s="20">
        <f>IF(BD58="","",-'M3 TD amort'!AP29)</f>
        <v>-522.51</v>
      </c>
      <c r="BE59" s="20">
        <f>IF(BE58="","",-'M3 TD amort'!AQ29)</f>
        <v>-546.36</v>
      </c>
      <c r="BF59" s="20">
        <f>IF(BF58="","",-'M3 TD amort'!AR29)</f>
        <v>-560.33000000000004</v>
      </c>
      <c r="BG59" s="20">
        <f>IF(BG58="","",-'M3 TD amort'!AS29)</f>
        <v>-633.89</v>
      </c>
      <c r="BH59" s="20">
        <f>IF(BH58="","",-'M3 TD amort'!AT29)</f>
        <v>-605.76</v>
      </c>
      <c r="BI59" s="20">
        <f>IF(BI58="","",-'M3 TD amort'!AU29)</f>
        <v>-525.92999999999995</v>
      </c>
      <c r="BJ59" s="20">
        <f>IF(BJ58="","",-'M3 TD amort'!AV29)</f>
        <v>-523.5</v>
      </c>
      <c r="BK59" s="20">
        <f>IF(BK58="","",-'M3 TD amort'!AW29)</f>
        <v>-542.46</v>
      </c>
      <c r="BL59" s="20">
        <f>IF(BL58="","",-'M3 TD amort'!AX29)</f>
        <v>-569.04</v>
      </c>
    </row>
    <row r="60" spans="1:64" s="4" customFormat="1" ht="15" hidden="1" customHeight="1" outlineLevel="1" x14ac:dyDescent="0.35">
      <c r="A60" s="295"/>
      <c r="B60" s="16" t="s">
        <v>52</v>
      </c>
      <c r="C60" s="94"/>
      <c r="D60" s="94"/>
      <c r="E60" s="94"/>
      <c r="F60" s="7">
        <f t="shared" ref="F60:M60" si="449">IF(OR(F59="",F58=""),"",F58+F59)</f>
        <v>0</v>
      </c>
      <c r="G60" s="7">
        <f t="shared" si="449"/>
        <v>0</v>
      </c>
      <c r="H60" s="7">
        <f t="shared" si="449"/>
        <v>2381.1324731369587</v>
      </c>
      <c r="I60" s="7">
        <f t="shared" si="449"/>
        <v>41080.759711289073</v>
      </c>
      <c r="J60" s="7">
        <f t="shared" si="449"/>
        <v>46620.227707662583</v>
      </c>
      <c r="K60" s="7">
        <f t="shared" si="449"/>
        <v>48915.290383093015</v>
      </c>
      <c r="L60" s="7">
        <f t="shared" si="449"/>
        <v>48689.064699160743</v>
      </c>
      <c r="M60" s="7">
        <f t="shared" si="449"/>
        <v>45154.720570269681</v>
      </c>
      <c r="N60" s="7">
        <f>IF(OR(N59="",N58=""),"",N58+N59)</f>
        <v>41515.04923810179</v>
      </c>
      <c r="O60" s="7">
        <f t="shared" ref="O60:AE60" si="450">IF(OR(O59="",O58=""),"",O58+O59)</f>
        <v>41594.548478057877</v>
      </c>
      <c r="P60" s="7">
        <f t="shared" si="450"/>
        <v>42743.649469302021</v>
      </c>
      <c r="Q60" s="7">
        <f t="shared" si="450"/>
        <v>64180.286585125315</v>
      </c>
      <c r="R60" s="7">
        <f t="shared" si="450"/>
        <v>55501.685689531289</v>
      </c>
      <c r="S60" s="7">
        <f t="shared" si="450"/>
        <v>54417.265455925546</v>
      </c>
      <c r="T60" s="7">
        <f t="shared" si="450"/>
        <v>51357.844488322662</v>
      </c>
      <c r="U60" s="7">
        <f t="shared" si="450"/>
        <v>59927.131457001269</v>
      </c>
      <c r="V60" s="7">
        <f t="shared" si="450"/>
        <v>63033.737518324982</v>
      </c>
      <c r="W60" s="7">
        <f t="shared" si="450"/>
        <v>66136.232556147617</v>
      </c>
      <c r="X60" s="7">
        <f t="shared" si="450"/>
        <v>66242.171371092758</v>
      </c>
      <c r="Y60" s="7">
        <f t="shared" si="450"/>
        <v>58868.588044047086</v>
      </c>
      <c r="Z60" s="7">
        <f t="shared" si="450"/>
        <v>58273.519026383932</v>
      </c>
      <c r="AA60" s="7">
        <f t="shared" si="450"/>
        <v>60754.097144152227</v>
      </c>
      <c r="AB60" s="7">
        <f t="shared" si="450"/>
        <v>59438.015717895469</v>
      </c>
      <c r="AC60" s="7">
        <f t="shared" si="450"/>
        <v>103359.96808616596</v>
      </c>
      <c r="AD60" s="7">
        <f t="shared" si="450"/>
        <v>173104.05072508441</v>
      </c>
      <c r="AE60" s="7">
        <f t="shared" si="450"/>
        <v>174853.28910467497</v>
      </c>
      <c r="AF60" s="7">
        <f t="shared" ref="AF60:AW60" si="451">IF(OR(AF59="",AF58=""),"",AF58+AF59)</f>
        <v>181738.32370651662</v>
      </c>
      <c r="AG60" s="7">
        <f t="shared" si="451"/>
        <v>175181.46525765545</v>
      </c>
      <c r="AH60" s="7">
        <f t="shared" si="451"/>
        <v>234004.18921565125</v>
      </c>
      <c r="AI60" s="7">
        <f t="shared" si="451"/>
        <v>214722.69448890528</v>
      </c>
      <c r="AJ60" s="7">
        <f t="shared" si="451"/>
        <v>217500.5064563354</v>
      </c>
      <c r="AK60" s="7">
        <f t="shared" si="451"/>
        <v>188275.16683715407</v>
      </c>
      <c r="AL60" s="7">
        <f t="shared" si="451"/>
        <v>163457.59711939399</v>
      </c>
      <c r="AM60" s="7">
        <f t="shared" si="451"/>
        <v>214406.61993017496</v>
      </c>
      <c r="AN60" s="7">
        <f t="shared" si="451"/>
        <v>206785.10653110137</v>
      </c>
      <c r="AO60" s="7">
        <f t="shared" si="451"/>
        <v>220949.79538769458</v>
      </c>
      <c r="AP60" s="7">
        <f t="shared" si="451"/>
        <v>115364.05445489516</v>
      </c>
      <c r="AQ60" s="7">
        <f t="shared" si="451"/>
        <v>98333.437943159501</v>
      </c>
      <c r="AR60" s="7">
        <f t="shared" si="451"/>
        <v>115494.81261451752</v>
      </c>
      <c r="AS60" s="7">
        <f t="shared" si="451"/>
        <v>131641.86149208201</v>
      </c>
      <c r="AT60" s="7">
        <f t="shared" si="451"/>
        <v>136602.14287136923</v>
      </c>
      <c r="AU60" s="7">
        <f t="shared" si="451"/>
        <v>135397.44000719738</v>
      </c>
      <c r="AV60" s="7">
        <f t="shared" si="451"/>
        <v>132009.39011151501</v>
      </c>
      <c r="AW60" s="7">
        <f t="shared" si="451"/>
        <v>117048.40463179296</v>
      </c>
      <c r="AX60" s="7">
        <f t="shared" ref="AX60:AY60" si="452">IF(OR(AX59="",AX58=""),"",AX58+AX59)</f>
        <v>118015.9729100175</v>
      </c>
      <c r="AY60" s="7">
        <f t="shared" si="452"/>
        <v>121633.99438129396</v>
      </c>
      <c r="AZ60" s="7">
        <f t="shared" ref="AZ60:BA60" si="453">IF(OR(AZ59="",AZ58=""),"",AZ58+AZ59)</f>
        <v>115735.49359430437</v>
      </c>
      <c r="BA60" s="7">
        <f t="shared" si="453"/>
        <v>116649.70095577589</v>
      </c>
      <c r="BB60" s="7">
        <f t="shared" ref="BB60:BC60" si="454">IF(OR(BB59="",BB58=""),"",BB58+BB59)</f>
        <v>188828.17154715292</v>
      </c>
      <c r="BC60" s="7">
        <f t="shared" si="454"/>
        <v>195778.42578545341</v>
      </c>
      <c r="BD60" s="7">
        <f t="shared" ref="BD60:BE60" si="455">IF(OR(BD59="",BD58=""),"",BD58+BD59)</f>
        <v>196210.66904220873</v>
      </c>
      <c r="BE60" s="7">
        <f t="shared" si="455"/>
        <v>205173.15893574091</v>
      </c>
      <c r="BF60" s="7">
        <f t="shared" ref="BF60:BG60" si="456">IF(OR(BF59="",BF58=""),"",BF58+BF59)</f>
        <v>210155.40838310987</v>
      </c>
      <c r="BG60" s="7">
        <f t="shared" si="456"/>
        <v>237741.49279456848</v>
      </c>
      <c r="BH60" s="7">
        <f t="shared" ref="BH60:BI60" si="457">IF(OR(BH59="",BH58=""),"",BH58+BH59)</f>
        <v>227236.02131597497</v>
      </c>
      <c r="BI60" s="7">
        <f t="shared" si="457"/>
        <v>197370.56528830159</v>
      </c>
      <c r="BJ60" s="7">
        <f t="shared" ref="BJ60" si="458">IF(OR(BJ59="",BJ58=""),"",BJ58+BJ59)</f>
        <v>196468.75843845302</v>
      </c>
      <c r="BK60" s="7">
        <f t="shared" ref="BK60:BL60" si="459">IF(OR(BK59="",BK58=""),"",BK58+BK59)</f>
        <v>203120.32474111172</v>
      </c>
      <c r="BL60" s="7">
        <f t="shared" si="459"/>
        <v>212726.82752458192</v>
      </c>
    </row>
    <row r="61" spans="1:64" s="4" customFormat="1" hidden="1" outlineLevel="1" x14ac:dyDescent="0.35">
      <c r="A61" s="295"/>
      <c r="B61" s="16" t="s">
        <v>13</v>
      </c>
      <c r="C61" s="94"/>
      <c r="D61" s="94"/>
      <c r="E61" s="94"/>
      <c r="F61" s="7">
        <f t="shared" ref="F61:M61" si="460">IF(OR(F58="",F57=""),"",F57-F58)</f>
        <v>0</v>
      </c>
      <c r="G61" s="7">
        <f t="shared" si="460"/>
        <v>9.4764517045030008</v>
      </c>
      <c r="H61" s="7">
        <f t="shared" si="460"/>
        <v>-1388.7476725055421</v>
      </c>
      <c r="I61" s="7">
        <f t="shared" si="460"/>
        <v>-33788.634873838782</v>
      </c>
      <c r="J61" s="7">
        <f t="shared" si="460"/>
        <v>-30625.282694978901</v>
      </c>
      <c r="K61" s="7">
        <f t="shared" si="460"/>
        <v>-31628.79776913585</v>
      </c>
      <c r="L61" s="7">
        <f t="shared" si="460"/>
        <v>-28095.429085728912</v>
      </c>
      <c r="M61" s="7">
        <f t="shared" si="460"/>
        <v>-31873.257504636691</v>
      </c>
      <c r="N61" s="7">
        <f>IF(OR(N60="",N57=""),"",N57-N60)</f>
        <v>-20880.89285591173</v>
      </c>
      <c r="O61" s="7">
        <f t="shared" ref="O61:AE61" si="461">IF(OR(O60="",O57=""),"",O57-O60)</f>
        <v>-23064.420173608989</v>
      </c>
      <c r="P61" s="7">
        <f t="shared" si="461"/>
        <v>-1423.2608784312615</v>
      </c>
      <c r="Q61" s="7">
        <f t="shared" si="461"/>
        <v>-34754.312339868906</v>
      </c>
      <c r="R61" s="7">
        <f t="shared" si="461"/>
        <v>-23336.537893722067</v>
      </c>
      <c r="S61" s="7">
        <f t="shared" si="461"/>
        <v>-33204.262082889327</v>
      </c>
      <c r="T61" s="7">
        <f t="shared" si="461"/>
        <v>-9962.8436834200766</v>
      </c>
      <c r="U61" s="7">
        <f t="shared" si="461"/>
        <v>33025.630506080146</v>
      </c>
      <c r="V61" s="7">
        <f t="shared" si="461"/>
        <v>60917.371644751765</v>
      </c>
      <c r="W61" s="7">
        <f t="shared" si="461"/>
        <v>56673.04545415286</v>
      </c>
      <c r="X61" s="7">
        <f t="shared" si="461"/>
        <v>29807.689967789847</v>
      </c>
      <c r="Y61" s="7">
        <f t="shared" si="461"/>
        <v>-7038.5842809724563</v>
      </c>
      <c r="Z61" s="7">
        <f t="shared" si="461"/>
        <v>-8695.0520385658892</v>
      </c>
      <c r="AA61" s="7">
        <f t="shared" si="461"/>
        <v>-9018.6843420362202</v>
      </c>
      <c r="AB61" s="7">
        <f t="shared" si="461"/>
        <v>31400.728559016949</v>
      </c>
      <c r="AC61" s="7">
        <f t="shared" si="461"/>
        <v>-37900.019203065363</v>
      </c>
      <c r="AD61" s="7">
        <f t="shared" si="461"/>
        <v>-101569.10620095585</v>
      </c>
      <c r="AE61" s="7">
        <f t="shared" si="461"/>
        <v>-103509.53133303807</v>
      </c>
      <c r="AF61" s="7">
        <f t="shared" ref="AF61:AV61" si="462">IF(OR(AF60="",AF57=""),"",AF57-AF60)</f>
        <v>-78442.013358746422</v>
      </c>
      <c r="AG61" s="7">
        <f t="shared" si="462"/>
        <v>81381.345943949855</v>
      </c>
      <c r="AH61" s="7">
        <f t="shared" si="462"/>
        <v>85474.889288604783</v>
      </c>
      <c r="AI61" s="7">
        <f t="shared" si="462"/>
        <v>95152.435426224227</v>
      </c>
      <c r="AJ61" s="7">
        <f t="shared" si="462"/>
        <v>-16832.010106525442</v>
      </c>
      <c r="AK61" s="7">
        <f t="shared" si="462"/>
        <v>-76857.664936724948</v>
      </c>
      <c r="AL61" s="7">
        <f t="shared" si="462"/>
        <v>-70203.704490376258</v>
      </c>
      <c r="AM61" s="7">
        <f t="shared" si="462"/>
        <v>-110918.02150773036</v>
      </c>
      <c r="AN61" s="7">
        <f t="shared" si="462"/>
        <v>-62370.276640203519</v>
      </c>
      <c r="AO61" s="7">
        <f t="shared" si="462"/>
        <v>-110883.16032173509</v>
      </c>
      <c r="AP61" s="7">
        <f t="shared" si="462"/>
        <v>-65035.886470164958</v>
      </c>
      <c r="AQ61" s="7">
        <f t="shared" si="462"/>
        <v>-49514.800112431563</v>
      </c>
      <c r="AR61" s="7">
        <f t="shared" si="462"/>
        <v>-46355.214909730319</v>
      </c>
      <c r="AS61" s="7">
        <f t="shared" si="462"/>
        <v>72762.145923781267</v>
      </c>
      <c r="AT61" s="7">
        <f t="shared" si="462"/>
        <v>144448.54448130322</v>
      </c>
      <c r="AU61" s="7">
        <f t="shared" si="462"/>
        <v>107717.73543805329</v>
      </c>
      <c r="AV61" s="7">
        <f t="shared" si="462"/>
        <v>28168.286227815086</v>
      </c>
      <c r="AW61" s="125">
        <f>IF(OR(AW60="",AW57=""),"",AW57-AW60)+AW56</f>
        <v>-22581.990307734537</v>
      </c>
      <c r="AX61" s="7">
        <f t="shared" ref="AX61:AY61" si="463">IF(OR(AX60="",AX57=""),"",AX57-AX60)</f>
        <v>-49256.269142611694</v>
      </c>
      <c r="AY61" s="7">
        <f t="shared" si="463"/>
        <v>-42210.919992506781</v>
      </c>
      <c r="AZ61" s="7">
        <f t="shared" ref="AZ61:BA61" si="464">IF(OR(AZ60="",AZ57=""),"",AZ57-AZ60)</f>
        <v>8416.6665120020043</v>
      </c>
      <c r="BA61" s="7">
        <f t="shared" si="464"/>
        <v>-25997.41074943266</v>
      </c>
      <c r="BB61" s="7">
        <f t="shared" ref="BB61:BC61" si="465">IF(OR(BB60="",BB57=""),"",BB57-BB60)</f>
        <v>-93436.989145740285</v>
      </c>
      <c r="BC61" s="7">
        <f t="shared" si="465"/>
        <v>-97686.238897673</v>
      </c>
      <c r="BD61" s="7">
        <f t="shared" ref="BD61:BE61" si="466">IF(OR(BD60="",BD57=""),"",BD57-BD60)</f>
        <v>-49971.784711080662</v>
      </c>
      <c r="BE61" s="7">
        <f t="shared" si="466"/>
        <v>203423.20551150196</v>
      </c>
      <c r="BF61" s="7">
        <f t="shared" ref="BF61:BG61" si="467">IF(OR(BF60="",BF57=""),"",BF57-BF60)</f>
        <v>-80137.834317753877</v>
      </c>
      <c r="BG61" s="7">
        <f t="shared" si="467"/>
        <v>-101816.09587131141</v>
      </c>
      <c r="BH61" s="7">
        <f t="shared" ref="BH61:BI61" si="468">IF(OR(BH60="",BH57=""),"",BH57-BH60)</f>
        <v>-127360.42626965513</v>
      </c>
      <c r="BI61" s="7">
        <f t="shared" si="468"/>
        <v>-150197.66161622535</v>
      </c>
      <c r="BJ61" s="7">
        <f t="shared" ref="BJ61" si="469">IF(OR(BJ60="",BJ57=""),"",BJ57-BJ60)</f>
        <v>-145334.30808714184</v>
      </c>
      <c r="BK61" s="7">
        <f t="shared" ref="BK61:BL61" si="470">IF(OR(BK60="",BK57=""),"",BK57-BK60)</f>
        <v>-132221.47353126021</v>
      </c>
      <c r="BL61" s="7">
        <f t="shared" si="470"/>
        <v>-127631.51262997878</v>
      </c>
    </row>
    <row r="62" spans="1:64" s="4" customFormat="1" hidden="1" outlineLevel="1" x14ac:dyDescent="0.35">
      <c r="A62" s="295"/>
      <c r="B62" s="17" t="s">
        <v>8</v>
      </c>
      <c r="C62" s="94"/>
      <c r="D62" s="94"/>
      <c r="E62" s="94"/>
      <c r="F62" s="7">
        <f>IF(OR(F9="",F61=""),"",ROUND((F61+E64)*F9/12,2))</f>
        <v>0</v>
      </c>
      <c r="G62" s="7">
        <f t="shared" ref="G62:L62" si="471">IF(OR(G9="",G61=""),"",ROUND((G61+F64)*G9/12,2))</f>
        <v>0.02</v>
      </c>
      <c r="H62" s="7">
        <f t="shared" si="471"/>
        <v>-3.08</v>
      </c>
      <c r="I62" s="7">
        <f t="shared" si="471"/>
        <v>-77.67</v>
      </c>
      <c r="J62" s="7">
        <f t="shared" si="471"/>
        <v>-142.44999999999999</v>
      </c>
      <c r="K62" s="7">
        <f t="shared" si="471"/>
        <v>-191.32</v>
      </c>
      <c r="L62" s="7">
        <f t="shared" si="471"/>
        <v>-232.65</v>
      </c>
      <c r="M62" s="7">
        <f t="shared" ref="M62" si="472">IF(OR(M9="",M61=""),"",ROUND((M61+L64)*M9/12,2))</f>
        <v>-278.39999999999998</v>
      </c>
      <c r="N62" s="114">
        <f>IF(OR(N9="",N61=""),"",ROUND((N61+M64)*N9/12,2))+N56</f>
        <v>-224.61000000000007</v>
      </c>
      <c r="O62" s="7">
        <f t="shared" ref="O62" si="473">IF(OR(O9="",O61=""),"",ROUND((O61+N64)*O9/12,2))</f>
        <v>-323.17</v>
      </c>
      <c r="P62" s="7">
        <f t="shared" ref="P62" si="474">IF(OR(P9="",P61=""),"",ROUND((P61+O64)*P9/12,2))</f>
        <v>-321.51</v>
      </c>
      <c r="Q62" s="7">
        <f t="shared" ref="Q62:R62" si="475">IF(OR(Q9="",Q61=""),"",ROUND((Q61+P64)*Q9/12,2))</f>
        <v>-359.68</v>
      </c>
      <c r="R62" s="7">
        <f t="shared" si="475"/>
        <v>-381.33</v>
      </c>
      <c r="S62" s="7">
        <f t="shared" ref="S62" si="476">IF(OR(S9="",S61=""),"",ROUND((S61+R64)*S9/12,2))</f>
        <v>-201.73</v>
      </c>
      <c r="T62" s="7">
        <f t="shared" ref="T62" si="477">IF(OR(T9="",T61=""),"",ROUND((T61+S64)*T9/12,2))</f>
        <v>-26.95</v>
      </c>
      <c r="U62" s="7">
        <f t="shared" ref="U62" si="478">IF(OR(U9="",U61=""),"",ROUND((U61+T64)*U9/12,2))</f>
        <v>-21.06</v>
      </c>
      <c r="V62" s="7">
        <f t="shared" ref="V62" si="479">IF(OR(V9="",V61=""),"",ROUND((V61+U64)*V9/12,2))</f>
        <v>-19.53</v>
      </c>
      <c r="W62" s="7">
        <f t="shared" ref="W62:X62" si="480">IF(OR(W9="",W61=""),"",ROUND((W61+V64)*W9/12,2))</f>
        <v>-5.03</v>
      </c>
      <c r="X62" s="7">
        <f t="shared" si="480"/>
        <v>0.7</v>
      </c>
      <c r="Y62" s="7">
        <f t="shared" ref="Y62" si="481">IF(OR(Y9="",Y61=""),"",ROUND((Y61+X64)*Y9/12,2))</f>
        <v>3.5</v>
      </c>
      <c r="Z62" s="7">
        <f>IF(OR(Z9="",Z61=""),"",ROUND((Z59+Z61+Y64+Z56)*Z9/12,2))+Z56</f>
        <v>98.469999999999914</v>
      </c>
      <c r="AA62" s="7">
        <f>IF(OR(AA9="",AA61=""),"",ROUND((AA59+AA61+Z64)*AA9/12,2))</f>
        <v>14.34</v>
      </c>
      <c r="AB62" s="7">
        <f>IF(OR(AB9="",AB61=""),"",ROUND((AB59+AB61+AA64)*AB9/12,2))</f>
        <v>19.079999999999998</v>
      </c>
      <c r="AC62" s="7">
        <f t="shared" ref="AC62:AE62" si="482">IF(OR(AC9="",AC61=""),"",ROUND((AC59+AC61+AB64)*AC9/12,2))</f>
        <v>13.15</v>
      </c>
      <c r="AD62" s="7">
        <f t="shared" si="482"/>
        <v>-7.53</v>
      </c>
      <c r="AE62" s="7">
        <f t="shared" si="482"/>
        <v>-28.99</v>
      </c>
      <c r="AF62" s="7">
        <f t="shared" ref="AF62" si="483">IF(OR(AF9="",AF61=""),"",ROUND((AF59+AF61+AE64)*AF9/12,2))</f>
        <v>-45.23</v>
      </c>
      <c r="AG62" s="7">
        <f t="shared" ref="AG62" si="484">IF(OR(AG9="",AG61=""),"",ROUND((AG59+AG61+AF64)*AG9/12,2))</f>
        <v>-28.46</v>
      </c>
      <c r="AH62" s="7">
        <f t="shared" ref="AH62" si="485">IF(OR(AH9="",AH61=""),"",ROUND((AH59+AH61+AG64)*AH9/12,2))</f>
        <v>-11.11</v>
      </c>
      <c r="AI62" s="7">
        <f t="shared" ref="AI62" si="486">IF(OR(AI9="",AI61=""),"",ROUND((AI59+AI61+AH64)*AI9/12,2))</f>
        <v>-1.9</v>
      </c>
      <c r="AJ62" s="7">
        <f t="shared" ref="AJ62" si="487">IF(OR(AJ9="",AJ61=""),"",ROUND((AJ59+AJ61+AI64)*AJ9/12,2))</f>
        <v>-6.24</v>
      </c>
      <c r="AK62" s="7">
        <f t="shared" ref="AK62" si="488">IF(OR(AK9="",AK61=""),"",ROUND((AK59+AK61+AJ64)*AK9/12,2))</f>
        <v>-15.62</v>
      </c>
      <c r="AL62" s="7">
        <f t="shared" ref="AL62" si="489">IF(OR(AL9="",AL61=""),"",ROUND((AL59+AL61+AK64)*AL9/12,2))</f>
        <v>-25.96</v>
      </c>
      <c r="AM62" s="7">
        <f t="shared" ref="AM62" si="490">IF(OR(AM9="",AM61=""),"",ROUND((AM59+AM61+AL64)*AM9/12,2))</f>
        <v>-70.53</v>
      </c>
      <c r="AN62" s="7">
        <f t="shared" ref="AN62" si="491">IF(OR(AN9="",AN61=""),"",ROUND((AN59+AN61+AM64)*AN9/12,2))</f>
        <v>-77.709999999999994</v>
      </c>
      <c r="AO62" s="7">
        <f t="shared" ref="AO62" si="492">IF(OR(AO9="",AO61=""),"",ROUND((AO59+AO61+AN64)*AO9/12,2))</f>
        <v>-110.94</v>
      </c>
      <c r="AP62" s="7">
        <f t="shared" ref="AP62" si="493">IF(OR(AP9="",AP61=""),"",ROUND((AP59+AP61+AO64)*AP9/12,2))</f>
        <v>-277.91000000000003</v>
      </c>
      <c r="AQ62" s="7">
        <f t="shared" ref="AQ62" si="494">IF(OR(AQ9="",AQ61=""),"",ROUND((AQ59+AQ61+AP64)*AQ9/12,2))</f>
        <v>-254.26</v>
      </c>
      <c r="AR62" s="7">
        <f t="shared" ref="AR62" si="495">IF(OR(AR9="",AR61=""),"",ROUND((AR59+AR61+AQ64)*AR9/12,2))</f>
        <v>-414.91</v>
      </c>
      <c r="AS62" s="7">
        <f t="shared" ref="AS62" si="496">IF(OR(AS9="",AS61=""),"",ROUND((AS59+AS61+AR64)*AS9/12,2))</f>
        <v>-516.55999999999995</v>
      </c>
      <c r="AT62" s="7">
        <f t="shared" ref="AT62" si="497">IF(OR(AT9="",AT61=""),"",ROUND((AT59+AT61+AS64)*AT9/12,2))</f>
        <v>-406.41</v>
      </c>
      <c r="AU62" s="7">
        <f t="shared" ref="AU62" si="498">IF(OR(AU9="",AU61=""),"",ROUND((AU59+AU61+AT64)*AU9/12,2))</f>
        <v>-200.81</v>
      </c>
      <c r="AV62" s="7">
        <f t="shared" ref="AV62" si="499">IF(OR(AV9="",AV61=""),"",ROUND((AV59+AV61+AU64)*AV9/12,2))</f>
        <v>-73.67</v>
      </c>
      <c r="AW62" s="7">
        <f t="shared" ref="AW62:AX62" si="500">IF(OR(AW9="",AW61=""),"",ROUND((AW59+AW61+AV64)*AW9/12,2))</f>
        <v>-66</v>
      </c>
      <c r="AX62" s="7">
        <f t="shared" si="500"/>
        <v>-146.07</v>
      </c>
      <c r="AY62" s="7">
        <f>IF(OR(AY9="",AY61=""),"",ROUND((AY59+AY61+AX64)*AY9/12,2))</f>
        <v>-195.53</v>
      </c>
      <c r="AZ62" s="114">
        <f>IF(OR(AZ9="",AZ61=""),"",ROUND((AZ59+AZ61+AY64+AZ56)*AZ9/12,2))+AZ56</f>
        <v>-51.070000000000128</v>
      </c>
      <c r="BA62" s="114">
        <f t="shared" ref="BA62:BL62" si="501">IF(OR(BA9="",BA61=""),"",ROUND((BA59+BA61+AZ64)*BA9/12,2))</f>
        <v>-153.82</v>
      </c>
      <c r="BB62" s="114">
        <f t="shared" si="501"/>
        <v>-549.54</v>
      </c>
      <c r="BC62" s="114">
        <f t="shared" si="501"/>
        <v>-1010.06</v>
      </c>
      <c r="BD62" s="114">
        <f t="shared" si="501"/>
        <v>-1253.71</v>
      </c>
      <c r="BE62" s="114">
        <f t="shared" si="501"/>
        <v>-363.29</v>
      </c>
      <c r="BF62" s="114">
        <f t="shared" si="501"/>
        <v>-734.17</v>
      </c>
      <c r="BG62" s="114">
        <f t="shared" si="501"/>
        <v>-1219.3599999999999</v>
      </c>
      <c r="BH62" s="114">
        <f t="shared" si="501"/>
        <v>-1818.48</v>
      </c>
      <c r="BI62" s="114">
        <f t="shared" si="501"/>
        <v>-2514.04</v>
      </c>
      <c r="BJ62" s="114">
        <f t="shared" si="501"/>
        <v>-3196.24</v>
      </c>
      <c r="BK62" s="114">
        <f t="shared" si="501"/>
        <v>-3821.36</v>
      </c>
      <c r="BL62" s="114">
        <f t="shared" si="501"/>
        <v>-4428.3900000000003</v>
      </c>
    </row>
    <row r="63" spans="1:64" s="4" customFormat="1" hidden="1" outlineLevel="1" x14ac:dyDescent="0.35">
      <c r="A63" s="295"/>
      <c r="B63" s="16" t="s">
        <v>14</v>
      </c>
      <c r="C63" s="94"/>
      <c r="D63" s="94"/>
      <c r="E63" s="94"/>
      <c r="F63" s="7">
        <f t="shared" ref="F63:M63" si="502">IF(OR(F61="",F62=""),"",F61+F62)</f>
        <v>0</v>
      </c>
      <c r="G63" s="7">
        <f t="shared" si="502"/>
        <v>9.4964517045030004</v>
      </c>
      <c r="H63" s="7">
        <f t="shared" si="502"/>
        <v>-1391.8276725055421</v>
      </c>
      <c r="I63" s="7">
        <f t="shared" si="502"/>
        <v>-33866.304873838781</v>
      </c>
      <c r="J63" s="7">
        <f t="shared" si="502"/>
        <v>-30767.732694978902</v>
      </c>
      <c r="K63" s="7">
        <f t="shared" si="502"/>
        <v>-31820.11776913585</v>
      </c>
      <c r="L63" s="7">
        <f t="shared" si="502"/>
        <v>-28328.079085728914</v>
      </c>
      <c r="M63" s="7">
        <f t="shared" si="502"/>
        <v>-32151.657504636692</v>
      </c>
      <c r="N63" s="7">
        <f>IF(OR(N61="",N62=""),"",N61+N62)</f>
        <v>-21105.502855911731</v>
      </c>
      <c r="O63" s="7">
        <f t="shared" ref="O63:AE63" si="503">IF(OR(O61="",O62=""),"",O61+O62)</f>
        <v>-23387.590173608987</v>
      </c>
      <c r="P63" s="7">
        <f t="shared" si="503"/>
        <v>-1744.7708784312615</v>
      </c>
      <c r="Q63" s="7">
        <f t="shared" si="503"/>
        <v>-35113.992339868906</v>
      </c>
      <c r="R63" s="7">
        <f t="shared" si="503"/>
        <v>-23717.867893722068</v>
      </c>
      <c r="S63" s="7">
        <f t="shared" si="503"/>
        <v>-33405.99208288933</v>
      </c>
      <c r="T63" s="7">
        <f t="shared" si="503"/>
        <v>-9989.7936834200773</v>
      </c>
      <c r="U63" s="7">
        <f t="shared" si="503"/>
        <v>33004.570506080148</v>
      </c>
      <c r="V63" s="7">
        <f t="shared" si="503"/>
        <v>60897.841644751767</v>
      </c>
      <c r="W63" s="7">
        <f t="shared" si="503"/>
        <v>56668.015454152861</v>
      </c>
      <c r="X63" s="7">
        <f t="shared" si="503"/>
        <v>29808.389967789848</v>
      </c>
      <c r="Y63" s="7">
        <f t="shared" si="503"/>
        <v>-7035.0842809724563</v>
      </c>
      <c r="Z63" s="7">
        <f>IF(OR(Z61="",Z62=""),"",Z61+Z62)</f>
        <v>-8596.5820385658899</v>
      </c>
      <c r="AA63" s="7">
        <f t="shared" si="503"/>
        <v>-9004.34434203622</v>
      </c>
      <c r="AB63" s="7">
        <f t="shared" si="503"/>
        <v>31419.80855901695</v>
      </c>
      <c r="AC63" s="7">
        <f t="shared" si="503"/>
        <v>-37886.869203065362</v>
      </c>
      <c r="AD63" s="7">
        <f t="shared" si="503"/>
        <v>-101576.63620095585</v>
      </c>
      <c r="AE63" s="7">
        <f t="shared" si="503"/>
        <v>-103538.52133303808</v>
      </c>
      <c r="AF63" s="7">
        <f t="shared" ref="AF63:AW63" si="504">IF(OR(AF61="",AF62=""),"",AF61+AF62)</f>
        <v>-78487.243358746418</v>
      </c>
      <c r="AG63" s="7">
        <f t="shared" si="504"/>
        <v>81352.885943949848</v>
      </c>
      <c r="AH63" s="7">
        <f t="shared" si="504"/>
        <v>85463.779288604783</v>
      </c>
      <c r="AI63" s="7">
        <f t="shared" si="504"/>
        <v>95150.535426224233</v>
      </c>
      <c r="AJ63" s="7">
        <f t="shared" si="504"/>
        <v>-16838.250106525444</v>
      </c>
      <c r="AK63" s="7">
        <f t="shared" si="504"/>
        <v>-76873.284936724944</v>
      </c>
      <c r="AL63" s="7">
        <f t="shared" si="504"/>
        <v>-70229.664490376264</v>
      </c>
      <c r="AM63" s="7">
        <f t="shared" si="504"/>
        <v>-110988.55150773036</v>
      </c>
      <c r="AN63" s="7">
        <f t="shared" si="504"/>
        <v>-62447.986640203519</v>
      </c>
      <c r="AO63" s="7">
        <f t="shared" si="504"/>
        <v>-110994.1003217351</v>
      </c>
      <c r="AP63" s="7">
        <f t="shared" si="504"/>
        <v>-65313.796470164962</v>
      </c>
      <c r="AQ63" s="7">
        <f t="shared" si="504"/>
        <v>-49769.060112431565</v>
      </c>
      <c r="AR63" s="7">
        <f t="shared" si="504"/>
        <v>-46770.124909730323</v>
      </c>
      <c r="AS63" s="7">
        <f t="shared" si="504"/>
        <v>72245.585923781269</v>
      </c>
      <c r="AT63" s="7">
        <f t="shared" si="504"/>
        <v>144042.13448130322</v>
      </c>
      <c r="AU63" s="7">
        <f t="shared" si="504"/>
        <v>107516.92543805329</v>
      </c>
      <c r="AV63" s="7">
        <f t="shared" si="504"/>
        <v>28094.616227815088</v>
      </c>
      <c r="AW63" s="7">
        <f t="shared" si="504"/>
        <v>-22647.990307734537</v>
      </c>
      <c r="AX63" s="7">
        <f t="shared" ref="AX63:AY63" si="505">IF(OR(AX61="",AX62=""),"",AX61+AX62)</f>
        <v>-49402.339142611694</v>
      </c>
      <c r="AY63" s="7">
        <f t="shared" si="505"/>
        <v>-42406.449992506779</v>
      </c>
      <c r="AZ63" s="7">
        <f t="shared" ref="AZ63:BA63" si="506">IF(OR(AZ61="",AZ62=""),"",AZ61+AZ62)</f>
        <v>8365.5965120020046</v>
      </c>
      <c r="BA63" s="7">
        <f t="shared" si="506"/>
        <v>-26151.23074943266</v>
      </c>
      <c r="BB63" s="7">
        <f t="shared" ref="BB63:BC63" si="507">IF(OR(BB61="",BB62=""),"",BB61+BB62)</f>
        <v>-93986.529145740278</v>
      </c>
      <c r="BC63" s="7">
        <f t="shared" si="507"/>
        <v>-98696.298897672998</v>
      </c>
      <c r="BD63" s="7">
        <f t="shared" ref="BD63:BE63" si="508">IF(OR(BD61="",BD62=""),"",BD61+BD62)</f>
        <v>-51225.494711080661</v>
      </c>
      <c r="BE63" s="7">
        <f t="shared" si="508"/>
        <v>203059.91551150195</v>
      </c>
      <c r="BF63" s="7">
        <f t="shared" ref="BF63:BG63" si="509">IF(OR(BF61="",BF62=""),"",BF61+BF62)</f>
        <v>-80872.004317753876</v>
      </c>
      <c r="BG63" s="7">
        <f t="shared" si="509"/>
        <v>-103035.45587131141</v>
      </c>
      <c r="BH63" s="7">
        <f t="shared" ref="BH63:BI63" si="510">IF(OR(BH61="",BH62=""),"",BH61+BH62)</f>
        <v>-129178.90626965513</v>
      </c>
      <c r="BI63" s="7">
        <f t="shared" si="510"/>
        <v>-152711.70161622536</v>
      </c>
      <c r="BJ63" s="7">
        <f t="shared" ref="BJ63" si="511">IF(OR(BJ61="",BJ62=""),"",BJ61+BJ62)</f>
        <v>-148530.54808714183</v>
      </c>
      <c r="BK63" s="7">
        <f t="shared" ref="BK63:BL63" si="512">IF(OR(BK61="",BK62=""),"",BK61+BK62)</f>
        <v>-136042.8335312602</v>
      </c>
      <c r="BL63" s="7">
        <f t="shared" si="512"/>
        <v>-132059.90262997878</v>
      </c>
    </row>
    <row r="64" spans="1:64" s="4" customFormat="1" hidden="1" outlineLevel="1" x14ac:dyDescent="0.35">
      <c r="A64" s="295"/>
      <c r="B64" s="18" t="s">
        <v>18</v>
      </c>
      <c r="C64" s="94"/>
      <c r="D64" s="94"/>
      <c r="E64" s="94"/>
      <c r="F64" s="7">
        <f>IF(OR(F63=""),"",F63)</f>
        <v>0</v>
      </c>
      <c r="G64" s="7">
        <f t="shared" ref="G64:M64" si="513">IF(OR(G63="",F64=""),"",G63+F64)</f>
        <v>9.4964517045030004</v>
      </c>
      <c r="H64" s="7">
        <f t="shared" si="513"/>
        <v>-1382.3312208010391</v>
      </c>
      <c r="I64" s="7">
        <f t="shared" si="513"/>
        <v>-35248.63609463982</v>
      </c>
      <c r="J64" s="7">
        <f t="shared" si="513"/>
        <v>-66016.368789618718</v>
      </c>
      <c r="K64" s="7">
        <f t="shared" si="513"/>
        <v>-97836.486558754565</v>
      </c>
      <c r="L64" s="7">
        <f t="shared" si="513"/>
        <v>-126164.56564448347</v>
      </c>
      <c r="M64" s="7">
        <f t="shared" si="513"/>
        <v>-158316.22314912017</v>
      </c>
      <c r="N64" s="7">
        <f>IF(OR(N63="",M64=""),"",N63+N59+M64)</f>
        <v>-179421.7260050319</v>
      </c>
      <c r="O64" s="7">
        <f>IF(OR(O63="",N64=""),"",O63+O59+N64)</f>
        <v>-202809.31617864087</v>
      </c>
      <c r="P64" s="7">
        <f t="shared" ref="P64:AE64" si="514">IF(OR(P63="",O64=""),"",P63+P59+O64)</f>
        <v>-204554.08705707215</v>
      </c>
      <c r="Q64" s="7">
        <f t="shared" si="514"/>
        <v>-218959.54939694106</v>
      </c>
      <c r="R64" s="7">
        <f t="shared" si="514"/>
        <v>-224749.58729066313</v>
      </c>
      <c r="S64" s="7">
        <f t="shared" si="514"/>
        <v>-240643.60937355246</v>
      </c>
      <c r="T64" s="7">
        <f t="shared" si="514"/>
        <v>-234147.45305697253</v>
      </c>
      <c r="U64" s="7">
        <f t="shared" si="514"/>
        <v>-181942.84255089238</v>
      </c>
      <c r="V64" s="7">
        <f t="shared" si="514"/>
        <v>-100836.34090614061</v>
      </c>
      <c r="W64" s="7">
        <f t="shared" si="514"/>
        <v>-22986.295451987753</v>
      </c>
      <c r="X64" s="7">
        <f t="shared" si="514"/>
        <v>28009.51451580209</v>
      </c>
      <c r="Y64" s="7">
        <f t="shared" si="514"/>
        <v>39807.280234829632</v>
      </c>
      <c r="Z64" s="7">
        <f t="shared" si="514"/>
        <v>49910.158196263743</v>
      </c>
      <c r="AA64" s="7">
        <f t="shared" si="514"/>
        <v>60471.653854227523</v>
      </c>
      <c r="AB64" s="7">
        <f t="shared" si="514"/>
        <v>111102.48241324448</v>
      </c>
      <c r="AC64" s="7">
        <f t="shared" si="514"/>
        <v>67990.083210179117</v>
      </c>
      <c r="AD64" s="7">
        <f t="shared" si="514"/>
        <v>-42275.142990776731</v>
      </c>
      <c r="AE64" s="7">
        <f t="shared" si="514"/>
        <v>-154532.43432381481</v>
      </c>
      <c r="AF64" s="7">
        <f t="shared" ref="AF64" si="515">IF(OR(AF63="",AE64=""),"",AF63+AF59+AE64)</f>
        <v>-242051.88768256124</v>
      </c>
      <c r="AG64" s="7">
        <f t="shared" ref="AG64" si="516">IF(OR(AG63="",AF64=""),"",AG63+AG59+AF64)</f>
        <v>-169399.5317386114</v>
      </c>
      <c r="AH64" s="7">
        <f t="shared" ref="AH64" si="517">IF(OR(AH63="",AG64=""),"",AH63+AH59+AG64)</f>
        <v>-95567.492450006626</v>
      </c>
      <c r="AI64" s="7">
        <f t="shared" ref="AI64" si="518">IF(OR(AI63="",AH64=""),"",AI63+AI59+AH64)</f>
        <v>-11096.407023782391</v>
      </c>
      <c r="AJ64" s="7">
        <f t="shared" ref="AJ64" si="519">IF(OR(AJ63="",AI64=""),"",AJ63+AJ59+AI64)</f>
        <v>-38749.657130307838</v>
      </c>
      <c r="AK64" s="7">
        <f t="shared" ref="AK64" si="520">IF(OR(AK63="",AJ64=""),"",AK63+AK59+AJ64)</f>
        <v>-124961.54206703279</v>
      </c>
      <c r="AL64" s="7">
        <f t="shared" ref="AL64" si="521">IF(OR(AL63="",AK64=""),"",AL63+AL59+AK64)</f>
        <v>-203337.21655740903</v>
      </c>
      <c r="AM64" s="7">
        <f t="shared" ref="AM64" si="522">IF(OR(AM63="",AL64=""),"",AM63+AM59+AL64)</f>
        <v>-325033.1280651394</v>
      </c>
      <c r="AN64" s="7">
        <f t="shared" ref="AN64" si="523">IF(OR(AN63="",AM64=""),"",AN63+AN59+AM64)</f>
        <v>-397821.40470534295</v>
      </c>
      <c r="AO64" s="7">
        <f t="shared" ref="AO64" si="524">IF(OR(AO63="",AN64=""),"",AO63+AO59+AN64)</f>
        <v>-450087.04502707807</v>
      </c>
      <c r="AP64" s="7">
        <f t="shared" ref="AP64" si="525">IF(OR(AP63="",AO64=""),"",AP63+AP59+AO64)</f>
        <v>-484790.47149724304</v>
      </c>
      <c r="AQ64" s="7">
        <f t="shared" ref="AQ64" si="526">IF(OR(AQ63="",AP64=""),"",AQ63+AQ59+AP64)</f>
        <v>-508424.90160967462</v>
      </c>
      <c r="AR64" s="7">
        <f t="shared" ref="AR64" si="527">IF(OR(AR63="",AQ64=""),"",AR63+AR59+AQ64)</f>
        <v>-524679.61651940492</v>
      </c>
      <c r="AS64" s="7">
        <f t="shared" ref="AS64" si="528">IF(OR(AS63="",AR64=""),"",AS63+AS59+AR64)</f>
        <v>-417692.43059562368</v>
      </c>
      <c r="AT64" s="7">
        <f t="shared" ref="AT64" si="529">IF(OR(AT63="",AS64=""),"",AT63+AT59+AS64)</f>
        <v>-237530.54611432046</v>
      </c>
      <c r="AU64" s="7">
        <f t="shared" ref="AU64" si="530">IF(OR(AU63="",AT64=""),"",AU63+AU59+AT64)</f>
        <v>-94183.620676267165</v>
      </c>
      <c r="AV64" s="7">
        <f t="shared" ref="AV64" si="531">IF(OR(AV63="",AU64=""),"",AV63+AV59+AU64)</f>
        <v>-31185.354448452075</v>
      </c>
      <c r="AW64" s="7">
        <f t="shared" ref="AW64:BL64" si="532">IF(OR(AW63="",AV64=""),"",AW63+AW59+AV64)</f>
        <v>-22888.504756186612</v>
      </c>
      <c r="AX64" s="7">
        <f t="shared" si="532"/>
        <v>-41040.783898798305</v>
      </c>
      <c r="AY64" s="7">
        <f t="shared" si="532"/>
        <v>-51008.893891305081</v>
      </c>
      <c r="AZ64" s="7">
        <f t="shared" si="532"/>
        <v>-11761.477379303076</v>
      </c>
      <c r="BA64" s="7">
        <f t="shared" si="532"/>
        <v>-38227.648128735731</v>
      </c>
      <c r="BB64" s="7">
        <f t="shared" si="532"/>
        <v>-132718.91727447603</v>
      </c>
      <c r="BC64" s="7">
        <f t="shared" si="532"/>
        <v>-231938.12617214903</v>
      </c>
      <c r="BD64" s="7">
        <f t="shared" si="532"/>
        <v>-283686.13088322966</v>
      </c>
      <c r="BE64" s="7">
        <f t="shared" si="532"/>
        <v>-81172.575371727697</v>
      </c>
      <c r="BF64" s="7">
        <f t="shared" si="532"/>
        <v>-162604.90968948157</v>
      </c>
      <c r="BG64" s="7">
        <f t="shared" si="532"/>
        <v>-266274.25556079298</v>
      </c>
      <c r="BH64" s="7">
        <f t="shared" si="532"/>
        <v>-396058.92183044809</v>
      </c>
      <c r="BI64" s="7">
        <f t="shared" si="532"/>
        <v>-549296.55344667344</v>
      </c>
      <c r="BJ64" s="7">
        <f t="shared" si="532"/>
        <v>-698350.60153381526</v>
      </c>
      <c r="BK64" s="7">
        <f t="shared" si="532"/>
        <v>-834935.89506507549</v>
      </c>
      <c r="BL64" s="7">
        <f t="shared" si="532"/>
        <v>-967564.83769505424</v>
      </c>
    </row>
    <row r="65" spans="1:64" s="4" customFormat="1" ht="8.25" hidden="1" customHeight="1" outlineLevel="1" x14ac:dyDescent="0.35">
      <c r="A65" s="40"/>
      <c r="B65" s="11"/>
      <c r="C65" s="99"/>
      <c r="D65" s="99"/>
      <c r="E65" s="99"/>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row>
    <row r="66" spans="1:64" s="4" customFormat="1" ht="15" hidden="1" customHeight="1" outlineLevel="1" x14ac:dyDescent="0.35">
      <c r="A66" s="295" t="s">
        <v>24</v>
      </c>
      <c r="B66" s="15"/>
      <c r="C66" s="94"/>
      <c r="D66" s="94"/>
      <c r="E66" s="94"/>
      <c r="F66" s="7"/>
      <c r="G66" s="7"/>
      <c r="H66" s="7"/>
      <c r="I66" s="7"/>
      <c r="J66" s="7"/>
      <c r="K66" s="7"/>
      <c r="L66" s="7"/>
      <c r="M66" s="7"/>
      <c r="N66" s="113">
        <f>'MEEIA 3 adjs'!L52</f>
        <v>15.680000000000007</v>
      </c>
      <c r="O66" s="7"/>
      <c r="P66" s="7"/>
      <c r="Q66" s="7"/>
      <c r="R66" s="7"/>
      <c r="S66" s="7"/>
      <c r="T66" s="7"/>
      <c r="U66" s="7"/>
      <c r="V66" s="7"/>
      <c r="W66" s="7"/>
      <c r="X66" s="7"/>
      <c r="Y66" s="7"/>
      <c r="Z66" s="113">
        <f>'MEEIA 3 adjs'!AA74</f>
        <v>10.880000000000024</v>
      </c>
      <c r="AA66" s="7"/>
      <c r="AB66" s="7"/>
      <c r="AC66" s="7"/>
      <c r="AD66" s="7"/>
      <c r="AE66" s="7"/>
      <c r="AF66" s="7"/>
      <c r="AG66" s="7"/>
      <c r="AH66" s="7"/>
      <c r="AI66" s="7"/>
      <c r="AJ66" s="7"/>
      <c r="AK66" s="7"/>
      <c r="AL66" s="7"/>
      <c r="AM66" s="7"/>
      <c r="AN66" s="7"/>
      <c r="AO66" s="7"/>
      <c r="AP66" s="7"/>
      <c r="AQ66" s="7"/>
      <c r="AR66" s="7"/>
      <c r="AS66" s="7"/>
      <c r="AT66" s="7"/>
      <c r="AU66" s="7"/>
      <c r="AV66" s="7"/>
      <c r="AW66" s="125">
        <v>7972.2647956794972</v>
      </c>
      <c r="AX66" s="7"/>
      <c r="AY66" s="7"/>
      <c r="AZ66" s="113">
        <f>'MEEIA 3 adjs'!DZ72</f>
        <v>4.4000000000000909</v>
      </c>
      <c r="BA66" s="7"/>
      <c r="BB66" s="7"/>
      <c r="BC66" s="7"/>
      <c r="BD66" s="7"/>
      <c r="BE66" s="7"/>
      <c r="BF66" s="7"/>
      <c r="BG66" s="7"/>
      <c r="BH66" s="7"/>
      <c r="BI66" s="7"/>
      <c r="BJ66" s="7"/>
      <c r="BK66" s="7"/>
      <c r="BL66" s="7"/>
    </row>
    <row r="67" spans="1:64" s="2" customFormat="1" ht="15" hidden="1" customHeight="1" outlineLevel="1" x14ac:dyDescent="0.35">
      <c r="A67" s="295"/>
      <c r="B67" s="15" t="s">
        <v>28</v>
      </c>
      <c r="C67" s="94"/>
      <c r="D67" s="94"/>
      <c r="E67" s="94"/>
      <c r="F67" s="20">
        <f>IF('M3 Allocations - TD'!D9="","",'M3 Allocations - TD'!D35)</f>
        <v>0</v>
      </c>
      <c r="G67" s="20">
        <f>IF('M3 Allocations - TD'!E9="","",'M3 Allocations - TD'!E35)</f>
        <v>0</v>
      </c>
      <c r="H67" s="20">
        <f>IF('M3 Allocations - TD'!F9="","",'M3 Allocations - TD'!F35)</f>
        <v>158.37627524588399</v>
      </c>
      <c r="I67" s="20">
        <f>IF('M3 Allocations - TD'!G9="","",'M3 Allocations - TD'!G35)</f>
        <v>597.17310476301054</v>
      </c>
      <c r="J67" s="20">
        <f>IF('M3 Allocations - TD'!H9="","",'M3 Allocations - TD'!H35)</f>
        <v>0</v>
      </c>
      <c r="K67" s="20">
        <f>IF('M3 Allocations - TD'!I9="","",'M3 Allocations - TD'!I35)</f>
        <v>224.30843760020062</v>
      </c>
      <c r="L67" s="20">
        <f>IF('M3 Allocations - TD'!J9="","",'M3 Allocations - TD'!J35)</f>
        <v>578.11242788452876</v>
      </c>
      <c r="M67" s="20">
        <f>IF('M3 Allocations - TD'!K9="","",'M3 Allocations - TD'!K35)</f>
        <v>553.72176658848127</v>
      </c>
      <c r="N67" s="20">
        <f>IF('M3 Allocations - TD'!L9="","",'M3 Allocations - TD'!L35)</f>
        <v>4498.45610981133</v>
      </c>
      <c r="O67" s="20">
        <f>IF('M3 Allocations - TD'!M9="","",'M3 Allocations - TD'!M35)</f>
        <v>2468.5744882877784</v>
      </c>
      <c r="P67" s="20">
        <f>IF('M3 Allocations - TD'!N9="","",'M3 Allocations - TD'!N35)</f>
        <v>6482.3323978120161</v>
      </c>
      <c r="Q67" s="20">
        <f>IF('M3 Allocations - TD'!O9="","",'M3 Allocations - TD'!O35)</f>
        <v>4714.4220035550234</v>
      </c>
      <c r="R67" s="20">
        <f>IF('M3 Allocations - TD'!P9="","",'M3 Allocations - TD'!P35)</f>
        <v>4933.2233077077817</v>
      </c>
      <c r="S67" s="20">
        <f>IF('M3 Allocations - TD'!Q9="","",'M3 Allocations - TD'!Q35)</f>
        <v>4340.5509347173938</v>
      </c>
      <c r="T67" s="20">
        <f>IF('M3 Allocations - TD'!R9="","",'M3 Allocations - TD'!R35)</f>
        <v>11799.946486826884</v>
      </c>
      <c r="U67" s="20">
        <f>IF('M3 Allocations - TD'!S9="","",'M3 Allocations - TD'!S35)</f>
        <v>38257.943252341713</v>
      </c>
      <c r="V67" s="20">
        <f>IF('M3 Allocations - TD'!T9="","",'M3 Allocations - TD'!T35)</f>
        <v>40690.592006909494</v>
      </c>
      <c r="W67" s="20">
        <f>IF('M3 Allocations - TD'!U9="","",'M3 Allocations - TD'!U35)</f>
        <v>41885.585703975645</v>
      </c>
      <c r="X67" s="20">
        <f>IF('M3 Allocations - TD'!V9="","",'M3 Allocations - TD'!V35)</f>
        <v>26780.761635291285</v>
      </c>
      <c r="Y67" s="20">
        <f>IF('M3 Allocations - TD'!W9="","",'M3 Allocations - TD'!W35)</f>
        <v>10597.262650374174</v>
      </c>
      <c r="Z67" s="20">
        <f>IF('M3 Allocations - TD'!X9="","",'M3 Allocations - TD'!X35)</f>
        <v>10543.327297722915</v>
      </c>
      <c r="AA67" s="20">
        <f>IF('M3 Allocations - TD'!Y9="","",'M3 Allocations - TD'!Y35)</f>
        <v>12471.245557264963</v>
      </c>
      <c r="AB67" s="20">
        <f>IF('M3 Allocations - TD'!Z9="","",'M3 Allocations - TD'!Z35)</f>
        <v>12960.956487818141</v>
      </c>
      <c r="AC67" s="20">
        <f>IF('M3 Allocations - TD'!AA9="","",'M3 Allocations - TD'!AA35)</f>
        <v>11180.008563256184</v>
      </c>
      <c r="AD67" s="20">
        <f>IF('M3 Allocations - TD'!AB9="","",'M3 Allocations - TD'!AB35)</f>
        <v>10723.724250200386</v>
      </c>
      <c r="AE67" s="20">
        <f>IF('M3 Allocations - TD'!AC9="","",'M3 Allocations - TD'!AC35)</f>
        <v>12186.584798764601</v>
      </c>
      <c r="AF67" s="20">
        <f>IF('M3 Allocations - TD'!AD9="","",'M3 Allocations - TD'!AD35)</f>
        <v>21281.154475581399</v>
      </c>
      <c r="AG67" s="20">
        <f>IF('M3 Allocations - TD'!AE9="","",'M3 Allocations - TD'!AE35)</f>
        <v>66612.208134140514</v>
      </c>
      <c r="AH67" s="20">
        <f>IF('M3 Allocations - TD'!AF9="","",'M3 Allocations - TD'!AF35)</f>
        <v>73408.187300820806</v>
      </c>
      <c r="AI67" s="20">
        <f>IF('M3 Allocations - TD'!AG9="","",'M3 Allocations - TD'!AG35)</f>
        <v>73181.995355948209</v>
      </c>
      <c r="AJ67" s="20">
        <f>IF('M3 Allocations - TD'!AH9="","",'M3 Allocations - TD'!AH35)</f>
        <v>44682.245754003154</v>
      </c>
      <c r="AK67" s="20">
        <f>IF('M3 Allocations - TD'!AI9="","",'M3 Allocations - TD'!AI35)</f>
        <v>19447.902145822471</v>
      </c>
      <c r="AL67" s="20">
        <f>IF('M3 Allocations - TD'!AJ9="","",'M3 Allocations - TD'!AJ35)</f>
        <v>16125.741463642871</v>
      </c>
      <c r="AM67" s="20">
        <f>IF('M3 Allocations - TD'!AK9="","",'M3 Allocations - TD'!AK35)</f>
        <v>19063.36096942682</v>
      </c>
      <c r="AN67" s="20">
        <f>IF('M3 Allocations - TD'!AL9="","",'M3 Allocations - TD'!AL35)</f>
        <v>18825.407725594807</v>
      </c>
      <c r="AO67" s="20">
        <f>IF('M3 Allocations - TD'!AM9="","",'M3 Allocations - TD'!AM35)</f>
        <v>15042.280346882986</v>
      </c>
      <c r="AP67" s="20">
        <f>IF('M3 Allocations - TD'!AN9="","",'M3 Allocations - TD'!AN35)</f>
        <v>5372.5491881501548</v>
      </c>
      <c r="AQ67" s="20">
        <f>IF('M3 Allocations - TD'!AO9="","",'M3 Allocations - TD'!AO35)</f>
        <v>5761.1753207721658</v>
      </c>
      <c r="AR67" s="20">
        <f>IF('M3 Allocations - TD'!AP9="","",'M3 Allocations - TD'!AP35)</f>
        <v>7701.1665386990999</v>
      </c>
      <c r="AS67" s="20">
        <f>IF('M3 Allocations - TD'!AQ9="","",'M3 Allocations - TD'!AQ35)</f>
        <v>20816.695916117322</v>
      </c>
      <c r="AT67" s="20">
        <f>IF('M3 Allocations - TD'!AR9="","",'M3 Allocations - TD'!AR35)</f>
        <v>29321.450972661642</v>
      </c>
      <c r="AU67" s="20">
        <f>IF('M3 Allocations - TD'!AS9="","",'M3 Allocations - TD'!AS35)</f>
        <v>29057.042020850196</v>
      </c>
      <c r="AV67" s="20">
        <f>IF('M3 Allocations - TD'!AT9="","",'M3 Allocations - TD'!AT35)</f>
        <v>22639.119300577775</v>
      </c>
      <c r="AW67" s="20">
        <f>IF('M3 Allocations - TD'!AU9="","",'M3 Allocations - TD'!AU35)</f>
        <v>10522.674846079888</v>
      </c>
      <c r="AX67" s="20">
        <f>IF('M3 Allocations - TD'!AV9="","",'M3 Allocations - TD'!AV35)</f>
        <v>8402.9395721317924</v>
      </c>
      <c r="AY67" s="20">
        <f>IF('M3 Allocations - TD'!AW9="","",'M3 Allocations - TD'!AW35)</f>
        <v>10147.866510048789</v>
      </c>
      <c r="AZ67" s="20">
        <f>IF('M3 Allocations - TD'!AX9="","",'M3 Allocations - TD'!AX35)</f>
        <v>10184.952993836321</v>
      </c>
      <c r="BA67" s="20">
        <f>IF('M3 Allocations - TD'!AY9="","",'M3 Allocations - TD'!AY35)</f>
        <v>9072.0567893273928</v>
      </c>
      <c r="BB67" s="20">
        <f>IF('M3 Allocations - TD'!AZ9="","",'M3 Allocations - TD'!AZ35)</f>
        <v>9954.6531526973886</v>
      </c>
      <c r="BC67" s="20">
        <f>IF('M3 Allocations - TD'!BA9="","",'M3 Allocations - TD'!BA35)</f>
        <v>10973.088832331672</v>
      </c>
      <c r="BD67" s="20">
        <f>IF('M3 Allocations - TD'!BB9="","",'M3 Allocations - TD'!BB35)</f>
        <v>20516.921574305627</v>
      </c>
      <c r="BE67" s="20">
        <f>IF('M3 Allocations - TD'!BC9="","",'M3 Allocations - TD'!BC35)</f>
        <v>80173.370498125121</v>
      </c>
      <c r="BF67" s="20">
        <f>IF('M3 Allocations - TD'!BD9="","",'M3 Allocations - TD'!BD35)</f>
        <v>41066.173957788429</v>
      </c>
      <c r="BG67" s="20">
        <f>IF('M3 Allocations - TD'!BE9="","",'M3 Allocations - TD'!BE35)</f>
        <v>43464.865379167015</v>
      </c>
      <c r="BH67" s="20">
        <f>IF('M3 Allocations - TD'!BF9="","",'M3 Allocations - TD'!BF35)</f>
        <v>24572.609553779672</v>
      </c>
      <c r="BI67" s="20">
        <f>IF('M3 Allocations - TD'!BG9="","",'M3 Allocations - TD'!BG35)</f>
        <v>6397.8158425259671</v>
      </c>
      <c r="BJ67" s="20">
        <f>IF('M3 Allocations - TD'!BH9="","",'M3 Allocations - TD'!BH35)</f>
        <v>5384.602395887403</v>
      </c>
      <c r="BK67" s="20">
        <f>IF('M3 Allocations - TD'!BI9="","",'M3 Allocations - TD'!BI35)</f>
        <v>5698.7723705163171</v>
      </c>
      <c r="BL67" s="20">
        <f>IF('M3 Allocations - TD'!BJ9="","",'M3 Allocations - TD'!BJ35)</f>
        <v>5876.0436812868829</v>
      </c>
    </row>
    <row r="68" spans="1:64" s="4" customFormat="1" ht="15" hidden="1" customHeight="1" outlineLevel="1" x14ac:dyDescent="0.35">
      <c r="A68" s="295"/>
      <c r="B68" s="16" t="s">
        <v>26</v>
      </c>
      <c r="C68" s="94"/>
      <c r="D68" s="94"/>
      <c r="E68" s="94"/>
      <c r="F68" s="20">
        <f>IF('M3 Allocations - TD'!D55="","",'M3 Allocations - TD'!D73)</f>
        <v>0</v>
      </c>
      <c r="G68" s="20">
        <f>IF('M3 Allocations - TD'!E55="","",'M3 Allocations - TD'!E73)</f>
        <v>0</v>
      </c>
      <c r="H68" s="20">
        <f>IF('M3 Allocations - TD'!F55="","",'M3 Allocations - TD'!F73)</f>
        <v>-48.583419353926594</v>
      </c>
      <c r="I68" s="20">
        <f>IF('M3 Allocations - TD'!G55="","",'M3 Allocations - TD'!G73)</f>
        <v>4125.9071778961579</v>
      </c>
      <c r="J68" s="20">
        <f>IF('M3 Allocations - TD'!H55="","",'M3 Allocations - TD'!H73)</f>
        <v>6806.3797850987785</v>
      </c>
      <c r="K68" s="20">
        <f>IF('M3 Allocations - TD'!I55="","",'M3 Allocations - TD'!I73)</f>
        <v>7524.9044581782691</v>
      </c>
      <c r="L68" s="20">
        <f>IF('M3 Allocations - TD'!J55="","",'M3 Allocations - TD'!J73)</f>
        <v>7658.4495072300715</v>
      </c>
      <c r="M68" s="20">
        <f>IF('M3 Allocations - TD'!K55="","",'M3 Allocations - TD'!K73)</f>
        <v>7241.6490844376849</v>
      </c>
      <c r="N68" s="20">
        <f>IF('M3 Allocations - TD'!L55="","",'M3 Allocations - TD'!L73)</f>
        <v>6323.5939077382554</v>
      </c>
      <c r="O68" s="20">
        <f>IF('M3 Allocations - TD'!M55="","",'M3 Allocations - TD'!M73)</f>
        <v>5864.7707264215042</v>
      </c>
      <c r="P68" s="20">
        <f>IF('M3 Allocations - TD'!N55="","",'M3 Allocations - TD'!N73)</f>
        <v>6186.9939477675571</v>
      </c>
      <c r="Q68" s="20">
        <f>IF('M3 Allocations - TD'!O55="","",'M3 Allocations - TD'!O73)</f>
        <v>10792.766596240668</v>
      </c>
      <c r="R68" s="20">
        <f>IF('M3 Allocations - TD'!P55="","",'M3 Allocations - TD'!P73)</f>
        <v>19312.38401960209</v>
      </c>
      <c r="S68" s="20">
        <f>IF('M3 Allocations - TD'!Q55="","",'M3 Allocations - TD'!Q73)</f>
        <v>21254.31297935671</v>
      </c>
      <c r="T68" s="20">
        <f>IF('M3 Allocations - TD'!R55="","",'M3 Allocations - TD'!R73)</f>
        <v>21637.663415217026</v>
      </c>
      <c r="U68" s="20">
        <f>IF('M3 Allocations - TD'!S55="","",'M3 Allocations - TD'!S73)</f>
        <v>16834.533975023267</v>
      </c>
      <c r="V68" s="20">
        <f>IF('M3 Allocations - TD'!T55="","",'M3 Allocations - TD'!T73)</f>
        <v>24355.538593432568</v>
      </c>
      <c r="W68" s="20">
        <f>IF('M3 Allocations - TD'!U55="","",'M3 Allocations - TD'!U73)</f>
        <v>25113.656296491379</v>
      </c>
      <c r="X68" s="20">
        <f>IF('M3 Allocations - TD'!V55="","",'M3 Allocations - TD'!V73)</f>
        <v>25507.793919774442</v>
      </c>
      <c r="Y68" s="20">
        <f>IF('M3 Allocations - TD'!W55="","",'M3 Allocations - TD'!W73)</f>
        <v>22463.576853042847</v>
      </c>
      <c r="Z68" s="20">
        <f>IF('M3 Allocations - TD'!X55="","",'M3 Allocations - TD'!X73)</f>
        <v>21960.458267222853</v>
      </c>
      <c r="AA68" s="20">
        <f>IF('M3 Allocations - TD'!Y55="","",'M3 Allocations - TD'!Y73)</f>
        <v>22338.840952659717</v>
      </c>
      <c r="AB68" s="20">
        <f>IF('M3 Allocations - TD'!Z55="","",'M3 Allocations - TD'!Z73)</f>
        <v>20382.980401475455</v>
      </c>
      <c r="AC68" s="20">
        <f>IF('M3 Allocations - TD'!AA55="","",'M3 Allocations - TD'!AA73)</f>
        <v>32953.904164207008</v>
      </c>
      <c r="AD68" s="20">
        <f>IF('M3 Allocations - TD'!AB55="","",'M3 Allocations - TD'!AB73)</f>
        <v>23500.247497740351</v>
      </c>
      <c r="AE68" s="20">
        <f>IF('M3 Allocations - TD'!AC55="","",'M3 Allocations - TD'!AC73)</f>
        <v>40293.609086971141</v>
      </c>
      <c r="AF68" s="20">
        <f>IF('M3 Allocations - TD'!AD55="","",'M3 Allocations - TD'!AD73)</f>
        <v>41000.534789952151</v>
      </c>
      <c r="AG68" s="20">
        <f>IF('M3 Allocations - TD'!AE55="","",'M3 Allocations - TD'!AE73)</f>
        <v>39665.300517775315</v>
      </c>
      <c r="AH68" s="20">
        <f>IF('M3 Allocations - TD'!AF55="","",'M3 Allocations - TD'!AF73)</f>
        <v>50592.172457307752</v>
      </c>
      <c r="AI68" s="20">
        <f>IF('M3 Allocations - TD'!AG55="","",'M3 Allocations - TD'!AG73)</f>
        <v>48111.888839753803</v>
      </c>
      <c r="AJ68" s="20">
        <f>IF('M3 Allocations - TD'!AH55="","",'M3 Allocations - TD'!AH73)</f>
        <v>52046.073170238742</v>
      </c>
      <c r="AK68" s="20">
        <f>IF('M3 Allocations - TD'!AI55="","",'M3 Allocations - TD'!AI73)</f>
        <v>47917.124744080225</v>
      </c>
      <c r="AL68" s="20">
        <f>IF('M3 Allocations - TD'!AJ55="","",'M3 Allocations - TD'!AJ73)</f>
        <v>31542.387518483061</v>
      </c>
      <c r="AM68" s="20">
        <f>IF('M3 Allocations - TD'!AK55="","",'M3 Allocations - TD'!AK73)</f>
        <v>43557.154949803051</v>
      </c>
      <c r="AN68" s="20">
        <f>IF('M3 Allocations - TD'!AL55="","",'M3 Allocations - TD'!AL73)</f>
        <v>40956.195027623748</v>
      </c>
      <c r="AO68" s="20">
        <f>IF('M3 Allocations - TD'!AM55="","",'M3 Allocations - TD'!AM73)</f>
        <v>34081.150442443461</v>
      </c>
      <c r="AP68" s="20">
        <f>IF('M3 Allocations - TD'!AN55="","",'M3 Allocations - TD'!AN73)</f>
        <v>5569.4805559214219</v>
      </c>
      <c r="AQ68" s="20">
        <f>IF('M3 Allocations - TD'!AO55="","",'M3 Allocations - TD'!AO73)</f>
        <v>-23801.130148762259</v>
      </c>
      <c r="AR68" s="20">
        <f>IF('M3 Allocations - TD'!AP55="","",'M3 Allocations - TD'!AP73)</f>
        <v>4425.0020023903071</v>
      </c>
      <c r="AS68" s="20">
        <f>IF('M3 Allocations - TD'!AQ55="","",'M3 Allocations - TD'!AQ73)</f>
        <v>5427.3573983012948</v>
      </c>
      <c r="AT68" s="20">
        <f>IF('M3 Allocations - TD'!AR55="","",'M3 Allocations - TD'!AR73)</f>
        <v>6149.5954103370386</v>
      </c>
      <c r="AU68" s="20">
        <f>IF('M3 Allocations - TD'!AS55="","",'M3 Allocations - TD'!AS73)</f>
        <v>6063.694935624073</v>
      </c>
      <c r="AV68" s="20">
        <f>IF('M3 Allocations - TD'!AT55="","",'M3 Allocations - TD'!AT73)</f>
        <v>6340.9099918320171</v>
      </c>
      <c r="AW68" s="20">
        <f>IF('M3 Allocations - TD'!AU55="","",'M3 Allocations - TD'!AU73)</f>
        <v>5452.5804092461303</v>
      </c>
      <c r="AX68" s="20">
        <f>IF('M3 Allocations - TD'!AV55="","",'M3 Allocations - TD'!AV73)</f>
        <v>5374.9963437301585</v>
      </c>
      <c r="AY68" s="20">
        <f>IF('M3 Allocations - TD'!AW55="","",'M3 Allocations - TD'!AW73)</f>
        <v>4968.6713975309985</v>
      </c>
      <c r="AZ68" s="20">
        <f>IF('M3 Allocations - TD'!AX55="","",'M3 Allocations - TD'!AX73)</f>
        <v>4126.6501596050875</v>
      </c>
      <c r="BA68" s="20">
        <f>IF('M3 Allocations - TD'!AY55="","",'M3 Allocations - TD'!AY73)</f>
        <v>6475.6438068202078</v>
      </c>
      <c r="BB68" s="20">
        <f>IF('M3 Allocations - TD'!AZ55="","",'M3 Allocations - TD'!AZ73)</f>
        <v>20514.021968021043</v>
      </c>
      <c r="BC68" s="20">
        <f>IF('M3 Allocations - TD'!BA55="","",'M3 Allocations - TD'!BA73)</f>
        <v>20728.070271802189</v>
      </c>
      <c r="BD68" s="20">
        <f>IF('M3 Allocations - TD'!BB55="","",'M3 Allocations - TD'!BB73)</f>
        <v>21860.388330864007</v>
      </c>
      <c r="BE68" s="20">
        <f>IF('M3 Allocations - TD'!BC55="","",'M3 Allocations - TD'!BC73)</f>
        <v>26312.731447989569</v>
      </c>
      <c r="BF68" s="20">
        <f>IF('M3 Allocations - TD'!BD55="","",'M3 Allocations - TD'!BD73)</f>
        <v>24544.16997714834</v>
      </c>
      <c r="BG68" s="20">
        <f>IF('M3 Allocations - TD'!BE55="","",'M3 Allocations - TD'!BE73)</f>
        <v>28119.347477767511</v>
      </c>
      <c r="BH68" s="20">
        <f>IF('M3 Allocations - TD'!BF55="","",'M3 Allocations - TD'!BF73)</f>
        <v>30706.5519192147</v>
      </c>
      <c r="BI68" s="20">
        <f>IF('M3 Allocations - TD'!BG55="","",'M3 Allocations - TD'!BG73)</f>
        <v>31001.069342748062</v>
      </c>
      <c r="BJ68" s="20">
        <f>IF('M3 Allocations - TD'!BH55="","",'M3 Allocations - TD'!BH73)</f>
        <v>24651.963988683008</v>
      </c>
      <c r="BK68" s="20">
        <f>IF('M3 Allocations - TD'!BI55="","",'M3 Allocations - TD'!BI73)</f>
        <v>23992.698625575045</v>
      </c>
      <c r="BL68" s="20">
        <f>IF('M3 Allocations - TD'!BJ55="","",'M3 Allocations - TD'!BJ73)</f>
        <v>24785.415756325161</v>
      </c>
    </row>
    <row r="69" spans="1:64" s="4" customFormat="1" ht="15" hidden="1" customHeight="1" outlineLevel="1" x14ac:dyDescent="0.35">
      <c r="A69" s="295"/>
      <c r="B69" s="16" t="s">
        <v>51</v>
      </c>
      <c r="C69" s="94"/>
      <c r="D69" s="94"/>
      <c r="E69" s="94"/>
      <c r="F69" s="20">
        <f>IF(F68="","",0)</f>
        <v>0</v>
      </c>
      <c r="G69" s="20">
        <f t="shared" ref="G69" si="533">IF(G68="","",0)</f>
        <v>0</v>
      </c>
      <c r="H69" s="20">
        <f t="shared" ref="H69" si="534">IF(H68="","",0)</f>
        <v>0</v>
      </c>
      <c r="I69" s="20">
        <f t="shared" ref="I69" si="535">IF(I68="","",0)</f>
        <v>0</v>
      </c>
      <c r="J69" s="20">
        <f t="shared" ref="J69" si="536">IF(J68="","",0)</f>
        <v>0</v>
      </c>
      <c r="K69" s="20">
        <f t="shared" ref="K69" si="537">IF(K68="","",0)</f>
        <v>0</v>
      </c>
      <c r="L69" s="20">
        <f t="shared" ref="L69" si="538">IF(L68="","",0)</f>
        <v>0</v>
      </c>
      <c r="M69" s="20">
        <f t="shared" ref="M69" si="539">IF(M68="","",0)</f>
        <v>0</v>
      </c>
      <c r="N69" s="20">
        <f t="shared" ref="N69" si="540">IF(N68="","",0)</f>
        <v>0</v>
      </c>
      <c r="O69" s="20">
        <f t="shared" ref="O69" si="541">IF(O68="","",0)</f>
        <v>0</v>
      </c>
      <c r="P69" s="20">
        <f t="shared" ref="P69" si="542">IF(P68="","",0)</f>
        <v>0</v>
      </c>
      <c r="Q69" s="20">
        <f>IF(Q68="","",-'M3 TD amort'!C36)</f>
        <v>1504.68</v>
      </c>
      <c r="R69" s="20">
        <f>IF(R68="","",-'M3 TD amort'!D36)</f>
        <v>2591.88</v>
      </c>
      <c r="S69" s="20">
        <f>IF(S68="","",-'M3 TD amort'!E36)</f>
        <v>2838.35</v>
      </c>
      <c r="T69" s="20">
        <f>IF(T68="","",-'M3 TD amort'!F36)</f>
        <v>2881.77</v>
      </c>
      <c r="U69" s="20">
        <f>IF(U68="","",-'M3 TD amort'!G36)</f>
        <v>2250.5100000000002</v>
      </c>
      <c r="V69" s="20">
        <f>IF(V68="","",-'M3 TD amort'!H36)</f>
        <v>3239.4</v>
      </c>
      <c r="W69" s="20">
        <f>IF(W68="","",-'M3 TD amort'!I36)</f>
        <v>3336.64</v>
      </c>
      <c r="X69" s="20">
        <f>IF(X68="","",-'M3 TD amort'!J36)</f>
        <v>3384.12</v>
      </c>
      <c r="Y69" s="20">
        <f>IF(Y68="","",-'M3 TD amort'!K36)</f>
        <v>2980.87</v>
      </c>
      <c r="Z69" s="20">
        <f>IF(Z68="","",-'M3 TD amort'!L36)</f>
        <v>2923.68</v>
      </c>
      <c r="AA69" s="20">
        <f>IF(AA68="","",-'M3 TD amort'!M36)</f>
        <v>2985.57</v>
      </c>
      <c r="AB69" s="20">
        <f>IF(AB68="","",-'M3 TD amort'!N36)</f>
        <v>2730.44</v>
      </c>
      <c r="AC69" s="20">
        <f>IF(AC68="","",-'M3 TD amort'!O36)</f>
        <v>3897.15</v>
      </c>
      <c r="AD69" s="20">
        <f>IF(AD68="","",-'M3 TD amort'!P36)</f>
        <v>2784.02</v>
      </c>
      <c r="AE69" s="20">
        <f>IF(AE68="","",-'M3 TD amort'!Q36)</f>
        <v>4719.3</v>
      </c>
      <c r="AF69" s="20">
        <f>IF(AF68="","",-'M3 TD amort'!R36)</f>
        <v>4794.6000000000004</v>
      </c>
      <c r="AG69" s="20">
        <f>IF(AG68="","",-'M3 TD amort'!S36)</f>
        <v>4627.3500000000004</v>
      </c>
      <c r="AH69" s="20">
        <f>IF(AH68="","",-'M3 TD amort'!T36)</f>
        <v>5905.37</v>
      </c>
      <c r="AI69" s="20">
        <f>IF(AI68="","",-'M3 TD amort'!U36)</f>
        <v>5621.67</v>
      </c>
      <c r="AJ69" s="20">
        <f>IF(AJ68="","",-'M3 TD amort'!V36)</f>
        <v>6078.73</v>
      </c>
      <c r="AK69" s="20">
        <f>IF(AK68="","",-'M3 TD amort'!W36)</f>
        <v>5571.58</v>
      </c>
      <c r="AL69" s="20">
        <f>IF(AL68="","",-'M3 TD amort'!X36)</f>
        <v>3698.89</v>
      </c>
      <c r="AM69" s="20">
        <f>IF(AM68="","",-'M3 TD amort'!Y36)</f>
        <v>5186.1400000000003</v>
      </c>
      <c r="AN69" s="20">
        <f>IF(AN68="","",-'M3 TD amort'!Z36)</f>
        <v>4832.3100000000004</v>
      </c>
      <c r="AO69" s="20">
        <f>IF(AO68="","",-'M3 TD amort'!AA36)</f>
        <v>75442.73</v>
      </c>
      <c r="AP69" s="20">
        <f>IF(AP68="","",-'M3 TD amort'!AB36)</f>
        <v>13631.28</v>
      </c>
      <c r="AQ69" s="20">
        <f>IF(AQ68="","",-'M3 TD amort'!AC36)</f>
        <v>-48097.27</v>
      </c>
      <c r="AR69" s="20">
        <f>IF(AR68="","",-'M3 TD amort'!AD36)</f>
        <v>10628.22</v>
      </c>
      <c r="AS69" s="20">
        <f>IF(AS68="","",-'M3 TD amort'!AE36)</f>
        <v>12955.95</v>
      </c>
      <c r="AT69" s="20">
        <f>IF(AT68="","",-'M3 TD amort'!AF36)</f>
        <v>14863.58</v>
      </c>
      <c r="AU69" s="20">
        <f>IF(AU68="","",-'M3 TD amort'!AG36)</f>
        <v>14696.75</v>
      </c>
      <c r="AV69" s="20">
        <f>IF(AV68="","",-'M3 TD amort'!AH36)</f>
        <v>15321.62</v>
      </c>
      <c r="AW69" s="20">
        <f>IF(AW68="","",-'M3 TD amort'!AI36)</f>
        <v>13162.71</v>
      </c>
      <c r="AX69" s="20">
        <f>IF(AX68="","",-'M3 TD amort'!AJ36)</f>
        <v>13147.52</v>
      </c>
      <c r="AY69" s="20">
        <f>IF(AY68="","",-'M3 TD amort'!AK36)</f>
        <v>12907.03</v>
      </c>
      <c r="AZ69" s="20">
        <f>IF(AZ68="","",-'M3 TD amort'!AL36)</f>
        <v>10895.84</v>
      </c>
      <c r="BA69" s="20">
        <f>IF(BA68="","",-'M3 TD amort'!AM36)</f>
        <v>1066.49</v>
      </c>
      <c r="BB69" s="20">
        <f>IF(BB68="","",-'M3 TD amort'!AN36)</f>
        <v>3016.99</v>
      </c>
      <c r="BC69" s="20">
        <f>IF(BC68="","",-'M3 TD amort'!AO36)</f>
        <v>3035.29</v>
      </c>
      <c r="BD69" s="20">
        <f>IF(BD68="","",-'M3 TD amort'!AP36)</f>
        <v>3174.93</v>
      </c>
      <c r="BE69" s="20">
        <f>IF(BE68="","",-'M3 TD amort'!AQ36)</f>
        <v>3818.81</v>
      </c>
      <c r="BF69" s="20">
        <f>IF(BF68="","",-'M3 TD amort'!AR36)</f>
        <v>3576.74</v>
      </c>
      <c r="BG69" s="20">
        <f>IF(BG68="","",-'M3 TD amort'!AS36)</f>
        <v>4100.8</v>
      </c>
      <c r="BH69" s="20">
        <f>IF(BH68="","",-'M3 TD amort'!AT36)</f>
        <v>4472.42</v>
      </c>
      <c r="BI69" s="20">
        <f>IF(BI68="","",-'M3 TD amort'!AU36)</f>
        <v>4510.16</v>
      </c>
      <c r="BJ69" s="20">
        <f>IF(BJ68="","",-'M3 TD amort'!AV36)</f>
        <v>3586.08</v>
      </c>
      <c r="BK69" s="20">
        <f>IF(BK68="","",-'M3 TD amort'!AW36)</f>
        <v>3512.28</v>
      </c>
      <c r="BL69" s="20">
        <f>IF(BL68="","",-'M3 TD amort'!AX36)</f>
        <v>3644.82</v>
      </c>
    </row>
    <row r="70" spans="1:64" s="4" customFormat="1" ht="15" hidden="1" customHeight="1" outlineLevel="1" x14ac:dyDescent="0.35">
      <c r="A70" s="295"/>
      <c r="B70" s="16" t="s">
        <v>52</v>
      </c>
      <c r="C70" s="94"/>
      <c r="D70" s="94"/>
      <c r="E70" s="94"/>
      <c r="F70" s="7">
        <f t="shared" ref="F70:M70" si="543">IF(OR(F69="",F68=""),"",F68+F69)</f>
        <v>0</v>
      </c>
      <c r="G70" s="7">
        <f t="shared" si="543"/>
        <v>0</v>
      </c>
      <c r="H70" s="7">
        <f t="shared" si="543"/>
        <v>-48.583419353926594</v>
      </c>
      <c r="I70" s="7">
        <f t="shared" si="543"/>
        <v>4125.9071778961579</v>
      </c>
      <c r="J70" s="7">
        <f t="shared" si="543"/>
        <v>6806.3797850987785</v>
      </c>
      <c r="K70" s="7">
        <f t="shared" si="543"/>
        <v>7524.9044581782691</v>
      </c>
      <c r="L70" s="7">
        <f t="shared" si="543"/>
        <v>7658.4495072300715</v>
      </c>
      <c r="M70" s="7">
        <f t="shared" si="543"/>
        <v>7241.6490844376849</v>
      </c>
      <c r="N70" s="7">
        <f>IF(OR(N69="",N68=""),"",N68+N69)</f>
        <v>6323.5939077382554</v>
      </c>
      <c r="O70" s="7">
        <f t="shared" ref="O70:Z70" si="544">IF(OR(O69="",O68=""),"",O68+O69)</f>
        <v>5864.7707264215042</v>
      </c>
      <c r="P70" s="7">
        <f t="shared" si="544"/>
        <v>6186.9939477675571</v>
      </c>
      <c r="Q70" s="7">
        <f t="shared" si="544"/>
        <v>12297.446596240668</v>
      </c>
      <c r="R70" s="7">
        <f t="shared" si="544"/>
        <v>21904.264019602091</v>
      </c>
      <c r="S70" s="7">
        <f t="shared" si="544"/>
        <v>24092.662979356708</v>
      </c>
      <c r="T70" s="7">
        <f t="shared" si="544"/>
        <v>24519.433415217027</v>
      </c>
      <c r="U70" s="7">
        <f t="shared" si="544"/>
        <v>19085.043975023269</v>
      </c>
      <c r="V70" s="7">
        <f t="shared" si="544"/>
        <v>27594.938593432569</v>
      </c>
      <c r="W70" s="7">
        <f t="shared" si="544"/>
        <v>28450.296296491379</v>
      </c>
      <c r="X70" s="7">
        <f t="shared" si="544"/>
        <v>28891.913919774441</v>
      </c>
      <c r="Y70" s="7">
        <f t="shared" si="544"/>
        <v>25444.446853042846</v>
      </c>
      <c r="Z70" s="7">
        <f t="shared" si="544"/>
        <v>24884.138267222854</v>
      </c>
      <c r="AA70" s="7">
        <f>IF(OR(AA69="",AA68=""),"",AA68+AA69)</f>
        <v>25324.410952659717</v>
      </c>
      <c r="AB70" s="7">
        <f t="shared" ref="AB70:AE70" si="545">IF(OR(AB69="",AB68=""),"",AB68+AB69)</f>
        <v>23113.420401475454</v>
      </c>
      <c r="AC70" s="7">
        <f t="shared" si="545"/>
        <v>36851.054164207009</v>
      </c>
      <c r="AD70" s="7">
        <f t="shared" si="545"/>
        <v>26284.267497740351</v>
      </c>
      <c r="AE70" s="7">
        <f t="shared" si="545"/>
        <v>45012.909086971144</v>
      </c>
      <c r="AF70" s="7">
        <f t="shared" ref="AF70:AW70" si="546">IF(OR(AF69="",AF68=""),"",AF68+AF69)</f>
        <v>45795.13478995215</v>
      </c>
      <c r="AG70" s="7">
        <f t="shared" si="546"/>
        <v>44292.650517775313</v>
      </c>
      <c r="AH70" s="7">
        <f t="shared" si="546"/>
        <v>56497.542457307754</v>
      </c>
      <c r="AI70" s="7">
        <f t="shared" si="546"/>
        <v>53733.558839753801</v>
      </c>
      <c r="AJ70" s="7">
        <f t="shared" si="546"/>
        <v>58124.803170238738</v>
      </c>
      <c r="AK70" s="7">
        <f t="shared" si="546"/>
        <v>53488.704744080227</v>
      </c>
      <c r="AL70" s="7">
        <f t="shared" si="546"/>
        <v>35241.277518483061</v>
      </c>
      <c r="AM70" s="7">
        <f t="shared" si="546"/>
        <v>48743.29494980305</v>
      </c>
      <c r="AN70" s="7">
        <f t="shared" si="546"/>
        <v>45788.505027623745</v>
      </c>
      <c r="AO70" s="7">
        <f t="shared" si="546"/>
        <v>109523.88044244345</v>
      </c>
      <c r="AP70" s="7">
        <f t="shared" si="546"/>
        <v>19200.760555921421</v>
      </c>
      <c r="AQ70" s="7">
        <f t="shared" si="546"/>
        <v>-71898.400148762259</v>
      </c>
      <c r="AR70" s="7">
        <f t="shared" si="546"/>
        <v>15053.222002390306</v>
      </c>
      <c r="AS70" s="7">
        <f t="shared" si="546"/>
        <v>18383.307398301295</v>
      </c>
      <c r="AT70" s="7">
        <f t="shared" si="546"/>
        <v>21013.17541033704</v>
      </c>
      <c r="AU70" s="7">
        <f t="shared" si="546"/>
        <v>20760.444935624073</v>
      </c>
      <c r="AV70" s="7">
        <f t="shared" si="546"/>
        <v>21662.529991832016</v>
      </c>
      <c r="AW70" s="7">
        <f t="shared" si="546"/>
        <v>18615.290409246129</v>
      </c>
      <c r="AX70" s="7">
        <f t="shared" ref="AX70:AY70" si="547">IF(OR(AX69="",AX68=""),"",AX68+AX69)</f>
        <v>18522.51634373016</v>
      </c>
      <c r="AY70" s="7">
        <f t="shared" si="547"/>
        <v>17875.701397531</v>
      </c>
      <c r="AZ70" s="7">
        <f t="shared" ref="AZ70:BA70" si="548">IF(OR(AZ69="",AZ68=""),"",AZ68+AZ69)</f>
        <v>15022.490159605088</v>
      </c>
      <c r="BA70" s="7">
        <f t="shared" si="548"/>
        <v>7542.1338068202076</v>
      </c>
      <c r="BB70" s="7">
        <f t="shared" ref="BB70:BC70" si="549">IF(OR(BB69="",BB68=""),"",BB68+BB69)</f>
        <v>23531.011968021041</v>
      </c>
      <c r="BC70" s="7">
        <f t="shared" si="549"/>
        <v>23763.36027180219</v>
      </c>
      <c r="BD70" s="7">
        <f t="shared" ref="BD70:BE70" si="550">IF(OR(BD69="",BD68=""),"",BD68+BD69)</f>
        <v>25035.318330864007</v>
      </c>
      <c r="BE70" s="7">
        <f t="shared" si="550"/>
        <v>30131.54144798957</v>
      </c>
      <c r="BF70" s="7">
        <f t="shared" ref="BF70:BG70" si="551">IF(OR(BF69="",BF68=""),"",BF68+BF69)</f>
        <v>28120.909977148338</v>
      </c>
      <c r="BG70" s="7">
        <f t="shared" si="551"/>
        <v>32220.14747776751</v>
      </c>
      <c r="BH70" s="7">
        <f t="shared" ref="BH70:BI70" si="552">IF(OR(BH69="",BH68=""),"",BH68+BH69)</f>
        <v>35178.971919214702</v>
      </c>
      <c r="BI70" s="7">
        <f t="shared" si="552"/>
        <v>35511.229342748062</v>
      </c>
      <c r="BJ70" s="7">
        <f t="shared" ref="BJ70" si="553">IF(OR(BJ69="",BJ68=""),"",BJ68+BJ69)</f>
        <v>28238.043988683006</v>
      </c>
      <c r="BK70" s="7">
        <f t="shared" ref="BK70:BL70" si="554">IF(OR(BK69="",BK68=""),"",BK68+BK69)</f>
        <v>27504.978625575044</v>
      </c>
      <c r="BL70" s="7">
        <f t="shared" si="554"/>
        <v>28430.235756325161</v>
      </c>
    </row>
    <row r="71" spans="1:64" s="4" customFormat="1" hidden="1" outlineLevel="1" x14ac:dyDescent="0.35">
      <c r="A71" s="295"/>
      <c r="B71" s="16" t="s">
        <v>13</v>
      </c>
      <c r="C71" s="94"/>
      <c r="D71" s="94"/>
      <c r="E71" s="94"/>
      <c r="F71" s="7">
        <f t="shared" ref="F71:L71" si="555">IF(OR(F68="",F67=""),"",F67-F68)</f>
        <v>0</v>
      </c>
      <c r="G71" s="7">
        <f t="shared" si="555"/>
        <v>0</v>
      </c>
      <c r="H71" s="7">
        <f t="shared" si="555"/>
        <v>206.95969459981058</v>
      </c>
      <c r="I71" s="7">
        <f t="shared" si="555"/>
        <v>-3528.7340731331474</v>
      </c>
      <c r="J71" s="7">
        <f t="shared" si="555"/>
        <v>-6806.3797850987785</v>
      </c>
      <c r="K71" s="7">
        <f t="shared" si="555"/>
        <v>-7300.5960205780684</v>
      </c>
      <c r="L71" s="7">
        <f t="shared" si="555"/>
        <v>-7080.3370793455424</v>
      </c>
      <c r="M71" s="7">
        <f>IF(OR(M68="",M67=""),"",M67-M68)</f>
        <v>-6687.927317849204</v>
      </c>
      <c r="N71" s="7">
        <f>IF(OR(N70="",N67=""),"",N67-N70)</f>
        <v>-1825.1377979269255</v>
      </c>
      <c r="O71" s="7">
        <f t="shared" ref="O71:AE71" si="556">IF(OR(O70="",O67=""),"",O67-O70)</f>
        <v>-3396.1962381337257</v>
      </c>
      <c r="P71" s="7">
        <f t="shared" si="556"/>
        <v>295.33845004445902</v>
      </c>
      <c r="Q71" s="7">
        <f t="shared" si="556"/>
        <v>-7583.0245926856451</v>
      </c>
      <c r="R71" s="7">
        <f t="shared" si="556"/>
        <v>-16971.040711894311</v>
      </c>
      <c r="S71" s="7">
        <f t="shared" si="556"/>
        <v>-19752.112044639314</v>
      </c>
      <c r="T71" s="7">
        <f t="shared" si="556"/>
        <v>-12719.486928390143</v>
      </c>
      <c r="U71" s="7">
        <f t="shared" si="556"/>
        <v>19172.899277318444</v>
      </c>
      <c r="V71" s="7">
        <f t="shared" si="556"/>
        <v>13095.653413476924</v>
      </c>
      <c r="W71" s="7">
        <f t="shared" si="556"/>
        <v>13435.289407484266</v>
      </c>
      <c r="X71" s="7">
        <f t="shared" si="556"/>
        <v>-2111.1522844831561</v>
      </c>
      <c r="Y71" s="7">
        <f>IF(OR(Y70="",Y67=""),"",Y67-Y70)</f>
        <v>-14847.184202668672</v>
      </c>
      <c r="Z71" s="7">
        <f t="shared" si="556"/>
        <v>-14340.810969499938</v>
      </c>
      <c r="AA71" s="7">
        <f t="shared" si="556"/>
        <v>-12853.165395394753</v>
      </c>
      <c r="AB71" s="7">
        <f t="shared" si="556"/>
        <v>-10152.463913657313</v>
      </c>
      <c r="AC71" s="7">
        <f t="shared" si="556"/>
        <v>-25671.045600950827</v>
      </c>
      <c r="AD71" s="7">
        <f t="shared" si="556"/>
        <v>-15560.543247539965</v>
      </c>
      <c r="AE71" s="7">
        <f t="shared" si="556"/>
        <v>-32826.324288206539</v>
      </c>
      <c r="AF71" s="7">
        <f t="shared" ref="AF71:AV71" si="557">IF(OR(AF70="",AF67=""),"",AF67-AF70)</f>
        <v>-24513.98031437075</v>
      </c>
      <c r="AG71" s="7">
        <f t="shared" si="557"/>
        <v>22319.5576163652</v>
      </c>
      <c r="AH71" s="7">
        <f t="shared" si="557"/>
        <v>16910.644843513051</v>
      </c>
      <c r="AI71" s="7">
        <f t="shared" si="557"/>
        <v>19448.436516194408</v>
      </c>
      <c r="AJ71" s="7">
        <f t="shared" si="557"/>
        <v>-13442.557416235584</v>
      </c>
      <c r="AK71" s="7">
        <f t="shared" si="557"/>
        <v>-34040.802598257753</v>
      </c>
      <c r="AL71" s="7">
        <f t="shared" si="557"/>
        <v>-19115.536054840188</v>
      </c>
      <c r="AM71" s="7">
        <f t="shared" si="557"/>
        <v>-29679.93398037623</v>
      </c>
      <c r="AN71" s="7">
        <f t="shared" si="557"/>
        <v>-26963.097302028938</v>
      </c>
      <c r="AO71" s="7">
        <f t="shared" si="557"/>
        <v>-94481.600095560469</v>
      </c>
      <c r="AP71" s="7">
        <f t="shared" si="557"/>
        <v>-13828.211367771266</v>
      </c>
      <c r="AQ71" s="7">
        <f t="shared" si="557"/>
        <v>77659.575469534422</v>
      </c>
      <c r="AR71" s="7">
        <f t="shared" si="557"/>
        <v>-7352.0554636912066</v>
      </c>
      <c r="AS71" s="7">
        <f t="shared" si="557"/>
        <v>2433.3885178160272</v>
      </c>
      <c r="AT71" s="7">
        <f t="shared" si="557"/>
        <v>8308.2755623246012</v>
      </c>
      <c r="AU71" s="7">
        <f t="shared" si="557"/>
        <v>8296.5970852261235</v>
      </c>
      <c r="AV71" s="7">
        <f t="shared" si="557"/>
        <v>976.5893087457589</v>
      </c>
      <c r="AW71" s="125">
        <f>IF(OR(AW70="",AW67=""),"",AW67-AW70)+AW66</f>
        <v>-120.35076748674328</v>
      </c>
      <c r="AX71" s="7">
        <f t="shared" ref="AX71:AY71" si="558">IF(OR(AX70="",AX67=""),"",AX67-AX70)</f>
        <v>-10119.576771598367</v>
      </c>
      <c r="AY71" s="7">
        <f t="shared" si="558"/>
        <v>-7727.8348874822113</v>
      </c>
      <c r="AZ71" s="7">
        <f t="shared" ref="AZ71:BA71" si="559">IF(OR(AZ70="",AZ67=""),"",AZ67-AZ70)</f>
        <v>-4837.5371657687665</v>
      </c>
      <c r="BA71" s="7">
        <f t="shared" si="559"/>
        <v>1529.9229825071852</v>
      </c>
      <c r="BB71" s="7">
        <f t="shared" ref="BB71:BC71" si="560">IF(OR(BB70="",BB67=""),"",BB67-BB70)</f>
        <v>-13576.358815323652</v>
      </c>
      <c r="BC71" s="7">
        <f t="shared" si="560"/>
        <v>-12790.271439470518</v>
      </c>
      <c r="BD71" s="7">
        <f t="shared" ref="BD71:BE71" si="561">IF(OR(BD70="",BD67=""),"",BD67-BD70)</f>
        <v>-4518.3967565583807</v>
      </c>
      <c r="BE71" s="7">
        <f t="shared" si="561"/>
        <v>50041.829050135551</v>
      </c>
      <c r="BF71" s="7">
        <f t="shared" ref="BF71:BG71" si="562">IF(OR(BF70="",BF67=""),"",BF67-BF70)</f>
        <v>12945.263980640091</v>
      </c>
      <c r="BG71" s="7">
        <f t="shared" si="562"/>
        <v>11244.717901399505</v>
      </c>
      <c r="BH71" s="7">
        <f t="shared" ref="BH71:BI71" si="563">IF(OR(BH70="",BH67=""),"",BH67-BH70)</f>
        <v>-10606.36236543503</v>
      </c>
      <c r="BI71" s="7">
        <f t="shared" si="563"/>
        <v>-29113.413500222094</v>
      </c>
      <c r="BJ71" s="7">
        <f t="shared" ref="BJ71" si="564">IF(OR(BJ70="",BJ67=""),"",BJ67-BJ70)</f>
        <v>-22853.441592795603</v>
      </c>
      <c r="BK71" s="7">
        <f t="shared" ref="BK71:BL71" si="565">IF(OR(BK70="",BK67=""),"",BK67-BK70)</f>
        <v>-21806.206255058729</v>
      </c>
      <c r="BL71" s="7">
        <f t="shared" si="565"/>
        <v>-22554.192075038278</v>
      </c>
    </row>
    <row r="72" spans="1:64" s="4" customFormat="1" hidden="1" outlineLevel="1" x14ac:dyDescent="0.35">
      <c r="A72" s="295"/>
      <c r="B72" s="17" t="s">
        <v>8</v>
      </c>
      <c r="C72" s="94"/>
      <c r="D72" s="94"/>
      <c r="E72" s="94"/>
      <c r="F72" s="7">
        <f>IF(OR(F9="",F71=""),"",ROUND((F71+E74)*F9/12,2))</f>
        <v>0</v>
      </c>
      <c r="G72" s="7">
        <f t="shared" ref="G72:L72" si="566">IF(OR(G9="",G71=""),"",ROUND((G71+F74)*G9/12,2))</f>
        <v>0</v>
      </c>
      <c r="H72" s="7">
        <f t="shared" si="566"/>
        <v>0.46</v>
      </c>
      <c r="I72" s="7">
        <f>IF(OR(I9="",I71=""),"",ROUND((I71+H74)*I9/12,2))</f>
        <v>-7.33</v>
      </c>
      <c r="J72" s="7">
        <f t="shared" si="566"/>
        <v>-21.92</v>
      </c>
      <c r="K72" s="7">
        <f t="shared" si="566"/>
        <v>-34.200000000000003</v>
      </c>
      <c r="L72" s="7">
        <f t="shared" si="566"/>
        <v>-45.39</v>
      </c>
      <c r="M72" s="7">
        <f t="shared" ref="M72" si="567">IF(OR(M9="",M71=""),"",ROUND((M71+L74)*M9/12,2))</f>
        <v>-55.15</v>
      </c>
      <c r="N72" s="114">
        <f>IF(OR(N9="",N71=""),"",ROUND((N71+M74)*N9/12,2))+N66</f>
        <v>-34.539999999999992</v>
      </c>
      <c r="O72" s="7">
        <f t="shared" ref="O72" si="568">IF(OR(O9="",O71=""),"",ROUND((O71+N74)*O9/12,2))</f>
        <v>-58.44</v>
      </c>
      <c r="P72" s="7">
        <f t="shared" ref="P72" si="569">IF(OR(P9="",P71=""),"",ROUND((P71+O74)*P9/12,2))</f>
        <v>-57.27</v>
      </c>
      <c r="Q72" s="7">
        <f t="shared" ref="Q72:R72" si="570">IF(OR(Q9="",Q71=""),"",ROUND((Q71+P74)*Q9/12,2))</f>
        <v>-66.16</v>
      </c>
      <c r="R72" s="7">
        <f t="shared" si="570"/>
        <v>-93.73</v>
      </c>
      <c r="S72" s="7">
        <f t="shared" ref="S72" si="571">IF(OR(S9="",S71=""),"",ROUND((S71+R74)*S9/12,2))</f>
        <v>-60.07</v>
      </c>
      <c r="T72" s="7">
        <f t="shared" ref="T72" si="572">IF(OR(T9="",T71=""),"",ROUND((T71+S74)*T9/12,2))</f>
        <v>-9.33</v>
      </c>
      <c r="U72" s="7">
        <f t="shared" ref="U72" si="573">IF(OR(U9="",U71=""),"",ROUND((U71+T74)*U9/12,2))</f>
        <v>-6.77</v>
      </c>
      <c r="V72" s="7">
        <f t="shared" ref="V72" si="574">IF(OR(V9="",V71=""),"",ROUND((V71+U74)*V9/12,2))</f>
        <v>-7.97</v>
      </c>
      <c r="W72" s="7">
        <f t="shared" ref="W72:X72" si="575">IF(OR(W9="",W71=""),"",ROUND((W71+V74)*W9/12,2))</f>
        <v>-3.72</v>
      </c>
      <c r="X72" s="7">
        <f t="shared" si="575"/>
        <v>-3.25</v>
      </c>
      <c r="Y72" s="7">
        <f>IF(OR(Y9="",Y71=""),"",ROUND((Y71+X74)*Y9/12,2))</f>
        <v>-7.16</v>
      </c>
      <c r="Z72" s="7">
        <f>IF(OR(Z9="",Z71=""),"",ROUND((Z69+Z71+Y74+Z66)*Z9/12,2))+Z66</f>
        <v>7.0000000000023377E-2</v>
      </c>
      <c r="AA72" s="7">
        <f>IF(OR(AA9="",AA71=""),"",ROUND((AA69+AA71+Z74)*AA9/12,2))</f>
        <v>-14.53</v>
      </c>
      <c r="AB72" s="7">
        <f>IF(OR(AB9="",AB71=""),"",ROUND((AB69+AB71+AA74)*AB9/12,2))</f>
        <v>-11.8</v>
      </c>
      <c r="AC72" s="7">
        <f t="shared" ref="AC72:AE72" si="576">IF(OR(AC9="",AC71=""),"",ROUND((AC69+AC71+AB74)*AC9/12,2))</f>
        <v>-17.510000000000002</v>
      </c>
      <c r="AD72" s="7">
        <f t="shared" si="576"/>
        <v>-18.39</v>
      </c>
      <c r="AE72" s="7">
        <f t="shared" si="576"/>
        <v>-24.65</v>
      </c>
      <c r="AF72" s="7">
        <f t="shared" ref="AF72" si="577">IF(OR(AF9="",AF71=""),"",ROUND((AF69+AF71+AE74)*AF9/12,2))</f>
        <v>-28.25</v>
      </c>
      <c r="AG72" s="7">
        <f t="shared" ref="AG72" si="578">IF(OR(AG9="",AG71=""),"",ROUND((AG69+AG71+AF74)*AG9/12,2))</f>
        <v>-20.87</v>
      </c>
      <c r="AH72" s="7">
        <f t="shared" ref="AH72" si="579">IF(OR(AH9="",AH71=""),"",ROUND((AH69+AH71+AG74)*AH9/12,2))</f>
        <v>-11.79</v>
      </c>
      <c r="AI72" s="7">
        <f t="shared" ref="AI72" si="580">IF(OR(AI9="",AI71=""),"",ROUND((AI69+AI71+AH74)*AI9/12,2))</f>
        <v>-13.05</v>
      </c>
      <c r="AJ72" s="7">
        <f t="shared" ref="AJ72" si="581">IF(OR(AJ9="",AJ71=""),"",ROUND((AJ69+AJ71+AI74)*AJ9/12,2))</f>
        <v>-13.48</v>
      </c>
      <c r="AK72" s="7">
        <f t="shared" ref="AK72" si="582">IF(OR(AK9="",AK71=""),"",ROUND((AK69+AK71+AJ74)*AK9/12,2))</f>
        <v>-14.03</v>
      </c>
      <c r="AL72" s="7">
        <f t="shared" ref="AL72" si="583">IF(OR(AL9="",AL71=""),"",ROUND((AL69+AL71+AK74)*AL9/12,2))</f>
        <v>-16.3</v>
      </c>
      <c r="AM72" s="7">
        <f t="shared" ref="AM72" si="584">IF(OR(AM9="",AM71=""),"",ROUND((AM69+AM71+AL74)*AM9/12,2))</f>
        <v>-33.03</v>
      </c>
      <c r="AN72" s="7">
        <f t="shared" ref="AN72" si="585">IF(OR(AN9="",AN71=""),"",ROUND((AN69+AN71+AM74)*AN9/12,2))</f>
        <v>-34.06</v>
      </c>
      <c r="AO72" s="7">
        <f t="shared" ref="AO72" si="586">IF(OR(AO9="",AO71=""),"",ROUND((AO69+AO71+AN74)*AO9/12,2))</f>
        <v>-47.68</v>
      </c>
      <c r="AP72" s="7">
        <f t="shared" ref="AP72" si="587">IF(OR(AP9="",AP71=""),"",ROUND((AP69+AP71+AO74)*AP9/12,2))</f>
        <v>-111.07</v>
      </c>
      <c r="AQ72" s="7">
        <f t="shared" ref="AQ72" si="588">IF(OR(AQ9="",AQ71=""),"",ROUND((AQ69+AQ71+AP74)*AQ9/12,2))</f>
        <v>-82.15</v>
      </c>
      <c r="AR72" s="7">
        <f t="shared" ref="AR72" si="589">IF(OR(AR9="",AR71=""),"",ROUND((AR69+AR71+AQ74)*AR9/12,2))</f>
        <v>-127.42</v>
      </c>
      <c r="AS72" s="7">
        <f t="shared" ref="AS72" si="590">IF(OR(AS9="",AS71=""),"",ROUND((AS69+AS71+AR74)*AS9/12,2))</f>
        <v>-180.46</v>
      </c>
      <c r="AT72" s="7">
        <f t="shared" ref="AT72" si="591">IF(OR(AT9="",AT71=""),"",ROUND((AT69+AT71+AS74)*AT9/12,2))</f>
        <v>-210.38</v>
      </c>
      <c r="AU72" s="7">
        <f t="shared" ref="AU72" si="592">IF(OR(AU9="",AU71=""),"",ROUND((AU69+AU71+AT74)*AU9/12,2))</f>
        <v>-213.6</v>
      </c>
      <c r="AV72" s="7">
        <f t="shared" ref="AV72" si="593">IF(OR(AV9="",AV71=""),"",ROUND((AV69+AV71+AU74)*AV9/12,2))</f>
        <v>-198.64</v>
      </c>
      <c r="AW72" s="7">
        <f t="shared" ref="AW72:AY72" si="594">IF(OR(AW9="",AW71=""),"",ROUND((AW69+AW71+AV74)*AW9/12,2))</f>
        <v>-205.42</v>
      </c>
      <c r="AX72" s="7">
        <f t="shared" si="594"/>
        <v>-243.64</v>
      </c>
      <c r="AY72" s="7">
        <f t="shared" si="594"/>
        <v>-243.5</v>
      </c>
      <c r="AZ72" s="115">
        <f>IF(OR(AZ9="",AZ71=""),"",ROUND((AZ69+AZ71+AY74+AZ66)*AZ9/12,2))+AZ66</f>
        <v>-224.67999999999992</v>
      </c>
      <c r="BA72" s="115">
        <f t="shared" ref="BA72:BL72" si="595">IF(OR(BA9="",BA71=""),"",ROUND((BA69+BA71+AZ74)*BA9/12,2))</f>
        <v>-222.57</v>
      </c>
      <c r="BB72" s="115">
        <f t="shared" si="595"/>
        <v>-273.89999999999998</v>
      </c>
      <c r="BC72" s="115">
        <f t="shared" si="595"/>
        <v>-332</v>
      </c>
      <c r="BD72" s="115">
        <f t="shared" si="595"/>
        <v>-344.37</v>
      </c>
      <c r="BE72" s="115">
        <f t="shared" si="595"/>
        <v>-108.18</v>
      </c>
      <c r="BF72" s="115">
        <f t="shared" si="595"/>
        <v>-34.69</v>
      </c>
      <c r="BG72" s="115">
        <f t="shared" si="595"/>
        <v>35.25</v>
      </c>
      <c r="BH72" s="115">
        <f t="shared" si="595"/>
        <v>7.21</v>
      </c>
      <c r="BI72" s="115">
        <f t="shared" si="595"/>
        <v>-105.9</v>
      </c>
      <c r="BJ72" s="115">
        <f t="shared" si="595"/>
        <v>-194.98</v>
      </c>
      <c r="BK72" s="115">
        <f t="shared" si="595"/>
        <v>-279.99</v>
      </c>
      <c r="BL72" s="115">
        <f t="shared" si="595"/>
        <v>-368.22</v>
      </c>
    </row>
    <row r="73" spans="1:64" s="4" customFormat="1" hidden="1" outlineLevel="1" x14ac:dyDescent="0.35">
      <c r="A73" s="295"/>
      <c r="B73" s="16" t="s">
        <v>14</v>
      </c>
      <c r="C73" s="94"/>
      <c r="D73" s="94"/>
      <c r="E73" s="94"/>
      <c r="F73" s="7">
        <f t="shared" ref="F73:M73" si="596">IF(OR(F71="",F72=""),"",F71+F72)</f>
        <v>0</v>
      </c>
      <c r="G73" s="7">
        <f t="shared" si="596"/>
        <v>0</v>
      </c>
      <c r="H73" s="7">
        <f t="shared" si="596"/>
        <v>207.41969459981058</v>
      </c>
      <c r="I73" s="7">
        <f t="shared" si="596"/>
        <v>-3536.0640731331473</v>
      </c>
      <c r="J73" s="7">
        <f t="shared" si="596"/>
        <v>-6828.2997850987786</v>
      </c>
      <c r="K73" s="7">
        <f t="shared" si="596"/>
        <v>-7334.7960205780682</v>
      </c>
      <c r="L73" s="7">
        <f t="shared" si="596"/>
        <v>-7125.7270793455427</v>
      </c>
      <c r="M73" s="7">
        <f t="shared" si="596"/>
        <v>-6743.0773178492036</v>
      </c>
      <c r="N73" s="7">
        <f>IF(OR(N71="",N72=""),"",N71+N72)</f>
        <v>-1859.6777979269255</v>
      </c>
      <c r="O73" s="7">
        <f t="shared" ref="O73:AE73" si="597">IF(OR(O71="",O72=""),"",O71+O72)</f>
        <v>-3454.6362381337258</v>
      </c>
      <c r="P73" s="7">
        <f t="shared" si="597"/>
        <v>238.06845004445901</v>
      </c>
      <c r="Q73" s="7">
        <f t="shared" si="597"/>
        <v>-7649.1845926856449</v>
      </c>
      <c r="R73" s="7">
        <f t="shared" si="597"/>
        <v>-17064.770711894311</v>
      </c>
      <c r="S73" s="7">
        <f t="shared" si="597"/>
        <v>-19812.182044639314</v>
      </c>
      <c r="T73" s="7">
        <f t="shared" si="597"/>
        <v>-12728.816928390142</v>
      </c>
      <c r="U73" s="7">
        <f t="shared" si="597"/>
        <v>19166.129277318443</v>
      </c>
      <c r="V73" s="7">
        <f t="shared" si="597"/>
        <v>13087.683413476925</v>
      </c>
      <c r="W73" s="7">
        <f t="shared" si="597"/>
        <v>13431.569407484267</v>
      </c>
      <c r="X73" s="7">
        <f t="shared" si="597"/>
        <v>-2114.4022844831561</v>
      </c>
      <c r="Y73" s="7">
        <f t="shared" si="597"/>
        <v>-14854.344202668672</v>
      </c>
      <c r="Z73" s="7">
        <f>IF(OR(Z71="",Z72=""),"",Z71+Z72)</f>
        <v>-14340.740969499939</v>
      </c>
      <c r="AA73" s="7">
        <f t="shared" si="597"/>
        <v>-12867.695395394754</v>
      </c>
      <c r="AB73" s="7">
        <f t="shared" si="597"/>
        <v>-10164.263913657313</v>
      </c>
      <c r="AC73" s="7">
        <f t="shared" si="597"/>
        <v>-25688.555600950825</v>
      </c>
      <c r="AD73" s="7">
        <f t="shared" si="597"/>
        <v>-15578.933247539964</v>
      </c>
      <c r="AE73" s="7">
        <f t="shared" si="597"/>
        <v>-32850.97428820654</v>
      </c>
      <c r="AF73" s="7">
        <f t="shared" ref="AF73:AW73" si="598">IF(OR(AF71="",AF72=""),"",AF71+AF72)</f>
        <v>-24542.23031437075</v>
      </c>
      <c r="AG73" s="7">
        <f t="shared" si="598"/>
        <v>22298.687616365201</v>
      </c>
      <c r="AH73" s="7">
        <f t="shared" si="598"/>
        <v>16898.854843513051</v>
      </c>
      <c r="AI73" s="7">
        <f t="shared" si="598"/>
        <v>19435.386516194409</v>
      </c>
      <c r="AJ73" s="7">
        <f t="shared" si="598"/>
        <v>-13456.037416235584</v>
      </c>
      <c r="AK73" s="7">
        <f t="shared" si="598"/>
        <v>-34054.832598257752</v>
      </c>
      <c r="AL73" s="7">
        <f t="shared" si="598"/>
        <v>-19131.836054840187</v>
      </c>
      <c r="AM73" s="7">
        <f t="shared" si="598"/>
        <v>-29712.963980376229</v>
      </c>
      <c r="AN73" s="7">
        <f t="shared" si="598"/>
        <v>-26997.15730202894</v>
      </c>
      <c r="AO73" s="7">
        <f t="shared" si="598"/>
        <v>-94529.280095560462</v>
      </c>
      <c r="AP73" s="7">
        <f t="shared" si="598"/>
        <v>-13939.281367771266</v>
      </c>
      <c r="AQ73" s="7">
        <f t="shared" si="598"/>
        <v>77577.425469534428</v>
      </c>
      <c r="AR73" s="7">
        <f t="shared" si="598"/>
        <v>-7479.4754636912066</v>
      </c>
      <c r="AS73" s="7">
        <f t="shared" si="598"/>
        <v>2252.9285178160271</v>
      </c>
      <c r="AT73" s="7">
        <f t="shared" si="598"/>
        <v>8097.8955623246011</v>
      </c>
      <c r="AU73" s="7">
        <f t="shared" si="598"/>
        <v>8082.9970852261231</v>
      </c>
      <c r="AV73" s="7">
        <f t="shared" si="598"/>
        <v>777.94930874575891</v>
      </c>
      <c r="AW73" s="7">
        <f t="shared" si="598"/>
        <v>-325.77076748674324</v>
      </c>
      <c r="AX73" s="7">
        <f t="shared" ref="AX73:AY73" si="599">IF(OR(AX71="",AX72=""),"",AX71+AX72)</f>
        <v>-10363.216771598367</v>
      </c>
      <c r="AY73" s="7">
        <f t="shared" si="599"/>
        <v>-7971.3348874822113</v>
      </c>
      <c r="AZ73" s="7">
        <f t="shared" ref="AZ73:BA73" si="600">IF(OR(AZ71="",AZ72=""),"",AZ71+AZ72)</f>
        <v>-5062.2171657687668</v>
      </c>
      <c r="BA73" s="7">
        <f t="shared" si="600"/>
        <v>1307.3529825071853</v>
      </c>
      <c r="BB73" s="7">
        <f t="shared" ref="BB73:BC73" si="601">IF(OR(BB71="",BB72=""),"",BB71+BB72)</f>
        <v>-13850.258815323652</v>
      </c>
      <c r="BC73" s="7">
        <f t="shared" si="601"/>
        <v>-13122.271439470518</v>
      </c>
      <c r="BD73" s="7">
        <f t="shared" ref="BD73:BE73" si="602">IF(OR(BD71="",BD72=""),"",BD71+BD72)</f>
        <v>-4862.7667565583806</v>
      </c>
      <c r="BE73" s="7">
        <f t="shared" si="602"/>
        <v>49933.649050135551</v>
      </c>
      <c r="BF73" s="7">
        <f t="shared" ref="BF73:BG73" si="603">IF(OR(BF71="",BF72=""),"",BF71+BF72)</f>
        <v>12910.573980640091</v>
      </c>
      <c r="BG73" s="7">
        <f t="shared" si="603"/>
        <v>11279.967901399505</v>
      </c>
      <c r="BH73" s="7">
        <f t="shared" ref="BH73:BI73" si="604">IF(OR(BH71="",BH72=""),"",BH71+BH72)</f>
        <v>-10599.152365435031</v>
      </c>
      <c r="BI73" s="7">
        <f t="shared" si="604"/>
        <v>-29219.313500222095</v>
      </c>
      <c r="BJ73" s="7">
        <f t="shared" ref="BJ73" si="605">IF(OR(BJ71="",BJ72=""),"",BJ71+BJ72)</f>
        <v>-23048.421592795603</v>
      </c>
      <c r="BK73" s="7">
        <f t="shared" ref="BK73:BL73" si="606">IF(OR(BK71="",BK72=""),"",BK71+BK72)</f>
        <v>-22086.19625505873</v>
      </c>
      <c r="BL73" s="7">
        <f t="shared" si="606"/>
        <v>-22922.412075038279</v>
      </c>
    </row>
    <row r="74" spans="1:64" s="4" customFormat="1" hidden="1" outlineLevel="1" x14ac:dyDescent="0.35">
      <c r="A74" s="295"/>
      <c r="B74" s="18" t="s">
        <v>19</v>
      </c>
      <c r="C74" s="98"/>
      <c r="D74" s="98"/>
      <c r="E74" s="98"/>
      <c r="F74" s="7">
        <f>IF(OR(F73=""),"",F73)</f>
        <v>0</v>
      </c>
      <c r="G74" s="7">
        <f t="shared" ref="G74:M74" si="607">IF(OR(G73="",F74=""),"",G73+F74)</f>
        <v>0</v>
      </c>
      <c r="H74" s="7">
        <f t="shared" si="607"/>
        <v>207.41969459981058</v>
      </c>
      <c r="I74" s="7">
        <f t="shared" si="607"/>
        <v>-3328.6443785333367</v>
      </c>
      <c r="J74" s="7">
        <f t="shared" si="607"/>
        <v>-10156.944163632115</v>
      </c>
      <c r="K74" s="7">
        <f t="shared" si="607"/>
        <v>-17491.740184210183</v>
      </c>
      <c r="L74" s="7">
        <f t="shared" si="607"/>
        <v>-24617.467263555725</v>
      </c>
      <c r="M74" s="7">
        <f t="shared" si="607"/>
        <v>-31360.544581404931</v>
      </c>
      <c r="N74" s="7">
        <f>IF(OR(N73="",M74=""),"",N73+N69+M74)</f>
        <v>-33220.222379331855</v>
      </c>
      <c r="O74" s="7">
        <f>IF(OR(O73="",N74=""),"",O73+O69+N74)</f>
        <v>-36674.858617465579</v>
      </c>
      <c r="P74" s="7">
        <f t="shared" ref="P74:AE74" si="608">IF(OR(P73="",O74=""),"",P73+P69+O74)</f>
        <v>-36436.790167421117</v>
      </c>
      <c r="Q74" s="7">
        <f t="shared" si="608"/>
        <v>-42581.294760106764</v>
      </c>
      <c r="R74" s="7">
        <f t="shared" si="608"/>
        <v>-57054.185472001074</v>
      </c>
      <c r="S74" s="7">
        <f t="shared" si="608"/>
        <v>-74028.017516640393</v>
      </c>
      <c r="T74" s="7">
        <f t="shared" si="608"/>
        <v>-83875.064445030541</v>
      </c>
      <c r="U74" s="7">
        <f t="shared" si="608"/>
        <v>-62458.425167712099</v>
      </c>
      <c r="V74" s="7">
        <f t="shared" si="608"/>
        <v>-46131.341754235174</v>
      </c>
      <c r="W74" s="7">
        <f t="shared" si="608"/>
        <v>-29363.132346750906</v>
      </c>
      <c r="X74" s="7">
        <f t="shared" si="608"/>
        <v>-28093.414631234064</v>
      </c>
      <c r="Y74" s="7">
        <f t="shared" si="608"/>
        <v>-39966.888833902733</v>
      </c>
      <c r="Z74" s="7">
        <f t="shared" si="608"/>
        <v>-51383.949803402669</v>
      </c>
      <c r="AA74" s="7">
        <f t="shared" si="608"/>
        <v>-61266.075198797422</v>
      </c>
      <c r="AB74" s="7">
        <f t="shared" si="608"/>
        <v>-68699.899112454732</v>
      </c>
      <c r="AC74" s="7">
        <f t="shared" si="608"/>
        <v>-90491.304713405552</v>
      </c>
      <c r="AD74" s="7">
        <f t="shared" si="608"/>
        <v>-103286.21796094552</v>
      </c>
      <c r="AE74" s="7">
        <f t="shared" si="608"/>
        <v>-131417.89224915206</v>
      </c>
      <c r="AF74" s="7">
        <f t="shared" ref="AF74" si="609">IF(OR(AF73="",AE74=""),"",AF73+AF69+AE74)</f>
        <v>-151165.5225635228</v>
      </c>
      <c r="AG74" s="7">
        <f t="shared" ref="AG74" si="610">IF(OR(AG73="",AF74=""),"",AG73+AG69+AF74)</f>
        <v>-124239.48494715759</v>
      </c>
      <c r="AH74" s="7">
        <f t="shared" ref="AH74" si="611">IF(OR(AH73="",AG74=""),"",AH73+AH69+AG74)</f>
        <v>-101435.26010364454</v>
      </c>
      <c r="AI74" s="7">
        <f t="shared" ref="AI74" si="612">IF(OR(AI73="",AH74=""),"",AI73+AI69+AH74)</f>
        <v>-76378.203587450131</v>
      </c>
      <c r="AJ74" s="7">
        <f t="shared" ref="AJ74" si="613">IF(OR(AJ73="",AI74=""),"",AJ73+AJ69+AI74)</f>
        <v>-83755.511003685708</v>
      </c>
      <c r="AK74" s="7">
        <f t="shared" ref="AK74" si="614">IF(OR(AK73="",AJ74=""),"",AK73+AK69+AJ74)</f>
        <v>-112238.76360194346</v>
      </c>
      <c r="AL74" s="7">
        <f t="shared" ref="AL74" si="615">IF(OR(AL73="",AK74=""),"",AL73+AL69+AK74)</f>
        <v>-127671.70965678364</v>
      </c>
      <c r="AM74" s="7">
        <f t="shared" ref="AM74" si="616">IF(OR(AM73="",AL74=""),"",AM73+AM69+AL74)</f>
        <v>-152198.53363715988</v>
      </c>
      <c r="AN74" s="7">
        <f t="shared" ref="AN74" si="617">IF(OR(AN73="",AM74=""),"",AN73+AN69+AM74)</f>
        <v>-174363.38093918882</v>
      </c>
      <c r="AO74" s="7">
        <f t="shared" ref="AO74" si="618">IF(OR(AO73="",AN74=""),"",AO73+AO69+AN74)</f>
        <v>-193449.93103474929</v>
      </c>
      <c r="AP74" s="7">
        <f t="shared" ref="AP74" si="619">IF(OR(AP73="",AO74=""),"",AP73+AP69+AO74)</f>
        <v>-193757.93240252056</v>
      </c>
      <c r="AQ74" s="7">
        <f t="shared" ref="AQ74" si="620">IF(OR(AQ73="",AP74=""),"",AQ73+AQ69+AP74)</f>
        <v>-164277.77693298613</v>
      </c>
      <c r="AR74" s="7">
        <f t="shared" ref="AR74" si="621">IF(OR(AR73="",AQ74=""),"",AR73+AR69+AQ74)</f>
        <v>-161129.03239667733</v>
      </c>
      <c r="AS74" s="7">
        <f t="shared" ref="AS74" si="622">IF(OR(AS73="",AR74=""),"",AS73+AS69+AR74)</f>
        <v>-145920.15387886131</v>
      </c>
      <c r="AT74" s="7">
        <f t="shared" ref="AT74" si="623">IF(OR(AT73="",AS74=""),"",AT73+AT69+AS74)</f>
        <v>-122958.67831653671</v>
      </c>
      <c r="AU74" s="7">
        <f t="shared" ref="AU74" si="624">IF(OR(AU73="",AT74=""),"",AU73+AU69+AT74)</f>
        <v>-100178.93123131059</v>
      </c>
      <c r="AV74" s="7">
        <f t="shared" ref="AV74" si="625">IF(OR(AV73="",AU74=""),"",AV73+AV69+AU74)</f>
        <v>-84079.361922564829</v>
      </c>
      <c r="AW74" s="7">
        <f t="shared" ref="AW74:AY74" si="626">IF(OR(AW73="",AV74=""),"",AW73+AW69+AV74)</f>
        <v>-71242.422690051579</v>
      </c>
      <c r="AX74" s="7">
        <f t="shared" si="626"/>
        <v>-68458.119461649942</v>
      </c>
      <c r="AY74" s="7">
        <f t="shared" si="626"/>
        <v>-63522.424349132154</v>
      </c>
      <c r="AZ74" s="7">
        <f t="shared" ref="AZ74:BL74" si="627">IF(OR(AZ73="",AY74=""),"",AZ73+AZ69+AY74)</f>
        <v>-57688.801514900922</v>
      </c>
      <c r="BA74" s="7">
        <f t="shared" si="627"/>
        <v>-55314.958532393735</v>
      </c>
      <c r="BB74" s="7">
        <f t="shared" si="627"/>
        <v>-66148.227347717388</v>
      </c>
      <c r="BC74" s="7">
        <f t="shared" si="627"/>
        <v>-76235.208787187905</v>
      </c>
      <c r="BD74" s="7">
        <f t="shared" si="627"/>
        <v>-77923.045543746281</v>
      </c>
      <c r="BE74" s="7">
        <f t="shared" si="627"/>
        <v>-24170.586493610732</v>
      </c>
      <c r="BF74" s="7">
        <f t="shared" si="627"/>
        <v>-7683.2725129706414</v>
      </c>
      <c r="BG74" s="7">
        <f t="shared" si="627"/>
        <v>7697.4953884288625</v>
      </c>
      <c r="BH74" s="7">
        <f t="shared" si="627"/>
        <v>1570.7630229938313</v>
      </c>
      <c r="BI74" s="7">
        <f t="shared" si="627"/>
        <v>-23138.390477228262</v>
      </c>
      <c r="BJ74" s="7">
        <f t="shared" si="627"/>
        <v>-42600.732070023863</v>
      </c>
      <c r="BK74" s="7">
        <f t="shared" si="627"/>
        <v>-61174.648325082599</v>
      </c>
      <c r="BL74" s="7">
        <f t="shared" si="627"/>
        <v>-80452.240400120878</v>
      </c>
    </row>
    <row r="75" spans="1:64" s="4" customFormat="1" ht="8.25" hidden="1" customHeight="1" outlineLevel="1" x14ac:dyDescent="0.35">
      <c r="A75" s="40"/>
      <c r="B75" s="11"/>
      <c r="C75" s="99"/>
      <c r="D75" s="99"/>
      <c r="E75" s="99"/>
      <c r="F75" s="97"/>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row>
    <row r="76" spans="1:64" ht="15" customHeight="1" collapsed="1" x14ac:dyDescent="0.35">
      <c r="A76" s="296" t="s">
        <v>65</v>
      </c>
      <c r="B76" s="84"/>
      <c r="C76" s="32"/>
      <c r="D76" s="32"/>
      <c r="E76" s="32"/>
      <c r="F76" s="29"/>
      <c r="G76" s="29"/>
      <c r="H76" s="29"/>
      <c r="I76" s="29"/>
      <c r="J76" s="29"/>
      <c r="K76" s="107"/>
      <c r="L76" s="29"/>
      <c r="M76" s="29"/>
      <c r="N76" s="29"/>
      <c r="O76" s="7"/>
      <c r="P76" s="29"/>
      <c r="Q76" s="29"/>
      <c r="R76" s="29"/>
      <c r="S76" s="29"/>
      <c r="T76" s="29"/>
      <c r="U76" s="29"/>
      <c r="V76" s="29"/>
      <c r="W76" s="29"/>
      <c r="X76" s="29"/>
      <c r="Y76" s="29"/>
      <c r="Z76" s="29"/>
      <c r="AA76" s="152"/>
      <c r="AB76" s="152"/>
      <c r="AC76" s="151">
        <v>-50000</v>
      </c>
      <c r="AD76" s="29"/>
      <c r="AE76" s="29"/>
      <c r="AF76" s="29"/>
      <c r="AG76" s="174"/>
      <c r="AH76" s="29"/>
      <c r="AI76" s="29"/>
      <c r="AJ76" s="29"/>
      <c r="AK76" s="151">
        <v>-153732.06</v>
      </c>
      <c r="AL76" s="151">
        <f>'MEEIA 3 adjs'!BW35</f>
        <v>-31.022527238338242</v>
      </c>
      <c r="AM76" s="29"/>
      <c r="AN76" s="29"/>
      <c r="AO76" s="210">
        <v>13638.822646076675</v>
      </c>
      <c r="AP76" s="29"/>
      <c r="AQ76" s="29"/>
      <c r="AR76" s="29"/>
      <c r="AS76" s="29"/>
      <c r="AT76" s="29"/>
      <c r="AU76" s="29"/>
      <c r="AV76" s="29"/>
      <c r="AW76" s="29"/>
      <c r="AX76" s="29"/>
      <c r="AY76" s="29"/>
      <c r="AZ76" s="207">
        <f>+'MEEIA 2 adjs'!EC81</f>
        <v>-0.14536509454228508</v>
      </c>
      <c r="BA76" s="226"/>
      <c r="BB76" s="226"/>
      <c r="BC76" s="226"/>
      <c r="BD76" s="226"/>
      <c r="BE76" s="226"/>
      <c r="BF76" s="226"/>
      <c r="BG76" s="226"/>
      <c r="BH76" s="226"/>
      <c r="BI76" s="226"/>
      <c r="BJ76" s="226"/>
      <c r="BK76" s="226"/>
      <c r="BL76" s="226"/>
    </row>
    <row r="77" spans="1:64" s="3" customFormat="1" x14ac:dyDescent="0.35">
      <c r="A77" s="296"/>
      <c r="B77" s="84" t="s">
        <v>66</v>
      </c>
      <c r="C77" s="94"/>
      <c r="D77" s="94"/>
      <c r="E77" s="94"/>
      <c r="F77" s="22"/>
      <c r="G77" s="22"/>
      <c r="H77" s="22"/>
      <c r="I77" s="22"/>
      <c r="J77" s="22"/>
      <c r="K77" s="22"/>
      <c r="L77" s="21"/>
      <c r="M77" s="22"/>
      <c r="N77" s="22"/>
      <c r="O77" s="21"/>
      <c r="P77" s="22"/>
      <c r="Q77" s="22"/>
      <c r="R77" s="22"/>
      <c r="S77" s="22"/>
      <c r="T77" s="22"/>
      <c r="U77" s="22"/>
      <c r="V77" s="22"/>
      <c r="W77" s="22"/>
      <c r="X77" s="22"/>
      <c r="Y77" s="22"/>
      <c r="Z77" s="22"/>
      <c r="AA77" s="22"/>
      <c r="AB77" s="22">
        <v>0</v>
      </c>
      <c r="AC77" s="22">
        <v>0</v>
      </c>
      <c r="AD77" s="22">
        <v>0</v>
      </c>
      <c r="AE77" s="22">
        <v>0</v>
      </c>
      <c r="AF77" s="22">
        <v>0</v>
      </c>
      <c r="AG77" s="22">
        <v>0</v>
      </c>
      <c r="AH77" s="22">
        <v>0</v>
      </c>
      <c r="AI77" s="22">
        <v>0</v>
      </c>
      <c r="AJ77" s="22">
        <v>0</v>
      </c>
      <c r="AK77" s="22">
        <v>0</v>
      </c>
      <c r="AL77" s="22">
        <v>0</v>
      </c>
      <c r="AM77" s="22">
        <v>0</v>
      </c>
      <c r="AN77" s="22">
        <v>0</v>
      </c>
      <c r="AO77" s="22">
        <v>-7656.73</v>
      </c>
      <c r="AP77" s="22">
        <v>-17111.14</v>
      </c>
      <c r="AQ77" s="22">
        <v>-14510.33</v>
      </c>
      <c r="AR77" s="22">
        <v>-14291.36</v>
      </c>
      <c r="AS77" s="22">
        <v>-17612.43</v>
      </c>
      <c r="AT77" s="22">
        <v>-22392.62</v>
      </c>
      <c r="AU77" s="22">
        <v>-21403.22</v>
      </c>
      <c r="AV77" s="22">
        <v>-19009.3</v>
      </c>
      <c r="AW77" s="22">
        <v>-14623.32</v>
      </c>
      <c r="AX77" s="22">
        <v>-13738.07</v>
      </c>
      <c r="AY77" s="22">
        <v>-18464.63</v>
      </c>
      <c r="AZ77" s="22">
        <v>-20880.5</v>
      </c>
      <c r="BA77" s="22">
        <v>-9952.4599999999991</v>
      </c>
      <c r="BB77" s="22">
        <v>-159.21</v>
      </c>
      <c r="BC77" s="22">
        <v>-114.67</v>
      </c>
      <c r="BD77" s="22">
        <v>-124.39</v>
      </c>
      <c r="BE77" s="22">
        <v>-11657.69</v>
      </c>
      <c r="BF77" s="22">
        <v>-117.23</v>
      </c>
      <c r="BG77" s="22">
        <v>-147.81</v>
      </c>
      <c r="BH77" s="22">
        <v>-187.27</v>
      </c>
      <c r="BI77" s="22">
        <v>-179.28</v>
      </c>
      <c r="BJ77" s="125">
        <f>SUM('[1]OAR (M3)'!AI29:AI33)</f>
        <v>636.22801103591996</v>
      </c>
      <c r="BK77" s="125">
        <f>SUM('[1]OAR (M3)'!AJ29:AJ33)</f>
        <v>931.46390262466196</v>
      </c>
      <c r="BL77" s="125">
        <f>SUM('[1]OAR (M3)'!AK29:AK33)</f>
        <v>1263.2976989823881</v>
      </c>
    </row>
    <row r="78" spans="1:64" s="3" customFormat="1" x14ac:dyDescent="0.35">
      <c r="A78" s="296"/>
      <c r="B78" s="84" t="s">
        <v>67</v>
      </c>
      <c r="C78" s="94"/>
      <c r="D78" s="94"/>
      <c r="E78" s="94"/>
      <c r="F78" s="7"/>
      <c r="G78" s="7"/>
      <c r="H78" s="7"/>
      <c r="I78" s="8"/>
      <c r="J78" s="8"/>
      <c r="K78" s="8"/>
      <c r="L78" s="8"/>
      <c r="M78" s="8"/>
      <c r="N78" s="8"/>
      <c r="O78" s="8"/>
      <c r="P78" s="8"/>
      <c r="Q78" s="8"/>
      <c r="R78" s="8"/>
      <c r="S78" s="8"/>
      <c r="T78" s="8"/>
      <c r="U78" s="8"/>
      <c r="V78" s="8"/>
      <c r="W78" s="8"/>
      <c r="X78" s="8"/>
      <c r="Y78" s="8"/>
      <c r="Z78" s="8"/>
      <c r="AA78" s="8"/>
      <c r="AB78" s="8">
        <f>IF(OR(AB77=""),"",AB76-AB77)</f>
        <v>0</v>
      </c>
      <c r="AC78" s="8">
        <f>IF(OR(AC77=""),"",AC76-AC77)</f>
        <v>-50000</v>
      </c>
      <c r="AD78" s="8">
        <f>IF(OR(AD77=""),"",AD76-AD77)</f>
        <v>0</v>
      </c>
      <c r="AE78" s="8">
        <f t="shared" ref="AE78:AF78" si="628">IF(OR(AE77=""),"",AE76-AE77)</f>
        <v>0</v>
      </c>
      <c r="AF78" s="8">
        <f t="shared" si="628"/>
        <v>0</v>
      </c>
      <c r="AG78" s="8">
        <f t="shared" ref="AG78:AW78" si="629">IF(OR(AG77=""),"",AG76-AG77)</f>
        <v>0</v>
      </c>
      <c r="AH78" s="8">
        <f t="shared" si="629"/>
        <v>0</v>
      </c>
      <c r="AI78" s="8">
        <f>IF(OR(AI77=""),"",AI76-AI77)</f>
        <v>0</v>
      </c>
      <c r="AJ78" s="8">
        <f t="shared" si="629"/>
        <v>0</v>
      </c>
      <c r="AK78" s="8">
        <f>IF(OR(AK77=""),"",AK76-AK77)</f>
        <v>-153732.06</v>
      </c>
      <c r="AL78" s="113">
        <v>1793.31</v>
      </c>
      <c r="AM78" s="8">
        <f>IF(OR(AM77=""),"",AM76-AM77)</f>
        <v>0</v>
      </c>
      <c r="AN78" s="8">
        <f t="shared" si="629"/>
        <v>0</v>
      </c>
      <c r="AO78" s="8">
        <f>IF(OR(AO77=""),"",AO76-AO77)-AO76</f>
        <v>7656.73</v>
      </c>
      <c r="AP78" s="8">
        <f t="shared" si="629"/>
        <v>17111.14</v>
      </c>
      <c r="AQ78" s="8">
        <f t="shared" si="629"/>
        <v>14510.33</v>
      </c>
      <c r="AR78" s="8">
        <f t="shared" si="629"/>
        <v>14291.36</v>
      </c>
      <c r="AS78" s="8">
        <f t="shared" si="629"/>
        <v>17612.43</v>
      </c>
      <c r="AT78" s="8">
        <f t="shared" si="629"/>
        <v>22392.62</v>
      </c>
      <c r="AU78" s="8">
        <f t="shared" si="629"/>
        <v>21403.22</v>
      </c>
      <c r="AV78" s="8">
        <f t="shared" si="629"/>
        <v>19009.3</v>
      </c>
      <c r="AW78" s="8">
        <f t="shared" si="629"/>
        <v>14623.32</v>
      </c>
      <c r="AX78" s="8">
        <f t="shared" ref="AX78" si="630">IF(OR(AX77=""),"",AX76-AX77)</f>
        <v>13738.07</v>
      </c>
      <c r="AY78" s="8">
        <f>IF(OR(AY77=""),"",AY76-AY77)</f>
        <v>18464.63</v>
      </c>
      <c r="AZ78" s="8">
        <f>IF(OR(AZ77=""),"",AZ76-AZ77)-AZ76</f>
        <v>20880.5</v>
      </c>
      <c r="BA78" s="8">
        <f t="shared" ref="BA78:BF78" si="631">IF(OR(BA77=""),"",BA76-BA77)</f>
        <v>9952.4599999999991</v>
      </c>
      <c r="BB78" s="8">
        <f t="shared" si="631"/>
        <v>159.21</v>
      </c>
      <c r="BC78" s="8">
        <f t="shared" si="631"/>
        <v>114.67</v>
      </c>
      <c r="BD78" s="8">
        <f t="shared" si="631"/>
        <v>124.39</v>
      </c>
      <c r="BE78" s="8">
        <f t="shared" si="631"/>
        <v>11657.69</v>
      </c>
      <c r="BF78" s="8">
        <f t="shared" si="631"/>
        <v>117.23</v>
      </c>
      <c r="BG78" s="8">
        <f t="shared" ref="BG78:BH78" si="632">IF(OR(BG77=""),"",BG76-BG77)</f>
        <v>147.81</v>
      </c>
      <c r="BH78" s="8">
        <f t="shared" si="632"/>
        <v>187.27</v>
      </c>
      <c r="BI78" s="8">
        <f t="shared" ref="BI78:BJ78" si="633">IF(OR(BI77=""),"",BI76-BI77)</f>
        <v>179.28</v>
      </c>
      <c r="BJ78" s="8">
        <f t="shared" si="633"/>
        <v>-636.22801103591996</v>
      </c>
      <c r="BK78" s="8">
        <f t="shared" ref="BK78:BL78" si="634">IF(OR(BK77=""),"",BK76-BK77)</f>
        <v>-931.46390262466196</v>
      </c>
      <c r="BL78" s="8">
        <f t="shared" si="634"/>
        <v>-1263.2976989823881</v>
      </c>
    </row>
    <row r="79" spans="1:64" s="3" customFormat="1" x14ac:dyDescent="0.35">
      <c r="A79" s="296"/>
      <c r="B79" s="85" t="s">
        <v>8</v>
      </c>
      <c r="C79" s="94"/>
      <c r="D79" s="94"/>
      <c r="E79" s="94"/>
      <c r="F79" s="8"/>
      <c r="G79" s="8"/>
      <c r="H79" s="8"/>
      <c r="I79" s="8"/>
      <c r="J79" s="8"/>
      <c r="K79" s="8"/>
      <c r="L79" s="8"/>
      <c r="M79" s="8"/>
      <c r="N79" s="8"/>
      <c r="O79" s="8"/>
      <c r="P79" s="8"/>
      <c r="Q79" s="8"/>
      <c r="R79" s="8"/>
      <c r="S79" s="8"/>
      <c r="T79" s="8"/>
      <c r="U79" s="8"/>
      <c r="V79" s="8"/>
      <c r="W79" s="8"/>
      <c r="X79" s="8" t="str">
        <f>IF(OR(X9="",X78=""),"",((X78)*X9)/12)</f>
        <v/>
      </c>
      <c r="Y79" s="8" t="str">
        <f>IF(OR(Y9="",Y78=""),"",((Y78+X82)*Y9)/12)</f>
        <v/>
      </c>
      <c r="Z79" s="8" t="str">
        <f t="shared" ref="Z79:AA79" si="635">IF(OR(Z9="",Z78=""),"",((Z78+Y82)*Z9)/12)</f>
        <v/>
      </c>
      <c r="AA79" s="8" t="str">
        <f t="shared" si="635"/>
        <v/>
      </c>
      <c r="AB79" s="8">
        <f>IF(OR(AB9="",AB78=""),"",((AB78)*AB9)/12)</f>
        <v>0</v>
      </c>
      <c r="AC79" s="8">
        <f>IF(OR(AC9="",AC78=""),"",((AC78+AB82)*AC9)/12)</f>
        <v>-9.6757083333333345</v>
      </c>
      <c r="AD79" s="8">
        <f>IF(OR(AD9="",AD78=""),"",((AD78+AC82)*AD9)/12)</f>
        <v>-8.9048062060853468</v>
      </c>
      <c r="AE79" s="8">
        <f t="shared" ref="AE79:AF79" si="636">IF(OR(AE9="",AE78=""),"",((AE78+AD82)*AE9)/12)</f>
        <v>-9.38361075097888</v>
      </c>
      <c r="AF79" s="8">
        <f t="shared" si="636"/>
        <v>-9.3498929752559405</v>
      </c>
      <c r="AG79" s="8">
        <f t="shared" ref="AG79" si="637">IF(OR(AG9="",AG78=""),"",((AG78+AF82)*AG9)/12)</f>
        <v>-8.4087289230078603</v>
      </c>
      <c r="AH79" s="8">
        <f t="shared" ref="AH79" si="638">IF(OR(AH9="",AH78=""),"",((AH78+AG82)*AH9)/12)</f>
        <v>-5.8198588030395255</v>
      </c>
      <c r="AI79" s="8">
        <f>IF(OR(AI9="",AI78=""),"",((AI78+AH82)*AI9)/12)</f>
        <v>-8.55460111412191</v>
      </c>
      <c r="AJ79" s="8">
        <f t="shared" ref="AJ79" si="639">IF(OR(AJ9="",AJ78=""),"",((AJ78+AI82)*AJ9)/12)</f>
        <v>-8.0610523030172327</v>
      </c>
      <c r="AK79" s="8">
        <f>IF(OR(AK9="",AK76=""),"",((AK76+AJ82)*AK9)/12)</f>
        <v>-25.475027282426108</v>
      </c>
      <c r="AL79" s="113">
        <f>IF(OR(AL9="",AL78=""),"",((AL78+AK82+AL76)*AL9)/12)+AL76-1793.31</f>
        <v>-1850.1308041894602</v>
      </c>
      <c r="AM79" s="8">
        <f t="shared" ref="AM79" si="640">IF(OR(AM9="",AM78=""),"",((AM78+AL82)*AM9)/12)</f>
        <v>-44.253379291805963</v>
      </c>
      <c r="AN79" s="8">
        <f t="shared" ref="AN79" si="641">IF(OR(AN9="",AN78=""),"",((AN78+AM82)*AN9)/12)</f>
        <v>-39.842192194484952</v>
      </c>
      <c r="AO79" s="8">
        <f>IF(OR(AO9="",AO78=""),"",((AO78+AN82+AO76)*AO9)/12)</f>
        <v>-45.035874622677056</v>
      </c>
      <c r="AP79" s="8">
        <f t="shared" ref="AP79" si="642">IF(OR(AP9="",AP78=""),"",((AP78+AO82)*AP9)/12)</f>
        <v>-94.987688879169866</v>
      </c>
      <c r="AQ79" s="8">
        <f t="shared" ref="AQ79" si="643">IF(OR(AQ9="",AQ78=""),"",((AQ78+AP82)*AQ9)/12)</f>
        <v>-75.647217688230427</v>
      </c>
      <c r="AR79" s="8">
        <f t="shared" ref="AR79" si="644">IF(OR(AR9="",AR78=""),"",((AR78+AQ82)*AR9)/12)</f>
        <v>-108.40399633979678</v>
      </c>
      <c r="AS79" s="8">
        <f t="shared" ref="AS79" si="645">IF(OR(AS9="",AS78=""),"",((AS78+AR82)*AS9)/12)</f>
        <v>-147.93018376899707</v>
      </c>
      <c r="AT79" s="8">
        <f t="shared" ref="AT79" si="646">IF(OR(AT9="",AT78=""),"",((AT78+AS82)*AT9)/12)</f>
        <v>-166.63504960123996</v>
      </c>
      <c r="AU79" s="8">
        <f t="shared" ref="AU79" si="647">IF(OR(AU9="",AU78=""),"",((AU78+AT82)*AU9)/12)</f>
        <v>-162.3657218016298</v>
      </c>
      <c r="AV79" s="8">
        <f t="shared" ref="AV79" si="648">IF(OR(AV9="",AV78=""),"",((AV78+AU82)*AV9)/12)</f>
        <v>-135.31602872263318</v>
      </c>
      <c r="AW79" s="8">
        <f t="shared" ref="AW79:AY79" si="649">IF(OR(AW9="",AW78=""),"",((AW78+AV82)*AW9)/12)</f>
        <v>-123.3444286647695</v>
      </c>
      <c r="AX79" s="8">
        <f t="shared" si="649"/>
        <v>-103.71976128166392</v>
      </c>
      <c r="AY79" s="8">
        <f t="shared" si="649"/>
        <v>-41.089059074617516</v>
      </c>
      <c r="AZ79" s="8">
        <f>IF(OR(AZ9="",AZ78=""),"",((AZ78+AY82+AZ76)*AZ9)/12)+AZ76</f>
        <v>40.3662559643086</v>
      </c>
      <c r="BA79" s="8">
        <f t="shared" ref="BA79:BL79" si="650">IF(OR(BA9="",BA78=""),"",((BA78+AZ82)*BA9)/12)</f>
        <v>81.422101751264464</v>
      </c>
      <c r="BB79" s="8">
        <f t="shared" si="650"/>
        <v>84.798609843032736</v>
      </c>
      <c r="BC79" s="8">
        <f t="shared" si="650"/>
        <v>90.078177758758827</v>
      </c>
      <c r="BD79" s="8">
        <f t="shared" si="650"/>
        <v>92.369910005295935</v>
      </c>
      <c r="BE79" s="8">
        <f t="shared" si="650"/>
        <v>146.37430222097268</v>
      </c>
      <c r="BF79" s="8">
        <f t="shared" si="650"/>
        <v>148.86796039940342</v>
      </c>
      <c r="BG79" s="8">
        <f t="shared" si="650"/>
        <v>152.36119639039887</v>
      </c>
      <c r="BH79" s="8">
        <f t="shared" si="650"/>
        <v>154.33205535077255</v>
      </c>
      <c r="BI79" s="8">
        <f t="shared" si="650"/>
        <v>155.37325547625179</v>
      </c>
      <c r="BJ79" s="125">
        <f t="shared" si="650"/>
        <v>153.16234301275912</v>
      </c>
      <c r="BK79" s="125">
        <f t="shared" si="650"/>
        <v>149.58380583785075</v>
      </c>
      <c r="BL79" s="125">
        <f t="shared" si="650"/>
        <v>144.46308300283934</v>
      </c>
    </row>
    <row r="80" spans="1:64" s="3" customFormat="1" x14ac:dyDescent="0.35">
      <c r="A80" s="296"/>
      <c r="B80" s="85" t="s">
        <v>6</v>
      </c>
      <c r="C80" s="94"/>
      <c r="D80" s="94"/>
      <c r="E80" s="94"/>
      <c r="F80" s="8"/>
      <c r="G80" s="8"/>
      <c r="H80" s="8"/>
      <c r="I80" s="8"/>
      <c r="J80" s="8"/>
      <c r="K80" s="8"/>
      <c r="L80" s="8"/>
      <c r="M80" s="8"/>
      <c r="N80" s="8"/>
      <c r="O80" s="8"/>
      <c r="P80" s="8"/>
      <c r="Q80" s="8"/>
      <c r="R80" s="8"/>
      <c r="S80" s="8"/>
      <c r="T80" s="8"/>
      <c r="U80" s="8"/>
      <c r="V80" s="8"/>
      <c r="W80" s="8"/>
      <c r="X80" s="8" t="str">
        <f>IF(OR(X79=""),"",X79)</f>
        <v/>
      </c>
      <c r="Y80" s="8" t="str">
        <f>IF(OR(X80="",Y79=""),"",X80+Y79)</f>
        <v/>
      </c>
      <c r="Z80" s="8" t="str">
        <f t="shared" ref="Z80:AA80" si="651">IF(OR(Y80="",Z79=""),"",Y80+Z79)</f>
        <v/>
      </c>
      <c r="AA80" s="8" t="str">
        <f t="shared" si="651"/>
        <v/>
      </c>
      <c r="AB80" s="8">
        <f>IF(OR(AB79=""),"",AB79)</f>
        <v>0</v>
      </c>
      <c r="AC80" s="8">
        <f>IF(OR(AB80="",AC79=""),"",AB80+AC79)</f>
        <v>-9.6757083333333345</v>
      </c>
      <c r="AD80" s="8">
        <f>IF(OR(AC80="",AD79=""),"",AC80+AD79)</f>
        <v>-18.580514539418679</v>
      </c>
      <c r="AE80" s="8">
        <f t="shared" ref="AE80:AF80" si="652">IF(OR(AD80="",AE79=""),"",AD80+AE79)</f>
        <v>-27.964125290397561</v>
      </c>
      <c r="AF80" s="8">
        <f t="shared" si="652"/>
        <v>-37.314018265653502</v>
      </c>
      <c r="AG80" s="8">
        <f t="shared" ref="AG80" si="653">IF(OR(AF80="",AG79=""),"",AF80+AG79)</f>
        <v>-45.722747188661359</v>
      </c>
      <c r="AH80" s="8">
        <f t="shared" ref="AH80" si="654">IF(OR(AG80="",AH79=""),"",AG80+AH79)</f>
        <v>-51.542605991700881</v>
      </c>
      <c r="AI80" s="8">
        <f t="shared" ref="AI80" si="655">IF(OR(AH80="",AI79=""),"",AH80+AI79)</f>
        <v>-60.09720710582279</v>
      </c>
      <c r="AJ80" s="8">
        <f t="shared" ref="AJ80" si="656">IF(OR(AI80="",AJ79=""),"",AI80+AJ79)</f>
        <v>-68.158259408840024</v>
      </c>
      <c r="AK80" s="8">
        <f>IF(OR(AJ80="",AK79=""),"",AJ80+AK79)</f>
        <v>-93.633286691266136</v>
      </c>
      <c r="AL80" s="8">
        <f>IF(OR(AK80="",AL79=""),"",AK80+AL79)</f>
        <v>-1943.7640908807264</v>
      </c>
      <c r="AM80" s="8">
        <f t="shared" ref="AM80" si="657">IF(OR(AL80="",AM79=""),"",AL80+AM79)</f>
        <v>-1988.0174701725323</v>
      </c>
      <c r="AN80" s="8">
        <f t="shared" ref="AN80" si="658">IF(OR(AM80="",AN79=""),"",AM80+AN79)</f>
        <v>-2027.8596623670173</v>
      </c>
      <c r="AO80" s="8">
        <f>IF(OR(AN80="",AO79=""),"",AN80+AO79)</f>
        <v>-2072.8955369896944</v>
      </c>
      <c r="AP80" s="8">
        <f t="shared" ref="AP80" si="659">IF(OR(AO80="",AP79=""),"",AO80+AP79)</f>
        <v>-2167.8832258688644</v>
      </c>
      <c r="AQ80" s="8">
        <f t="shared" ref="AQ80" si="660">IF(OR(AP80="",AQ79=""),"",AP80+AQ79)</f>
        <v>-2243.5304435570947</v>
      </c>
      <c r="AR80" s="8">
        <f t="shared" ref="AR80" si="661">IF(OR(AQ80="",AR79=""),"",AQ80+AR79)</f>
        <v>-2351.9344398968915</v>
      </c>
      <c r="AS80" s="8">
        <f t="shared" ref="AS80" si="662">IF(OR(AR80="",AS79=""),"",AR80+AS79)</f>
        <v>-2499.8646236658888</v>
      </c>
      <c r="AT80" s="8">
        <f t="shared" ref="AT80" si="663">IF(OR(AS80="",AT79=""),"",AS80+AT79)</f>
        <v>-2666.4996732671289</v>
      </c>
      <c r="AU80" s="8">
        <f t="shared" ref="AU80" si="664">IF(OR(AT80="",AU79=""),"",AT80+AU79)</f>
        <v>-2828.8653950687585</v>
      </c>
      <c r="AV80" s="8">
        <f t="shared" ref="AV80" si="665">IF(OR(AU80="",AV79=""),"",AU80+AV79)</f>
        <v>-2964.1814237913918</v>
      </c>
      <c r="AW80" s="8">
        <f t="shared" ref="AW80:AY80" si="666">IF(OR(AV80="",AW79=""),"",AV80+AW79)</f>
        <v>-3087.5258524561614</v>
      </c>
      <c r="AX80" s="8">
        <f t="shared" si="666"/>
        <v>-3191.2456137378254</v>
      </c>
      <c r="AY80" s="8">
        <f t="shared" si="666"/>
        <v>-3232.3346728124429</v>
      </c>
      <c r="AZ80" s="8">
        <f t="shared" ref="AZ80:BL80" si="667">IF(OR(AY80="",AZ79=""),"",AY80+AZ79)</f>
        <v>-3191.9684168481344</v>
      </c>
      <c r="BA80" s="8">
        <f t="shared" si="667"/>
        <v>-3110.5463150968699</v>
      </c>
      <c r="BB80" s="8">
        <f t="shared" si="667"/>
        <v>-3025.747705253837</v>
      </c>
      <c r="BC80" s="8">
        <f t="shared" si="667"/>
        <v>-2935.669527495078</v>
      </c>
      <c r="BD80" s="8">
        <f t="shared" si="667"/>
        <v>-2843.2996174897821</v>
      </c>
      <c r="BE80" s="8">
        <f t="shared" si="667"/>
        <v>-2696.9253152688093</v>
      </c>
      <c r="BF80" s="8">
        <f t="shared" si="667"/>
        <v>-2548.057354869406</v>
      </c>
      <c r="BG80" s="8">
        <f t="shared" si="667"/>
        <v>-2395.696158479007</v>
      </c>
      <c r="BH80" s="8">
        <f t="shared" si="667"/>
        <v>-2241.3641031282345</v>
      </c>
      <c r="BI80" s="8">
        <f t="shared" si="667"/>
        <v>-2085.9908476519827</v>
      </c>
      <c r="BJ80" s="8">
        <f t="shared" si="667"/>
        <v>-1932.8285046392236</v>
      </c>
      <c r="BK80" s="8">
        <f t="shared" si="667"/>
        <v>-1783.2446988013728</v>
      </c>
      <c r="BL80" s="8">
        <f t="shared" si="667"/>
        <v>-1638.7816157985335</v>
      </c>
    </row>
    <row r="81" spans="1:64" s="3" customFormat="1" x14ac:dyDescent="0.35">
      <c r="A81" s="296"/>
      <c r="B81" s="84" t="s">
        <v>69</v>
      </c>
      <c r="C81" s="94"/>
      <c r="D81" s="94"/>
      <c r="E81" s="94"/>
      <c r="F81" s="8"/>
      <c r="G81" s="8"/>
      <c r="H81" s="8"/>
      <c r="I81" s="8"/>
      <c r="J81" s="8"/>
      <c r="K81" s="8"/>
      <c r="L81" s="8"/>
      <c r="M81" s="8"/>
      <c r="N81" s="8"/>
      <c r="O81" s="8"/>
      <c r="P81" s="8"/>
      <c r="Q81" s="8"/>
      <c r="R81" s="8"/>
      <c r="S81" s="8"/>
      <c r="T81" s="8"/>
      <c r="U81" s="8"/>
      <c r="V81" s="8"/>
      <c r="W81" s="8"/>
      <c r="X81" s="8" t="str">
        <f>IF(OR(X79="",X78=""),"",X78+X79)</f>
        <v/>
      </c>
      <c r="Y81" s="8" t="str">
        <f>IF(OR(Y79="",Y78=""),"",Y78+Y79)</f>
        <v/>
      </c>
      <c r="Z81" s="8" t="str">
        <f>IF(OR(Z79="",Z78=""),"",Z78+Z79)</f>
        <v/>
      </c>
      <c r="AA81" s="8" t="str">
        <f t="shared" ref="AA81" si="668">IF(OR(AA79="",AA78=""),"",AA78+AA79)</f>
        <v/>
      </c>
      <c r="AB81" s="8">
        <f>IF(OR(AB79="",AB78=""),"",AB78+AB79)</f>
        <v>0</v>
      </c>
      <c r="AC81" s="8">
        <f>IF(OR(AC79="",AC78=""),"",AC78+AC79)</f>
        <v>-50009.675708333336</v>
      </c>
      <c r="AD81" s="8">
        <f>IF(OR(AD79="",AD78=""),"",AD78+AD79)</f>
        <v>-8.9048062060853468</v>
      </c>
      <c r="AE81" s="8">
        <f t="shared" ref="AE81:AF81" si="669">IF(OR(AE79="",AE78=""),"",AE78+AE79)</f>
        <v>-9.38361075097888</v>
      </c>
      <c r="AF81" s="8">
        <f t="shared" si="669"/>
        <v>-9.3498929752559405</v>
      </c>
      <c r="AG81" s="8">
        <f t="shared" ref="AG81:AW81" si="670">IF(OR(AG79="",AG78=""),"",AG78+AG79)</f>
        <v>-8.4087289230078603</v>
      </c>
      <c r="AH81" s="8">
        <f t="shared" si="670"/>
        <v>-5.8198588030395255</v>
      </c>
      <c r="AI81" s="8">
        <f t="shared" si="670"/>
        <v>-8.55460111412191</v>
      </c>
      <c r="AJ81" s="8">
        <f t="shared" si="670"/>
        <v>-8.0610523030172327</v>
      </c>
      <c r="AK81" s="8">
        <f>IF(OR(AK79="",AK78=""),"",AK76+AK79)</f>
        <v>-153757.53502728243</v>
      </c>
      <c r="AL81" s="8">
        <f>IF(OR(AL79="",AL78=""),"",AL78+AL79)</f>
        <v>-56.820804189460205</v>
      </c>
      <c r="AM81" s="8">
        <f t="shared" si="670"/>
        <v>-44.253379291805963</v>
      </c>
      <c r="AN81" s="8">
        <f t="shared" si="670"/>
        <v>-39.842192194484952</v>
      </c>
      <c r="AO81" s="8">
        <f>IF(OR(AO79="",AO78=""),"",AO78+AO79)</f>
        <v>7611.6941253773221</v>
      </c>
      <c r="AP81" s="8">
        <f t="shared" si="670"/>
        <v>17016.15231112083</v>
      </c>
      <c r="AQ81" s="8">
        <f t="shared" si="670"/>
        <v>14434.682782311769</v>
      </c>
      <c r="AR81" s="8">
        <f t="shared" si="670"/>
        <v>14182.956003660203</v>
      </c>
      <c r="AS81" s="8">
        <f t="shared" si="670"/>
        <v>17464.499816231004</v>
      </c>
      <c r="AT81" s="8">
        <f t="shared" si="670"/>
        <v>22225.984950398761</v>
      </c>
      <c r="AU81" s="8">
        <f t="shared" si="670"/>
        <v>21240.854278198371</v>
      </c>
      <c r="AV81" s="8">
        <f t="shared" si="670"/>
        <v>18873.983971277365</v>
      </c>
      <c r="AW81" s="8">
        <f t="shared" si="670"/>
        <v>14499.97557133523</v>
      </c>
      <c r="AX81" s="8">
        <f t="shared" ref="AX81:AY81" si="671">IF(OR(AX79="",AX78=""),"",AX78+AX79)</f>
        <v>13634.350238718336</v>
      </c>
      <c r="AY81" s="8">
        <f t="shared" si="671"/>
        <v>18423.540940925384</v>
      </c>
      <c r="AZ81" s="8">
        <f t="shared" ref="AZ81:BE81" si="672">IF(OR(AZ79="",AZ78=""),"",AZ78+AZ79)</f>
        <v>20920.866255964309</v>
      </c>
      <c r="BA81" s="8">
        <f t="shared" si="672"/>
        <v>10033.882101751264</v>
      </c>
      <c r="BB81" s="8">
        <f t="shared" si="672"/>
        <v>244.00860984303273</v>
      </c>
      <c r="BC81" s="8">
        <f t="shared" si="672"/>
        <v>204.74817775875883</v>
      </c>
      <c r="BD81" s="8">
        <f t="shared" si="672"/>
        <v>216.75991000529592</v>
      </c>
      <c r="BE81" s="8">
        <f t="shared" si="672"/>
        <v>11804.064302220973</v>
      </c>
      <c r="BF81" s="8">
        <f t="shared" ref="BF81:BG81" si="673">IF(OR(BF79="",BF78=""),"",BF78+BF79)</f>
        <v>266.09796039940341</v>
      </c>
      <c r="BG81" s="8">
        <f t="shared" si="673"/>
        <v>300.1711963903989</v>
      </c>
      <c r="BH81" s="8">
        <f t="shared" ref="BH81:BI81" si="674">IF(OR(BH79="",BH78=""),"",BH78+BH79)</f>
        <v>341.60205535077256</v>
      </c>
      <c r="BI81" s="8">
        <f t="shared" si="674"/>
        <v>334.65325547625179</v>
      </c>
      <c r="BJ81" s="8">
        <f t="shared" ref="BJ81" si="675">IF(OR(BJ79="",BJ78=""),"",BJ78+BJ79)</f>
        <v>-483.06566802316081</v>
      </c>
      <c r="BK81" s="8">
        <f t="shared" ref="BK81:BL81" si="676">IF(OR(BK79="",BK78=""),"",BK78+BK79)</f>
        <v>-781.88009678681124</v>
      </c>
      <c r="BL81" s="8">
        <f t="shared" si="676"/>
        <v>-1118.8346159795487</v>
      </c>
    </row>
    <row r="82" spans="1:64" s="3" customFormat="1" x14ac:dyDescent="0.35">
      <c r="A82" s="296"/>
      <c r="B82" s="86" t="s">
        <v>70</v>
      </c>
      <c r="C82" s="98"/>
      <c r="D82" s="98"/>
      <c r="E82" s="98"/>
      <c r="F82" s="8"/>
      <c r="G82" s="8"/>
      <c r="H82" s="8"/>
      <c r="I82" s="8"/>
      <c r="J82" s="8"/>
      <c r="K82" s="8"/>
      <c r="L82" s="8"/>
      <c r="M82" s="8"/>
      <c r="N82" s="8"/>
      <c r="O82" s="8"/>
      <c r="P82" s="8"/>
      <c r="Q82" s="8"/>
      <c r="R82" s="8"/>
      <c r="S82" s="8"/>
      <c r="T82" s="8"/>
      <c r="U82" s="8"/>
      <c r="V82" s="8"/>
      <c r="W82" s="8"/>
      <c r="X82" s="8" t="str">
        <f>IF(OR(X81=""),"",X81)</f>
        <v/>
      </c>
      <c r="Y82" s="8" t="str">
        <f>IF(OR(Y81="",X82=""),"",Y81+X82)</f>
        <v/>
      </c>
      <c r="Z82" s="8" t="str">
        <f t="shared" ref="Z82" si="677">IF(OR(Z81="",Y82=""),"",Z81+Y82)</f>
        <v/>
      </c>
      <c r="AA82" s="8">
        <v>0</v>
      </c>
      <c r="AB82" s="8">
        <f>IF(OR(AB81=""),"",AB81)</f>
        <v>0</v>
      </c>
      <c r="AC82" s="8">
        <f>IF(OR(AC81="",AB82=""),"",AC81+AB82)</f>
        <v>-50009.675708333336</v>
      </c>
      <c r="AD82" s="8">
        <f>IF(OR(AD81="",AC82=""),"",AD81+AC82)</f>
        <v>-50018.580514539419</v>
      </c>
      <c r="AE82" s="8">
        <f t="shared" ref="AE82:AF82" si="678">IF(OR(AE81="",AD82=""),"",AE81+AD82)</f>
        <v>-50027.964125290397</v>
      </c>
      <c r="AF82" s="8">
        <f t="shared" si="678"/>
        <v>-50037.31401826565</v>
      </c>
      <c r="AG82" s="8">
        <f t="shared" ref="AG82" si="679">IF(OR(AG81="",AF82=""),"",AG81+AF82)</f>
        <v>-50045.722747188658</v>
      </c>
      <c r="AH82" s="8">
        <f t="shared" ref="AH82" si="680">IF(OR(AH81="",AG82=""),"",AH81+AG82)</f>
        <v>-50051.542605991701</v>
      </c>
      <c r="AI82" s="8">
        <f t="shared" ref="AI82" si="681">IF(OR(AI81="",AH82=""),"",AI81+AH82)</f>
        <v>-50060.09720710582</v>
      </c>
      <c r="AJ82" s="8">
        <f t="shared" ref="AJ82" si="682">IF(OR(AJ81="",AI82=""),"",AJ81+AI82)</f>
        <v>-50068.15825940884</v>
      </c>
      <c r="AK82" s="8">
        <f>IF(OR(AK81="",AJ82=""),"",AK81+AJ82)</f>
        <v>-203825.69328669127</v>
      </c>
      <c r="AL82" s="8">
        <f>IF(OR(AL81="",AK82=""),"",AL81+AK82)</f>
        <v>-203882.51409088072</v>
      </c>
      <c r="AM82" s="8">
        <f t="shared" ref="AM82" si="683">IF(OR(AM81="",AL82=""),"",AM81+AL82)</f>
        <v>-203926.76747017252</v>
      </c>
      <c r="AN82" s="8">
        <f t="shared" ref="AN82" si="684">IF(OR(AN81="",AM82=""),"",AN81+AM82)</f>
        <v>-203966.609662367</v>
      </c>
      <c r="AO82" s="8">
        <f>IF(OR(AO81="",AN82=""),"",AO81+AN82+AO76)</f>
        <v>-182716.09289091302</v>
      </c>
      <c r="AP82" s="8">
        <f t="shared" ref="AP82" si="685">IF(OR(AP81="",AO82=""),"",AP81+AO82)</f>
        <v>-165699.94057979219</v>
      </c>
      <c r="AQ82" s="8">
        <f t="shared" ref="AQ82" si="686">IF(OR(AQ81="",AP82=""),"",AQ81+AP82)</f>
        <v>-151265.25779748042</v>
      </c>
      <c r="AR82" s="8">
        <f t="shared" ref="AR82" si="687">IF(OR(AR81="",AQ82=""),"",AR81+AQ82)</f>
        <v>-137082.30179382022</v>
      </c>
      <c r="AS82" s="8">
        <f t="shared" ref="AS82" si="688">IF(OR(AS81="",AR82=""),"",AS81+AR82)</f>
        <v>-119617.80197758922</v>
      </c>
      <c r="AT82" s="8">
        <f t="shared" ref="AT82" si="689">IF(OR(AT81="",AS82=""),"",AT81+AS82)</f>
        <v>-97391.817027190453</v>
      </c>
      <c r="AU82" s="8">
        <f t="shared" ref="AU82" si="690">IF(OR(AU81="",AT82=""),"",AU81+AT82)</f>
        <v>-76150.962748992082</v>
      </c>
      <c r="AV82" s="8">
        <f t="shared" ref="AV82" si="691">IF(OR(AV81="",AU82=""),"",AV81+AU82)</f>
        <v>-57276.978777714714</v>
      </c>
      <c r="AW82" s="8">
        <f t="shared" ref="AW82:AY82" si="692">IF(OR(AW81="",AV82=""),"",AW81+AV82)</f>
        <v>-42777.003206379486</v>
      </c>
      <c r="AX82" s="8">
        <f t="shared" si="692"/>
        <v>-29142.65296766115</v>
      </c>
      <c r="AY82" s="8">
        <f t="shared" si="692"/>
        <v>-10719.112026735766</v>
      </c>
      <c r="AZ82" s="8">
        <f t="shared" ref="AZ82:BL82" si="693">IF(OR(AZ81="",AY82=""),"",AZ81+AY82)</f>
        <v>10201.754229228543</v>
      </c>
      <c r="BA82" s="8">
        <f t="shared" si="693"/>
        <v>20235.636330979807</v>
      </c>
      <c r="BB82" s="8">
        <f t="shared" si="693"/>
        <v>20479.64494082284</v>
      </c>
      <c r="BC82" s="8">
        <f t="shared" si="693"/>
        <v>20684.3931185816</v>
      </c>
      <c r="BD82" s="8">
        <f t="shared" si="693"/>
        <v>20901.153028586898</v>
      </c>
      <c r="BE82" s="8">
        <f t="shared" si="693"/>
        <v>32705.217330807871</v>
      </c>
      <c r="BF82" s="8">
        <f t="shared" si="693"/>
        <v>32971.315291207276</v>
      </c>
      <c r="BG82" s="8">
        <f t="shared" si="693"/>
        <v>33271.486487597678</v>
      </c>
      <c r="BH82" s="8">
        <f t="shared" si="693"/>
        <v>33613.088542948448</v>
      </c>
      <c r="BI82" s="8">
        <f t="shared" si="693"/>
        <v>33947.7417984247</v>
      </c>
      <c r="BJ82" s="8">
        <f t="shared" si="693"/>
        <v>33464.676130401538</v>
      </c>
      <c r="BK82" s="8">
        <f t="shared" si="693"/>
        <v>32682.796033614726</v>
      </c>
      <c r="BL82" s="8">
        <f t="shared" si="693"/>
        <v>31563.961417635179</v>
      </c>
    </row>
    <row r="83" spans="1:64" s="4" customFormat="1" ht="8.25" customHeight="1" x14ac:dyDescent="0.35">
      <c r="A83" s="40"/>
      <c r="B83" s="11"/>
      <c r="C83" s="99"/>
      <c r="D83" s="99"/>
      <c r="E83" s="99"/>
      <c r="F83" s="97"/>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row>
    <row r="84" spans="1:64" s="4" customFormat="1" x14ac:dyDescent="0.35">
      <c r="A84" s="122"/>
      <c r="B84" s="52"/>
      <c r="C84" s="123"/>
      <c r="D84" s="123"/>
      <c r="E84" s="123"/>
      <c r="F84" s="124"/>
      <c r="G84" s="7"/>
      <c r="H84" s="7"/>
      <c r="I84" s="7"/>
      <c r="J84" s="7"/>
      <c r="K84" s="7"/>
      <c r="L84" s="7"/>
      <c r="M84" s="7"/>
      <c r="N84" s="7"/>
      <c r="O84" s="7"/>
      <c r="P84" s="7"/>
      <c r="Q84" s="125">
        <v>0</v>
      </c>
      <c r="R84" s="7"/>
      <c r="S84" s="7"/>
      <c r="T84" s="7"/>
      <c r="U84" s="7"/>
      <c r="V84" s="7"/>
      <c r="W84" s="126">
        <f>6583255-343874</f>
        <v>6239381</v>
      </c>
      <c r="X84" s="7"/>
      <c r="Y84" s="7"/>
      <c r="Z84" s="7"/>
      <c r="AA84" s="7"/>
      <c r="AB84" s="7"/>
      <c r="AC84" s="7"/>
      <c r="AD84" s="7"/>
      <c r="AE84" s="7"/>
      <c r="AF84" s="7"/>
      <c r="AG84" s="7"/>
      <c r="AH84" s="7"/>
      <c r="AI84" s="7"/>
      <c r="AJ84" s="113">
        <f>10195155.1942426-100000-613446.594539144</f>
        <v>9481708.5997034572</v>
      </c>
      <c r="AK84" s="7"/>
      <c r="AL84" s="7"/>
      <c r="AM84" s="7"/>
      <c r="AN84" s="7"/>
      <c r="AO84" s="210">
        <v>-171934.79257672251</v>
      </c>
      <c r="AP84" s="7"/>
      <c r="AQ84" s="7"/>
      <c r="AR84" s="7"/>
      <c r="AS84" s="7"/>
      <c r="AT84" s="7"/>
      <c r="AU84" s="113">
        <f>12767185.73-1019499.3</f>
        <v>11747686.43</v>
      </c>
      <c r="AV84" s="7"/>
      <c r="AW84" s="113">
        <v>-197.32</v>
      </c>
      <c r="AX84" s="7"/>
      <c r="AY84" s="113">
        <f>10734309.9</f>
        <v>10734309.9</v>
      </c>
      <c r="AZ84" s="113">
        <f>+'MEEIA 2 adjs'!EC102</f>
        <v>-157.21308605992454</v>
      </c>
      <c r="BA84" s="7"/>
      <c r="BB84" s="113">
        <v>354606.85</v>
      </c>
      <c r="BC84" s="7"/>
      <c r="BD84" s="7"/>
      <c r="BE84" s="113">
        <v>29539.24</v>
      </c>
      <c r="BF84" s="113">
        <v>-997226.51</v>
      </c>
      <c r="BG84" s="7"/>
      <c r="BH84" s="113">
        <f>-28125.73-110893.04</f>
        <v>-139018.76999999999</v>
      </c>
      <c r="BI84" s="7"/>
      <c r="BJ84" s="7"/>
      <c r="BK84" s="7"/>
      <c r="BL84" s="7"/>
    </row>
    <row r="85" spans="1:64" x14ac:dyDescent="0.35">
      <c r="A85" s="297" t="s">
        <v>81</v>
      </c>
      <c r="B85" s="52" t="s">
        <v>72</v>
      </c>
      <c r="C85" s="95"/>
      <c r="D85" s="95"/>
      <c r="E85" s="95"/>
      <c r="F85" s="60"/>
      <c r="G85" s="60"/>
      <c r="H85" s="60"/>
      <c r="I85" s="60"/>
      <c r="J85" s="60"/>
      <c r="K85" s="60"/>
      <c r="L85" s="60"/>
      <c r="M85" s="60"/>
      <c r="N85" s="60"/>
      <c r="O85" s="60"/>
      <c r="P85" s="60"/>
      <c r="Q85" s="60"/>
      <c r="R85" s="60"/>
      <c r="S85" s="60"/>
      <c r="T85" s="60"/>
      <c r="U85" s="60"/>
      <c r="V85" s="60"/>
      <c r="W85" s="60"/>
      <c r="X85" s="60"/>
      <c r="Y85" s="60"/>
      <c r="Z85" s="60"/>
      <c r="AA85" s="60"/>
      <c r="AB85" s="60"/>
      <c r="AC85" s="118">
        <f t="shared" ref="AC85:AN85" si="694">6239380.68/12</f>
        <v>519948.38999999996</v>
      </c>
      <c r="AD85" s="60">
        <f t="shared" si="694"/>
        <v>519948.38999999996</v>
      </c>
      <c r="AE85" s="60">
        <f t="shared" si="694"/>
        <v>519948.38999999996</v>
      </c>
      <c r="AF85" s="60">
        <f t="shared" si="694"/>
        <v>519948.38999999996</v>
      </c>
      <c r="AG85" s="60">
        <f t="shared" si="694"/>
        <v>519948.38999999996</v>
      </c>
      <c r="AH85" s="60">
        <f t="shared" si="694"/>
        <v>519948.38999999996</v>
      </c>
      <c r="AI85" s="60">
        <f t="shared" si="694"/>
        <v>519948.38999999996</v>
      </c>
      <c r="AJ85" s="60">
        <f>6239380.68/12</f>
        <v>519948.38999999996</v>
      </c>
      <c r="AK85" s="60">
        <f t="shared" si="694"/>
        <v>519948.38999999996</v>
      </c>
      <c r="AL85" s="60">
        <f t="shared" si="694"/>
        <v>519948.38999999996</v>
      </c>
      <c r="AM85" s="60">
        <f t="shared" si="694"/>
        <v>519948.38999999996</v>
      </c>
      <c r="AN85" s="60">
        <f t="shared" si="694"/>
        <v>519948.38999999996</v>
      </c>
      <c r="AO85" s="60">
        <f t="shared" ref="AO85:AZ85" si="695">(9481709-19830)/12</f>
        <v>788489.91666666663</v>
      </c>
      <c r="AP85" s="60">
        <f t="shared" si="695"/>
        <v>788489.91666666663</v>
      </c>
      <c r="AQ85" s="60">
        <f t="shared" si="695"/>
        <v>788489.91666666663</v>
      </c>
      <c r="AR85" s="60">
        <f t="shared" si="695"/>
        <v>788489.91666666663</v>
      </c>
      <c r="AS85" s="60">
        <f t="shared" si="695"/>
        <v>788489.91666666663</v>
      </c>
      <c r="AT85" s="60">
        <f t="shared" si="695"/>
        <v>788489.91666666663</v>
      </c>
      <c r="AU85" s="60">
        <f t="shared" si="695"/>
        <v>788489.91666666663</v>
      </c>
      <c r="AV85" s="60">
        <f t="shared" si="695"/>
        <v>788489.91666666663</v>
      </c>
      <c r="AW85" s="60">
        <f t="shared" si="695"/>
        <v>788489.91666666663</v>
      </c>
      <c r="AX85" s="60">
        <f t="shared" si="695"/>
        <v>788489.91666666663</v>
      </c>
      <c r="AY85" s="60">
        <f t="shared" si="695"/>
        <v>788489.91666666663</v>
      </c>
      <c r="AZ85" s="60">
        <f t="shared" si="695"/>
        <v>788489.91666666663</v>
      </c>
      <c r="BA85" s="60">
        <f t="shared" ref="BA85:BL85" si="696">11747489/12</f>
        <v>978957.41666666663</v>
      </c>
      <c r="BB85" s="60">
        <f t="shared" si="696"/>
        <v>978957.41666666663</v>
      </c>
      <c r="BC85" s="60">
        <f t="shared" si="696"/>
        <v>978957.41666666663</v>
      </c>
      <c r="BD85" s="60">
        <f t="shared" si="696"/>
        <v>978957.41666666663</v>
      </c>
      <c r="BE85" s="60">
        <f>11747489/12</f>
        <v>978957.41666666663</v>
      </c>
      <c r="BF85" s="60">
        <f t="shared" si="696"/>
        <v>978957.41666666663</v>
      </c>
      <c r="BG85" s="60">
        <f t="shared" si="696"/>
        <v>978957.41666666663</v>
      </c>
      <c r="BH85" s="60">
        <f t="shared" si="696"/>
        <v>978957.41666666663</v>
      </c>
      <c r="BI85" s="60">
        <f t="shared" si="696"/>
        <v>978957.41666666663</v>
      </c>
      <c r="BJ85" s="60">
        <f t="shared" si="696"/>
        <v>978957.41666666663</v>
      </c>
      <c r="BK85" s="60">
        <f t="shared" si="696"/>
        <v>978957.41666666663</v>
      </c>
      <c r="BL85" s="60">
        <f t="shared" si="696"/>
        <v>978957.41666666663</v>
      </c>
    </row>
    <row r="86" spans="1:64" x14ac:dyDescent="0.35">
      <c r="A86" s="297"/>
      <c r="B86" s="52" t="s">
        <v>73</v>
      </c>
      <c r="C86" s="94"/>
      <c r="D86" s="94"/>
      <c r="E86" s="94"/>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285104.73</v>
      </c>
      <c r="AD86" s="22">
        <v>522237.53</v>
      </c>
      <c r="AE86" s="22">
        <v>417802.47</v>
      </c>
      <c r="AF86" s="22">
        <v>410351.7</v>
      </c>
      <c r="AG86" s="22">
        <v>482532.64</v>
      </c>
      <c r="AH86" s="22">
        <v>608996.41</v>
      </c>
      <c r="AI86" s="22">
        <v>606777.69999999995</v>
      </c>
      <c r="AJ86" s="22">
        <v>608116.79</v>
      </c>
      <c r="AK86" s="22">
        <v>477518.56</v>
      </c>
      <c r="AL86" s="22">
        <v>427851.21</v>
      </c>
      <c r="AM86" s="22">
        <v>515247.16</v>
      </c>
      <c r="AN86" s="22">
        <v>600539.75</v>
      </c>
      <c r="AO86" s="22">
        <v>2037727.16</v>
      </c>
      <c r="AP86" s="22">
        <v>795668.03</v>
      </c>
      <c r="AQ86" s="22">
        <v>562116.91</v>
      </c>
      <c r="AR86" s="22">
        <v>655732.05000000005</v>
      </c>
      <c r="AS86" s="22">
        <v>784339.36</v>
      </c>
      <c r="AT86" s="22">
        <v>965777.55</v>
      </c>
      <c r="AU86" s="22">
        <v>941053.79</v>
      </c>
      <c r="AV86" s="22">
        <v>844973.28</v>
      </c>
      <c r="AW86" s="22">
        <v>672120.46</v>
      </c>
      <c r="AX86" s="22">
        <v>651071.71</v>
      </c>
      <c r="AY86" s="22">
        <v>829595.91</v>
      </c>
      <c r="AZ86" s="22">
        <v>917718.34</v>
      </c>
      <c r="BA86" s="22">
        <v>858978.64</v>
      </c>
      <c r="BB86" s="22">
        <v>827967.6</v>
      </c>
      <c r="BC86" s="22">
        <v>759847.63</v>
      </c>
      <c r="BD86" s="22">
        <v>704739.31</v>
      </c>
      <c r="BE86" s="22">
        <v>844017.97</v>
      </c>
      <c r="BF86" s="22">
        <v>990512.63</v>
      </c>
      <c r="BG86" s="22">
        <v>1036497.57</v>
      </c>
      <c r="BH86" s="22">
        <v>995026.87</v>
      </c>
      <c r="BI86" s="22">
        <v>807105.04</v>
      </c>
      <c r="BJ86" s="125">
        <f>SUM('[1]EOR (M3)'!AJ29:AJ33)</f>
        <v>747728.12964742631</v>
      </c>
      <c r="BK86" s="125">
        <f>SUM('[1]EOR (M3)'!AK29:AK33)</f>
        <v>895491.17703253904</v>
      </c>
      <c r="BL86" s="125">
        <f>SUM('[1]EOR (M3)'!AL29:AL33)</f>
        <v>1076846.6049240292</v>
      </c>
    </row>
    <row r="87" spans="1:64" x14ac:dyDescent="0.35">
      <c r="A87" s="297"/>
      <c r="B87" s="52" t="s">
        <v>74</v>
      </c>
      <c r="C87" s="94"/>
      <c r="D87" s="94"/>
      <c r="E87" s="94"/>
      <c r="F87" s="8"/>
      <c r="G87" s="8"/>
      <c r="H87" s="8"/>
      <c r="I87" s="8"/>
      <c r="J87" s="8"/>
      <c r="K87" s="8"/>
      <c r="L87" s="8"/>
      <c r="M87" s="8"/>
      <c r="N87" s="8" t="str">
        <f>IF(OR(N85="",N86=""),"",N85-N86)</f>
        <v/>
      </c>
      <c r="O87" s="8" t="str">
        <f>IF(OR(O85="",O86=""),"",O85-O86)</f>
        <v/>
      </c>
      <c r="P87" s="8" t="str">
        <f>IF(OR(P85="",P86=""),"",P85-P86)</f>
        <v/>
      </c>
      <c r="Q87" s="8" t="str">
        <f t="shared" ref="Q87:AA87" si="697">IF(OR(Q85="",Q86=""),"",Q85-Q86)</f>
        <v/>
      </c>
      <c r="R87" s="8" t="str">
        <f t="shared" si="697"/>
        <v/>
      </c>
      <c r="S87" s="8" t="str">
        <f t="shared" si="697"/>
        <v/>
      </c>
      <c r="T87" s="8" t="str">
        <f t="shared" si="697"/>
        <v/>
      </c>
      <c r="U87" s="8" t="str">
        <f t="shared" si="697"/>
        <v/>
      </c>
      <c r="V87" s="8" t="str">
        <f t="shared" si="697"/>
        <v/>
      </c>
      <c r="W87" s="8" t="str">
        <f t="shared" si="697"/>
        <v/>
      </c>
      <c r="X87" s="8" t="str">
        <f t="shared" si="697"/>
        <v/>
      </c>
      <c r="Y87" s="8" t="str">
        <f t="shared" si="697"/>
        <v/>
      </c>
      <c r="Z87" s="8" t="str">
        <f t="shared" si="697"/>
        <v/>
      </c>
      <c r="AA87" s="8" t="str">
        <f t="shared" si="697"/>
        <v/>
      </c>
      <c r="AB87" s="8" t="str">
        <f>IF(OR(AB85="",AB86=""),"",AB85-AB86)</f>
        <v/>
      </c>
      <c r="AC87" s="7">
        <f>IF(OR(AC85="",AC86=""),"",AC85-AC86)</f>
        <v>234843.65999999997</v>
      </c>
      <c r="AD87" s="7">
        <f>IF(OR(AD85="",AD86=""),"",AD85-AD86)</f>
        <v>-2289.1400000000722</v>
      </c>
      <c r="AE87" s="7">
        <f t="shared" ref="AE87:AF87" si="698">IF(OR(AE85="",AE86=""),"",AE85-AE86)</f>
        <v>102145.91999999998</v>
      </c>
      <c r="AF87" s="7">
        <f t="shared" si="698"/>
        <v>109596.68999999994</v>
      </c>
      <c r="AG87" s="7">
        <f t="shared" ref="AG87:AV87" si="699">IF(OR(AG85="",AG86=""),"",AG85-AG86)</f>
        <v>37415.749999999942</v>
      </c>
      <c r="AH87" s="7">
        <f t="shared" si="699"/>
        <v>-89048.020000000077</v>
      </c>
      <c r="AI87" s="7">
        <f t="shared" si="699"/>
        <v>-86829.31</v>
      </c>
      <c r="AJ87" s="7">
        <f>IF(OR(AJ85="",AJ86=""),"",AJ85-AJ86)</f>
        <v>-88168.400000000081</v>
      </c>
      <c r="AK87" s="7">
        <f>IF(OR(AK85="",AK86=""),"",AK85-AK86)</f>
        <v>42429.829999999958</v>
      </c>
      <c r="AL87" s="7">
        <f t="shared" si="699"/>
        <v>92097.179999999935</v>
      </c>
      <c r="AM87" s="7">
        <f t="shared" si="699"/>
        <v>4701.2299999999814</v>
      </c>
      <c r="AN87" s="7">
        <f>IF(OR(AN85="",AN86=""),"",AN85-AN86)</f>
        <v>-80591.360000000044</v>
      </c>
      <c r="AO87" s="7">
        <f>IF(OR(AO85="",AO86=""),"",AO85-AO86)</f>
        <v>-1249237.2433333332</v>
      </c>
      <c r="AP87" s="7">
        <f t="shared" si="699"/>
        <v>-7178.1133333334001</v>
      </c>
      <c r="AQ87" s="7">
        <f t="shared" si="699"/>
        <v>226373.0066666666</v>
      </c>
      <c r="AR87" s="7">
        <f t="shared" si="699"/>
        <v>132757.86666666658</v>
      </c>
      <c r="AS87" s="7">
        <f t="shared" si="699"/>
        <v>4150.5566666666418</v>
      </c>
      <c r="AT87" s="7">
        <f t="shared" si="699"/>
        <v>-177287.63333333342</v>
      </c>
      <c r="AU87" s="7">
        <f>IF(OR(AU85="",AU86=""),"",AU85-AU86)</f>
        <v>-152563.87333333341</v>
      </c>
      <c r="AV87" s="7">
        <f t="shared" si="699"/>
        <v>-56483.3633333334</v>
      </c>
      <c r="AW87" s="7">
        <f>IF(OR(AW85="",AW86=""),"",AW85-AW86)</f>
        <v>116369.45666666667</v>
      </c>
      <c r="AX87" s="7">
        <f t="shared" ref="AX87" si="700">IF(OR(AX85="",AX86=""),"",AX85-AX86)</f>
        <v>137418.20666666667</v>
      </c>
      <c r="AY87" s="7">
        <f>IF(OR(AY85="",AY86=""),"",AY85-AY86)</f>
        <v>-41105.993333333405</v>
      </c>
      <c r="AZ87" s="7">
        <f t="shared" ref="AZ87:BA87" si="701">IF(OR(AZ85="",AZ86=""),"",AZ85-AZ86)</f>
        <v>-129228.42333333334</v>
      </c>
      <c r="BA87" s="7">
        <f t="shared" si="701"/>
        <v>119978.77666666661</v>
      </c>
      <c r="BB87" s="7">
        <f t="shared" ref="BB87:BE87" si="702">IF(OR(BB85="",BB86=""),"",BB85-BB86)</f>
        <v>150989.81666666665</v>
      </c>
      <c r="BC87" s="7">
        <f t="shared" si="702"/>
        <v>219109.78666666662</v>
      </c>
      <c r="BD87" s="7">
        <f t="shared" si="702"/>
        <v>274218.10666666657</v>
      </c>
      <c r="BE87" s="7">
        <f t="shared" si="702"/>
        <v>134939.44666666666</v>
      </c>
      <c r="BF87" s="7">
        <f t="shared" ref="BF87:BL87" si="703">IF(OR(BF85="",BF86=""),"",BF85-BF86)</f>
        <v>-11555.213333333377</v>
      </c>
      <c r="BG87" s="7">
        <f t="shared" si="703"/>
        <v>-57540.153333333321</v>
      </c>
      <c r="BH87" s="7">
        <f t="shared" si="703"/>
        <v>-16069.453333333367</v>
      </c>
      <c r="BI87" s="7">
        <f t="shared" si="703"/>
        <v>171852.37666666659</v>
      </c>
      <c r="BJ87" s="7">
        <f t="shared" si="703"/>
        <v>231229.28701924032</v>
      </c>
      <c r="BK87" s="7">
        <f t="shared" si="703"/>
        <v>83466.239634127589</v>
      </c>
      <c r="BL87" s="7">
        <f t="shared" si="703"/>
        <v>-97889.188257362577</v>
      </c>
    </row>
    <row r="88" spans="1:64" x14ac:dyDescent="0.35">
      <c r="A88" s="297"/>
      <c r="B88" s="52" t="s">
        <v>4</v>
      </c>
      <c r="C88" s="96"/>
      <c r="D88" s="96"/>
      <c r="E88" s="96"/>
      <c r="F88" s="61"/>
      <c r="G88" s="61"/>
      <c r="H88" s="61"/>
      <c r="I88" s="61"/>
      <c r="J88" s="61"/>
      <c r="K88" s="108"/>
      <c r="L88" s="61"/>
      <c r="M88" s="61"/>
      <c r="N88" s="61"/>
      <c r="O88" s="61" t="str">
        <f t="shared" ref="O88:AA88" si="704">IF(O87="","",O19)</f>
        <v/>
      </c>
      <c r="P88" s="61" t="str">
        <f t="shared" si="704"/>
        <v/>
      </c>
      <c r="Q88" s="61" t="str">
        <f t="shared" si="704"/>
        <v/>
      </c>
      <c r="R88" s="61" t="str">
        <f t="shared" si="704"/>
        <v/>
      </c>
      <c r="S88" s="61" t="str">
        <f t="shared" si="704"/>
        <v/>
      </c>
      <c r="T88" s="61" t="str">
        <f t="shared" si="704"/>
        <v/>
      </c>
      <c r="U88" s="61" t="str">
        <f t="shared" si="704"/>
        <v/>
      </c>
      <c r="V88" s="61" t="str">
        <f t="shared" si="704"/>
        <v/>
      </c>
      <c r="W88" s="61" t="str">
        <f t="shared" si="704"/>
        <v/>
      </c>
      <c r="X88" s="61" t="str">
        <f t="shared" si="704"/>
        <v/>
      </c>
      <c r="Y88" s="61" t="str">
        <f t="shared" si="704"/>
        <v/>
      </c>
      <c r="Z88" s="61" t="str">
        <f t="shared" si="704"/>
        <v/>
      </c>
      <c r="AA88" s="61" t="str">
        <f t="shared" si="704"/>
        <v/>
      </c>
      <c r="AB88" s="61" t="str">
        <f>IF(AB87="","",AB19)</f>
        <v/>
      </c>
      <c r="AC88" s="61">
        <f>IF(AC87="","",AC9)</f>
        <v>2.3221700000000001E-3</v>
      </c>
      <c r="AD88" s="61">
        <f>IF(AD87="","",AD9)</f>
        <v>2.1367399999999998E-3</v>
      </c>
      <c r="AE88" s="61">
        <f t="shared" ref="AE88:AF88" si="705">IF(AE87="","",AE9)</f>
        <v>2.2512299999999999E-3</v>
      </c>
      <c r="AF88" s="61">
        <f t="shared" si="705"/>
        <v>2.2427200000000001E-3</v>
      </c>
      <c r="AG88" s="61">
        <f t="shared" ref="AG88:AV88" si="706">IF(AG87="","",AG9)</f>
        <v>2.01659E-3</v>
      </c>
      <c r="AH88" s="61">
        <f t="shared" si="706"/>
        <v>1.3954900000000001E-3</v>
      </c>
      <c r="AI88" s="61">
        <f t="shared" si="706"/>
        <v>2.0509899999999999E-3</v>
      </c>
      <c r="AJ88" s="61">
        <f>IF(AJ87="","",AJ9)</f>
        <v>1.9323299999999999E-3</v>
      </c>
      <c r="AK88" s="61">
        <f>IF(AK87="","",AK9)</f>
        <v>1.5E-3</v>
      </c>
      <c r="AL88" s="61">
        <f t="shared" si="706"/>
        <v>1.5320900000000001E-3</v>
      </c>
      <c r="AM88" s="61">
        <f t="shared" si="706"/>
        <v>2.6046400000000001E-3</v>
      </c>
      <c r="AN88" s="61">
        <f t="shared" si="706"/>
        <v>2.3444999999999998E-3</v>
      </c>
      <c r="AO88" s="61">
        <f>IF(AO87="","",AO9)</f>
        <v>2.9584899999999998E-3</v>
      </c>
      <c r="AP88" s="61">
        <f t="shared" si="706"/>
        <v>6.8829599999999996E-3</v>
      </c>
      <c r="AQ88" s="61">
        <f t="shared" si="706"/>
        <v>6.0041599999999997E-3</v>
      </c>
      <c r="AR88" s="61">
        <f t="shared" si="706"/>
        <v>9.4970499999999999E-3</v>
      </c>
      <c r="AS88" s="61">
        <f t="shared" si="706"/>
        <v>1.4858659999999999E-2</v>
      </c>
      <c r="AT88" s="61">
        <f t="shared" si="706"/>
        <v>2.0566899999999999E-2</v>
      </c>
      <c r="AU88" s="61">
        <f>IF(AU87="","",AU9)</f>
        <v>2.564054E-2</v>
      </c>
      <c r="AV88" s="61">
        <f t="shared" si="706"/>
        <v>2.8416960000000002E-2</v>
      </c>
      <c r="AW88" s="61">
        <f>IF(AW87="","",AW9)</f>
        <v>3.4701200000000001E-2</v>
      </c>
      <c r="AX88" s="61">
        <f t="shared" ref="AX88:AY88" si="707">IF(AX87="","",AX9)</f>
        <v>4.286098E-2</v>
      </c>
      <c r="AY88" s="61">
        <f t="shared" si="707"/>
        <v>4.617603E-2</v>
      </c>
      <c r="AZ88" s="61">
        <f t="shared" ref="AZ88:BA88" si="708">IF(AZ87="","",AZ9)</f>
        <v>4.7842519999999999E-2</v>
      </c>
      <c r="BA88" s="61">
        <f t="shared" si="708"/>
        <v>4.847945E-2</v>
      </c>
      <c r="BB88" s="61">
        <f t="shared" ref="BB88:BC88" si="709">IF(BB87="","",BB9)</f>
        <v>4.9894139999999997E-2</v>
      </c>
      <c r="BC88" s="61">
        <f t="shared" si="709"/>
        <v>5.2487209999999999E-2</v>
      </c>
      <c r="BD88" s="61">
        <f t="shared" ref="BD88:BE88" si="710">IF(BD87="","",BD9)</f>
        <v>5.3267839534246943E-2</v>
      </c>
      <c r="BE88" s="61">
        <f t="shared" si="710"/>
        <v>5.3948219999999998E-2</v>
      </c>
      <c r="BF88" s="61">
        <f t="shared" ref="BF88:BL88" si="711">IF(BF87="","",BF9)</f>
        <v>5.4426639999999998E-2</v>
      </c>
      <c r="BG88" s="61">
        <f t="shared" si="711"/>
        <v>5.5204789999999997E-2</v>
      </c>
      <c r="BH88" s="61">
        <f t="shared" si="711"/>
        <v>5.5351270000000001E-2</v>
      </c>
      <c r="BI88" s="61">
        <f t="shared" si="711"/>
        <v>5.5174559999999997E-2</v>
      </c>
      <c r="BJ88" s="61">
        <f t="shared" si="711"/>
        <v>5.5174559999999997E-2</v>
      </c>
      <c r="BK88" s="61">
        <f t="shared" si="711"/>
        <v>5.5174559999999997E-2</v>
      </c>
      <c r="BL88" s="61">
        <f t="shared" si="711"/>
        <v>5.5174559999999997E-2</v>
      </c>
    </row>
    <row r="89" spans="1:64" x14ac:dyDescent="0.35">
      <c r="A89" s="297"/>
      <c r="B89" s="52" t="s">
        <v>49</v>
      </c>
      <c r="C89" s="94"/>
      <c r="D89" s="94"/>
      <c r="E89" s="94"/>
      <c r="F89" s="8"/>
      <c r="G89" s="8"/>
      <c r="H89" s="8"/>
      <c r="I89" s="8"/>
      <c r="J89" s="8"/>
      <c r="K89" s="8"/>
      <c r="L89" s="8"/>
      <c r="M89" s="8"/>
      <c r="N89" s="8" t="str">
        <f>IF(OR(N88="",N87=""),"",(N87*N88)/12)</f>
        <v/>
      </c>
      <c r="O89" s="8"/>
      <c r="P89" s="8"/>
      <c r="Q89" s="8"/>
      <c r="R89" s="8"/>
      <c r="S89" s="8"/>
      <c r="T89" s="8"/>
      <c r="U89" s="8"/>
      <c r="V89" s="8"/>
      <c r="W89" s="8"/>
      <c r="X89" s="8"/>
      <c r="Y89" s="8"/>
      <c r="Z89" s="8"/>
      <c r="AA89" s="8"/>
      <c r="AB89" s="8"/>
      <c r="AC89" s="8">
        <f>IF(OR(AC88="",AC87=""),"",(AC87*AC88)/12)</f>
        <v>45.445575161850002</v>
      </c>
      <c r="AD89" s="8">
        <f>IF(OR(AD88="",AD87="",AC92=""),"",((AC92+AD87)*AD88)/12)</f>
        <v>41.417137536922588</v>
      </c>
      <c r="AE89" s="8">
        <f t="shared" ref="AE89:AF89" si="712">IF(OR(AE88="",AE87="",AD92=""),"",((AD92+AE87)*AE88)/12)</f>
        <v>62.806934957159051</v>
      </c>
      <c r="AF89" s="8">
        <f t="shared" si="712"/>
        <v>83.064143875482543</v>
      </c>
      <c r="AG89" s="8">
        <f t="shared" ref="AG89" si="713">IF(OR(AG88="",AG87="",AF92=""),"",((AF92+AG87)*AG88)/12)</f>
        <v>80.99055877632199</v>
      </c>
      <c r="AH89" s="8">
        <f t="shared" ref="AH89" si="714">IF(OR(AH88="",AH87="",AG92=""),"",((AG92+AH87)*AH88)/12)</f>
        <v>45.699807056250876</v>
      </c>
      <c r="AI89" s="8">
        <f t="shared" ref="AI89" si="715">IF(OR(AI88="",AI87="",AH92=""),"",((AH92+AI87)*AI88)/12)</f>
        <v>52.333569170584276</v>
      </c>
      <c r="AJ89" s="8">
        <f>IF(OR(AJ88="",AJ87="",AI92=""),"",((AI92+AJ87)*AJ88)/12)</f>
        <v>35.116701313934492</v>
      </c>
      <c r="AK89" s="8">
        <f>IF(OR(AK88="",AK87="",AJ92=""),"",((AJ92+AK87)*AK88)/12)</f>
        <v>32.567981803481018</v>
      </c>
      <c r="AL89" s="8">
        <f t="shared" ref="AL89" si="716">IF(OR(AL88="",AL87="",AK92=""),"",((AK92+AL87)*AL88)/12)</f>
        <v>45.027308292983584</v>
      </c>
      <c r="AM89" s="8">
        <f t="shared" ref="AM89" si="717">IF(OR(AM88="",AM87="",AL92=""),"",((AL92+AM87)*AM88)/12)</f>
        <v>77.579171951312262</v>
      </c>
      <c r="AN89" s="8">
        <f t="shared" ref="AN89" si="718">IF(OR(AN88="",AN87="",AM92=""),"",((AM92+AN87)*AN88)/12)</f>
        <v>54.100525163113389</v>
      </c>
      <c r="AO89" s="8">
        <f>IF(OR(AO88="",AO87="",AN92=""),"",((AN92+AO87+'MEEIA 2 calcs'!BW103)*AO88)/12)</f>
        <v>-277.20628046448553</v>
      </c>
      <c r="AP89" s="8">
        <f t="shared" ref="AP89" si="719">IF(OR(AP88="",AP87="",AO92=""),"",((AO92+AP87)*AP88)/12)</f>
        <v>-649.19972718297527</v>
      </c>
      <c r="AQ89" s="8">
        <f t="shared" ref="AQ89" si="720">IF(OR(AQ88="",AQ87="",AP92=""),"",((AP92+AQ87)*AQ88)/12)</f>
        <v>-453.37129213395292</v>
      </c>
      <c r="AR89" s="8">
        <f t="shared" ref="AR89" si="721">IF(OR(AR88="",AR87="",AQ92=""),"",((AQ92+AR87)*AR88)/12)</f>
        <v>-612.40923602319651</v>
      </c>
      <c r="AS89" s="8">
        <f t="shared" ref="AS89" si="722">IF(OR(AS88="",AS87="",AR92=""),"",((AR92+AS87)*AS88)/12)</f>
        <v>-953.76711086387024</v>
      </c>
      <c r="AT89" s="8">
        <f t="shared" ref="AT89" si="723">IF(OR(AT88="",AT87="",AS92=""),"",((AS92+AT87)*AT88)/12)</f>
        <v>-1625.66451086953</v>
      </c>
      <c r="AU89" s="8">
        <f>IF(OR(AU88="",AU87="",AT92=""),"",((AT92+AU87)*AU88)/12)</f>
        <v>-2356.1575967605281</v>
      </c>
      <c r="AV89" s="8">
        <f t="shared" ref="AV89" si="724">IF(OR(AV88="",AV87="",AU92=""),"",((AU92+AV87)*AV88)/12)</f>
        <v>-2750.6247615729239</v>
      </c>
      <c r="AW89" s="8">
        <f>IF(OR(AW88="",AW87="",AV92=""),"",((AV92+AW87)*AW88)/12)</f>
        <v>-3030.3497534615949</v>
      </c>
      <c r="AX89" s="8">
        <f t="shared" ref="AX89" si="725">IF(OR(AX88="",AX87="",AW92=""),"",((AW92+AX87)*AX88)/12)</f>
        <v>-3262.918801641827</v>
      </c>
      <c r="AY89" s="8">
        <f>IF(OR(AY88="",AY87="",AX92=""),"",((AX92+AY87)*AY88)/12)</f>
        <v>-3686.0184671585507</v>
      </c>
      <c r="AZ89" s="8">
        <f>IF(OR(AZ88="",AZ87="",AY92=""),"",((AY92+AZ87+AZ84)*AZ88)/12)+AZ84</f>
        <v>-4506.8000022545448</v>
      </c>
      <c r="BA89" s="8">
        <f t="shared" ref="BA89:BC89" si="726">IF(OR(BA88="",BA87="",AZ92=""),"",((AZ92+BA87)*BA88)/12)</f>
        <v>-3940.3565700160584</v>
      </c>
      <c r="BB89" s="8">
        <f t="shared" si="726"/>
        <v>-3443.932160518923</v>
      </c>
      <c r="BC89" s="8">
        <f t="shared" si="726"/>
        <v>-2679.6100036161324</v>
      </c>
      <c r="BD89" s="8">
        <f t="shared" ref="BD89:BL89" si="727">IF(OR(BD88="",BD87="",BC92=""),"",((BC92+BD87)*BD88)/12)</f>
        <v>-1514.1074371503601</v>
      </c>
      <c r="BE89" s="8">
        <f t="shared" si="727"/>
        <v>-933.60856099466798</v>
      </c>
      <c r="BF89" s="8">
        <f t="shared" si="727"/>
        <v>-998.53164382752175</v>
      </c>
      <c r="BG89" s="8">
        <f t="shared" si="727"/>
        <v>-1282.1091944986822</v>
      </c>
      <c r="BH89" s="8">
        <f t="shared" si="727"/>
        <v>-1365.547052516067</v>
      </c>
      <c r="BI89" s="8">
        <f t="shared" si="727"/>
        <v>-577.30953299414352</v>
      </c>
      <c r="BJ89" s="125">
        <f t="shared" si="727"/>
        <v>483.20058125031801</v>
      </c>
      <c r="BK89" s="125">
        <f t="shared" si="727"/>
        <v>869.19003342779979</v>
      </c>
      <c r="BL89" s="125">
        <f t="shared" si="727"/>
        <v>423.10372399393464</v>
      </c>
    </row>
    <row r="90" spans="1:64" x14ac:dyDescent="0.35">
      <c r="A90" s="297"/>
      <c r="B90" s="53" t="s">
        <v>6</v>
      </c>
      <c r="C90" s="94"/>
      <c r="D90" s="94"/>
      <c r="E90" s="94"/>
      <c r="F90" s="8"/>
      <c r="G90" s="8"/>
      <c r="H90" s="8"/>
      <c r="I90" s="8"/>
      <c r="J90" s="8"/>
      <c r="K90" s="8"/>
      <c r="L90" s="8"/>
      <c r="M90" s="8"/>
      <c r="N90" s="8" t="str">
        <f>N89</f>
        <v/>
      </c>
      <c r="O90" s="8"/>
      <c r="P90" s="8"/>
      <c r="Q90" s="8"/>
      <c r="R90" s="8"/>
      <c r="S90" s="8"/>
      <c r="T90" s="8"/>
      <c r="U90" s="8"/>
      <c r="V90" s="8"/>
      <c r="W90" s="8"/>
      <c r="X90" s="8"/>
      <c r="Y90" s="8"/>
      <c r="Z90" s="8"/>
      <c r="AA90" s="8"/>
      <c r="AB90" s="8"/>
      <c r="AC90" s="8">
        <f>AC89</f>
        <v>45.445575161850002</v>
      </c>
      <c r="AD90" s="8">
        <f>IF(OR(AC90="",AD89=""),"",AC90+AD89)</f>
        <v>86.862712698772583</v>
      </c>
      <c r="AE90" s="8">
        <f t="shared" ref="AE90:AF90" si="728">IF(OR(AD90="",AE89=""),"",AD90+AE89)</f>
        <v>149.66964765593164</v>
      </c>
      <c r="AF90" s="8">
        <f t="shared" si="728"/>
        <v>232.73379153141417</v>
      </c>
      <c r="AG90" s="8">
        <f t="shared" ref="AG90" si="729">IF(OR(AF90="",AG89=""),"",AF90+AG89)</f>
        <v>313.72435030773613</v>
      </c>
      <c r="AH90" s="8">
        <f t="shared" ref="AH90" si="730">IF(OR(AG90="",AH89=""),"",AG90+AH89)</f>
        <v>359.42415736398698</v>
      </c>
      <c r="AI90" s="8">
        <f t="shared" ref="AI90" si="731">IF(OR(AH90="",AI89=""),"",AH90+AI89)</f>
        <v>411.75772653457125</v>
      </c>
      <c r="AJ90" s="8">
        <f>IF(OR(AI90="",AJ89=""),"",AI90+AJ89)</f>
        <v>446.87442784850572</v>
      </c>
      <c r="AK90" s="8">
        <f>IF(OR(AJ90="",AK89=""),"",AJ90+AK89)</f>
        <v>479.44240965198674</v>
      </c>
      <c r="AL90" s="8">
        <f t="shared" ref="AL90" si="732">IF(OR(AK90="",AL89=""),"",AK90+AL89)</f>
        <v>524.46971794497028</v>
      </c>
      <c r="AM90" s="8">
        <f t="shared" ref="AM90" si="733">IF(OR(AL90="",AM89=""),"",AL90+AM89)</f>
        <v>602.0488898962825</v>
      </c>
      <c r="AN90" s="8">
        <f t="shared" ref="AN90" si="734">IF(OR(AM90="",AN89=""),"",AM90+AN89)</f>
        <v>656.14941505939589</v>
      </c>
      <c r="AO90" s="8">
        <f>IF(OR(AN90="",AO89=""),"",AN90+AO89)</f>
        <v>378.94313459491036</v>
      </c>
      <c r="AP90" s="8">
        <f t="shared" ref="AP90" si="735">IF(OR(AO90="",AP89=""),"",AO90+AP89)</f>
        <v>-270.2565925880649</v>
      </c>
      <c r="AQ90" s="8">
        <f t="shared" ref="AQ90" si="736">IF(OR(AP90="",AQ89=""),"",AP90+AQ89)</f>
        <v>-723.62788472201782</v>
      </c>
      <c r="AR90" s="8">
        <f t="shared" ref="AR90" si="737">IF(OR(AQ90="",AR89=""),"",AQ90+AR89)</f>
        <v>-1336.0371207452145</v>
      </c>
      <c r="AS90" s="8">
        <f t="shared" ref="AS90" si="738">IF(OR(AR90="",AS89=""),"",AR90+AS89)</f>
        <v>-2289.8042316090846</v>
      </c>
      <c r="AT90" s="8">
        <f t="shared" ref="AT90" si="739">IF(OR(AS90="",AT89=""),"",AS90+AT89)</f>
        <v>-3915.4687424786143</v>
      </c>
      <c r="AU90" s="8">
        <f>IF(OR(AT90="",AU89=""),"",AT90+AU89)</f>
        <v>-6271.6263392391429</v>
      </c>
      <c r="AV90" s="8">
        <f t="shared" ref="AV90" si="740">IF(OR(AU90="",AV89=""),"",AU90+AV89)</f>
        <v>-9022.2511008120673</v>
      </c>
      <c r="AW90" s="8">
        <f>IF(OR(AV90="",AW89=""),"",AV90+AW89)</f>
        <v>-12052.600854273662</v>
      </c>
      <c r="AX90" s="8">
        <f t="shared" ref="AX90" si="741">IF(OR(AW90="",AX89=""),"",AW90+AX89)</f>
        <v>-15315.519655915488</v>
      </c>
      <c r="AY90" s="8">
        <f t="shared" ref="AY90:BC90" si="742">IF(OR(AX90="",AY89=""),"",AX90+AY89)</f>
        <v>-19001.538123074039</v>
      </c>
      <c r="AZ90" s="8">
        <f t="shared" si="742"/>
        <v>-23508.338125328584</v>
      </c>
      <c r="BA90" s="8">
        <f t="shared" si="742"/>
        <v>-27448.694695344642</v>
      </c>
      <c r="BB90" s="8">
        <f>IF(OR(BA90="",BB89=""),"",BA90+BB89)</f>
        <v>-30892.626855863564</v>
      </c>
      <c r="BC90" s="8">
        <f t="shared" si="742"/>
        <v>-33572.236859479694</v>
      </c>
      <c r="BD90" s="8">
        <f t="shared" ref="BD90:BL90" si="743">IF(OR(BC90="",BD89=""),"",BC90+BD89)</f>
        <v>-35086.34429663005</v>
      </c>
      <c r="BE90" s="8">
        <f t="shared" si="743"/>
        <v>-36019.952857624718</v>
      </c>
      <c r="BF90" s="8">
        <f t="shared" si="743"/>
        <v>-37018.484501452236</v>
      </c>
      <c r="BG90" s="8">
        <f t="shared" si="743"/>
        <v>-38300.59369595092</v>
      </c>
      <c r="BH90" s="8">
        <f t="shared" si="743"/>
        <v>-39666.140748466983</v>
      </c>
      <c r="BI90" s="8">
        <f t="shared" si="743"/>
        <v>-40243.450281461126</v>
      </c>
      <c r="BJ90" s="8">
        <f t="shared" si="743"/>
        <v>-39760.249700210807</v>
      </c>
      <c r="BK90" s="8">
        <f t="shared" si="743"/>
        <v>-38891.05966678301</v>
      </c>
      <c r="BL90" s="8">
        <f t="shared" si="743"/>
        <v>-38467.955942789078</v>
      </c>
    </row>
    <row r="91" spans="1:64" x14ac:dyDescent="0.35">
      <c r="A91" s="297"/>
      <c r="B91" s="70" t="s">
        <v>75</v>
      </c>
      <c r="C91" s="94"/>
      <c r="D91" s="94"/>
      <c r="E91" s="94"/>
      <c r="F91" s="8"/>
      <c r="G91" s="8"/>
      <c r="H91" s="8"/>
      <c r="I91" s="8"/>
      <c r="J91" s="8"/>
      <c r="K91" s="8"/>
      <c r="L91" s="8"/>
      <c r="M91" s="8"/>
      <c r="N91" s="8" t="str">
        <f>IF(OR(N89="",N87=""),"",N87+N89)</f>
        <v/>
      </c>
      <c r="O91" s="8"/>
      <c r="P91" s="8"/>
      <c r="Q91" s="8"/>
      <c r="R91" s="8"/>
      <c r="S91" s="8"/>
      <c r="T91" s="8"/>
      <c r="U91" s="8"/>
      <c r="V91" s="8"/>
      <c r="W91" s="8"/>
      <c r="X91" s="8"/>
      <c r="Y91" s="8"/>
      <c r="Z91" s="8"/>
      <c r="AA91" s="8"/>
      <c r="AB91" s="8"/>
      <c r="AC91" s="8">
        <f>IF(OR(AC89="",AC87=""),"",AC87+AC89)</f>
        <v>234889.10557516181</v>
      </c>
      <c r="AD91" s="8">
        <f>IF(OR(AD89="",AD87=""),"",AD87+AD89)</f>
        <v>-2247.7228624631498</v>
      </c>
      <c r="AE91" s="8">
        <f t="shared" ref="AE91:AF91" si="744">IF(OR(AE89="",AE87=""),"",AE87+AE89)</f>
        <v>102208.72693495714</v>
      </c>
      <c r="AF91" s="8">
        <f t="shared" si="744"/>
        <v>109679.75414387543</v>
      </c>
      <c r="AG91" s="8">
        <f>IF(OR(AG89="",AG87=""),"",AG87+AG89)</f>
        <v>37496.740558776262</v>
      </c>
      <c r="AH91" s="8">
        <f t="shared" ref="AH91:AV91" si="745">IF(OR(AH89="",AH87=""),"",AH87+AH89)</f>
        <v>-89002.320192943822</v>
      </c>
      <c r="AI91" s="8">
        <f t="shared" si="745"/>
        <v>-86776.976430829411</v>
      </c>
      <c r="AJ91" s="8">
        <f>IF(OR(AJ89="",AJ87=""),"",AJ87+AJ89)</f>
        <v>-88133.283298686147</v>
      </c>
      <c r="AK91" s="8">
        <f>IF(OR(AK89="",AK87=""),"",AK87+AK89)</f>
        <v>42462.397981803442</v>
      </c>
      <c r="AL91" s="8">
        <f t="shared" si="745"/>
        <v>92142.207308292913</v>
      </c>
      <c r="AM91" s="8">
        <f t="shared" si="745"/>
        <v>4778.809171951294</v>
      </c>
      <c r="AN91" s="8">
        <f>IF(OR(AN89="",AN87=""),"",AN87+AN89)</f>
        <v>-80537.25947483693</v>
      </c>
      <c r="AO91" s="8">
        <f>IF(OR(AO89="",AO87=""),"",AO87+AO89)</f>
        <v>-1249514.4496137977</v>
      </c>
      <c r="AP91" s="8">
        <f t="shared" si="745"/>
        <v>-7827.3130605163751</v>
      </c>
      <c r="AQ91" s="8">
        <f t="shared" si="745"/>
        <v>225919.63537453263</v>
      </c>
      <c r="AR91" s="8">
        <f t="shared" si="745"/>
        <v>132145.45743064338</v>
      </c>
      <c r="AS91" s="8">
        <f t="shared" si="745"/>
        <v>3196.7895558027717</v>
      </c>
      <c r="AT91" s="8">
        <f t="shared" si="745"/>
        <v>-178913.29784420296</v>
      </c>
      <c r="AU91" s="8">
        <f>IF(OR(AU89="",AU87=""),"",AU87+AU89)</f>
        <v>-154920.03093009393</v>
      </c>
      <c r="AV91" s="8">
        <f t="shared" si="745"/>
        <v>-59233.988094906323</v>
      </c>
      <c r="AW91" s="8">
        <f>IF(OR(AW89="",AW87=""),"",AW87+AW89)</f>
        <v>113339.10691320508</v>
      </c>
      <c r="AX91" s="8">
        <f t="shared" ref="AX91" si="746">IF(OR(AX89="",AX87=""),"",AX87+AX89)</f>
        <v>134155.28786502485</v>
      </c>
      <c r="AY91" s="8">
        <f t="shared" ref="AY91:BC91" si="747">IF(OR(AY89="",AY87=""),"",AY87+AY89)</f>
        <v>-44792.011800491957</v>
      </c>
      <c r="AZ91" s="8">
        <f t="shared" si="747"/>
        <v>-133735.22333558789</v>
      </c>
      <c r="BA91" s="8">
        <f t="shared" si="747"/>
        <v>116038.42009665056</v>
      </c>
      <c r="BB91" s="8">
        <f>IF(OR(BB89="",BB87=""),"",BB87+BB89)</f>
        <v>147545.88450614773</v>
      </c>
      <c r="BC91" s="8">
        <f t="shared" si="747"/>
        <v>216430.17666305049</v>
      </c>
      <c r="BD91" s="8">
        <f t="shared" ref="BD91:BI91" si="748">IF(OR(BD89="",BD87=""),"",BD87+BD89)</f>
        <v>272703.99922951619</v>
      </c>
      <c r="BE91" s="8">
        <f t="shared" si="748"/>
        <v>134005.83810567198</v>
      </c>
      <c r="BF91" s="8">
        <f t="shared" si="748"/>
        <v>-12553.744977160899</v>
      </c>
      <c r="BG91" s="8">
        <f t="shared" si="748"/>
        <v>-58822.262527832005</v>
      </c>
      <c r="BH91" s="8">
        <f t="shared" si="748"/>
        <v>-17435.000385849435</v>
      </c>
      <c r="BI91" s="8">
        <f t="shared" si="748"/>
        <v>171275.06713367245</v>
      </c>
      <c r="BJ91" s="8">
        <f t="shared" ref="BJ91" si="749">IF(OR(BJ89="",BJ87=""),"",BJ87+BJ89)</f>
        <v>231712.48760049063</v>
      </c>
      <c r="BK91" s="8">
        <f t="shared" ref="BK91:BL91" si="750">IF(OR(BK89="",BK87=""),"",BK87+BK89)</f>
        <v>84335.429667555392</v>
      </c>
      <c r="BL91" s="8">
        <f t="shared" si="750"/>
        <v>-97466.084533368645</v>
      </c>
    </row>
    <row r="92" spans="1:64" x14ac:dyDescent="0.35">
      <c r="A92" s="297"/>
      <c r="B92" s="52" t="s">
        <v>76</v>
      </c>
      <c r="C92" s="94"/>
      <c r="D92" s="94"/>
      <c r="E92" s="94"/>
      <c r="F92" s="8"/>
      <c r="G92" s="8"/>
      <c r="H92" s="8"/>
      <c r="I92" s="8"/>
      <c r="J92" s="8"/>
      <c r="K92" s="8"/>
      <c r="L92" s="8"/>
      <c r="M92" s="8"/>
      <c r="N92" s="8"/>
      <c r="O92" s="8"/>
      <c r="P92" s="8"/>
      <c r="Q92" s="8"/>
      <c r="R92" s="8"/>
      <c r="S92" s="8"/>
      <c r="T92" s="8"/>
      <c r="U92" s="8"/>
      <c r="V92" s="8"/>
      <c r="W92" s="8"/>
      <c r="X92" s="8"/>
      <c r="Y92" s="8"/>
      <c r="Z92" s="8"/>
      <c r="AA92" s="8"/>
      <c r="AB92" s="8"/>
      <c r="AC92" s="8">
        <f>AB92+AC91</f>
        <v>234889.10557516181</v>
      </c>
      <c r="AD92" s="8">
        <f>IF(OR(AD91="",AC92=""),"",AC92+AD91)</f>
        <v>232641.38271269866</v>
      </c>
      <c r="AE92" s="8">
        <f t="shared" ref="AE92:AF92" si="751">IF(OR(AE91="",AD92=""),"",AD92+AE91)</f>
        <v>334850.1096476558</v>
      </c>
      <c r="AF92" s="8">
        <f t="shared" si="751"/>
        <v>444529.86379153124</v>
      </c>
      <c r="AG92" s="8">
        <f>IF(OR(AG91="",AF92=""),"",AF92+AG91)</f>
        <v>482026.60435030749</v>
      </c>
      <c r="AH92" s="8">
        <f t="shared" ref="AH92" si="752">IF(OR(AH91="",AG92=""),"",AG92+AH91)</f>
        <v>393024.2841573637</v>
      </c>
      <c r="AI92" s="8">
        <f t="shared" ref="AI92" si="753">IF(OR(AI91="",AH92=""),"",AH92+AI91)</f>
        <v>306247.30772653432</v>
      </c>
      <c r="AJ92" s="8">
        <f>IF(OR(AJ91="",AI92=""),"",AI92+AJ91)</f>
        <v>218114.02442784817</v>
      </c>
      <c r="AK92" s="8">
        <f>IF(OR(AK91="",AJ92=""),"",AJ92+AK91)</f>
        <v>260576.42240965163</v>
      </c>
      <c r="AL92" s="8">
        <f t="shared" ref="AL92" si="754">IF(OR(AL91="",AK92=""),"",AK92+AL91)</f>
        <v>352718.62971794454</v>
      </c>
      <c r="AM92" s="8">
        <f t="shared" ref="AM92" si="755">IF(OR(AM91="",AL92=""),"",AL92+AM91)</f>
        <v>357497.43888989586</v>
      </c>
      <c r="AN92" s="8">
        <f t="shared" ref="AN92" si="756">IF(OR(AN91="",AM92=""),"",AM92+AN91)</f>
        <v>276960.17941505893</v>
      </c>
      <c r="AO92" s="8">
        <f>IF(OR(AO91="",AN92=""),"",AN92+AO91+'MEEIA 2 calcs'!BW103)</f>
        <v>-1124660.0385948638</v>
      </c>
      <c r="AP92" s="8">
        <f>IF(OR(AP91="",AO92=""),"",AO92+AP91)</f>
        <v>-1132487.3516553803</v>
      </c>
      <c r="AQ92" s="8">
        <f t="shared" ref="AQ92" si="757">IF(OR(AQ91="",AP92=""),"",AP92+AQ91)</f>
        <v>-906567.71628084767</v>
      </c>
      <c r="AR92" s="8">
        <f t="shared" ref="AR92" si="758">IF(OR(AR91="",AQ92=""),"",AQ92+AR91)</f>
        <v>-774422.25885020429</v>
      </c>
      <c r="AS92" s="8">
        <f t="shared" ref="AS92" si="759">IF(OR(AS91="",AR92=""),"",AR92+AS91)</f>
        <v>-771225.46929440147</v>
      </c>
      <c r="AT92" s="8">
        <f t="shared" ref="AT92" si="760">IF(OR(AT91="",AS92=""),"",AS92+AT91)</f>
        <v>-950138.76713860442</v>
      </c>
      <c r="AU92" s="8">
        <f>IF(OR(AU91="",AT92=""),"",AT92+AU91)</f>
        <v>-1105058.7980686983</v>
      </c>
      <c r="AV92" s="8">
        <f>IF(OR(AV91="",AU92=""),"",AU92+AV91)</f>
        <v>-1164292.7861636046</v>
      </c>
      <c r="AW92" s="8">
        <f>IF(OR(AW91="",AV92=""),"",AV92+AW91)</f>
        <v>-1050953.6792503996</v>
      </c>
      <c r="AX92" s="8">
        <f t="shared" ref="AX92:AY92" si="761">IF(OR(AX91="",AW92=""),"",AW92+AX91)</f>
        <v>-916798.39138537471</v>
      </c>
      <c r="AY92" s="8">
        <f t="shared" si="761"/>
        <v>-961590.40318586666</v>
      </c>
      <c r="AZ92" s="8">
        <f t="shared" ref="AZ92:BC92" si="762">IF(OR(AZ91="",AY92=""),"",AY92+AZ91)</f>
        <v>-1095325.6265214547</v>
      </c>
      <c r="BA92" s="8">
        <f t="shared" si="762"/>
        <v>-979287.20642480406</v>
      </c>
      <c r="BB92" s="8">
        <f>IF(OR(BB91="",BA92=""),"",BA92+BB91)</f>
        <v>-831741.32191865635</v>
      </c>
      <c r="BC92" s="8">
        <f t="shared" si="762"/>
        <v>-615311.14525560592</v>
      </c>
      <c r="BD92" s="8">
        <f t="shared" ref="BD92:BL92" si="763">IF(OR(BD91="",BC92=""),"",BC92+BD91)</f>
        <v>-342607.14602608973</v>
      </c>
      <c r="BE92" s="8">
        <f t="shared" si="763"/>
        <v>-208601.30792041775</v>
      </c>
      <c r="BF92" s="8">
        <f t="shared" si="763"/>
        <v>-221155.05289757866</v>
      </c>
      <c r="BG92" s="8">
        <f t="shared" si="763"/>
        <v>-279977.31542541063</v>
      </c>
      <c r="BH92" s="8">
        <f t="shared" si="763"/>
        <v>-297412.31581126008</v>
      </c>
      <c r="BI92" s="8">
        <f t="shared" si="763"/>
        <v>-126137.24867758763</v>
      </c>
      <c r="BJ92" s="8">
        <f t="shared" si="763"/>
        <v>105575.23892290299</v>
      </c>
      <c r="BK92" s="8">
        <f t="shared" si="763"/>
        <v>189910.6685904584</v>
      </c>
      <c r="BL92" s="8">
        <f t="shared" si="763"/>
        <v>92444.584057089756</v>
      </c>
    </row>
    <row r="93" spans="1:64" x14ac:dyDescent="0.35">
      <c r="A93" s="297"/>
      <c r="B93" s="54" t="s">
        <v>77</v>
      </c>
      <c r="C93" s="94"/>
      <c r="D93" s="94"/>
      <c r="E93" s="94"/>
      <c r="F93" s="8"/>
      <c r="G93" s="8"/>
      <c r="H93" s="8"/>
      <c r="I93" s="8"/>
      <c r="J93" s="8"/>
      <c r="K93" s="8"/>
      <c r="L93" s="8"/>
      <c r="M93" s="8"/>
      <c r="N93" s="8"/>
      <c r="O93" s="8">
        <f t="shared" ref="O93:AB93" si="764">IF(O86="","",N93-O86+O89)</f>
        <v>0</v>
      </c>
      <c r="P93" s="8">
        <f t="shared" si="764"/>
        <v>0</v>
      </c>
      <c r="Q93" s="8">
        <f t="shared" si="764"/>
        <v>0</v>
      </c>
      <c r="R93" s="8">
        <f t="shared" si="764"/>
        <v>0</v>
      </c>
      <c r="S93" s="8">
        <f t="shared" si="764"/>
        <v>0</v>
      </c>
      <c r="T93" s="8">
        <f t="shared" si="764"/>
        <v>0</v>
      </c>
      <c r="U93" s="8">
        <f t="shared" si="764"/>
        <v>0</v>
      </c>
      <c r="V93" s="8">
        <f t="shared" si="764"/>
        <v>0</v>
      </c>
      <c r="W93" s="8">
        <f>IF(W86="","",V93-W86+W89+W84)</f>
        <v>6239381</v>
      </c>
      <c r="X93" s="8">
        <f t="shared" si="764"/>
        <v>6239381</v>
      </c>
      <c r="Y93" s="8">
        <f t="shared" si="764"/>
        <v>6239381</v>
      </c>
      <c r="Z93" s="8">
        <f t="shared" si="764"/>
        <v>6239381</v>
      </c>
      <c r="AA93" s="8">
        <f t="shared" si="764"/>
        <v>6239381</v>
      </c>
      <c r="AB93" s="8">
        <f t="shared" si="764"/>
        <v>6239381</v>
      </c>
      <c r="AC93" s="8">
        <f>AB93-AC86+AC89</f>
        <v>5954321.7155751614</v>
      </c>
      <c r="AD93" s="8">
        <f>IF(AD86="","",AC93-AD86+AD89)</f>
        <v>5432125.6027126983</v>
      </c>
      <c r="AE93" s="8">
        <f t="shared" ref="AE93:AF93" si="765">IF(AE86="","",AD93-AE86+AE89)</f>
        <v>5014385.9396476559</v>
      </c>
      <c r="AF93" s="8">
        <f t="shared" si="765"/>
        <v>4604117.3037915314</v>
      </c>
      <c r="AG93" s="8">
        <f t="shared" ref="AG93" si="766">IF(AG86="","",AF93-AG86+AG89)</f>
        <v>4121665.6543503078</v>
      </c>
      <c r="AH93" s="8">
        <f t="shared" ref="AH93" si="767">IF(AH86="","",AG93-AH86+AH89)</f>
        <v>3512714.9441573638</v>
      </c>
      <c r="AI93" s="8">
        <f t="shared" ref="AI93" si="768">IF(AI86="","",AH93-AI86+AI89)</f>
        <v>2905989.5777265341</v>
      </c>
      <c r="AJ93" s="8">
        <f>IF(AJ86="","",AI93-AJ86+AJ89+AJ84)</f>
        <v>11779616.504131306</v>
      </c>
      <c r="AK93" s="8">
        <f>IF(AK86="","",AJ93-AK86+AK89)</f>
        <v>11302130.512113109</v>
      </c>
      <c r="AL93" s="8">
        <f>IF(AL86="","",AK93-AL86+AL89)</f>
        <v>10874324.329421401</v>
      </c>
      <c r="AM93" s="8">
        <f t="shared" ref="AM93" si="769">IF(AM86="","",AL93-AM86+AM89)</f>
        <v>10359154.748593353</v>
      </c>
      <c r="AN93" s="8">
        <f t="shared" ref="AN93" si="770">IF(AN86="","",AM93-AN86+AN89)</f>
        <v>9758669.0991185158</v>
      </c>
      <c r="AO93" s="8">
        <f>IF(AO86="","",AN93-AO86+AO89+AO84)</f>
        <v>7548729.9402613286</v>
      </c>
      <c r="AP93" s="8">
        <f t="shared" ref="AP93" si="771">IF(AP86="","",AO93-AP86+AP89)</f>
        <v>6752412.7105341451</v>
      </c>
      <c r="AQ93" s="8">
        <f t="shared" ref="AQ93" si="772">IF(AQ86="","",AP93-AQ86+AQ89)</f>
        <v>6189842.4292420112</v>
      </c>
      <c r="AR93" s="8">
        <f t="shared" ref="AR93" si="773">IF(AR86="","",AQ93-AR86+AR89)</f>
        <v>5533497.9700059881</v>
      </c>
      <c r="AS93" s="8">
        <f t="shared" ref="AS93" si="774">IF(AS86="","",AR93-AS86+AS89)</f>
        <v>4748204.8428951241</v>
      </c>
      <c r="AT93" s="8">
        <f t="shared" ref="AT93" si="775">IF(AT86="","",AS93-AT86+AT89)</f>
        <v>3780801.6283842549</v>
      </c>
      <c r="AU93" s="8">
        <f>IF(AU86="","",AT93-AU86+AU89+AU84)</f>
        <v>14585078.110787494</v>
      </c>
      <c r="AV93" s="8">
        <f>IF(AV86="","",AU93-AV86+AV89)</f>
        <v>13737354.206025923</v>
      </c>
      <c r="AW93" s="8">
        <f>IF(AW86="","",AV93-AW86+AW89+AW84)</f>
        <v>13062006.076272462</v>
      </c>
      <c r="AX93" s="8">
        <f t="shared" ref="AX93" si="776">IF(AX86="","",AW93-AX86+AX89)</f>
        <v>12407671.44747082</v>
      </c>
      <c r="AY93" s="8">
        <f>IF(AY86="","",AX93-AY86+AY89+AY84)</f>
        <v>22308699.419003662</v>
      </c>
      <c r="AZ93" s="8">
        <f>IF(AZ86="","",AY93-AZ86+AZ89)</f>
        <v>21386474.279001407</v>
      </c>
      <c r="BA93" s="8">
        <f>IF(BA86="","",AZ93-BA86+BA89)</f>
        <v>20523555.28243139</v>
      </c>
      <c r="BB93" s="8">
        <f>IF(BB86="","",BA93-BB86+BB89+BB84)</f>
        <v>20046750.600270871</v>
      </c>
      <c r="BC93" s="8">
        <f>IF(BC86="","",BB93-BC86+BC89)</f>
        <v>19284223.360267255</v>
      </c>
      <c r="BD93" s="8">
        <f>IF(BD86="","",BC93-BD86+BD89)</f>
        <v>18577969.942830108</v>
      </c>
      <c r="BE93" s="8">
        <f>IF(BE86="","",BD93-BE86+BE89+BE84)</f>
        <v>17762557.604269113</v>
      </c>
      <c r="BF93" s="8">
        <f>IF(BF86="","",BE93-BF86+BF89+BF84)</f>
        <v>15773819.932625284</v>
      </c>
      <c r="BG93" s="8">
        <f>IF(BG86="","",BF93-BG86+BG89)</f>
        <v>14736040.253430786</v>
      </c>
      <c r="BH93" s="8">
        <f>IF(BH86="","",BG93-BH86+BH89+BH84)</f>
        <v>13600629.066378271</v>
      </c>
      <c r="BI93" s="8">
        <f>IF(BI86="","",BH93-BI86+BI89)</f>
        <v>12792946.716845276</v>
      </c>
      <c r="BJ93" s="8">
        <f>IF(BJ86="","",BI93-BJ86+BJ89)</f>
        <v>12045701.7877791</v>
      </c>
      <c r="BK93" s="8">
        <f>IF(BK86="","",BJ93-BK86+BK89)</f>
        <v>11151079.800779989</v>
      </c>
      <c r="BL93" s="8">
        <f>IF(BL86="","",BK93-BL86+BL89)</f>
        <v>10074656.299579954</v>
      </c>
    </row>
    <row r="94" spans="1:64" s="4" customFormat="1" ht="8.25" customHeight="1" x14ac:dyDescent="0.35">
      <c r="A94" s="40"/>
      <c r="B94" s="11"/>
      <c r="C94" s="99"/>
      <c r="D94" s="99"/>
      <c r="E94" s="99"/>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row>
    <row r="95" spans="1:64" x14ac:dyDescent="0.35">
      <c r="A95"/>
      <c r="K95" s="39"/>
      <c r="AN95" s="39"/>
      <c r="AQ95" s="39"/>
    </row>
    <row r="96" spans="1:64" x14ac:dyDescent="0.35">
      <c r="A96"/>
      <c r="K96" s="39"/>
      <c r="AF96" s="39"/>
      <c r="AN96" s="39"/>
    </row>
    <row r="97" spans="1:48" x14ac:dyDescent="0.35">
      <c r="A97"/>
      <c r="K97" s="39"/>
      <c r="AB97" s="39"/>
      <c r="AH97" s="39"/>
      <c r="AV97" s="56"/>
    </row>
    <row r="98" spans="1:48" x14ac:dyDescent="0.35">
      <c r="A98"/>
      <c r="K98" s="39"/>
      <c r="AV98" s="39"/>
    </row>
    <row r="99" spans="1:48" x14ac:dyDescent="0.35">
      <c r="A99"/>
      <c r="K99" s="39"/>
      <c r="AV99" s="56"/>
    </row>
    <row r="100" spans="1:48" x14ac:dyDescent="0.35">
      <c r="A100"/>
      <c r="K100" s="39"/>
    </row>
    <row r="101" spans="1:48" x14ac:dyDescent="0.35">
      <c r="A101"/>
      <c r="K101" s="39"/>
    </row>
    <row r="102" spans="1:48" x14ac:dyDescent="0.35">
      <c r="A102"/>
      <c r="K102" s="39"/>
    </row>
    <row r="103" spans="1:48" x14ac:dyDescent="0.35">
      <c r="A103"/>
      <c r="K103" s="39"/>
    </row>
    <row r="104" spans="1:48" x14ac:dyDescent="0.35">
      <c r="A104"/>
      <c r="K104" s="39"/>
    </row>
    <row r="105" spans="1:48" x14ac:dyDescent="0.35">
      <c r="A105"/>
      <c r="K105" s="39"/>
    </row>
    <row r="106" spans="1:48" x14ac:dyDescent="0.35">
      <c r="A106"/>
      <c r="K106" s="39"/>
    </row>
    <row r="107" spans="1:48" x14ac:dyDescent="0.35">
      <c r="A107"/>
      <c r="K107" s="39"/>
    </row>
    <row r="108" spans="1:48" x14ac:dyDescent="0.35">
      <c r="A108"/>
      <c r="K108" s="39"/>
    </row>
    <row r="109" spans="1:48" x14ac:dyDescent="0.35">
      <c r="A109"/>
      <c r="K109" s="39"/>
    </row>
    <row r="110" spans="1:48" x14ac:dyDescent="0.35">
      <c r="A110"/>
      <c r="K110" s="39"/>
    </row>
    <row r="111" spans="1:48" x14ac:dyDescent="0.35">
      <c r="A111"/>
      <c r="K111" s="39"/>
    </row>
    <row r="112" spans="1:48" x14ac:dyDescent="0.35">
      <c r="A112"/>
      <c r="K112" s="39"/>
    </row>
    <row r="113" spans="1:11" x14ac:dyDescent="0.35">
      <c r="A113"/>
      <c r="K113" s="39"/>
    </row>
    <row r="114" spans="1:11" x14ac:dyDescent="0.35">
      <c r="A114"/>
      <c r="K114" s="39"/>
    </row>
    <row r="115" spans="1:11" x14ac:dyDescent="0.35">
      <c r="A115"/>
      <c r="K115" s="39"/>
    </row>
    <row r="116" spans="1:11" x14ac:dyDescent="0.35">
      <c r="A116"/>
      <c r="K116" s="39"/>
    </row>
    <row r="117" spans="1:11" x14ac:dyDescent="0.35">
      <c r="A117"/>
      <c r="K117" s="39"/>
    </row>
    <row r="118" spans="1:11" x14ac:dyDescent="0.35">
      <c r="A118"/>
      <c r="K118" s="39"/>
    </row>
    <row r="119" spans="1:11" x14ac:dyDescent="0.35">
      <c r="A119"/>
      <c r="K119" s="39"/>
    </row>
    <row r="120" spans="1:11" x14ac:dyDescent="0.35">
      <c r="A120"/>
      <c r="K120" s="39"/>
    </row>
    <row r="121" spans="1:11" x14ac:dyDescent="0.35">
      <c r="A121"/>
      <c r="K121" s="39"/>
    </row>
    <row r="122" spans="1:11" x14ac:dyDescent="0.35">
      <c r="A122"/>
      <c r="K122" s="39"/>
    </row>
    <row r="123" spans="1:11" x14ac:dyDescent="0.35">
      <c r="A123"/>
      <c r="K123" s="39"/>
    </row>
    <row r="124" spans="1:11" x14ac:dyDescent="0.35">
      <c r="A124"/>
      <c r="K124" s="39"/>
    </row>
    <row r="125" spans="1:11" x14ac:dyDescent="0.35">
      <c r="A125"/>
      <c r="K125" s="39"/>
    </row>
    <row r="126" spans="1:11" x14ac:dyDescent="0.35">
      <c r="A126"/>
    </row>
    <row r="127" spans="1:11" x14ac:dyDescent="0.35">
      <c r="A127"/>
    </row>
    <row r="128" spans="1:11"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row r="175" spans="1:1" x14ac:dyDescent="0.35"/>
    <row r="176" spans="1:1" x14ac:dyDescent="0.35"/>
    <row r="177" x14ac:dyDescent="0.35"/>
    <row r="178" x14ac:dyDescent="0.35"/>
    <row r="179" x14ac:dyDescent="0.35"/>
    <row r="180" x14ac:dyDescent="0.35"/>
    <row r="181" x14ac:dyDescent="0.35"/>
    <row r="182" x14ac:dyDescent="0.35"/>
    <row r="183" x14ac:dyDescent="0.3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60" orientation="landscape" cellComments="asDisplayed" r:id="rId1"/>
  <headerFooter>
    <oddHeader>&amp;C&amp;A</oddHeader>
    <oddFooter>&amp;RSchedule JNG-D3</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dimension ref="B2:AG25"/>
  <sheetViews>
    <sheetView topLeftCell="R1" workbookViewId="0">
      <selection activeCell="AB25" sqref="AB25"/>
    </sheetView>
  </sheetViews>
  <sheetFormatPr defaultRowHeight="14.5" x14ac:dyDescent="0.35"/>
  <cols>
    <col min="2" max="2" width="31.26953125" bestFit="1" customWidth="1"/>
    <col min="3" max="7" width="12.26953125" bestFit="1" customWidth="1"/>
    <col min="8" max="12" width="12.54296875" bestFit="1" customWidth="1"/>
    <col min="13" max="13" width="13.453125" bestFit="1" customWidth="1"/>
    <col min="14" max="17" width="12.54296875" bestFit="1" customWidth="1"/>
    <col min="18" max="30" width="13.453125" bestFit="1" customWidth="1"/>
    <col min="31" max="33" width="12.54296875" bestFit="1" customWidth="1"/>
  </cols>
  <sheetData>
    <row r="2" spans="2:33" x14ac:dyDescent="0.35">
      <c r="C2" s="121">
        <v>44287</v>
      </c>
      <c r="D2" s="121">
        <v>44317</v>
      </c>
      <c r="E2" s="121">
        <v>44348</v>
      </c>
      <c r="F2" s="121">
        <v>44378</v>
      </c>
      <c r="G2" s="121">
        <v>44409</v>
      </c>
      <c r="H2" s="121">
        <v>44440</v>
      </c>
      <c r="I2" s="121">
        <v>44470</v>
      </c>
      <c r="J2" s="121">
        <v>44501</v>
      </c>
      <c r="K2" s="121">
        <v>44531</v>
      </c>
      <c r="L2" s="121">
        <v>44562</v>
      </c>
      <c r="M2" s="121">
        <v>44593</v>
      </c>
      <c r="N2" s="121">
        <v>44621</v>
      </c>
      <c r="O2" s="121">
        <v>44652</v>
      </c>
      <c r="P2" s="121">
        <v>44682</v>
      </c>
      <c r="Q2" s="121">
        <v>44713</v>
      </c>
      <c r="R2" s="121">
        <v>44743</v>
      </c>
      <c r="S2" s="121">
        <v>44774</v>
      </c>
      <c r="T2" s="121">
        <v>44805</v>
      </c>
      <c r="U2" s="121">
        <v>44835</v>
      </c>
      <c r="V2" s="121">
        <v>44866</v>
      </c>
      <c r="W2" s="121">
        <v>44896</v>
      </c>
      <c r="X2" s="121">
        <v>44927</v>
      </c>
      <c r="Y2" s="121">
        <v>44958</v>
      </c>
      <c r="Z2" s="121">
        <v>44986</v>
      </c>
      <c r="AA2" s="121">
        <v>45017</v>
      </c>
      <c r="AB2" s="121">
        <v>45047</v>
      </c>
      <c r="AC2" s="121">
        <v>45078</v>
      </c>
      <c r="AD2" s="121">
        <v>45108</v>
      </c>
      <c r="AE2" s="121">
        <v>45139</v>
      </c>
      <c r="AF2" s="121">
        <v>45170</v>
      </c>
      <c r="AG2" s="121">
        <v>45200</v>
      </c>
    </row>
    <row r="3" spans="2:33" x14ac:dyDescent="0.35">
      <c r="B3" s="58" t="s">
        <v>97</v>
      </c>
      <c r="C3" s="56">
        <v>0</v>
      </c>
      <c r="D3" s="56">
        <v>21888.48</v>
      </c>
      <c r="E3" s="175">
        <v>52914.49</v>
      </c>
      <c r="F3" s="175">
        <v>54673.489087036651</v>
      </c>
      <c r="G3" s="175">
        <v>68952.514240276621</v>
      </c>
      <c r="H3" s="175">
        <v>118293.25199272294</v>
      </c>
      <c r="I3" s="175">
        <v>184805.58830074637</v>
      </c>
      <c r="J3" s="175">
        <v>265351.54824569618</v>
      </c>
      <c r="K3" s="175">
        <f>J9</f>
        <v>316091.86399821442</v>
      </c>
      <c r="L3" s="175">
        <v>331360.76100246538</v>
      </c>
      <c r="M3" s="175">
        <v>369651.67606963508</v>
      </c>
      <c r="N3" s="175">
        <v>183080.60828332443</v>
      </c>
      <c r="O3" s="175">
        <v>215629.36730509758</v>
      </c>
      <c r="P3" s="175">
        <v>320738.29754685785</v>
      </c>
      <c r="Q3" s="175">
        <v>381941.07483278483</v>
      </c>
      <c r="R3" s="175">
        <v>412191.66100534156</v>
      </c>
      <c r="S3" s="175">
        <v>450145.55133221322</v>
      </c>
      <c r="T3" s="175">
        <v>480685.71891578968</v>
      </c>
      <c r="U3" s="175">
        <v>541508.8266178302</v>
      </c>
      <c r="V3" s="175">
        <v>561909.83741499344</v>
      </c>
      <c r="W3" s="175">
        <v>615385.84651561279</v>
      </c>
      <c r="X3" s="175">
        <v>685363.89284558839</v>
      </c>
      <c r="Y3" s="175">
        <v>726160.08575171628</v>
      </c>
      <c r="Z3" s="175">
        <v>770735.85158225882</v>
      </c>
      <c r="AA3" s="175">
        <v>780659.54894832708</v>
      </c>
      <c r="AB3" s="175">
        <v>800698.45677987696</v>
      </c>
      <c r="AC3" s="175">
        <v>814182.7547070767</v>
      </c>
      <c r="AD3" s="175">
        <v>827306.14447455411</v>
      </c>
      <c r="AE3" s="175">
        <v>194342.81553892637</v>
      </c>
      <c r="AF3" s="175">
        <v>252530.28392805366</v>
      </c>
      <c r="AG3" s="175">
        <v>288511.0463102365</v>
      </c>
    </row>
    <row r="4" spans="2:33" x14ac:dyDescent="0.35">
      <c r="B4" s="58" t="s">
        <v>98</v>
      </c>
      <c r="C4" s="170">
        <v>21888.48</v>
      </c>
      <c r="D4" s="170">
        <v>31026.01</v>
      </c>
      <c r="E4" s="56">
        <v>1912.94</v>
      </c>
      <c r="F4" s="56">
        <v>14641.79</v>
      </c>
      <c r="G4" s="56">
        <v>49815.66</v>
      </c>
      <c r="H4" s="56">
        <v>67154.759999999995</v>
      </c>
      <c r="I4" s="56">
        <v>81496.11</v>
      </c>
      <c r="J4" s="56">
        <v>52212.07</v>
      </c>
      <c r="K4" s="56">
        <v>17269.25</v>
      </c>
      <c r="L4" s="56">
        <v>40557.550000000003</v>
      </c>
      <c r="M4" s="56">
        <v>0</v>
      </c>
      <c r="N4" s="56">
        <v>42895.09</v>
      </c>
      <c r="O4" s="56">
        <v>107235.82</v>
      </c>
      <c r="P4" s="56">
        <v>63735.03</v>
      </c>
      <c r="Q4" s="56">
        <v>33437.46</v>
      </c>
      <c r="R4" s="56">
        <v>41575.129999999997</v>
      </c>
      <c r="S4" s="56">
        <v>34435.99</v>
      </c>
      <c r="T4" s="56">
        <v>64925.1</v>
      </c>
      <c r="U4" s="56">
        <v>24755.54</v>
      </c>
      <c r="V4" s="56">
        <v>58210.5</v>
      </c>
      <c r="W4" s="56">
        <v>75347.460000000006</v>
      </c>
      <c r="X4" s="56">
        <v>46190.57</v>
      </c>
      <c r="Y4" s="56">
        <v>50361.200000000004</v>
      </c>
      <c r="Z4" s="56">
        <v>16097.5</v>
      </c>
      <c r="AA4" s="56">
        <v>23110.13</v>
      </c>
      <c r="AB4" s="56">
        <v>19987.060000000001</v>
      </c>
      <c r="AC4" s="56">
        <v>19388.829999999998</v>
      </c>
      <c r="AD4" s="56">
        <v>54028.06</v>
      </c>
      <c r="AE4" s="56">
        <v>60059.490000000005</v>
      </c>
      <c r="AF4" s="56">
        <v>38128.49</v>
      </c>
      <c r="AG4" s="56">
        <v>61279.490000000005</v>
      </c>
    </row>
    <row r="5" spans="2:33" x14ac:dyDescent="0.35">
      <c r="B5" s="58" t="s">
        <v>126</v>
      </c>
      <c r="C5" s="170"/>
      <c r="D5" s="170"/>
      <c r="E5" s="56"/>
      <c r="F5" s="56"/>
      <c r="G5" s="56"/>
      <c r="H5" s="56"/>
      <c r="I5" s="56"/>
      <c r="J5" s="56"/>
      <c r="K5" s="56"/>
      <c r="L5" s="56"/>
      <c r="M5" s="56">
        <v>-184805.58830074637</v>
      </c>
      <c r="N5" s="56"/>
      <c r="O5" s="56"/>
      <c r="P5" s="56"/>
      <c r="Q5" s="56"/>
      <c r="R5" s="56"/>
      <c r="S5" s="56"/>
      <c r="T5" s="56"/>
      <c r="U5" s="56"/>
      <c r="V5" s="56"/>
      <c r="W5" s="56"/>
      <c r="X5" s="56"/>
      <c r="Y5" s="56"/>
      <c r="Z5" s="56"/>
      <c r="AA5" s="56"/>
      <c r="AB5" s="56"/>
      <c r="AC5" s="56"/>
      <c r="AD5" s="56">
        <v>-685363.89284558839</v>
      </c>
      <c r="AE5" s="56">
        <v>0</v>
      </c>
      <c r="AF5" s="56">
        <v>0</v>
      </c>
      <c r="AG5" s="56">
        <v>0</v>
      </c>
    </row>
    <row r="6" spans="2:33" x14ac:dyDescent="0.35">
      <c r="B6" s="58" t="s">
        <v>127</v>
      </c>
      <c r="C6" s="170"/>
      <c r="D6" s="170"/>
      <c r="E6" s="56"/>
      <c r="F6" s="56"/>
      <c r="G6" s="56"/>
      <c r="H6" s="56"/>
      <c r="I6" s="56"/>
      <c r="J6" s="56"/>
      <c r="K6" s="56"/>
      <c r="L6" s="56"/>
      <c r="M6" s="56"/>
      <c r="N6" s="56">
        <v>-8404.8578125000004</v>
      </c>
      <c r="O6" s="56">
        <v>0</v>
      </c>
      <c r="P6" s="56">
        <v>0</v>
      </c>
      <c r="Q6" s="56">
        <v>0</v>
      </c>
      <c r="R6" s="56">
        <v>0</v>
      </c>
      <c r="S6" s="56">
        <v>0</v>
      </c>
      <c r="T6" s="56">
        <v>0</v>
      </c>
      <c r="U6" s="56">
        <v>0</v>
      </c>
      <c r="V6" s="56">
        <v>0</v>
      </c>
      <c r="W6" s="56">
        <v>-692.5532558282822</v>
      </c>
      <c r="X6" s="56">
        <v>0</v>
      </c>
      <c r="Y6" s="56">
        <v>0</v>
      </c>
      <c r="Z6" s="56">
        <v>0</v>
      </c>
      <c r="AA6" s="56">
        <v>0</v>
      </c>
      <c r="AB6" s="56">
        <v>0</v>
      </c>
      <c r="AC6" s="56">
        <v>0</v>
      </c>
      <c r="AD6" s="56">
        <v>0</v>
      </c>
      <c r="AE6" s="56">
        <v>0</v>
      </c>
      <c r="AF6" s="56">
        <v>0</v>
      </c>
      <c r="AG6" s="56">
        <v>0</v>
      </c>
    </row>
    <row r="7" spans="2:33" x14ac:dyDescent="0.35">
      <c r="B7" s="58" t="s">
        <v>128</v>
      </c>
      <c r="C7" s="170"/>
      <c r="D7" s="170"/>
      <c r="E7" s="56"/>
      <c r="F7" s="56"/>
      <c r="G7" s="56"/>
      <c r="H7" s="56"/>
      <c r="I7" s="56"/>
      <c r="J7" s="56"/>
      <c r="K7" s="56"/>
      <c r="L7" s="56"/>
      <c r="M7" s="56"/>
      <c r="N7" s="56"/>
      <c r="O7" s="56"/>
      <c r="P7" s="56"/>
      <c r="Q7" s="56"/>
      <c r="R7" s="56"/>
      <c r="S7" s="56"/>
      <c r="T7" s="56"/>
      <c r="U7" s="56"/>
      <c r="V7" s="56"/>
      <c r="W7" s="56">
        <v>387.15675951366387</v>
      </c>
      <c r="X7" s="56">
        <v>0</v>
      </c>
      <c r="Y7" s="56">
        <v>0</v>
      </c>
      <c r="Z7" s="56">
        <v>0</v>
      </c>
      <c r="AA7" s="56">
        <v>2979.1408147609818</v>
      </c>
      <c r="AB7" s="56">
        <v>0</v>
      </c>
      <c r="AC7" s="56">
        <v>428.90625</v>
      </c>
      <c r="AD7" s="56">
        <v>0</v>
      </c>
      <c r="AE7" s="56">
        <v>0</v>
      </c>
      <c r="AF7" s="56">
        <v>0</v>
      </c>
      <c r="AG7" s="56">
        <v>0</v>
      </c>
    </row>
    <row r="8" spans="2:33" x14ac:dyDescent="0.35">
      <c r="B8" s="58" t="s">
        <v>99</v>
      </c>
      <c r="C8" s="169">
        <v>0</v>
      </c>
      <c r="D8" s="169">
        <v>0</v>
      </c>
      <c r="E8" s="169">
        <v>153.94091296334616</v>
      </c>
      <c r="F8" s="169">
        <v>362.76484676002565</v>
      </c>
      <c r="G8" s="169">
        <v>474.92224755367641</v>
      </c>
      <c r="H8" s="169">
        <v>642.42369197655432</v>
      </c>
      <c r="I8" s="169">
        <v>950.150055050226</v>
      </c>
      <c r="J8" s="169">
        <v>1471.7542474817876</v>
      </c>
      <c r="K8" s="169">
        <v>2000.3529957490173</v>
      </c>
      <c r="L8" s="169">
        <v>2266.6349328303177</v>
      </c>
      <c r="M8" s="169">
        <v>1765.4794855642854</v>
      </c>
      <c r="N8" s="169">
        <v>1941.4731657268321</v>
      </c>
      <c r="O8" s="169">
        <v>2126.8897582397071</v>
      </c>
      <c r="P8" s="169">
        <v>2532.2527140730399</v>
      </c>
      <c r="Q8" s="169">
        <v>3186.8738274432799</v>
      </c>
      <c r="R8" s="169">
        <v>3621.2396731283361</v>
      </c>
      <c r="S8" s="169">
        <v>3895.822416423543</v>
      </c>
      <c r="T8" s="169">
        <v>4101.9922979594894</v>
      </c>
      <c r="U8" s="169">
        <v>4354.5292028367503</v>
      </c>
      <c r="V8" s="169">
        <v>4734.4908993806794</v>
      </c>
      <c r="W8" s="169">
        <v>5064.0171737097062</v>
      </c>
      <c r="X8" s="169">
        <v>5394.3770938720654</v>
      </c>
      <c r="Y8" s="169">
        <v>5785.4341694574669</v>
      </c>
      <c r="Z8" s="169">
        <v>6173.8026339317557</v>
      </c>
      <c r="AA8" s="169">
        <v>6050.3629832110209</v>
      </c>
      <c r="AB8" s="169">
        <v>6502.762072800364</v>
      </c>
      <c r="AC8" s="169">
        <v>6694.3464825225892</v>
      </c>
      <c r="AD8" s="169">
        <v>1627.4960900394124</v>
      </c>
      <c r="AE8" s="169">
        <v>1872.0216108727457</v>
      </c>
      <c r="AF8" s="169">
        <v>2147.7276178171905</v>
      </c>
      <c r="AG8" s="169">
        <v>2608.9357180156035</v>
      </c>
    </row>
    <row r="9" spans="2:33" x14ac:dyDescent="0.35">
      <c r="B9" s="58" t="s">
        <v>100</v>
      </c>
      <c r="C9" s="56">
        <v>21888.48</v>
      </c>
      <c r="D9" s="56">
        <v>52914.49</v>
      </c>
      <c r="E9" s="56">
        <v>54673.489087036651</v>
      </c>
      <c r="F9" s="56">
        <v>68952.514240276621</v>
      </c>
      <c r="G9" s="56">
        <v>118293.25199272294</v>
      </c>
      <c r="H9" s="56">
        <v>184805.58830074637</v>
      </c>
      <c r="I9" s="56">
        <v>265351.54824569618</v>
      </c>
      <c r="J9" s="56">
        <v>316091.86399821442</v>
      </c>
      <c r="K9" s="56">
        <f t="shared" ref="K9" si="0">K3+K4-K8</f>
        <v>331360.76100246538</v>
      </c>
      <c r="L9" s="56">
        <v>369651.67606963508</v>
      </c>
      <c r="M9" s="56">
        <v>183080.60828332443</v>
      </c>
      <c r="N9" s="56">
        <v>215629.36730509758</v>
      </c>
      <c r="O9" s="56">
        <v>320738.29754685785</v>
      </c>
      <c r="P9" s="56">
        <v>381941.07483278483</v>
      </c>
      <c r="Q9" s="56">
        <v>412191.66100534156</v>
      </c>
      <c r="R9" s="56">
        <v>450145.55133221322</v>
      </c>
      <c r="S9" s="56">
        <v>480685.71891578968</v>
      </c>
      <c r="T9" s="56">
        <v>541508.8266178302</v>
      </c>
      <c r="U9" s="56">
        <v>561909.83741499344</v>
      </c>
      <c r="V9" s="56">
        <v>615385.84651561279</v>
      </c>
      <c r="W9" s="56">
        <v>685363.89284558839</v>
      </c>
      <c r="X9" s="56">
        <v>726160.08575171628</v>
      </c>
      <c r="Y9" s="56">
        <v>770735.85158225882</v>
      </c>
      <c r="Z9" s="56">
        <v>780659.54894832708</v>
      </c>
      <c r="AA9" s="56">
        <v>800698.45677987696</v>
      </c>
      <c r="AB9" s="56">
        <v>814182.7547070767</v>
      </c>
      <c r="AC9" s="56">
        <v>827306.14447455411</v>
      </c>
      <c r="AD9" s="56">
        <v>194342.81553892637</v>
      </c>
      <c r="AE9" s="56">
        <v>252530.28392805366</v>
      </c>
      <c r="AF9" s="56">
        <v>288511.0463102365</v>
      </c>
      <c r="AG9" s="56">
        <v>347181.6005922209</v>
      </c>
    </row>
    <row r="10" spans="2:33" x14ac:dyDescent="0.35">
      <c r="B10" s="58" t="s">
        <v>101</v>
      </c>
      <c r="C10" s="171">
        <v>-5191.2544667231996</v>
      </c>
      <c r="D10" s="171">
        <v>-12549.641755246599</v>
      </c>
      <c r="E10" s="176">
        <v>-12966.820648780598</v>
      </c>
      <c r="F10" s="169">
        <v>-16353.353341192767</v>
      </c>
      <c r="G10" s="169">
        <v>-28055.414208315793</v>
      </c>
      <c r="H10" s="169">
        <v>-43830.034600011437</v>
      </c>
      <c r="I10" s="176">
        <v>-62932.986213861674</v>
      </c>
      <c r="J10" s="176">
        <v>-74938.110841104688</v>
      </c>
      <c r="K10" s="176">
        <f>-1*(K9*0.237077)</f>
        <v>-78558.015136181493</v>
      </c>
      <c r="L10" s="176">
        <v>-87635.910407560878</v>
      </c>
      <c r="M10" s="176">
        <v>-43404.201369985705</v>
      </c>
      <c r="N10" s="176">
        <v>-51120.763512590624</v>
      </c>
      <c r="O10" s="176">
        <v>-76039.673367516429</v>
      </c>
      <c r="P10" s="176">
        <v>-90549.444198132129</v>
      </c>
      <c r="Q10" s="176">
        <v>-97721.162416163366</v>
      </c>
      <c r="R10" s="176">
        <v>-106719.15687318712</v>
      </c>
      <c r="S10" s="176">
        <v>-113959.52818339868</v>
      </c>
      <c r="T10" s="176">
        <v>-128379.28808807534</v>
      </c>
      <c r="U10" s="176">
        <v>-133215.8985248344</v>
      </c>
      <c r="V10" s="176">
        <v>-145685.82991825967</v>
      </c>
      <c r="W10" s="176">
        <v>-162252.36262837175</v>
      </c>
      <c r="X10" s="176">
        <v>-171910.41254077558</v>
      </c>
      <c r="Y10" s="176">
        <v>-182463.23476773239</v>
      </c>
      <c r="Z10" s="176">
        <v>-185274.57869933208</v>
      </c>
      <c r="AA10" s="176">
        <v>-190030.42932728733</v>
      </c>
      <c r="AB10" s="176">
        <v>-193230.6689463169</v>
      </c>
      <c r="AC10" s="176">
        <v>-196345.25393224583</v>
      </c>
      <c r="AD10" s="176">
        <v>-46123.541716390289</v>
      </c>
      <c r="AE10" s="176">
        <v>-59933.221884780636</v>
      </c>
      <c r="AF10" s="176">
        <v>-68472.566084976861</v>
      </c>
      <c r="AG10" s="176">
        <v>-82396.897429280274</v>
      </c>
    </row>
    <row r="11" spans="2:33" x14ac:dyDescent="0.35">
      <c r="B11" s="58" t="s">
        <v>102</v>
      </c>
      <c r="C11" s="56">
        <v>16697.2255332768</v>
      </c>
      <c r="D11" s="56">
        <v>40364.848244753397</v>
      </c>
      <c r="E11" s="177">
        <v>41706.668438256049</v>
      </c>
      <c r="F11" s="177">
        <v>52599.160899083858</v>
      </c>
      <c r="G11" s="177">
        <v>90237.837784407151</v>
      </c>
      <c r="H11" s="177">
        <v>140975.55370073492</v>
      </c>
      <c r="I11" s="177">
        <v>202418.5620318345</v>
      </c>
      <c r="J11" s="177">
        <v>241153.75315710972</v>
      </c>
      <c r="K11" s="177">
        <f t="shared" ref="K11" si="1">K9+K10</f>
        <v>252802.74586628389</v>
      </c>
      <c r="L11" s="177">
        <v>282015.76566207421</v>
      </c>
      <c r="M11" s="177">
        <v>139676.40691333872</v>
      </c>
      <c r="N11" s="177">
        <v>164508.60379250697</v>
      </c>
      <c r="O11" s="177">
        <v>244698.62417934142</v>
      </c>
      <c r="P11" s="177">
        <v>291391.63063465268</v>
      </c>
      <c r="Q11" s="177">
        <v>314470.4985891782</v>
      </c>
      <c r="R11" s="177">
        <v>343426.39445902611</v>
      </c>
      <c r="S11" s="177">
        <v>366726.19073239097</v>
      </c>
      <c r="T11" s="177">
        <v>413129.53852975485</v>
      </c>
      <c r="U11" s="177">
        <v>428693.93889015901</v>
      </c>
      <c r="V11" s="177">
        <v>469700.01659735315</v>
      </c>
      <c r="W11" s="177">
        <v>523111.53021721664</v>
      </c>
      <c r="X11" s="177">
        <v>554249.67321094067</v>
      </c>
      <c r="Y11" s="177">
        <v>588272.6168145265</v>
      </c>
      <c r="Z11" s="177">
        <v>595384.970248995</v>
      </c>
      <c r="AA11" s="177">
        <v>610668.02745258959</v>
      </c>
      <c r="AB11" s="177">
        <v>620952.08576075977</v>
      </c>
      <c r="AC11" s="177">
        <v>630960.89054230833</v>
      </c>
      <c r="AD11" s="177">
        <v>148219.27382253608</v>
      </c>
      <c r="AE11" s="177">
        <v>192597.06204327301</v>
      </c>
      <c r="AF11" s="177">
        <v>220038.48022525964</v>
      </c>
      <c r="AG11" s="177">
        <v>264784.70316294063</v>
      </c>
    </row>
    <row r="12" spans="2:33" x14ac:dyDescent="0.35">
      <c r="B12" s="58" t="s">
        <v>103</v>
      </c>
      <c r="C12" s="59">
        <v>9.0399999999999994E-2</v>
      </c>
      <c r="D12" s="59">
        <v>9.0399999999999994E-2</v>
      </c>
      <c r="E12" s="178">
        <v>9.0399999999999994E-2</v>
      </c>
      <c r="F12" s="59">
        <v>9.0399999999999994E-2</v>
      </c>
      <c r="G12" s="59">
        <v>9.0399999999999994E-2</v>
      </c>
      <c r="H12" s="59">
        <v>9.0399999999999994E-2</v>
      </c>
      <c r="I12" s="178">
        <v>9.0399999999999994E-2</v>
      </c>
      <c r="J12" s="178">
        <v>9.0399999999999994E-2</v>
      </c>
      <c r="K12" s="178">
        <v>9.0399999999999994E-2</v>
      </c>
      <c r="L12" s="178">
        <v>9.0399999999999994E-2</v>
      </c>
      <c r="M12" s="178">
        <v>9.0399999999999994E-2</v>
      </c>
      <c r="N12" s="178">
        <v>8.2900000000000001E-2</v>
      </c>
      <c r="O12" s="178">
        <v>8.2900000000000001E-2</v>
      </c>
      <c r="P12" s="213">
        <v>8.2900000000000001E-2</v>
      </c>
      <c r="Q12" s="213">
        <v>8.2900000000000001E-2</v>
      </c>
      <c r="R12" s="213">
        <v>8.2900000000000001E-2</v>
      </c>
      <c r="S12" s="213">
        <v>8.2900000000000001E-2</v>
      </c>
      <c r="T12" s="213">
        <v>8.2900000000000001E-2</v>
      </c>
      <c r="U12" s="213">
        <v>8.2900000000000001E-2</v>
      </c>
      <c r="V12" s="213">
        <v>8.2900000000000001E-2</v>
      </c>
      <c r="W12" s="213">
        <v>8.2900000000000001E-2</v>
      </c>
      <c r="X12" s="213">
        <v>8.2900000000000001E-2</v>
      </c>
      <c r="Y12" s="213">
        <v>8.2900000000000001E-2</v>
      </c>
      <c r="Z12" s="213">
        <v>8.2900000000000001E-2</v>
      </c>
      <c r="AA12" s="213">
        <v>8.2900000000000001E-2</v>
      </c>
      <c r="AB12" s="213">
        <v>8.2900000000000001E-2</v>
      </c>
      <c r="AC12" s="213">
        <v>8.2900000000000001E-2</v>
      </c>
      <c r="AD12" s="213">
        <v>7.6300000000000007E-2</v>
      </c>
      <c r="AE12" s="213">
        <v>7.6300000000000007E-2</v>
      </c>
      <c r="AF12" s="213">
        <v>7.6300000000000007E-2</v>
      </c>
      <c r="AG12" s="213">
        <v>8.3599999999999994E-2</v>
      </c>
    </row>
    <row r="13" spans="2:33" x14ac:dyDescent="0.35">
      <c r="B13" s="58" t="s">
        <v>104</v>
      </c>
      <c r="C13" s="172">
        <v>0.04</v>
      </c>
      <c r="D13" s="172">
        <v>0.04</v>
      </c>
      <c r="E13" s="172">
        <v>0.04</v>
      </c>
      <c r="F13" s="172">
        <v>0.04</v>
      </c>
      <c r="G13" s="172">
        <v>0.04</v>
      </c>
      <c r="H13" s="172">
        <v>0.04</v>
      </c>
      <c r="I13" s="172">
        <v>0.04</v>
      </c>
      <c r="J13" s="172">
        <v>0.03</v>
      </c>
      <c r="K13" s="172">
        <v>0.03</v>
      </c>
      <c r="L13" s="172">
        <v>0.03</v>
      </c>
      <c r="M13" s="172">
        <v>0.03</v>
      </c>
      <c r="N13" s="172">
        <v>0.03</v>
      </c>
      <c r="O13" s="172">
        <v>0.03</v>
      </c>
      <c r="P13" s="172">
        <v>0.03</v>
      </c>
      <c r="Q13" s="172">
        <v>0.03</v>
      </c>
      <c r="R13" s="172">
        <v>0.03</v>
      </c>
      <c r="S13" s="172">
        <v>0.03</v>
      </c>
      <c r="T13" s="172">
        <v>0.03</v>
      </c>
      <c r="U13" s="172">
        <v>0.03</v>
      </c>
      <c r="V13" s="172">
        <v>0.03</v>
      </c>
      <c r="W13" s="172">
        <v>0.03</v>
      </c>
      <c r="X13" s="172">
        <v>0.03</v>
      </c>
      <c r="Y13" s="172">
        <v>0.03</v>
      </c>
      <c r="Z13" s="172">
        <v>0.03</v>
      </c>
      <c r="AA13" s="172">
        <v>0.03</v>
      </c>
      <c r="AB13" s="172">
        <v>0.03</v>
      </c>
      <c r="AC13" s="172">
        <v>0.03</v>
      </c>
      <c r="AD13" s="172">
        <v>0.03</v>
      </c>
      <c r="AE13" s="172">
        <v>0.03</v>
      </c>
      <c r="AF13" s="172">
        <v>0.03</v>
      </c>
      <c r="AG13" s="172">
        <v>0.03</v>
      </c>
    </row>
    <row r="14" spans="2:33" x14ac:dyDescent="0.35">
      <c r="B14" s="58" t="s">
        <v>95</v>
      </c>
      <c r="C14" s="173">
        <v>5.0399999999999993E-2</v>
      </c>
      <c r="D14" s="173">
        <v>5.0399999999999993E-2</v>
      </c>
      <c r="E14" s="172">
        <v>5.0399999999999993E-2</v>
      </c>
      <c r="F14" s="172">
        <v>5.0399999999999993E-2</v>
      </c>
      <c r="G14" s="172">
        <v>5.0399999999999993E-2</v>
      </c>
      <c r="H14" s="172">
        <v>5.0399999999999993E-2</v>
      </c>
      <c r="I14" s="172">
        <v>5.0399999999999993E-2</v>
      </c>
      <c r="J14" s="172">
        <v>6.0399999999999995E-2</v>
      </c>
      <c r="K14" s="172">
        <f t="shared" ref="K14" si="2">K12-K13</f>
        <v>6.0399999999999995E-2</v>
      </c>
      <c r="L14" s="172">
        <v>6.0399999999999995E-2</v>
      </c>
      <c r="M14" s="172">
        <v>6.0399999999999995E-2</v>
      </c>
      <c r="N14" s="172">
        <v>5.2900000000000003E-2</v>
      </c>
      <c r="O14" s="172">
        <v>5.2900000000000003E-2</v>
      </c>
      <c r="P14" s="172">
        <v>5.2900000000000003E-2</v>
      </c>
      <c r="Q14" s="172">
        <v>5.2900000000000003E-2</v>
      </c>
      <c r="R14" s="172">
        <v>5.2900000000000003E-2</v>
      </c>
      <c r="S14" s="172">
        <v>5.2900000000000003E-2</v>
      </c>
      <c r="T14" s="172">
        <v>5.2900000000000003E-2</v>
      </c>
      <c r="U14" s="172">
        <v>5.2900000000000003E-2</v>
      </c>
      <c r="V14" s="172">
        <v>5.2900000000000003E-2</v>
      </c>
      <c r="W14" s="172">
        <v>5.2900000000000003E-2</v>
      </c>
      <c r="X14" s="172">
        <v>5.2900000000000003E-2</v>
      </c>
      <c r="Y14" s="172">
        <v>5.2900000000000003E-2</v>
      </c>
      <c r="Z14" s="172">
        <v>5.2900000000000003E-2</v>
      </c>
      <c r="AA14" s="172">
        <v>5.2900000000000003E-2</v>
      </c>
      <c r="AB14" s="172">
        <v>5.2900000000000003E-2</v>
      </c>
      <c r="AC14" s="172">
        <v>5.2900000000000003E-2</v>
      </c>
      <c r="AD14" s="172">
        <v>4.6300000000000008E-2</v>
      </c>
      <c r="AE14" s="172">
        <v>4.6300000000000008E-2</v>
      </c>
      <c r="AF14" s="172">
        <v>4.6300000000000008E-2</v>
      </c>
      <c r="AG14" s="172">
        <v>5.3599999999999995E-2</v>
      </c>
    </row>
    <row r="15" spans="2:33" x14ac:dyDescent="0.35">
      <c r="B15" s="58" t="s">
        <v>96</v>
      </c>
      <c r="C15" s="56">
        <v>70.128347239762562</v>
      </c>
      <c r="D15" s="56">
        <v>169.53236262796426</v>
      </c>
      <c r="E15" s="175">
        <v>175.16800744067538</v>
      </c>
      <c r="F15" s="175">
        <v>220.9164757761522</v>
      </c>
      <c r="G15" s="175">
        <v>378.99891869451</v>
      </c>
      <c r="H15" s="175">
        <v>592.09732554308664</v>
      </c>
      <c r="I15" s="175">
        <v>850.15796053370491</v>
      </c>
      <c r="J15" s="175">
        <v>1213.807224224119</v>
      </c>
      <c r="K15" s="175">
        <f>K11*(K14/12)</f>
        <v>1272.4404875269622</v>
      </c>
      <c r="L15" s="175">
        <v>1419.4793538324402</v>
      </c>
      <c r="M15" s="175">
        <v>703.03791479713823</v>
      </c>
      <c r="N15" s="175">
        <v>725.20876171863495</v>
      </c>
      <c r="O15" s="175">
        <v>1078.7131015905968</v>
      </c>
      <c r="P15" s="175">
        <v>1284.5514383810939</v>
      </c>
      <c r="Q15" s="175">
        <v>1386.2907812806272</v>
      </c>
      <c r="R15" s="175">
        <v>1513.9380222402069</v>
      </c>
      <c r="S15" s="175">
        <v>1616.6512908119569</v>
      </c>
      <c r="T15" s="175">
        <v>1821.212715685336</v>
      </c>
      <c r="U15" s="175">
        <v>1889.8257806074512</v>
      </c>
      <c r="V15" s="175">
        <v>2070.5942398333318</v>
      </c>
      <c r="W15" s="175">
        <v>2306.0499957075635</v>
      </c>
      <c r="X15" s="175">
        <v>2443.3173094048971</v>
      </c>
      <c r="Y15" s="175">
        <v>2593.3017857907043</v>
      </c>
      <c r="Z15" s="175">
        <v>2624.6554105143196</v>
      </c>
      <c r="AA15" s="175">
        <v>2692.0282210201658</v>
      </c>
      <c r="AB15" s="175">
        <v>2737.3637780620161</v>
      </c>
      <c r="AC15" s="175">
        <v>2781.4859258073425</v>
      </c>
      <c r="AD15" s="175">
        <v>571.87936483195176</v>
      </c>
      <c r="AE15" s="175">
        <v>743.10366438362848</v>
      </c>
      <c r="AF15" s="175">
        <v>848.98180286912691</v>
      </c>
      <c r="AG15" s="175">
        <v>1182.7050074611348</v>
      </c>
    </row>
    <row r="16" spans="2:33" x14ac:dyDescent="0.35">
      <c r="B16" s="47"/>
      <c r="C16" s="56"/>
    </row>
    <row r="19" spans="2:24" x14ac:dyDescent="0.35">
      <c r="B19" s="47"/>
      <c r="C19" s="45"/>
    </row>
    <row r="20" spans="2:24" x14ac:dyDescent="0.35">
      <c r="C20" s="45"/>
    </row>
    <row r="22" spans="2:24" x14ac:dyDescent="0.35">
      <c r="C22" s="47"/>
    </row>
    <row r="23" spans="2:24" x14ac:dyDescent="0.35">
      <c r="C23" s="56"/>
      <c r="W23" s="56"/>
      <c r="X23" s="56"/>
    </row>
    <row r="24" spans="2:24" x14ac:dyDescent="0.35">
      <c r="B24" s="47"/>
      <c r="C24" s="56"/>
      <c r="N24" s="56"/>
    </row>
    <row r="25" spans="2:24" x14ac:dyDescent="0.35">
      <c r="N25" s="56"/>
    </row>
  </sheetData>
  <pageMargins left="0.7" right="0.7" top="0.75" bottom="0.75" header="0.3" footer="0.3"/>
  <pageSetup orientation="portrait" r:id="rId1"/>
  <headerFooter>
    <oddFooter>&amp;RSchedule JNG-D3</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FS267"/>
  <sheetViews>
    <sheetView topLeftCell="CW1" zoomScale="85" zoomScaleNormal="85" zoomScaleSheetLayoutView="80" workbookViewId="0">
      <selection activeCell="EM37" sqref="EM37"/>
    </sheetView>
  </sheetViews>
  <sheetFormatPr defaultColWidth="9.1796875" defaultRowHeight="0" customHeight="1" zeroHeight="1" outlineLevelRow="1" x14ac:dyDescent="0.35"/>
  <cols>
    <col min="1" max="1" width="3.1796875" style="1" customWidth="1"/>
    <col min="2" max="2" width="50" customWidth="1"/>
    <col min="3" max="10" width="15.26953125" bestFit="1" customWidth="1"/>
    <col min="11" max="11" width="14" bestFit="1" customWidth="1"/>
    <col min="12" max="12" width="18.54296875" bestFit="1" customWidth="1"/>
    <col min="13" max="14" width="9.1796875" style="148"/>
    <col min="16" max="16" width="52.54296875" bestFit="1" customWidth="1"/>
    <col min="17" max="17" width="14.1796875" bestFit="1" customWidth="1"/>
    <col min="18" max="19" width="12.7265625" bestFit="1" customWidth="1"/>
    <col min="20" max="20" width="14.1796875" bestFit="1" customWidth="1"/>
    <col min="21" max="25" width="13.54296875" bestFit="1" customWidth="1"/>
    <col min="26" max="26" width="11.453125" bestFit="1" customWidth="1"/>
    <col min="28" max="28" width="9.1796875" style="155"/>
    <col min="30" max="30" width="48.1796875" bestFit="1" customWidth="1"/>
    <col min="31" max="33" width="12.7265625" bestFit="1" customWidth="1"/>
    <col min="34" max="39" width="13.54296875" bestFit="1" customWidth="1"/>
    <col min="40" max="41" width="13.81640625" bestFit="1" customWidth="1"/>
    <col min="42" max="47" width="13.54296875" bestFit="1" customWidth="1"/>
    <col min="48" max="48" width="14.54296875" bestFit="1" customWidth="1"/>
    <col min="49" max="51" width="13.54296875" bestFit="1" customWidth="1"/>
    <col min="52" max="53" width="13.81640625" bestFit="1" customWidth="1"/>
    <col min="54" max="54" width="16.26953125" bestFit="1" customWidth="1"/>
    <col min="55" max="55" width="12.7265625" bestFit="1" customWidth="1"/>
    <col min="56" max="56" width="14.7265625" bestFit="1" customWidth="1"/>
    <col min="58" max="58" width="9.1796875" style="148"/>
    <col min="59" max="59" width="31.81640625" bestFit="1" customWidth="1"/>
    <col min="60" max="60" width="24.81640625" bestFit="1" customWidth="1"/>
    <col min="61" max="61" width="15" bestFit="1" customWidth="1"/>
    <col min="62" max="62" width="28.54296875" bestFit="1" customWidth="1"/>
    <col min="63" max="63" width="15.26953125" bestFit="1" customWidth="1"/>
    <col min="64" max="69" width="14.26953125" bestFit="1" customWidth="1"/>
    <col min="70" max="73" width="14.54296875" bestFit="1" customWidth="1"/>
    <col min="74" max="74" width="11.26953125" bestFit="1" customWidth="1"/>
    <col min="75" max="75" width="13.81640625" bestFit="1" customWidth="1"/>
    <col min="77" max="77" width="9.1796875" style="148"/>
    <col min="78" max="78" width="35.1796875" bestFit="1" customWidth="1"/>
    <col min="79" max="79" width="52.54296875" bestFit="1" customWidth="1"/>
    <col min="80" max="86" width="14.26953125" bestFit="1" customWidth="1"/>
    <col min="89" max="89" width="35.1796875" bestFit="1" customWidth="1"/>
    <col min="90" max="90" width="52.54296875" bestFit="1" customWidth="1"/>
    <col min="91" max="97" width="14.26953125" bestFit="1" customWidth="1"/>
    <col min="98" max="100" width="13.453125" bestFit="1" customWidth="1"/>
    <col min="101" max="101" width="9.1796875" style="148"/>
    <col min="103" max="103" width="52.54296875" bestFit="1" customWidth="1"/>
    <col min="104" max="104" width="13.81640625" bestFit="1" customWidth="1"/>
    <col min="105" max="110" width="13.54296875" bestFit="1" customWidth="1"/>
    <col min="111" max="115" width="14.54296875" bestFit="1" customWidth="1"/>
    <col min="116" max="116" width="13.81640625" bestFit="1" customWidth="1"/>
    <col min="117" max="117" width="13.54296875" bestFit="1" customWidth="1"/>
    <col min="118" max="127" width="14.54296875" bestFit="1" customWidth="1"/>
    <col min="128" max="128" width="13.81640625" bestFit="1" customWidth="1"/>
    <col min="129" max="129" width="15" style="45" bestFit="1" customWidth="1"/>
    <col min="130" max="130" width="10.26953125" style="45" bestFit="1" customWidth="1"/>
    <col min="131" max="131" width="9.1796875" style="148"/>
    <col min="133" max="133" width="48.1796875" bestFit="1" customWidth="1"/>
    <col min="134" max="134" width="14.54296875" bestFit="1" customWidth="1"/>
    <col min="135" max="135" width="13.81640625" bestFit="1" customWidth="1"/>
    <col min="136" max="136" width="13.54296875" bestFit="1" customWidth="1"/>
    <col min="137" max="146" width="14.54296875" bestFit="1" customWidth="1"/>
    <col min="147" max="147" width="13.81640625" bestFit="1" customWidth="1"/>
    <col min="148" max="148" width="13.54296875" bestFit="1" customWidth="1"/>
    <col min="149" max="158" width="14.54296875" bestFit="1" customWidth="1"/>
    <col min="159" max="159" width="13.81640625" bestFit="1" customWidth="1"/>
    <col min="160" max="160" width="13.54296875" bestFit="1" customWidth="1"/>
    <col min="161" max="161" width="14.54296875" bestFit="1" customWidth="1"/>
    <col min="162" max="162" width="13.453125" bestFit="1" customWidth="1"/>
    <col min="164" max="164" width="9.1796875" style="148"/>
    <col min="166" max="166" width="48.1796875" bestFit="1" customWidth="1"/>
    <col min="167" max="172" width="14.54296875" bestFit="1" customWidth="1"/>
    <col min="173" max="173" width="15.26953125" bestFit="1" customWidth="1"/>
    <col min="175" max="175" width="15.81640625" customWidth="1"/>
  </cols>
  <sheetData>
    <row r="1" spans="1:175" ht="14.5" x14ac:dyDescent="0.35">
      <c r="A1" s="217" t="s">
        <v>122</v>
      </c>
      <c r="O1" s="217" t="s">
        <v>122</v>
      </c>
      <c r="AC1" s="217" t="s">
        <v>122</v>
      </c>
      <c r="AE1" s="47" t="s">
        <v>94</v>
      </c>
      <c r="AO1" s="39"/>
      <c r="AQ1" s="39"/>
      <c r="AU1" s="39"/>
      <c r="BA1" s="164">
        <f>BA2-BA3</f>
        <v>-21490.439999997616</v>
      </c>
      <c r="BB1" s="167" t="s">
        <v>89</v>
      </c>
      <c r="BG1" s="217" t="s">
        <v>122</v>
      </c>
      <c r="BZ1" t="s">
        <v>121</v>
      </c>
      <c r="CX1" s="47" t="s">
        <v>152</v>
      </c>
      <c r="DY1" s="175"/>
      <c r="DZ1" s="175"/>
      <c r="EB1" s="47" t="s">
        <v>153</v>
      </c>
      <c r="FI1" s="47" t="s">
        <v>154</v>
      </c>
    </row>
    <row r="2" spans="1:175" ht="16" thickBot="1" x14ac:dyDescent="0.4">
      <c r="A2" s="46" t="s">
        <v>80</v>
      </c>
      <c r="B2" s="33"/>
      <c r="O2" s="218" t="s">
        <v>123</v>
      </c>
      <c r="AC2" s="46" t="s">
        <v>80</v>
      </c>
      <c r="AD2" s="33"/>
      <c r="AE2" s="47" t="s">
        <v>93</v>
      </c>
      <c r="AF2" s="50"/>
      <c r="AG2" s="50"/>
      <c r="AH2" s="50"/>
      <c r="AI2" s="50"/>
      <c r="AJ2" s="50"/>
      <c r="AN2" s="39"/>
      <c r="AO2" s="39"/>
      <c r="AQ2" s="39"/>
      <c r="AR2" s="39"/>
      <c r="AT2" s="39"/>
      <c r="AU2" s="39"/>
      <c r="AV2" s="39"/>
      <c r="AW2" s="39"/>
      <c r="AZ2" s="39"/>
      <c r="BA2" s="39">
        <f>SUM(AE6:AW6)</f>
        <v>89531221.039999992</v>
      </c>
      <c r="BB2" t="s">
        <v>91</v>
      </c>
      <c r="BG2" s="219" t="s">
        <v>124</v>
      </c>
      <c r="BZ2" t="s">
        <v>116</v>
      </c>
      <c r="CB2" s="10">
        <v>44501</v>
      </c>
      <c r="CC2" s="10">
        <v>44531</v>
      </c>
      <c r="CD2" s="10">
        <v>44562</v>
      </c>
      <c r="CE2" s="10">
        <v>44593</v>
      </c>
      <c r="CF2" s="10">
        <v>44621</v>
      </c>
      <c r="CG2" s="10">
        <v>44652</v>
      </c>
      <c r="CH2" s="10">
        <v>44682</v>
      </c>
      <c r="CK2" t="s">
        <v>120</v>
      </c>
      <c r="CM2" s="10">
        <v>44501</v>
      </c>
      <c r="CN2" s="10">
        <v>44531</v>
      </c>
      <c r="CO2" s="10">
        <v>44562</v>
      </c>
      <c r="CP2" s="10">
        <v>44593</v>
      </c>
      <c r="CQ2" s="10">
        <v>44621</v>
      </c>
      <c r="CR2" s="10">
        <v>44652</v>
      </c>
      <c r="CS2" s="10">
        <v>44682</v>
      </c>
      <c r="CX2" s="47" t="s">
        <v>93</v>
      </c>
      <c r="EB2" s="47" t="s">
        <v>133</v>
      </c>
      <c r="FI2" s="47" t="s">
        <v>134</v>
      </c>
    </row>
    <row r="3" spans="1:175" ht="15" customHeight="1" thickBot="1" x14ac:dyDescent="0.4">
      <c r="A3" s="46" t="s">
        <v>64</v>
      </c>
      <c r="P3" s="55"/>
      <c r="AC3" s="46" t="s">
        <v>7</v>
      </c>
      <c r="AO3" s="39"/>
      <c r="BA3" s="39">
        <f>SUM('MEEIA 3 calcs'!F6:X6)</f>
        <v>89552711.479999989</v>
      </c>
      <c r="BB3" t="s">
        <v>92</v>
      </c>
      <c r="BG3" s="195" t="s">
        <v>105</v>
      </c>
      <c r="BH3" s="195" t="s">
        <v>106</v>
      </c>
      <c r="BI3" s="195"/>
      <c r="BJ3" s="195"/>
      <c r="BL3" s="305" t="s">
        <v>42</v>
      </c>
      <c r="BM3" s="299" t="s">
        <v>112</v>
      </c>
      <c r="BN3" s="299"/>
      <c r="BO3" s="299"/>
      <c r="BP3" s="299"/>
      <c r="BQ3" s="299"/>
      <c r="BR3" s="299"/>
      <c r="BS3" s="300"/>
      <c r="BT3" s="196"/>
      <c r="BZ3" s="40"/>
      <c r="CA3" s="11"/>
      <c r="CK3" s="40"/>
      <c r="CL3" s="11"/>
      <c r="EB3" s="227"/>
      <c r="EC3" s="228" t="s">
        <v>132</v>
      </c>
      <c r="ED3" s="237"/>
      <c r="EE3" s="237"/>
      <c r="EF3" s="237"/>
      <c r="EG3" s="229"/>
      <c r="EH3" s="230"/>
      <c r="FI3" s="227"/>
      <c r="FJ3" s="228" t="s">
        <v>132</v>
      </c>
      <c r="FK3" s="237"/>
      <c r="FL3" s="237"/>
      <c r="FM3" s="237"/>
      <c r="FN3" s="229"/>
      <c r="FO3" s="230"/>
    </row>
    <row r="4" spans="1:175" ht="16" thickBot="1" x14ac:dyDescent="0.4">
      <c r="A4" s="47" t="s">
        <v>88</v>
      </c>
      <c r="O4" s="46"/>
      <c r="P4" s="55"/>
      <c r="Q4" s="50"/>
      <c r="R4" s="50"/>
      <c r="S4" s="50"/>
      <c r="T4" s="50"/>
      <c r="U4" s="50"/>
      <c r="V4" s="50"/>
      <c r="AC4" s="1"/>
      <c r="AE4" s="10">
        <v>43525</v>
      </c>
      <c r="AF4" s="10">
        <v>43556</v>
      </c>
      <c r="AG4" s="10">
        <v>43586</v>
      </c>
      <c r="AH4" s="10">
        <v>43617</v>
      </c>
      <c r="AI4" s="10">
        <v>43647</v>
      </c>
      <c r="AJ4" s="10">
        <v>43678</v>
      </c>
      <c r="AK4" s="10">
        <v>43709</v>
      </c>
      <c r="AL4" s="10">
        <v>43739</v>
      </c>
      <c r="AM4" s="10">
        <v>43770</v>
      </c>
      <c r="AN4" s="10">
        <v>43800</v>
      </c>
      <c r="AO4" s="10">
        <v>43831</v>
      </c>
      <c r="AP4" s="10">
        <v>43862</v>
      </c>
      <c r="AQ4" s="10">
        <v>43891</v>
      </c>
      <c r="AR4" s="10">
        <v>43922</v>
      </c>
      <c r="AS4" s="10">
        <v>43952</v>
      </c>
      <c r="AT4" s="10">
        <v>43983</v>
      </c>
      <c r="AU4" s="10">
        <v>44013</v>
      </c>
      <c r="AV4" s="10">
        <v>44044</v>
      </c>
      <c r="AW4" s="10">
        <v>44075</v>
      </c>
      <c r="AX4" s="10">
        <v>44105</v>
      </c>
      <c r="AY4" s="10">
        <v>44136</v>
      </c>
      <c r="AZ4" s="10">
        <v>44166</v>
      </c>
      <c r="BA4" s="10">
        <v>44197</v>
      </c>
      <c r="BB4" s="10">
        <v>44228</v>
      </c>
      <c r="BC4" s="10">
        <v>44256</v>
      </c>
      <c r="BG4" s="195" t="s">
        <v>43</v>
      </c>
      <c r="BH4" s="195">
        <v>202011</v>
      </c>
      <c r="BI4" s="195">
        <v>202102</v>
      </c>
      <c r="BJ4" s="195" t="s">
        <v>44</v>
      </c>
      <c r="BL4" s="306"/>
      <c r="BM4" s="301"/>
      <c r="BN4" s="301"/>
      <c r="BO4" s="301"/>
      <c r="BP4" s="301"/>
      <c r="BQ4" s="301"/>
      <c r="BR4" s="301"/>
      <c r="BS4" s="302"/>
      <c r="BT4" s="196"/>
      <c r="BZ4" s="295" t="s">
        <v>25</v>
      </c>
      <c r="CA4" s="15"/>
      <c r="CK4" s="295" t="s">
        <v>25</v>
      </c>
      <c r="CL4" s="15"/>
      <c r="CX4" s="1"/>
      <c r="CZ4" s="10">
        <v>44166</v>
      </c>
      <c r="DA4" s="10">
        <v>44197</v>
      </c>
      <c r="DB4" s="10">
        <v>44228</v>
      </c>
      <c r="DC4" s="10">
        <v>44256</v>
      </c>
      <c r="DD4" s="10">
        <v>44287</v>
      </c>
      <c r="DE4" s="10">
        <v>44317</v>
      </c>
      <c r="DF4" s="10">
        <v>44348</v>
      </c>
      <c r="DG4" s="10">
        <v>44378</v>
      </c>
      <c r="DH4" s="10">
        <v>44409</v>
      </c>
      <c r="DI4" s="10">
        <v>44440</v>
      </c>
      <c r="DJ4" s="10">
        <v>44470</v>
      </c>
      <c r="DK4" s="10">
        <v>44501</v>
      </c>
      <c r="DL4" s="10">
        <v>44531</v>
      </c>
      <c r="DM4" s="10">
        <v>44562</v>
      </c>
      <c r="DN4" s="10">
        <v>44593</v>
      </c>
      <c r="DO4" s="10">
        <v>44621</v>
      </c>
      <c r="DP4" s="10">
        <v>44652</v>
      </c>
      <c r="DQ4" s="10">
        <v>44682</v>
      </c>
      <c r="DR4" s="10">
        <v>44713</v>
      </c>
      <c r="DS4" s="10">
        <v>44743</v>
      </c>
      <c r="DT4" s="10">
        <v>44774</v>
      </c>
      <c r="DU4" s="10">
        <v>44805</v>
      </c>
      <c r="DV4" s="10">
        <v>44835</v>
      </c>
      <c r="DW4" s="10">
        <v>44866</v>
      </c>
      <c r="DX4" s="10">
        <v>44896</v>
      </c>
      <c r="DY4" s="45" t="s">
        <v>130</v>
      </c>
      <c r="DZ4" s="45" t="s">
        <v>89</v>
      </c>
      <c r="EB4" s="1"/>
      <c r="ED4" s="234">
        <v>44136</v>
      </c>
      <c r="EE4" s="234">
        <v>44166</v>
      </c>
      <c r="EF4" s="238">
        <v>44197</v>
      </c>
      <c r="EG4" s="236">
        <v>44228</v>
      </c>
      <c r="EH4" s="10">
        <v>44256</v>
      </c>
      <c r="EI4" s="10">
        <v>44287</v>
      </c>
      <c r="EJ4" s="235">
        <v>44317</v>
      </c>
      <c r="EK4" s="234">
        <v>44348</v>
      </c>
      <c r="EL4" s="236">
        <v>44378</v>
      </c>
      <c r="EM4" s="10">
        <v>44409</v>
      </c>
      <c r="EN4" s="10">
        <v>44440</v>
      </c>
      <c r="EO4" s="235">
        <v>44470</v>
      </c>
      <c r="EP4" s="234">
        <v>44501</v>
      </c>
      <c r="EQ4" s="244">
        <v>44531</v>
      </c>
      <c r="ER4" s="234">
        <v>44562</v>
      </c>
      <c r="ES4" s="236">
        <v>44593</v>
      </c>
      <c r="ET4" s="10">
        <v>44621</v>
      </c>
      <c r="EU4" s="10">
        <v>44652</v>
      </c>
      <c r="EV4" s="10">
        <v>44682</v>
      </c>
      <c r="EW4" s="10">
        <v>44713</v>
      </c>
      <c r="EX4" s="10">
        <v>44743</v>
      </c>
      <c r="EY4" s="235">
        <v>44774</v>
      </c>
      <c r="EZ4" s="234">
        <v>44805</v>
      </c>
      <c r="FA4" s="236">
        <v>44835</v>
      </c>
      <c r="FB4" s="10">
        <v>44866</v>
      </c>
      <c r="FC4" s="10">
        <v>44896</v>
      </c>
      <c r="FD4" s="235">
        <v>44927</v>
      </c>
      <c r="FE4" s="234">
        <v>44958</v>
      </c>
      <c r="FI4" s="1"/>
      <c r="FK4" s="236">
        <v>45017</v>
      </c>
      <c r="FL4" s="236">
        <v>45047</v>
      </c>
      <c r="FM4" s="236">
        <v>45078</v>
      </c>
      <c r="FN4" s="245">
        <v>45108</v>
      </c>
      <c r="FO4" s="246">
        <v>45139</v>
      </c>
      <c r="FP4" s="246">
        <v>45170</v>
      </c>
    </row>
    <row r="5" spans="1:175" ht="15" customHeight="1" thickBot="1" x14ac:dyDescent="0.4">
      <c r="C5" s="10">
        <v>43525</v>
      </c>
      <c r="D5" s="10">
        <v>43556</v>
      </c>
      <c r="E5" s="10">
        <v>43586</v>
      </c>
      <c r="F5" s="10">
        <v>43617</v>
      </c>
      <c r="G5" s="10">
        <v>43677</v>
      </c>
      <c r="H5" s="10">
        <v>43708</v>
      </c>
      <c r="I5" s="10">
        <v>43738</v>
      </c>
      <c r="J5" s="10">
        <v>43769</v>
      </c>
      <c r="O5" s="55"/>
      <c r="AC5" s="298" t="s">
        <v>0</v>
      </c>
      <c r="AD5" s="5"/>
      <c r="AE5" s="29"/>
      <c r="AF5" s="29"/>
      <c r="AG5" s="29"/>
      <c r="AH5" s="29"/>
      <c r="AI5" s="29"/>
      <c r="AJ5" s="29"/>
      <c r="AK5" s="29"/>
      <c r="AL5" s="29"/>
      <c r="AM5" s="29"/>
      <c r="AN5" s="7"/>
      <c r="AO5" s="29"/>
      <c r="AP5" s="29"/>
      <c r="AQ5" s="29"/>
      <c r="AR5" s="29"/>
      <c r="AS5" s="29"/>
      <c r="AT5" s="29"/>
      <c r="AU5" s="29"/>
      <c r="AV5" s="29"/>
      <c r="AW5" s="29"/>
      <c r="AX5" s="29"/>
      <c r="AY5" s="29"/>
      <c r="AZ5" s="29"/>
      <c r="BA5" s="29"/>
      <c r="BB5" s="29"/>
      <c r="BC5" s="29"/>
      <c r="BG5" s="183" t="s">
        <v>107</v>
      </c>
      <c r="BH5" s="56">
        <v>55359.71</v>
      </c>
      <c r="BI5" s="56">
        <v>5108</v>
      </c>
      <c r="BJ5" s="56">
        <v>60467.71</v>
      </c>
      <c r="BL5" s="307"/>
      <c r="BM5" s="303"/>
      <c r="BN5" s="303"/>
      <c r="BO5" s="303"/>
      <c r="BP5" s="303"/>
      <c r="BQ5" s="303"/>
      <c r="BR5" s="303"/>
      <c r="BS5" s="304"/>
      <c r="BT5" s="196"/>
      <c r="BZ5" s="295"/>
      <c r="CA5" s="15" t="s">
        <v>28</v>
      </c>
      <c r="CB5" s="214">
        <v>1693340.1593012405</v>
      </c>
      <c r="CC5" s="214">
        <v>2043834.5150522972</v>
      </c>
      <c r="CD5" s="214">
        <v>2546894.0685010902</v>
      </c>
      <c r="CE5" s="214">
        <v>2089616.4766016018</v>
      </c>
      <c r="CF5" s="214">
        <v>912247.85076541686</v>
      </c>
      <c r="CG5" s="214">
        <v>846334.21711913729</v>
      </c>
      <c r="CH5" s="214">
        <v>1066637.678205363</v>
      </c>
      <c r="CK5" s="295"/>
      <c r="CL5" s="15" t="s">
        <v>28</v>
      </c>
      <c r="CM5" s="214">
        <v>1693340.1593012405</v>
      </c>
      <c r="CN5" s="214">
        <v>2043834.5150522967</v>
      </c>
      <c r="CO5" s="214">
        <v>2546894.0685010906</v>
      </c>
      <c r="CP5" s="214">
        <v>2089616.4766016016</v>
      </c>
      <c r="CQ5" s="214">
        <v>912247.85076541686</v>
      </c>
      <c r="CR5" s="214">
        <v>846334.21711913729</v>
      </c>
      <c r="CS5" s="214">
        <v>1066637.678205363</v>
      </c>
      <c r="CX5" s="298" t="s">
        <v>0</v>
      </c>
      <c r="CY5" s="5"/>
      <c r="CZ5" s="29"/>
      <c r="DA5" s="29"/>
      <c r="DB5" s="29"/>
      <c r="DC5" s="151">
        <v>-21982.399999997611</v>
      </c>
      <c r="DD5" s="29"/>
      <c r="DE5" s="29"/>
      <c r="DF5" s="29"/>
      <c r="DG5" s="29"/>
      <c r="DH5" s="29"/>
      <c r="DI5" s="29"/>
      <c r="DJ5" s="29"/>
      <c r="DK5" s="207">
        <v>-60592.04</v>
      </c>
      <c r="DL5" s="29"/>
      <c r="DM5" s="29"/>
      <c r="DN5" s="210">
        <v>-696108.1955235654</v>
      </c>
      <c r="DO5" s="29"/>
      <c r="DP5" s="29"/>
      <c r="DQ5" s="29"/>
      <c r="DR5" s="29"/>
      <c r="DS5" s="29"/>
      <c r="DT5" s="29"/>
      <c r="DU5" s="29"/>
      <c r="DV5" s="29"/>
      <c r="DW5" s="29"/>
      <c r="DX5" s="29"/>
      <c r="EB5" s="298" t="s">
        <v>0</v>
      </c>
      <c r="EC5" s="5"/>
      <c r="ED5" s="29"/>
      <c r="EE5" s="29"/>
      <c r="EF5" s="29"/>
      <c r="EG5" s="29"/>
      <c r="EH5" s="151">
        <v>-21982.399999997611</v>
      </c>
      <c r="EI5" s="29"/>
      <c r="EJ5" s="29"/>
      <c r="EK5" s="29"/>
      <c r="EL5" s="29"/>
      <c r="EM5" s="29"/>
      <c r="EN5" s="29"/>
      <c r="EO5" s="29"/>
      <c r="EP5" s="207">
        <v>-60592.04</v>
      </c>
      <c r="EQ5" s="29"/>
      <c r="ER5" s="29"/>
      <c r="ES5" s="210">
        <v>-696083.55703392881</v>
      </c>
      <c r="ET5" s="29"/>
      <c r="EU5" s="29"/>
      <c r="EV5" s="29"/>
      <c r="EW5" s="29"/>
      <c r="EX5" s="29"/>
      <c r="EY5" s="29"/>
      <c r="EZ5" s="29"/>
      <c r="FA5" s="29"/>
      <c r="FB5" s="29"/>
      <c r="FC5" s="29"/>
      <c r="FD5" s="207">
        <v>-558.33848963666242</v>
      </c>
      <c r="FE5" s="226"/>
      <c r="FI5" s="298" t="s">
        <v>0</v>
      </c>
      <c r="FJ5" s="5"/>
      <c r="FK5" s="29"/>
      <c r="FL5" s="29"/>
      <c r="FM5" s="29"/>
      <c r="FN5" s="29"/>
      <c r="FO5" s="152"/>
      <c r="FP5" s="29"/>
      <c r="FQ5" s="4" t="s">
        <v>130</v>
      </c>
      <c r="FR5" s="4" t="s">
        <v>89</v>
      </c>
    </row>
    <row r="6" spans="1:175" s="4" customFormat="1" ht="15" customHeight="1" outlineLevel="1" thickBot="1" x14ac:dyDescent="0.4">
      <c r="A6" s="295" t="s">
        <v>20</v>
      </c>
      <c r="B6" s="15"/>
      <c r="C6" s="7"/>
      <c r="D6" s="7"/>
      <c r="E6" s="7"/>
      <c r="F6" s="7"/>
      <c r="G6" s="7"/>
      <c r="H6" s="7"/>
      <c r="I6" s="7"/>
      <c r="J6" s="7"/>
      <c r="M6" s="149"/>
      <c r="N6" s="149"/>
      <c r="O6" s="1"/>
      <c r="P6"/>
      <c r="Q6" s="29"/>
      <c r="R6" s="29"/>
      <c r="S6" s="29"/>
      <c r="T6" s="29"/>
      <c r="U6" s="29"/>
      <c r="V6" s="29"/>
      <c r="W6" s="29"/>
      <c r="X6" s="29"/>
      <c r="Y6" s="29"/>
      <c r="Z6" s="29"/>
      <c r="AA6" s="29"/>
      <c r="AB6" s="156"/>
      <c r="AC6" s="298"/>
      <c r="AD6" s="5" t="s">
        <v>9</v>
      </c>
      <c r="AE6" s="118">
        <v>3252815.75</v>
      </c>
      <c r="AF6" s="118">
        <v>1422986.87</v>
      </c>
      <c r="AG6" s="118">
        <v>2645551.35</v>
      </c>
      <c r="AH6" s="118">
        <v>3088690.25</v>
      </c>
      <c r="AI6" s="118">
        <v>3806682.5</v>
      </c>
      <c r="AJ6" s="21">
        <v>5667444.0099999998</v>
      </c>
      <c r="AK6" s="125">
        <v>4672438.71</v>
      </c>
      <c r="AL6" s="22">
        <v>4693766.1500000032</v>
      </c>
      <c r="AM6" s="118">
        <v>7981786.4500000002</v>
      </c>
      <c r="AN6" s="125">
        <v>14291134.550000001</v>
      </c>
      <c r="AO6" s="125">
        <v>2300283.0099999998</v>
      </c>
      <c r="AP6" s="118">
        <v>3259237</v>
      </c>
      <c r="AQ6" s="21">
        <v>4668387.1399999997</v>
      </c>
      <c r="AR6" s="118">
        <v>3350399.73</v>
      </c>
      <c r="AS6" s="118">
        <v>3508689.71</v>
      </c>
      <c r="AT6" s="21">
        <v>4570550.08</v>
      </c>
      <c r="AU6" s="118">
        <v>4337315.05</v>
      </c>
      <c r="AV6" s="118">
        <v>5131582.76</v>
      </c>
      <c r="AW6" s="118">
        <v>6881479.9699999997</v>
      </c>
      <c r="AX6" s="21">
        <v>5075926.8299999991</v>
      </c>
      <c r="AY6" s="21">
        <v>8226323.5899999999</v>
      </c>
      <c r="AZ6" s="21">
        <v>17050986.669999998</v>
      </c>
      <c r="BA6" s="21">
        <v>3390691.4000000004</v>
      </c>
      <c r="BB6" s="21">
        <v>3040542.4899999993</v>
      </c>
      <c r="BC6" s="21">
        <v>6776151.4500000002</v>
      </c>
      <c r="BF6" s="149"/>
      <c r="BG6" s="193" t="s">
        <v>44</v>
      </c>
      <c r="BH6" s="194">
        <v>55359.71</v>
      </c>
      <c r="BI6" s="194">
        <v>5108</v>
      </c>
      <c r="BJ6" s="194">
        <v>60467.71</v>
      </c>
      <c r="BK6" s="55" t="s">
        <v>42</v>
      </c>
      <c r="BL6" s="197"/>
      <c r="BM6" s="196"/>
      <c r="BN6" s="196"/>
      <c r="BO6" s="196"/>
      <c r="BP6" s="196"/>
      <c r="BQ6" s="196"/>
      <c r="BR6" s="196"/>
      <c r="BS6" s="196"/>
      <c r="BT6" s="196"/>
      <c r="BY6" s="149"/>
      <c r="BZ6" s="295"/>
      <c r="CA6" s="16" t="s">
        <v>26</v>
      </c>
      <c r="CB6" s="214">
        <v>2313567.6800000002</v>
      </c>
      <c r="CC6" s="214">
        <v>2791286.27</v>
      </c>
      <c r="CD6" s="214">
        <v>3345196.33</v>
      </c>
      <c r="CE6" s="214">
        <v>2693584.13</v>
      </c>
      <c r="CF6" s="214">
        <v>1313029.4300000002</v>
      </c>
      <c r="CG6" s="214">
        <v>1059088.8899999999</v>
      </c>
      <c r="CH6" s="214">
        <v>1067990.67</v>
      </c>
      <c r="CK6" s="295"/>
      <c r="CL6" s="16" t="s">
        <v>26</v>
      </c>
      <c r="CM6" s="214">
        <v>2313567.6799999997</v>
      </c>
      <c r="CN6" s="214">
        <v>2791286.27</v>
      </c>
      <c r="CO6" s="214">
        <v>3345196.33</v>
      </c>
      <c r="CP6" s="214">
        <v>2693584.13</v>
      </c>
      <c r="CQ6" s="214">
        <v>1313029.43</v>
      </c>
      <c r="CR6" s="214">
        <v>1059088.8899999999</v>
      </c>
      <c r="CS6" s="214">
        <v>1067990.67</v>
      </c>
      <c r="CW6" s="149"/>
      <c r="CX6" s="298"/>
      <c r="CY6" s="5" t="s">
        <v>9</v>
      </c>
      <c r="CZ6" s="21">
        <v>17050986.669999998</v>
      </c>
      <c r="DA6" s="21">
        <v>3390691.4000000004</v>
      </c>
      <c r="DB6" s="21">
        <v>3040542.4899999993</v>
      </c>
      <c r="DC6" s="21">
        <v>6776151.4500000002</v>
      </c>
      <c r="DD6" s="168">
        <v>3593096.5983472401</v>
      </c>
      <c r="DE6" s="168">
        <v>3249816.752362628</v>
      </c>
      <c r="DF6" s="179">
        <v>6101138.4180074409</v>
      </c>
      <c r="DG6" s="179">
        <v>5074049.6564757768</v>
      </c>
      <c r="DH6" s="168">
        <v>6150752.0389186945</v>
      </c>
      <c r="DI6" s="168">
        <v>4538886.177325543</v>
      </c>
      <c r="DJ6" s="168">
        <v>5908069.5179605344</v>
      </c>
      <c r="DK6" s="168">
        <v>11097280.277224224</v>
      </c>
      <c r="DL6" s="168">
        <v>21856497.240487527</v>
      </c>
      <c r="DM6" s="168">
        <v>-1206005.0706461675</v>
      </c>
      <c r="DN6" s="168">
        <v>3292003.067914797</v>
      </c>
      <c r="DO6" s="179">
        <v>3848947.3665742185</v>
      </c>
      <c r="DP6" s="179">
        <v>4452149.213101591</v>
      </c>
      <c r="DQ6" s="179">
        <v>3309739.301438381</v>
      </c>
      <c r="DR6" s="179">
        <v>6747915.2307812814</v>
      </c>
      <c r="DS6" s="179">
        <v>3534427.1880222401</v>
      </c>
      <c r="DT6" s="179">
        <v>5677135.2112908112</v>
      </c>
      <c r="DU6" s="179">
        <v>6241030.1127156857</v>
      </c>
      <c r="DV6" s="179">
        <v>4203952.8957806081</v>
      </c>
      <c r="DW6" s="179">
        <v>6030542.0242398335</v>
      </c>
      <c r="DX6" s="179">
        <v>20772311.523251541</v>
      </c>
      <c r="DY6" s="208"/>
      <c r="DZ6" s="208"/>
      <c r="EA6" s="149"/>
      <c r="EB6" s="298"/>
      <c r="EC6" s="5" t="s">
        <v>9</v>
      </c>
      <c r="ED6" s="233">
        <f>8226323.59-600</f>
        <v>8225723.5899999999</v>
      </c>
      <c r="EE6" s="233">
        <f>17050986.67-700</f>
        <v>17050286.670000002</v>
      </c>
      <c r="EF6" s="233">
        <f>3390691.4-200</f>
        <v>3390491.4</v>
      </c>
      <c r="EG6" s="231">
        <v>3040542.4899999993</v>
      </c>
      <c r="EH6" s="21">
        <v>6776151.4500000002</v>
      </c>
      <c r="EI6" s="168">
        <v>3593096.5983472401</v>
      </c>
      <c r="EJ6" s="239">
        <v>3249816.752362628</v>
      </c>
      <c r="EK6" s="233">
        <f>6101138.41800744-50</f>
        <v>6101088.4180074399</v>
      </c>
      <c r="EL6" s="240">
        <v>5074049.6564757768</v>
      </c>
      <c r="EM6" s="168">
        <v>6150752.0389186945</v>
      </c>
      <c r="EN6" s="168">
        <v>4538886.177325543</v>
      </c>
      <c r="EO6" s="239">
        <v>5908069.5179605344</v>
      </c>
      <c r="EP6" s="233">
        <f>11097280.2772242-34998.7</f>
        <v>11062281.577224201</v>
      </c>
      <c r="EQ6" s="243">
        <v>21856497.240487527</v>
      </c>
      <c r="ER6" s="233">
        <f>-1206005.07064617-50+562.24</f>
        <v>-1205492.8306461701</v>
      </c>
      <c r="ES6" s="242">
        <v>3292003.067914797</v>
      </c>
      <c r="ET6" s="179">
        <v>3848947.3665742185</v>
      </c>
      <c r="EU6" s="179">
        <v>4452149.213101591</v>
      </c>
      <c r="EV6" s="179">
        <v>3309739.301438381</v>
      </c>
      <c r="EW6" s="179">
        <v>6747915.2307812814</v>
      </c>
      <c r="EX6" s="179">
        <v>3534427.1880222401</v>
      </c>
      <c r="EY6" s="241">
        <v>5677135.2112908112</v>
      </c>
      <c r="EZ6" s="233">
        <f>6241030.11271569-50</f>
        <v>6240980.1127156904</v>
      </c>
      <c r="FA6" s="240">
        <v>4203952.8957806081</v>
      </c>
      <c r="FB6" s="179">
        <v>6030542.0242398335</v>
      </c>
      <c r="FC6" s="179">
        <v>20772311.523251541</v>
      </c>
      <c r="FD6" s="241">
        <v>2818085.4973094049</v>
      </c>
      <c r="FE6" s="233">
        <f>4550893.02178579+1650+34998.7-562.24</f>
        <v>4586979.4817857901</v>
      </c>
      <c r="FH6" s="149"/>
      <c r="FI6" s="298"/>
      <c r="FJ6" s="5" t="s">
        <v>9</v>
      </c>
      <c r="FK6" s="168">
        <v>3635955.4282210199</v>
      </c>
      <c r="FL6" s="168">
        <v>5940478.5337780621</v>
      </c>
      <c r="FM6" s="168">
        <v>4864955.095925808</v>
      </c>
      <c r="FN6" s="247">
        <v>6176070.0560897402</v>
      </c>
      <c r="FO6" s="247">
        <v>4736206.0668771267</v>
      </c>
      <c r="FP6" s="247">
        <v>4816670.9585450059</v>
      </c>
      <c r="FQ6" s="208">
        <f>SUM('MEEIA 3 calcs'!BF6:BH6)</f>
        <v>15728605.894832086</v>
      </c>
      <c r="FR6" s="206">
        <f>SUM(FN6:FP6)-FQ6</f>
        <v>341.18667978793383</v>
      </c>
      <c r="FS6" s="4" t="s">
        <v>135</v>
      </c>
    </row>
    <row r="7" spans="1:175" s="2" customFormat="1" ht="15" customHeight="1" outlineLevel="1" thickBot="1" x14ac:dyDescent="0.4">
      <c r="A7" s="295"/>
      <c r="B7" s="15" t="s">
        <v>28</v>
      </c>
      <c r="C7" s="20">
        <f>C87</f>
        <v>0</v>
      </c>
      <c r="D7" s="20">
        <f t="shared" ref="D7:J7" si="0">D87</f>
        <v>3542.7066619947968</v>
      </c>
      <c r="E7" s="20">
        <f t="shared" si="0"/>
        <v>26593.748856903429</v>
      </c>
      <c r="F7" s="20">
        <f t="shared" si="0"/>
        <v>243363.92907678595</v>
      </c>
      <c r="G7" s="20">
        <f t="shared" si="0"/>
        <v>441129.8099540461</v>
      </c>
      <c r="H7" s="20">
        <f t="shared" si="0"/>
        <v>538094.32023088727</v>
      </c>
      <c r="I7" s="20">
        <f t="shared" si="0"/>
        <v>374963.26089269412</v>
      </c>
      <c r="J7" s="20">
        <f t="shared" si="0"/>
        <v>137835.66546242539</v>
      </c>
      <c r="M7" s="150"/>
      <c r="N7" s="150"/>
      <c r="O7" s="144" t="s">
        <v>0</v>
      </c>
      <c r="P7" s="137"/>
      <c r="Q7" s="29"/>
      <c r="R7" s="29"/>
      <c r="S7" s="29"/>
      <c r="T7" s="29"/>
      <c r="U7" s="29"/>
      <c r="V7" s="29"/>
      <c r="W7" s="29"/>
      <c r="X7" s="29"/>
      <c r="Y7" s="29"/>
      <c r="Z7" s="123"/>
      <c r="AA7" s="29"/>
      <c r="AB7" s="156"/>
      <c r="AC7" s="298"/>
      <c r="AD7" s="5" t="s">
        <v>10</v>
      </c>
      <c r="AE7" s="22">
        <v>0</v>
      </c>
      <c r="AF7" s="22">
        <v>0</v>
      </c>
      <c r="AG7" s="22">
        <v>453008.63</v>
      </c>
      <c r="AH7" s="22">
        <v>6131398.7699999996</v>
      </c>
      <c r="AI7" s="22">
        <v>7440020.2300000004</v>
      </c>
      <c r="AJ7" s="22">
        <v>7787637.1200000001</v>
      </c>
      <c r="AK7" s="21">
        <v>7415530.5499999998</v>
      </c>
      <c r="AL7" s="22">
        <v>6393806.0300000003</v>
      </c>
      <c r="AM7" s="22">
        <v>5729648.6699999999</v>
      </c>
      <c r="AN7" s="21">
        <v>7016994.2000000002</v>
      </c>
      <c r="AO7" s="22">
        <v>7580344.1500000004</v>
      </c>
      <c r="AP7" s="22">
        <v>6780583.4199999999</v>
      </c>
      <c r="AQ7" s="22">
        <v>5258818.8899999997</v>
      </c>
      <c r="AR7" s="22">
        <v>4379338.6900000004</v>
      </c>
      <c r="AS7" s="22">
        <v>4010923.17</v>
      </c>
      <c r="AT7" s="22">
        <v>4897738.25</v>
      </c>
      <c r="AU7" s="22">
        <v>6248757.4000000004</v>
      </c>
      <c r="AV7" s="22">
        <v>6053644.0300000003</v>
      </c>
      <c r="AW7" s="22">
        <v>5708518.8099999996</v>
      </c>
      <c r="AX7" s="22">
        <v>4362797.6900000004</v>
      </c>
      <c r="AY7" s="22">
        <v>4453895.6900000004</v>
      </c>
      <c r="AZ7" s="22">
        <v>5320333.05</v>
      </c>
      <c r="BA7" s="22">
        <v>6316759.2699999996</v>
      </c>
      <c r="BB7" s="22">
        <v>7583892.4100000001</v>
      </c>
      <c r="BC7" s="22">
        <v>7418563.8899999997</v>
      </c>
      <c r="BF7" s="150"/>
      <c r="BG7"/>
      <c r="BH7"/>
      <c r="BI7"/>
      <c r="BJ7"/>
      <c r="BK7"/>
      <c r="BL7" s="197"/>
      <c r="BM7" s="196"/>
      <c r="BN7" s="196"/>
      <c r="BO7" s="196"/>
      <c r="BP7" s="196"/>
      <c r="BQ7" s="196"/>
      <c r="BR7" s="196"/>
      <c r="BS7" s="196"/>
      <c r="BT7" s="196"/>
      <c r="BY7" s="150"/>
      <c r="BZ7" s="295"/>
      <c r="CA7" s="16" t="s">
        <v>51</v>
      </c>
      <c r="CB7" s="214">
        <v>-281268.86</v>
      </c>
      <c r="CC7" s="214">
        <v>-341119.99</v>
      </c>
      <c r="CD7" s="214">
        <v>-424246.17</v>
      </c>
      <c r="CE7" s="214">
        <v>-37488.600000000006</v>
      </c>
      <c r="CF7" s="214">
        <v>-16454.500000000015</v>
      </c>
      <c r="CG7" s="214">
        <v>-60641.26999999999</v>
      </c>
      <c r="CH7" s="214">
        <v>8124.2599999999948</v>
      </c>
      <c r="CK7" s="295"/>
      <c r="CL7" s="16" t="s">
        <v>51</v>
      </c>
      <c r="CM7" s="214">
        <v>-281268.86</v>
      </c>
      <c r="CN7" s="214">
        <v>-341119.99</v>
      </c>
      <c r="CO7" s="214">
        <v>-424246.17</v>
      </c>
      <c r="CP7" s="214">
        <v>-37488.600000000006</v>
      </c>
      <c r="CQ7" s="214">
        <v>-16454.500000000015</v>
      </c>
      <c r="CR7" s="214">
        <v>-60641.26999999999</v>
      </c>
      <c r="CS7" s="214">
        <v>8124.2599999999948</v>
      </c>
      <c r="CW7" s="150"/>
      <c r="CX7" s="298"/>
      <c r="CY7" s="5" t="s">
        <v>10</v>
      </c>
      <c r="CZ7" s="22">
        <v>5320333.05</v>
      </c>
      <c r="DA7" s="22">
        <v>6316759.2699999996</v>
      </c>
      <c r="DB7" s="22">
        <v>7583892.4100000001</v>
      </c>
      <c r="DC7" s="22">
        <v>7418563.8899999997</v>
      </c>
      <c r="DD7" s="22">
        <v>5953301.3499999996</v>
      </c>
      <c r="DE7" s="22">
        <v>5846801.6900000004</v>
      </c>
      <c r="DF7" s="22">
        <v>6866409.0999999996</v>
      </c>
      <c r="DG7" s="22">
        <v>8666483.5800000001</v>
      </c>
      <c r="DH7" s="22">
        <v>8626819.1899999995</v>
      </c>
      <c r="DI7" s="22">
        <v>8648916.9199999999</v>
      </c>
      <c r="DJ7" s="22">
        <v>6801979.5499999998</v>
      </c>
      <c r="DK7" s="22">
        <v>6087767.6399999997</v>
      </c>
      <c r="DL7" s="22">
        <v>7335343.4299999997</v>
      </c>
      <c r="DM7" s="22">
        <v>8532489.0299999993</v>
      </c>
      <c r="DN7" s="22">
        <v>8009630.25</v>
      </c>
      <c r="DO7" s="22">
        <v>5791599.6900000004</v>
      </c>
      <c r="DP7" s="22">
        <v>4647344.92</v>
      </c>
      <c r="DQ7" s="22">
        <v>4780045.8499999996</v>
      </c>
      <c r="DR7" s="22">
        <v>5750871.1299999999</v>
      </c>
      <c r="DS7" s="22">
        <v>7180666.5599999996</v>
      </c>
      <c r="DT7" s="22">
        <v>6958397.0999999996</v>
      </c>
      <c r="DU7" s="22">
        <v>6191523.1299999999</v>
      </c>
      <c r="DV7" s="22">
        <v>4873657.1900000004</v>
      </c>
      <c r="DW7" s="22">
        <v>4698871.1399999997</v>
      </c>
      <c r="DX7" s="22">
        <v>6121032.0199999996</v>
      </c>
      <c r="DY7" s="221"/>
      <c r="DZ7" s="221"/>
      <c r="EA7" s="150"/>
      <c r="EB7" s="298"/>
      <c r="EC7" s="5" t="s">
        <v>10</v>
      </c>
      <c r="ED7" s="232">
        <v>4453895.6900000004</v>
      </c>
      <c r="EE7" s="232">
        <v>5320333.05</v>
      </c>
      <c r="EF7" s="232">
        <v>6316759.2699999996</v>
      </c>
      <c r="EG7" s="22">
        <v>7583892.4100000001</v>
      </c>
      <c r="EH7" s="22">
        <v>7418563.8899999997</v>
      </c>
      <c r="EI7" s="22">
        <v>5953301.3499999996</v>
      </c>
      <c r="EJ7" s="22">
        <v>5846801.6900000004</v>
      </c>
      <c r="EK7" s="232">
        <v>6866409.0999999996</v>
      </c>
      <c r="EL7" s="22">
        <v>8666483.5800000001</v>
      </c>
      <c r="EM7" s="22">
        <v>8626819.1899999995</v>
      </c>
      <c r="EN7" s="22">
        <v>8648916.9199999999</v>
      </c>
      <c r="EO7" s="22">
        <v>6801979.5499999998</v>
      </c>
      <c r="EP7" s="232">
        <v>6087767.6399999997</v>
      </c>
      <c r="EQ7" s="22">
        <v>7335343.4299999997</v>
      </c>
      <c r="ER7" s="232">
        <v>8532489.0299999993</v>
      </c>
      <c r="ES7" s="22">
        <v>8009630.25</v>
      </c>
      <c r="ET7" s="22">
        <v>5791599.6900000004</v>
      </c>
      <c r="EU7" s="22">
        <v>4647344.92</v>
      </c>
      <c r="EV7" s="22">
        <v>4780045.8499999996</v>
      </c>
      <c r="EW7" s="22">
        <v>5750871.1299999999</v>
      </c>
      <c r="EX7" s="22">
        <v>7180666.5599999996</v>
      </c>
      <c r="EY7" s="22">
        <v>6958397.0999999996</v>
      </c>
      <c r="EZ7" s="232">
        <v>6191523.1299999999</v>
      </c>
      <c r="FA7" s="22">
        <v>4873657.1900000004</v>
      </c>
      <c r="FB7" s="22">
        <v>4698871.1399999997</v>
      </c>
      <c r="FC7" s="22">
        <v>6121032.0199999996</v>
      </c>
      <c r="FD7" s="22">
        <v>6865628.9100000001</v>
      </c>
      <c r="FE7" s="232">
        <v>5890167.4000000004</v>
      </c>
      <c r="FH7" s="150"/>
      <c r="FI7" s="298"/>
      <c r="FJ7" s="5" t="s">
        <v>10</v>
      </c>
      <c r="FK7" s="22">
        <v>4647331.4400000004</v>
      </c>
      <c r="FL7" s="22">
        <v>4309653.22</v>
      </c>
      <c r="FM7" s="22">
        <v>5155063.0199999996</v>
      </c>
      <c r="FN7" s="22">
        <v>6058263.3600000003</v>
      </c>
      <c r="FO7" s="22">
        <v>6335389.6200000001</v>
      </c>
      <c r="FP7" s="22">
        <v>6078515.6699999999</v>
      </c>
    </row>
    <row r="8" spans="1:175" s="4" customFormat="1" ht="15" customHeight="1" outlineLevel="1" x14ac:dyDescent="0.35">
      <c r="A8" s="295"/>
      <c r="B8" s="16" t="s">
        <v>26</v>
      </c>
      <c r="C8" s="20">
        <f>IF('M3 Allocations - TD'!D51="","",'M3 Allocations - TD'!D69)</f>
        <v>0</v>
      </c>
      <c r="D8" s="20">
        <f>IF('M3 Allocations - TD'!E51="","",'M3 Allocations - TD'!E69)</f>
        <v>0</v>
      </c>
      <c r="E8" s="20">
        <f>IF('M3 Allocations - TD'!F51="","",'M3 Allocations - TD'!F69)</f>
        <v>28636.335868779192</v>
      </c>
      <c r="F8" s="20">
        <f>IF('M3 Allocations - TD'!G51="","",'M3 Allocations - TD'!G69)</f>
        <v>344669.92129031231</v>
      </c>
      <c r="G8" s="20">
        <f>IF('M3 Allocations - TD'!H51="","",'M3 Allocations - TD'!H69)</f>
        <v>437739.69493695599</v>
      </c>
      <c r="H8" s="20">
        <f>IF('M3 Allocations - TD'!I51="","",'M3 Allocations - TD'!I69)</f>
        <v>461093.89388914994</v>
      </c>
      <c r="I8" s="20">
        <f>IF('M3 Allocations - TD'!J51="","",'M3 Allocations - TD'!J69)</f>
        <v>425531.99443758972</v>
      </c>
      <c r="J8" s="20">
        <f>IF('M3 Allocations - TD'!K51="","",'M3 Allocations - TD'!K69)</f>
        <v>350101.97926152864</v>
      </c>
      <c r="M8" s="149"/>
      <c r="N8" s="149"/>
      <c r="O8" s="144"/>
      <c r="P8" s="137"/>
      <c r="Q8" s="132"/>
      <c r="R8" s="132"/>
      <c r="S8" s="132"/>
      <c r="T8" s="132"/>
      <c r="U8" s="132"/>
      <c r="V8" s="132"/>
      <c r="W8" s="123"/>
      <c r="X8" s="123"/>
      <c r="Y8" s="132"/>
      <c r="Z8" s="123"/>
      <c r="AA8" s="123"/>
      <c r="AB8" s="157"/>
      <c r="AC8" s="298"/>
      <c r="AD8" s="5" t="s">
        <v>11</v>
      </c>
      <c r="AE8" s="7">
        <v>3252815.75</v>
      </c>
      <c r="AF8" s="7">
        <v>1422986.87</v>
      </c>
      <c r="AG8" s="7">
        <v>2192542.7200000002</v>
      </c>
      <c r="AH8" s="8">
        <v>-3042708.5199999996</v>
      </c>
      <c r="AI8" s="8">
        <v>-3633337.7300000004</v>
      </c>
      <c r="AJ8" s="8">
        <v>-2120193.1100000003</v>
      </c>
      <c r="AK8" s="8">
        <v>-2743091.84</v>
      </c>
      <c r="AL8" s="8">
        <v>-1700039.8799999971</v>
      </c>
      <c r="AM8" s="8">
        <v>2252137.7800000003</v>
      </c>
      <c r="AN8" s="8">
        <v>7274140.3500000006</v>
      </c>
      <c r="AO8" s="8">
        <v>-5280061.1400000006</v>
      </c>
      <c r="AP8" s="8">
        <v>-3521346.42</v>
      </c>
      <c r="AQ8" s="8">
        <v>-590431.75</v>
      </c>
      <c r="AR8" s="8">
        <v>-1028938.9600000004</v>
      </c>
      <c r="AS8" s="8">
        <v>-502233.45999999996</v>
      </c>
      <c r="AT8" s="8">
        <v>-327188.16999999993</v>
      </c>
      <c r="AU8" s="8">
        <v>-1911442.3500000006</v>
      </c>
      <c r="AV8" s="8">
        <v>-922061.27000000048</v>
      </c>
      <c r="AW8" s="8">
        <v>1172961.1600000001</v>
      </c>
      <c r="AX8" s="8">
        <v>713129.13999999873</v>
      </c>
      <c r="AY8" s="8">
        <v>3772427.8999999994</v>
      </c>
      <c r="AZ8" s="8">
        <v>11730653.619999997</v>
      </c>
      <c r="BA8" s="8">
        <v>-2926067.8699999992</v>
      </c>
      <c r="BB8" s="8">
        <v>-4543349.9200000009</v>
      </c>
      <c r="BC8" s="8">
        <v>-642412.43999999948</v>
      </c>
      <c r="BF8" s="149"/>
      <c r="BG8" s="184" t="s">
        <v>108</v>
      </c>
      <c r="BH8" s="185" t="s">
        <v>109</v>
      </c>
      <c r="BI8" s="185" t="s">
        <v>110</v>
      </c>
      <c r="BJ8" s="186" t="s">
        <v>111</v>
      </c>
      <c r="BK8"/>
      <c r="BL8" s="197"/>
      <c r="BM8" s="196"/>
      <c r="BN8" s="196"/>
      <c r="BO8" s="196"/>
      <c r="BP8" s="196"/>
      <c r="BQ8" s="196"/>
      <c r="BR8" s="196"/>
      <c r="BS8" s="196"/>
      <c r="BT8" s="196"/>
      <c r="BY8" s="149"/>
      <c r="BZ8" s="295"/>
      <c r="CA8" s="16" t="s">
        <v>52</v>
      </c>
      <c r="CB8" s="214">
        <v>2032298.8200000003</v>
      </c>
      <c r="CC8" s="214">
        <v>2450166.2800000003</v>
      </c>
      <c r="CD8" s="214">
        <v>2920950.16</v>
      </c>
      <c r="CE8" s="214">
        <v>2656095.5300000003</v>
      </c>
      <c r="CF8" s="214">
        <v>1296574.93</v>
      </c>
      <c r="CG8" s="214">
        <v>998447.61999999988</v>
      </c>
      <c r="CH8" s="214">
        <v>1076114.93</v>
      </c>
      <c r="CK8" s="295"/>
      <c r="CL8" s="16" t="s">
        <v>52</v>
      </c>
      <c r="CM8" s="214">
        <v>2032298.82</v>
      </c>
      <c r="CN8" s="214">
        <v>2450166.2800000003</v>
      </c>
      <c r="CO8" s="214">
        <v>2920950.16</v>
      </c>
      <c r="CP8" s="214">
        <v>2656095.5300000003</v>
      </c>
      <c r="CQ8" s="214">
        <v>1296574.9300000002</v>
      </c>
      <c r="CR8" s="214">
        <v>998447.61999999988</v>
      </c>
      <c r="CS8" s="214">
        <v>1076114.93</v>
      </c>
      <c r="CW8" s="149"/>
      <c r="CX8" s="298"/>
      <c r="CY8" s="5" t="s">
        <v>11</v>
      </c>
      <c r="CZ8" s="8">
        <v>11730653.619999997</v>
      </c>
      <c r="DA8" s="8">
        <v>-2926067.8699999992</v>
      </c>
      <c r="DB8" s="8">
        <v>-4543349.9200000009</v>
      </c>
      <c r="DC8" s="8">
        <v>-642412.43999999948</v>
      </c>
      <c r="DD8" s="8">
        <v>-2360204.7516527595</v>
      </c>
      <c r="DE8" s="8">
        <v>-2596984.9376373724</v>
      </c>
      <c r="DF8" s="8">
        <v>-765270.68199255876</v>
      </c>
      <c r="DG8" s="8">
        <v>-3592433.9235242233</v>
      </c>
      <c r="DH8" s="8">
        <v>-2476067.151081305</v>
      </c>
      <c r="DI8" s="8">
        <v>-4110030.7426744569</v>
      </c>
      <c r="DJ8" s="8">
        <v>-893910.03203946538</v>
      </c>
      <c r="DK8" s="8">
        <v>5009512.6372242244</v>
      </c>
      <c r="DL8" s="8">
        <v>14521153.810487527</v>
      </c>
      <c r="DM8" s="8">
        <v>-9738494.1006461661</v>
      </c>
      <c r="DN8" s="8">
        <v>-4717627.182085203</v>
      </c>
      <c r="DO8" s="8">
        <v>-1942652.3234257819</v>
      </c>
      <c r="DP8" s="8">
        <v>-195195.70689840894</v>
      </c>
      <c r="DQ8" s="8">
        <v>-1470306.5485616187</v>
      </c>
      <c r="DR8" s="8">
        <v>997044.10078128148</v>
      </c>
      <c r="DS8" s="8">
        <v>-3646239.3719777595</v>
      </c>
      <c r="DT8" s="8">
        <v>-1281261.8887091884</v>
      </c>
      <c r="DU8" s="8">
        <v>49506.982715685852</v>
      </c>
      <c r="DV8" s="8">
        <v>-669704.29421939235</v>
      </c>
      <c r="DW8" s="8">
        <v>1331670.8842398338</v>
      </c>
      <c r="DX8" s="8">
        <v>14651279.503251541</v>
      </c>
      <c r="DY8" s="208"/>
      <c r="DZ8" s="208"/>
      <c r="EA8" s="149"/>
      <c r="EB8" s="298"/>
      <c r="EC8" s="5" t="s">
        <v>11</v>
      </c>
      <c r="ED8" s="8">
        <v>3771827.8999999994</v>
      </c>
      <c r="EE8" s="8">
        <v>11729953.620000001</v>
      </c>
      <c r="EF8" s="8">
        <v>-2926267.8699999996</v>
      </c>
      <c r="EG8" s="8">
        <v>-4543349.9200000009</v>
      </c>
      <c r="EH8" s="8">
        <v>-642412.43999999948</v>
      </c>
      <c r="EI8" s="8">
        <v>-2360204.7516527595</v>
      </c>
      <c r="EJ8" s="8">
        <v>-2596984.9376373724</v>
      </c>
      <c r="EK8" s="8">
        <v>-765320.68199255876</v>
      </c>
      <c r="EL8" s="8">
        <v>-3592433.9235242233</v>
      </c>
      <c r="EM8" s="8">
        <v>-2476067.151081305</v>
      </c>
      <c r="EN8" s="8">
        <v>-4110030.7426744569</v>
      </c>
      <c r="EO8" s="8">
        <v>-893910.03203946538</v>
      </c>
      <c r="EP8" s="8">
        <v>4974513.9372242251</v>
      </c>
      <c r="EQ8" s="8">
        <v>14521153.810487527</v>
      </c>
      <c r="ER8" s="8">
        <v>-9737981.8606461659</v>
      </c>
      <c r="ES8" s="8">
        <v>-4717627.182085203</v>
      </c>
      <c r="ET8" s="8">
        <v>-1942652.3234257819</v>
      </c>
      <c r="EU8" s="8">
        <v>-195195.70689840894</v>
      </c>
      <c r="EV8" s="8">
        <v>-1470306.5485616187</v>
      </c>
      <c r="EW8" s="8">
        <v>997044.10078128148</v>
      </c>
      <c r="EX8" s="8">
        <v>-3646239.3719777595</v>
      </c>
      <c r="EY8" s="8">
        <v>-1281261.8887091884</v>
      </c>
      <c r="EZ8" s="8">
        <v>49456.982715685852</v>
      </c>
      <c r="FA8" s="8">
        <v>-669704.29421939235</v>
      </c>
      <c r="FB8" s="8">
        <v>1331670.8842398338</v>
      </c>
      <c r="FC8" s="8">
        <v>14651279.503251541</v>
      </c>
      <c r="FD8" s="8">
        <v>-4047543.4126905953</v>
      </c>
      <c r="FE8" s="8">
        <v>-1303187.9182142103</v>
      </c>
      <c r="FH8" s="149"/>
      <c r="FI8" s="298"/>
      <c r="FJ8" s="5" t="s">
        <v>11</v>
      </c>
      <c r="FK8" s="8">
        <v>-1011376.0117789805</v>
      </c>
      <c r="FL8" s="8">
        <v>1630825.3137780624</v>
      </c>
      <c r="FM8" s="8">
        <v>-290107.9240741916</v>
      </c>
      <c r="FN8" s="8">
        <v>117806.69608973991</v>
      </c>
      <c r="FO8" s="8">
        <v>-1599183.5531228734</v>
      </c>
      <c r="FP8" s="8">
        <v>-1261844.711454994</v>
      </c>
    </row>
    <row r="9" spans="1:175" s="4" customFormat="1" ht="15" customHeight="1" outlineLevel="1" thickBot="1" x14ac:dyDescent="0.4">
      <c r="A9" s="295"/>
      <c r="B9" s="16" t="s">
        <v>51</v>
      </c>
      <c r="C9" s="20">
        <f>IF(C8="","",0)</f>
        <v>0</v>
      </c>
      <c r="D9" s="20">
        <f t="shared" ref="D9:J9" si="1">IF(D8="","",0)</f>
        <v>0</v>
      </c>
      <c r="E9" s="20">
        <f t="shared" si="1"/>
        <v>0</v>
      </c>
      <c r="F9" s="20">
        <f t="shared" si="1"/>
        <v>0</v>
      </c>
      <c r="G9" s="20">
        <f t="shared" si="1"/>
        <v>0</v>
      </c>
      <c r="H9" s="20">
        <f t="shared" si="1"/>
        <v>0</v>
      </c>
      <c r="I9" s="20">
        <f t="shared" si="1"/>
        <v>0</v>
      </c>
      <c r="J9" s="20">
        <f t="shared" si="1"/>
        <v>0</v>
      </c>
      <c r="M9" s="149"/>
      <c r="N9" s="149"/>
      <c r="O9" s="144"/>
      <c r="P9" s="137"/>
      <c r="Q9" s="123"/>
      <c r="R9" s="123"/>
      <c r="S9" s="123"/>
      <c r="T9" s="123"/>
      <c r="U9" s="123"/>
      <c r="V9" s="123"/>
      <c r="W9" s="132"/>
      <c r="X9" s="123"/>
      <c r="Y9" s="123"/>
      <c r="Z9" s="132"/>
      <c r="AA9" s="123"/>
      <c r="AB9" s="158"/>
      <c r="AC9" s="298"/>
      <c r="AD9" s="5" t="s">
        <v>4</v>
      </c>
      <c r="AE9" s="23">
        <v>2.7878150000000001E-2</v>
      </c>
      <c r="AF9" s="23">
        <v>2.6622739999999999E-2</v>
      </c>
      <c r="AG9" s="23">
        <v>2.677361E-2</v>
      </c>
      <c r="AH9" s="23">
        <v>2.6500570000000001E-2</v>
      </c>
      <c r="AI9" s="23">
        <v>2.594869E-2</v>
      </c>
      <c r="AJ9" s="23">
        <v>2.3511899999999999E-2</v>
      </c>
      <c r="AK9" s="23">
        <v>2.21687E-2</v>
      </c>
      <c r="AL9" s="23">
        <v>2.113932E-2</v>
      </c>
      <c r="AM9" s="23">
        <v>1.8159890000000001E-2</v>
      </c>
      <c r="AN9" s="23">
        <v>1.9151990000000001E-2</v>
      </c>
      <c r="AO9" s="23">
        <v>1.8890779999999999E-2</v>
      </c>
      <c r="AP9" s="23">
        <v>1.8035829999999999E-2</v>
      </c>
      <c r="AQ9" s="23">
        <v>1.888592E-2</v>
      </c>
      <c r="AR9" s="23">
        <v>9.3845999999999999E-3</v>
      </c>
      <c r="AS9" s="23">
        <v>1.2906700000000001E-3</v>
      </c>
      <c r="AT9" s="23">
        <v>1.2563100000000001E-3</v>
      </c>
      <c r="AU9" s="23">
        <v>1.9366299999999999E-3</v>
      </c>
      <c r="AV9" s="23">
        <v>1.3658500000000001E-3</v>
      </c>
      <c r="AW9" s="23">
        <v>1.23916E-3</v>
      </c>
      <c r="AX9" s="23">
        <v>2E-3</v>
      </c>
      <c r="AY9" s="23">
        <v>2.5244400000000002E-3</v>
      </c>
      <c r="AZ9" s="23">
        <v>2.8469900000000002E-3</v>
      </c>
      <c r="BA9" s="23">
        <v>2.0613900000000002E-3</v>
      </c>
      <c r="BB9" s="23">
        <v>2.3221700000000001E-3</v>
      </c>
      <c r="BC9" s="23">
        <v>2.1367399999999998E-3</v>
      </c>
      <c r="BF9" s="149"/>
      <c r="BG9" s="187" t="s">
        <v>41</v>
      </c>
      <c r="BH9" s="188">
        <v>-60467.71</v>
      </c>
      <c r="BI9" s="189">
        <v>1</v>
      </c>
      <c r="BJ9" s="190">
        <v>-124.32999999999993</v>
      </c>
      <c r="BK9"/>
      <c r="BL9" s="197"/>
      <c r="BM9" s="196"/>
      <c r="BN9" s="196"/>
      <c r="BO9" s="196"/>
      <c r="BP9" s="196"/>
      <c r="BQ9" s="196"/>
      <c r="BR9" s="196"/>
      <c r="BS9" s="196"/>
      <c r="BT9" s="196"/>
      <c r="BY9" s="149"/>
      <c r="BZ9" s="295"/>
      <c r="CA9" s="16" t="s">
        <v>13</v>
      </c>
      <c r="CB9" s="214">
        <v>-338958.66069875972</v>
      </c>
      <c r="CC9" s="214">
        <v>-406331.76494770299</v>
      </c>
      <c r="CD9" s="214">
        <v>-374056.09149891004</v>
      </c>
      <c r="CE9" s="214">
        <v>-566479.05339839845</v>
      </c>
      <c r="CF9" s="214">
        <v>-384327.07923458319</v>
      </c>
      <c r="CG9" s="214">
        <v>-152113.4028808627</v>
      </c>
      <c r="CH9" s="214">
        <v>-9477.251794636868</v>
      </c>
      <c r="CK9" s="295"/>
      <c r="CL9" s="16" t="s">
        <v>13</v>
      </c>
      <c r="CM9" s="214">
        <v>-338958.6606987596</v>
      </c>
      <c r="CN9" s="214">
        <v>-406331.76494770328</v>
      </c>
      <c r="CO9" s="214">
        <v>-374056.09149890981</v>
      </c>
      <c r="CP9" s="214">
        <v>-566479.05339839868</v>
      </c>
      <c r="CQ9" s="214">
        <v>-384327.07923458319</v>
      </c>
      <c r="CR9" s="214">
        <v>-152113.40288086259</v>
      </c>
      <c r="CS9" s="214">
        <v>-9477.2517946368826</v>
      </c>
      <c r="CW9" s="149"/>
      <c r="CX9" s="298"/>
      <c r="CY9" s="5" t="s">
        <v>4</v>
      </c>
      <c r="CZ9" s="220">
        <v>2E-3</v>
      </c>
      <c r="DA9" s="23">
        <v>2.0613900000000002E-3</v>
      </c>
      <c r="DB9" s="23">
        <v>2.3221700000000001E-3</v>
      </c>
      <c r="DC9" s="23">
        <v>2.1367399999999998E-3</v>
      </c>
      <c r="DD9" s="23">
        <v>2.2512299999999999E-3</v>
      </c>
      <c r="DE9" s="23">
        <v>2.2427200000000001E-3</v>
      </c>
      <c r="DF9" s="23">
        <v>2.01659E-3</v>
      </c>
      <c r="DG9" s="23">
        <v>1.3954900000000001E-3</v>
      </c>
      <c r="DH9" s="23">
        <v>2.0509899999999999E-3</v>
      </c>
      <c r="DI9" s="23">
        <v>1.9323299999999999E-3</v>
      </c>
      <c r="DJ9" s="23">
        <v>1.5E-3</v>
      </c>
      <c r="DK9" s="23">
        <v>1.5320900000000001E-3</v>
      </c>
      <c r="DL9" s="23">
        <v>2.6046400000000001E-3</v>
      </c>
      <c r="DM9" s="23">
        <v>2.3444999999999998E-3</v>
      </c>
      <c r="DN9" s="23">
        <v>2.9584899999999998E-3</v>
      </c>
      <c r="DO9" s="23">
        <v>6.8829599999999996E-3</v>
      </c>
      <c r="DP9" s="23">
        <v>6.0041599999999997E-3</v>
      </c>
      <c r="DQ9" s="23">
        <v>9.4970499999999999E-3</v>
      </c>
      <c r="DR9" s="23">
        <v>1.4858659999999999E-2</v>
      </c>
      <c r="DS9" s="23">
        <v>2.0566899999999999E-2</v>
      </c>
      <c r="DT9" s="23">
        <v>2.564054E-2</v>
      </c>
      <c r="DU9" s="23">
        <v>2.8416960000000002E-2</v>
      </c>
      <c r="DV9" s="23">
        <v>3.4701200000000001E-2</v>
      </c>
      <c r="DW9" s="23">
        <v>4.286098E-2</v>
      </c>
      <c r="DX9" s="23">
        <v>4.617603E-2</v>
      </c>
      <c r="DY9" s="208"/>
      <c r="DZ9" s="208"/>
      <c r="EA9" s="149"/>
      <c r="EB9" s="298"/>
      <c r="EC9" s="5" t="s">
        <v>4</v>
      </c>
      <c r="ED9" s="23">
        <v>2.5244400000000002E-3</v>
      </c>
      <c r="EE9" s="23">
        <v>2.8469900000000002E-3</v>
      </c>
      <c r="EF9" s="23">
        <v>2.0613900000000002E-3</v>
      </c>
      <c r="EG9" s="23">
        <v>2.3221700000000001E-3</v>
      </c>
      <c r="EH9" s="23">
        <v>2.1367399999999998E-3</v>
      </c>
      <c r="EI9" s="23">
        <v>2.2512299999999999E-3</v>
      </c>
      <c r="EJ9" s="23">
        <v>2.2427200000000001E-3</v>
      </c>
      <c r="EK9" s="23">
        <v>2.01659E-3</v>
      </c>
      <c r="EL9" s="23">
        <v>1.3954900000000001E-3</v>
      </c>
      <c r="EM9" s="23">
        <v>2.0509899999999999E-3</v>
      </c>
      <c r="EN9" s="23">
        <v>1.9323299999999999E-3</v>
      </c>
      <c r="EO9" s="23">
        <v>1.5E-3</v>
      </c>
      <c r="EP9" s="23">
        <v>1.5320900000000001E-3</v>
      </c>
      <c r="EQ9" s="23">
        <v>2.6046400000000001E-3</v>
      </c>
      <c r="ER9" s="23">
        <v>2.3444999999999998E-3</v>
      </c>
      <c r="ES9" s="23">
        <v>2.9584899999999998E-3</v>
      </c>
      <c r="ET9" s="23">
        <v>6.8829599999999996E-3</v>
      </c>
      <c r="EU9" s="23">
        <v>6.0041599999999997E-3</v>
      </c>
      <c r="EV9" s="23">
        <v>9.4970499999999999E-3</v>
      </c>
      <c r="EW9" s="23">
        <v>1.4858659999999999E-2</v>
      </c>
      <c r="EX9" s="23">
        <v>2.0566899999999999E-2</v>
      </c>
      <c r="EY9" s="23">
        <v>2.564054E-2</v>
      </c>
      <c r="EZ9" s="23">
        <v>2.8416960000000002E-2</v>
      </c>
      <c r="FA9" s="23">
        <v>3.4701200000000001E-2</v>
      </c>
      <c r="FB9" s="23">
        <v>4.286098E-2</v>
      </c>
      <c r="FC9" s="23">
        <v>4.617603E-2</v>
      </c>
      <c r="FD9" s="23">
        <v>4.7842519999999999E-2</v>
      </c>
      <c r="FE9" s="23">
        <v>4.847945E-2</v>
      </c>
      <c r="FH9" s="149"/>
      <c r="FI9" s="298"/>
      <c r="FJ9" s="5" t="s">
        <v>4</v>
      </c>
      <c r="FK9" s="23">
        <v>5.2487209999999999E-2</v>
      </c>
      <c r="FL9" s="23">
        <v>5.3267839534246943E-2</v>
      </c>
      <c r="FM9" s="23">
        <v>5.3948219999999998E-2</v>
      </c>
      <c r="FN9" s="23">
        <v>5.4426639999999998E-2</v>
      </c>
      <c r="FO9" s="23">
        <v>5.5204789999999997E-2</v>
      </c>
      <c r="FP9" s="23">
        <v>5.5351270000000001E-2</v>
      </c>
    </row>
    <row r="10" spans="1:175" s="4" customFormat="1" ht="15" customHeight="1" outlineLevel="1" x14ac:dyDescent="0.35">
      <c r="A10" s="295"/>
      <c r="B10" s="16" t="s">
        <v>52</v>
      </c>
      <c r="C10" s="7">
        <f>IF(OR(C9="",C8=""),"",C8+C9)</f>
        <v>0</v>
      </c>
      <c r="D10" s="7">
        <f t="shared" ref="D10:I10" si="2">IF(OR(D9="",D8=""),"",D8+D9)</f>
        <v>0</v>
      </c>
      <c r="E10" s="7">
        <f t="shared" si="2"/>
        <v>28636.335868779192</v>
      </c>
      <c r="F10" s="7">
        <f t="shared" si="2"/>
        <v>344669.92129031231</v>
      </c>
      <c r="G10" s="7">
        <f t="shared" si="2"/>
        <v>437739.69493695599</v>
      </c>
      <c r="H10" s="7">
        <f t="shared" si="2"/>
        <v>461093.89388914994</v>
      </c>
      <c r="I10" s="7">
        <f t="shared" si="2"/>
        <v>425531.99443758972</v>
      </c>
      <c r="J10" s="7">
        <f>IF(OR(J9="",J8=""),"",J8+J9)</f>
        <v>350101.97926152864</v>
      </c>
      <c r="M10" s="149"/>
      <c r="N10" s="149"/>
      <c r="O10" s="144"/>
      <c r="P10" s="137"/>
      <c r="Q10" s="123"/>
      <c r="R10" s="123"/>
      <c r="S10" s="123"/>
      <c r="T10" s="123"/>
      <c r="U10" s="123"/>
      <c r="V10" s="123"/>
      <c r="W10" s="123"/>
      <c r="X10" s="123"/>
      <c r="Y10" s="123"/>
      <c r="Z10" s="123"/>
      <c r="AA10" s="123"/>
      <c r="AB10" s="158"/>
      <c r="AC10" s="298"/>
      <c r="AD10" s="5" t="s">
        <v>5</v>
      </c>
      <c r="AE10" s="8">
        <v>9649.86</v>
      </c>
      <c r="AF10" s="8">
        <v>12393.7</v>
      </c>
      <c r="AG10" s="8">
        <v>17383.439999999999</v>
      </c>
      <c r="AH10" s="8">
        <v>10525.09</v>
      </c>
      <c r="AI10" s="8">
        <v>2471.9699999999998</v>
      </c>
      <c r="AJ10" s="8">
        <v>-1909.47</v>
      </c>
      <c r="AK10" s="8">
        <v>-6871.48</v>
      </c>
      <c r="AL10" s="8">
        <v>-9559.32</v>
      </c>
      <c r="AM10" s="8">
        <v>-4818.26</v>
      </c>
      <c r="AN10" s="8">
        <v>6520.35</v>
      </c>
      <c r="AO10" s="8">
        <v>-1870.36</v>
      </c>
      <c r="AP10" s="8">
        <v>-7081.06</v>
      </c>
      <c r="AQ10" s="8">
        <v>-8355.19</v>
      </c>
      <c r="AR10" s="8">
        <v>-4962.99</v>
      </c>
      <c r="AS10" s="8">
        <v>-737.12</v>
      </c>
      <c r="AT10" s="8">
        <v>-751.82</v>
      </c>
      <c r="AU10" s="8">
        <v>-1467.55</v>
      </c>
      <c r="AV10" s="8">
        <v>-1140.1400000000001</v>
      </c>
      <c r="AW10" s="8">
        <v>-913.38</v>
      </c>
      <c r="AX10" s="8">
        <v>-1355.49</v>
      </c>
      <c r="AY10" s="8">
        <v>-917.61</v>
      </c>
      <c r="AZ10" s="8">
        <v>1748.02</v>
      </c>
      <c r="BA10" s="8">
        <v>763.32</v>
      </c>
      <c r="BB10" s="8">
        <v>-19.170000000000002</v>
      </c>
      <c r="BC10" s="8">
        <v>-132.03</v>
      </c>
      <c r="BD10" s="103" t="s">
        <v>90</v>
      </c>
      <c r="BE10" s="103" t="s">
        <v>89</v>
      </c>
      <c r="BF10" s="149"/>
      <c r="BG10" s="191"/>
      <c r="BH10" s="49" t="s">
        <v>42</v>
      </c>
      <c r="BI10" s="192"/>
      <c r="BJ10" s="49" t="s">
        <v>42</v>
      </c>
      <c r="BK10"/>
      <c r="BY10" s="149"/>
      <c r="BZ10" s="295"/>
      <c r="CA10" s="17" t="s">
        <v>8</v>
      </c>
      <c r="CB10" s="214">
        <v>227.64</v>
      </c>
      <c r="CC10" s="214">
        <v>224.82999999999998</v>
      </c>
      <c r="CD10" s="214">
        <v>46.440000000000026</v>
      </c>
      <c r="CE10" s="214">
        <v>-90.289999999999992</v>
      </c>
      <c r="CF10" s="214">
        <v>-440.00000000000011</v>
      </c>
      <c r="CG10" s="214">
        <v>-490.49</v>
      </c>
      <c r="CH10" s="214">
        <v>-777.29</v>
      </c>
      <c r="CK10" s="295"/>
      <c r="CL10" s="17" t="s">
        <v>8</v>
      </c>
      <c r="CM10" s="214">
        <v>227.64</v>
      </c>
      <c r="CN10" s="214">
        <v>224.82</v>
      </c>
      <c r="CO10" s="214">
        <v>46.430000000000007</v>
      </c>
      <c r="CP10" s="214">
        <v>-90.289999999999964</v>
      </c>
      <c r="CQ10" s="214">
        <v>-440.00000000000006</v>
      </c>
      <c r="CR10" s="214">
        <v>-490.50000000000006</v>
      </c>
      <c r="CS10" s="214">
        <v>-777.29</v>
      </c>
      <c r="CW10" s="149"/>
      <c r="CX10" s="298"/>
      <c r="CY10" s="5" t="s">
        <v>5</v>
      </c>
      <c r="CZ10" s="8">
        <v>1231.6400000000001</v>
      </c>
      <c r="DA10" s="8">
        <v>767.01</v>
      </c>
      <c r="DB10" s="8">
        <v>-15.01</v>
      </c>
      <c r="DC10" s="8">
        <v>-624.07999999999549</v>
      </c>
      <c r="DD10" s="8">
        <v>-582</v>
      </c>
      <c r="DE10" s="8">
        <v>-1065.27</v>
      </c>
      <c r="DF10" s="8">
        <v>-1086.6400000000001</v>
      </c>
      <c r="DG10" s="8">
        <v>-1169.8599999999999</v>
      </c>
      <c r="DH10" s="8">
        <v>-2142.77</v>
      </c>
      <c r="DI10" s="8">
        <v>-2680.97</v>
      </c>
      <c r="DJ10" s="8">
        <v>-2193.2199999999998</v>
      </c>
      <c r="DK10" s="8">
        <v>-1732.8999999999999</v>
      </c>
      <c r="DL10" s="8">
        <v>416.86</v>
      </c>
      <c r="DM10" s="8">
        <v>-1527.36</v>
      </c>
      <c r="DN10" s="8">
        <v>-3262.43</v>
      </c>
      <c r="DO10" s="8">
        <v>-8706.2199999999993</v>
      </c>
      <c r="DP10" s="8">
        <v>-7696.65</v>
      </c>
      <c r="DQ10" s="8">
        <v>-13343.86</v>
      </c>
      <c r="DR10" s="8">
        <v>-19659.169999999998</v>
      </c>
      <c r="DS10" s="8">
        <v>-33494.629999999997</v>
      </c>
      <c r="DT10" s="8">
        <v>-44566.67</v>
      </c>
      <c r="DU10" s="8">
        <v>-49380.76</v>
      </c>
      <c r="DV10" s="8">
        <v>-62380.44</v>
      </c>
      <c r="DW10" s="8">
        <v>-72515.240000000005</v>
      </c>
      <c r="DX10" s="8">
        <v>-22024.76</v>
      </c>
      <c r="DY10" s="208"/>
      <c r="DZ10" s="208"/>
      <c r="EA10" s="149"/>
      <c r="EB10" s="298"/>
      <c r="EC10" s="5" t="s">
        <v>5</v>
      </c>
      <c r="ED10" s="8">
        <v>-913.11</v>
      </c>
      <c r="EE10" s="8">
        <v>1752.92</v>
      </c>
      <c r="EF10" s="8">
        <v>766.84</v>
      </c>
      <c r="EG10" s="8">
        <v>-15.2</v>
      </c>
      <c r="EH10" s="8">
        <v>-624.24999999999545</v>
      </c>
      <c r="EI10" s="8">
        <v>-582.19000000000005</v>
      </c>
      <c r="EJ10" s="8">
        <v>-1065.46</v>
      </c>
      <c r="EK10" s="8">
        <v>-1086.82</v>
      </c>
      <c r="EL10" s="8">
        <v>-1169.98</v>
      </c>
      <c r="EM10" s="8">
        <v>-2142.9499999999998</v>
      </c>
      <c r="EN10" s="8">
        <v>-2681.14</v>
      </c>
      <c r="EO10" s="8">
        <v>-2193.35</v>
      </c>
      <c r="EP10" s="8">
        <v>-1737.5</v>
      </c>
      <c r="EQ10" s="8">
        <v>409.03</v>
      </c>
      <c r="ER10" s="8">
        <v>-1534.3</v>
      </c>
      <c r="ES10" s="8">
        <v>-3271.19</v>
      </c>
      <c r="ET10" s="8">
        <v>-8726.59</v>
      </c>
      <c r="EU10" s="8">
        <v>-7714.43</v>
      </c>
      <c r="EV10" s="8">
        <v>-13372</v>
      </c>
      <c r="EW10" s="8">
        <v>-19703.240000000002</v>
      </c>
      <c r="EX10" s="8">
        <v>-33555.699999999997</v>
      </c>
      <c r="EY10" s="8">
        <v>-44642.93</v>
      </c>
      <c r="EZ10" s="8">
        <v>-49465.58</v>
      </c>
      <c r="FA10" s="8">
        <v>-62484.26</v>
      </c>
      <c r="FB10" s="8">
        <v>-72643.850000000006</v>
      </c>
      <c r="FC10" s="8">
        <v>-22163.81</v>
      </c>
      <c r="FD10" s="8">
        <v>-39749.678489636659</v>
      </c>
      <c r="FE10" s="8">
        <v>-45136.25</v>
      </c>
      <c r="FF10" s="4" t="s">
        <v>130</v>
      </c>
      <c r="FG10" s="4" t="s">
        <v>89</v>
      </c>
      <c r="FH10" s="149"/>
      <c r="FI10" s="298"/>
      <c r="FJ10" s="5" t="s">
        <v>5</v>
      </c>
      <c r="FK10" s="8">
        <v>-56364.87</v>
      </c>
      <c r="FL10" s="8">
        <v>-50214.16</v>
      </c>
      <c r="FM10" s="8">
        <v>-52385.52</v>
      </c>
      <c r="FN10" s="8">
        <v>-52553.36</v>
      </c>
      <c r="FO10" s="8">
        <v>-60903.37</v>
      </c>
      <c r="FP10" s="8">
        <v>-67166.289999999994</v>
      </c>
      <c r="FQ10" s="4" t="s">
        <v>130</v>
      </c>
      <c r="FR10" s="4" t="s">
        <v>89</v>
      </c>
    </row>
    <row r="11" spans="1:175" s="4" customFormat="1" ht="14.5" outlineLevel="1" x14ac:dyDescent="0.35">
      <c r="A11" s="295"/>
      <c r="B11" s="16" t="s">
        <v>13</v>
      </c>
      <c r="C11" s="7">
        <f>IF(OR(C8="",C7=""),"",C7-C8)</f>
        <v>0</v>
      </c>
      <c r="D11" s="7">
        <f>IF(OR(D8="",D7=""),"",D7-D8)</f>
        <v>3542.7066619947968</v>
      </c>
      <c r="E11" s="7">
        <f t="shared" ref="E11:I11" si="3">IF(OR(E8="",E7=""),"",E7-E8)</f>
        <v>-2042.587011875763</v>
      </c>
      <c r="F11" s="7">
        <f t="shared" si="3"/>
        <v>-101305.99221352636</v>
      </c>
      <c r="G11" s="7">
        <f t="shared" si="3"/>
        <v>3390.1150170901092</v>
      </c>
      <c r="H11" s="7">
        <f t="shared" si="3"/>
        <v>77000.426341737329</v>
      </c>
      <c r="I11" s="7">
        <f t="shared" si="3"/>
        <v>-50568.7335448956</v>
      </c>
      <c r="J11" s="7">
        <f>IF(OR(J8="",J7=""),"",J7-J8)</f>
        <v>-212266.31379910326</v>
      </c>
      <c r="K11" s="103" t="s">
        <v>84</v>
      </c>
      <c r="L11" s="103" t="s">
        <v>85</v>
      </c>
      <c r="M11" s="149"/>
      <c r="N11" s="149"/>
      <c r="O11" s="144"/>
      <c r="P11" s="137"/>
      <c r="Q11" s="133"/>
      <c r="R11" s="133"/>
      <c r="S11" s="133"/>
      <c r="T11" s="133"/>
      <c r="U11" s="133"/>
      <c r="V11" s="133"/>
      <c r="W11" s="133"/>
      <c r="X11" s="133"/>
      <c r="Y11" s="133"/>
      <c r="Z11" s="133"/>
      <c r="AA11" s="133"/>
      <c r="AB11" s="159"/>
      <c r="AC11" s="298"/>
      <c r="AD11" s="6" t="s">
        <v>6</v>
      </c>
      <c r="AE11" s="8">
        <v>9649.86</v>
      </c>
      <c r="AF11" s="8">
        <v>22043.56</v>
      </c>
      <c r="AG11" s="8">
        <v>39427</v>
      </c>
      <c r="AH11" s="8">
        <v>49952.09</v>
      </c>
      <c r="AI11" s="8">
        <v>52424.06</v>
      </c>
      <c r="AJ11" s="8">
        <v>50514.59</v>
      </c>
      <c r="AK11" s="8">
        <v>43643.11</v>
      </c>
      <c r="AL11" s="8">
        <v>34083.79</v>
      </c>
      <c r="AM11" s="8">
        <v>29265.53</v>
      </c>
      <c r="AN11" s="8">
        <v>35785.879999999997</v>
      </c>
      <c r="AO11" s="8">
        <v>33915.519999999997</v>
      </c>
      <c r="AP11" s="8">
        <v>26834.459999999995</v>
      </c>
      <c r="AQ11" s="8">
        <v>18479.269999999997</v>
      </c>
      <c r="AR11" s="8">
        <v>13516.279999999997</v>
      </c>
      <c r="AS11" s="8">
        <v>12779.159999999996</v>
      </c>
      <c r="AT11" s="8">
        <v>12027.339999999997</v>
      </c>
      <c r="AU11" s="8">
        <v>10559.789999999997</v>
      </c>
      <c r="AV11" s="8">
        <v>9419.6499999999978</v>
      </c>
      <c r="AW11" s="8">
        <v>8506.2699999999986</v>
      </c>
      <c r="AX11" s="8">
        <v>7150.7799999999988</v>
      </c>
      <c r="AY11" s="8">
        <v>6233.1699999999992</v>
      </c>
      <c r="AZ11" s="8">
        <v>7981.1899999999987</v>
      </c>
      <c r="BA11" s="8">
        <v>8744.5099999999984</v>
      </c>
      <c r="BB11" s="8">
        <v>8725.3399999999983</v>
      </c>
      <c r="BC11" s="8">
        <v>8593.3099999999977</v>
      </c>
      <c r="BD11" s="165">
        <f>'MEEIA 3 calcs'!AC11</f>
        <v>9217.2999999999938</v>
      </c>
      <c r="BE11" s="166">
        <f>BB11-BD11</f>
        <v>-491.95999999999549</v>
      </c>
      <c r="BF11" s="149"/>
      <c r="BY11" s="149"/>
      <c r="BZ11" s="295"/>
      <c r="CA11" s="17" t="s">
        <v>27</v>
      </c>
      <c r="CB11" s="214">
        <v>-4668.5399999999981</v>
      </c>
      <c r="CC11" s="214">
        <v>-4443.7099999999982</v>
      </c>
      <c r="CD11" s="214">
        <v>-4397.2699999999986</v>
      </c>
      <c r="CE11" s="214">
        <v>-4487.5599999999986</v>
      </c>
      <c r="CF11" s="214">
        <v>-4927.5599999999986</v>
      </c>
      <c r="CG11" s="214">
        <v>-5418.0499999999984</v>
      </c>
      <c r="CH11" s="214">
        <v>-6195.3399999999983</v>
      </c>
      <c r="CK11" s="295"/>
      <c r="CL11" s="17" t="s">
        <v>27</v>
      </c>
      <c r="CM11" s="214">
        <v>-4668.5399999999981</v>
      </c>
      <c r="CN11" s="214">
        <v>-4443.7199999999984</v>
      </c>
      <c r="CO11" s="214">
        <v>-4397.2899999999981</v>
      </c>
      <c r="CP11" s="214">
        <v>-4487.5799999999981</v>
      </c>
      <c r="CQ11" s="214">
        <v>-4927.5799999999981</v>
      </c>
      <c r="CR11" s="214">
        <v>-5418.0799999999981</v>
      </c>
      <c r="CS11" s="214">
        <v>-6195.3699999999981</v>
      </c>
      <c r="CW11" s="149"/>
      <c r="CX11" s="298"/>
      <c r="CY11" s="6" t="s">
        <v>6</v>
      </c>
      <c r="CZ11" s="8">
        <v>7943.5199999999941</v>
      </c>
      <c r="DA11" s="8">
        <v>8710.5299999999934</v>
      </c>
      <c r="DB11" s="8">
        <v>8695.5199999999932</v>
      </c>
      <c r="DC11" s="8">
        <v>8071.4399999999978</v>
      </c>
      <c r="DD11" s="8">
        <v>7489.4399999999978</v>
      </c>
      <c r="DE11" s="8">
        <v>6424.1699999999983</v>
      </c>
      <c r="DF11" s="8">
        <v>5337.5299999999979</v>
      </c>
      <c r="DG11" s="8">
        <v>4167.6699999999983</v>
      </c>
      <c r="DH11" s="8">
        <v>2024.8999999999983</v>
      </c>
      <c r="DI11" s="8">
        <v>-656.07000000000153</v>
      </c>
      <c r="DJ11" s="8">
        <v>-2849.2900000000013</v>
      </c>
      <c r="DK11" s="8">
        <v>-4582.1900000000014</v>
      </c>
      <c r="DL11" s="8">
        <v>-4165.3300000000017</v>
      </c>
      <c r="DM11" s="8">
        <v>-5692.6900000000014</v>
      </c>
      <c r="DN11" s="8">
        <v>-8955.1200000000008</v>
      </c>
      <c r="DO11" s="8">
        <v>-17661.34</v>
      </c>
      <c r="DP11" s="8">
        <v>-25357.989999999998</v>
      </c>
      <c r="DQ11" s="8">
        <v>-38701.85</v>
      </c>
      <c r="DR11" s="8">
        <v>-58361.02</v>
      </c>
      <c r="DS11" s="8">
        <v>-91855.65</v>
      </c>
      <c r="DT11" s="8">
        <v>-136422.32</v>
      </c>
      <c r="DU11" s="8">
        <v>-185803.08000000002</v>
      </c>
      <c r="DV11" s="8">
        <v>-248183.52000000002</v>
      </c>
      <c r="DW11" s="8">
        <v>-320698.76</v>
      </c>
      <c r="DX11" s="8">
        <v>-342723.52</v>
      </c>
      <c r="DY11" s="208">
        <f>'MEEIA 3 calcs'!AY11</f>
        <v>-342189.81999999995</v>
      </c>
      <c r="DZ11" s="223">
        <f>DX11-DY11</f>
        <v>-533.70000000006985</v>
      </c>
      <c r="EA11" s="149"/>
      <c r="EB11" s="298"/>
      <c r="EC11" s="6" t="s">
        <v>6</v>
      </c>
      <c r="ED11" s="8">
        <v>6711.7599999999939</v>
      </c>
      <c r="EE11" s="8">
        <v>8464.679999999993</v>
      </c>
      <c r="EF11" s="8">
        <v>9231.5199999999932</v>
      </c>
      <c r="EG11" s="8">
        <v>9216.3199999999924</v>
      </c>
      <c r="EH11" s="8">
        <v>8592.0699999999961</v>
      </c>
      <c r="EI11" s="8">
        <v>8009.8799999999956</v>
      </c>
      <c r="EJ11" s="8">
        <v>6944.4199999999955</v>
      </c>
      <c r="EK11" s="8">
        <v>5857.5999999999958</v>
      </c>
      <c r="EL11" s="8">
        <v>4687.6199999999953</v>
      </c>
      <c r="EM11" s="8">
        <v>2544.6699999999955</v>
      </c>
      <c r="EN11" s="8">
        <v>-136.47000000000435</v>
      </c>
      <c r="EO11" s="8">
        <v>-2329.8200000000043</v>
      </c>
      <c r="EP11" s="8">
        <v>-4067.3200000000043</v>
      </c>
      <c r="EQ11" s="8">
        <v>-3658.2900000000045</v>
      </c>
      <c r="ER11" s="8">
        <v>-5192.5900000000047</v>
      </c>
      <c r="ES11" s="8">
        <v>-8463.7800000000043</v>
      </c>
      <c r="ET11" s="8">
        <v>-17190.370000000003</v>
      </c>
      <c r="EU11" s="8">
        <v>-24904.800000000003</v>
      </c>
      <c r="EV11" s="8">
        <v>-38276.800000000003</v>
      </c>
      <c r="EW11" s="8">
        <v>-57980.040000000008</v>
      </c>
      <c r="EX11" s="8">
        <v>-91535.74</v>
      </c>
      <c r="EY11" s="8">
        <v>-136178.67000000001</v>
      </c>
      <c r="EZ11" s="8">
        <v>-185644.25</v>
      </c>
      <c r="FA11" s="8">
        <v>-248128.51</v>
      </c>
      <c r="FB11" s="8">
        <v>-320772.36</v>
      </c>
      <c r="FC11" s="8">
        <v>-342936.17</v>
      </c>
      <c r="FD11" s="8">
        <v>-382685.84848963667</v>
      </c>
      <c r="FE11" s="8">
        <v>-427822.09848963667</v>
      </c>
      <c r="FF11" s="208">
        <f>'MEEIA 3 calcs'!BA11</f>
        <v>-426925.29848963663</v>
      </c>
      <c r="FG11" s="206">
        <f>FE11-FF11</f>
        <v>-896.80000000004657</v>
      </c>
      <c r="FH11" s="149"/>
      <c r="FI11" s="298"/>
      <c r="FJ11" s="6" t="s">
        <v>6</v>
      </c>
      <c r="FK11" s="8">
        <v>-533357.60848963668</v>
      </c>
      <c r="FL11" s="8">
        <v>-583571.76848963671</v>
      </c>
      <c r="FM11" s="8">
        <v>-635957.28848963673</v>
      </c>
      <c r="FN11" s="116">
        <v>-688510.64848963672</v>
      </c>
      <c r="FO11" s="116">
        <v>-749414.01848963671</v>
      </c>
      <c r="FP11" s="116">
        <v>-816580.30848963675</v>
      </c>
      <c r="FQ11" s="208">
        <f>SUM('MEEIA 3 calcs'!BF11:BH11)</f>
        <v>-2254509.7054689103</v>
      </c>
      <c r="FR11" s="206">
        <f>SUM(FN11:FP11)-FQ11</f>
        <v>4.7299999999813735</v>
      </c>
      <c r="FS11" s="4" t="s">
        <v>136</v>
      </c>
    </row>
    <row r="12" spans="1:175" s="4" customFormat="1" ht="14.5" outlineLevel="1" x14ac:dyDescent="0.35">
      <c r="A12" s="295"/>
      <c r="B12" s="17" t="s">
        <v>8</v>
      </c>
      <c r="C12" s="7">
        <f>ROUND((C11+0)*'MEEIA 3 calcs'!F9/12,2)</f>
        <v>0</v>
      </c>
      <c r="D12" s="7">
        <f>ROUND((D11+C14)*'MEEIA 3 calcs'!G9/12,2)</f>
        <v>7.86</v>
      </c>
      <c r="E12" s="7">
        <f>ROUND((E11+D14)*'MEEIA 3 calcs'!H9/12,2)</f>
        <v>3.36</v>
      </c>
      <c r="F12" s="7">
        <f>ROUND((F11+E14)*'MEEIA 3 calcs'!I9/12,2)</f>
        <v>-220.38</v>
      </c>
      <c r="G12" s="7">
        <f>ROUND((G11+F14)*'MEEIA 3 calcs'!J9/12,2)</f>
        <v>-208.94</v>
      </c>
      <c r="H12" s="7">
        <f>ROUND((H11+G14)*'MEEIA 3 calcs'!K9/12,2)</f>
        <v>-38.86</v>
      </c>
      <c r="I12" s="7">
        <f>ROUND((I11+H14)*'MEEIA 3 calcs'!L9/12,2)</f>
        <v>-130.13</v>
      </c>
      <c r="J12" s="7">
        <f>ROUND((J11+I14)*'MEEIA 3 calcs'!M9/12,2)</f>
        <v>-498.25</v>
      </c>
      <c r="K12" s="104">
        <f>SUM('MEEIA 3 calcs'!F32:M32)</f>
        <v>-1085.43</v>
      </c>
      <c r="L12" s="112">
        <f>SUM(C12:J12)-K12</f>
        <v>8.9999999999918145E-2</v>
      </c>
      <c r="M12" s="149"/>
      <c r="N12" s="149"/>
      <c r="O12" s="144"/>
      <c r="P12" s="137"/>
      <c r="Q12" s="123"/>
      <c r="R12" s="123"/>
      <c r="S12" s="123"/>
      <c r="T12" s="123"/>
      <c r="U12" s="123"/>
      <c r="V12" s="123"/>
      <c r="W12" s="123"/>
      <c r="X12" s="123"/>
      <c r="Y12" s="123"/>
      <c r="Z12" s="123"/>
      <c r="AA12" s="123"/>
      <c r="AB12" s="158"/>
      <c r="AC12" s="298"/>
      <c r="AD12" s="5" t="s">
        <v>12</v>
      </c>
      <c r="AE12" s="8">
        <v>3262465.61</v>
      </c>
      <c r="AF12" s="8">
        <v>1435380.57</v>
      </c>
      <c r="AG12" s="8">
        <v>2209926.16</v>
      </c>
      <c r="AH12" s="8">
        <v>-3032183.4299999997</v>
      </c>
      <c r="AI12" s="8">
        <v>-3630865.7600000002</v>
      </c>
      <c r="AJ12" s="8">
        <v>-2122102.5800000005</v>
      </c>
      <c r="AK12" s="8">
        <v>-2749963.32</v>
      </c>
      <c r="AL12" s="8">
        <v>-1709599.1999999972</v>
      </c>
      <c r="AM12" s="8">
        <v>2247319.5200000005</v>
      </c>
      <c r="AN12" s="8">
        <v>7280660.7000000002</v>
      </c>
      <c r="AO12" s="8">
        <v>-5281931.5000000009</v>
      </c>
      <c r="AP12" s="8">
        <v>-3528427.48</v>
      </c>
      <c r="AQ12" s="8">
        <v>-598786.93999999994</v>
      </c>
      <c r="AR12" s="8">
        <v>-1033901.9500000004</v>
      </c>
      <c r="AS12" s="8">
        <v>-502970.57999999996</v>
      </c>
      <c r="AT12" s="8">
        <v>-327939.98999999993</v>
      </c>
      <c r="AU12" s="8">
        <v>-1912909.9000000006</v>
      </c>
      <c r="AV12" s="8">
        <v>-923201.4100000005</v>
      </c>
      <c r="AW12" s="8">
        <v>1172047.7800000003</v>
      </c>
      <c r="AX12" s="8">
        <v>711773.64999999874</v>
      </c>
      <c r="AY12" s="8">
        <v>3771510.2899999996</v>
      </c>
      <c r="AZ12" s="8">
        <v>11732401.639999997</v>
      </c>
      <c r="BA12" s="8">
        <v>-2925304.5499999993</v>
      </c>
      <c r="BB12" s="8">
        <v>-4543369.0900000008</v>
      </c>
      <c r="BC12" s="8">
        <v>-642544.46999999951</v>
      </c>
      <c r="BF12" s="149"/>
      <c r="BG12" s="47" t="s">
        <v>113</v>
      </c>
      <c r="BH12"/>
      <c r="BI12"/>
      <c r="BJ12"/>
      <c r="BK12"/>
      <c r="BL12"/>
      <c r="BM12"/>
      <c r="BN12"/>
      <c r="BO12"/>
      <c r="BP12"/>
      <c r="BQ12"/>
      <c r="BR12"/>
      <c r="BS12"/>
      <c r="BT12"/>
      <c r="BU12"/>
      <c r="BY12" s="149"/>
      <c r="BZ12" s="295"/>
      <c r="CA12" s="16" t="s">
        <v>14</v>
      </c>
      <c r="CB12" s="214">
        <v>-338731.02069875965</v>
      </c>
      <c r="CC12" s="214">
        <v>-406106.93494770303</v>
      </c>
      <c r="CD12" s="214">
        <v>-374009.65149891004</v>
      </c>
      <c r="CE12" s="214">
        <v>-566569.34339839849</v>
      </c>
      <c r="CF12" s="214">
        <v>-384767.07923458319</v>
      </c>
      <c r="CG12" s="214">
        <v>-152603.89288086267</v>
      </c>
      <c r="CH12" s="214">
        <v>-10254.541794636869</v>
      </c>
      <c r="CK12" s="295"/>
      <c r="CL12" s="16" t="s">
        <v>14</v>
      </c>
      <c r="CM12" s="214">
        <v>-338731.02069875965</v>
      </c>
      <c r="CN12" s="214">
        <v>-406106.94494770333</v>
      </c>
      <c r="CO12" s="214">
        <v>-374009.66149890982</v>
      </c>
      <c r="CP12" s="214">
        <v>-566569.34339839872</v>
      </c>
      <c r="CQ12" s="214">
        <v>-384767.07923458319</v>
      </c>
      <c r="CR12" s="214">
        <v>-152603.90288086259</v>
      </c>
      <c r="CS12" s="214">
        <v>-10254.54179463688</v>
      </c>
      <c r="CW12" s="149"/>
      <c r="CX12" s="298"/>
      <c r="CY12" s="5" t="s">
        <v>12</v>
      </c>
      <c r="CZ12" s="8">
        <v>11731885.259999998</v>
      </c>
      <c r="DA12" s="8">
        <v>-2925300.8599999994</v>
      </c>
      <c r="DB12" s="8">
        <v>-4543364.9300000006</v>
      </c>
      <c r="DC12" s="8">
        <v>-664526.95999999705</v>
      </c>
      <c r="DD12" s="8">
        <v>-2360786.7516527595</v>
      </c>
      <c r="DE12" s="8">
        <v>-2598050.2076373724</v>
      </c>
      <c r="DF12" s="8">
        <v>-766357.32199255878</v>
      </c>
      <c r="DG12" s="8">
        <v>-3593603.7835242231</v>
      </c>
      <c r="DH12" s="8">
        <v>-2478209.921081305</v>
      </c>
      <c r="DI12" s="8">
        <v>-4112711.7126744571</v>
      </c>
      <c r="DJ12" s="8">
        <v>-896103.25203946535</v>
      </c>
      <c r="DK12" s="8">
        <v>4947312.0272242241</v>
      </c>
      <c r="DL12" s="8">
        <v>14521570.670487527</v>
      </c>
      <c r="DM12" s="8">
        <v>-9740021.4606461655</v>
      </c>
      <c r="DN12" s="8">
        <v>-4720889.6120852027</v>
      </c>
      <c r="DO12" s="8">
        <v>-1951358.5434257819</v>
      </c>
      <c r="DP12" s="8">
        <v>-202892.35689840894</v>
      </c>
      <c r="DQ12" s="8">
        <v>-1483650.4085616188</v>
      </c>
      <c r="DR12" s="8">
        <v>977384.93078128144</v>
      </c>
      <c r="DS12" s="8">
        <v>-3679734.0019777594</v>
      </c>
      <c r="DT12" s="8">
        <v>-1325828.5587091884</v>
      </c>
      <c r="DU12" s="8">
        <v>126.22271568584983</v>
      </c>
      <c r="DV12" s="8">
        <v>-732084.7342193923</v>
      </c>
      <c r="DW12" s="8">
        <v>1259155.6442398338</v>
      </c>
      <c r="DX12" s="8">
        <v>14629254.743251542</v>
      </c>
      <c r="DY12" s="208"/>
      <c r="DZ12" s="208"/>
      <c r="EA12" s="149"/>
      <c r="EB12" s="298"/>
      <c r="EC12" s="5" t="s">
        <v>12</v>
      </c>
      <c r="ED12" s="8">
        <v>3770914.7899999996</v>
      </c>
      <c r="EE12" s="8">
        <v>11731706.540000001</v>
      </c>
      <c r="EF12" s="8">
        <v>-2925501.03</v>
      </c>
      <c r="EG12" s="8">
        <v>-4543365.120000001</v>
      </c>
      <c r="EH12" s="8">
        <v>-664527.12999999709</v>
      </c>
      <c r="EI12" s="8">
        <v>-2360786.9416527594</v>
      </c>
      <c r="EJ12" s="8">
        <v>-2598050.3976373724</v>
      </c>
      <c r="EK12" s="8">
        <v>-766407.50199255871</v>
      </c>
      <c r="EL12" s="8">
        <v>-3593603.9035242232</v>
      </c>
      <c r="EM12" s="8">
        <v>-2478210.1010813052</v>
      </c>
      <c r="EN12" s="8">
        <v>-4112711.882674457</v>
      </c>
      <c r="EO12" s="8">
        <v>-896103.38203946536</v>
      </c>
      <c r="EP12" s="8">
        <v>4912308.7272242252</v>
      </c>
      <c r="EQ12" s="8">
        <v>14521562.840487527</v>
      </c>
      <c r="ER12" s="8">
        <v>-9739516.1606461667</v>
      </c>
      <c r="ES12" s="8">
        <v>-4720898.3720852034</v>
      </c>
      <c r="ET12" s="8">
        <v>-1951378.913425782</v>
      </c>
      <c r="EU12" s="8">
        <v>-202910.13689840893</v>
      </c>
      <c r="EV12" s="8">
        <v>-1483678.5485616187</v>
      </c>
      <c r="EW12" s="8">
        <v>977340.86078128149</v>
      </c>
      <c r="EX12" s="8">
        <v>-3679795.0719777597</v>
      </c>
      <c r="EY12" s="8">
        <v>-1325904.8187091884</v>
      </c>
      <c r="EZ12" s="8">
        <v>-8.5972843141498743</v>
      </c>
      <c r="FA12" s="8">
        <v>-732188.55421939236</v>
      </c>
      <c r="FB12" s="8">
        <v>1259027.0342398337</v>
      </c>
      <c r="FC12" s="8">
        <v>14629115.693251541</v>
      </c>
      <c r="FD12" s="8">
        <v>-4087293.0911802319</v>
      </c>
      <c r="FE12" s="8">
        <v>-1348324.1682142103</v>
      </c>
      <c r="FH12" s="149"/>
      <c r="FI12" s="298"/>
      <c r="FJ12" s="5" t="s">
        <v>12</v>
      </c>
      <c r="FK12" s="8">
        <v>-1067740.8817789806</v>
      </c>
      <c r="FL12" s="8">
        <v>1580611.1537780624</v>
      </c>
      <c r="FM12" s="8">
        <v>-342493.44407419162</v>
      </c>
      <c r="FN12" s="8">
        <v>65253.336089739911</v>
      </c>
      <c r="FO12" s="8">
        <v>-1660086.9231228735</v>
      </c>
      <c r="FP12" s="8">
        <v>-1329011.0014549941</v>
      </c>
    </row>
    <row r="13" spans="1:175" s="4" customFormat="1" ht="14.5" outlineLevel="1" x14ac:dyDescent="0.35">
      <c r="A13" s="295"/>
      <c r="B13" s="16" t="s">
        <v>14</v>
      </c>
      <c r="C13" s="7">
        <f>IF(OR(C11="",C12=""),"",C11+C12)</f>
        <v>0</v>
      </c>
      <c r="D13" s="7">
        <f>IF(OR(D11="",D12=""),"",D11+D12)</f>
        <v>3550.566661994797</v>
      </c>
      <c r="E13" s="7">
        <f t="shared" ref="E13:I13" si="4">IF(OR(E11="",E12=""),"",E11+E12)</f>
        <v>-2039.2270118757631</v>
      </c>
      <c r="F13" s="7">
        <f t="shared" si="4"/>
        <v>-101526.37221352637</v>
      </c>
      <c r="G13" s="7">
        <f t="shared" si="4"/>
        <v>3181.1750170901091</v>
      </c>
      <c r="H13" s="7">
        <f t="shared" si="4"/>
        <v>76961.566341737329</v>
      </c>
      <c r="I13" s="7">
        <f t="shared" si="4"/>
        <v>-50698.863544895597</v>
      </c>
      <c r="J13" s="7">
        <f>IF(OR(J11="",J12=""),"",J11+J12)</f>
        <v>-212764.56379910326</v>
      </c>
      <c r="M13" s="149"/>
      <c r="N13" s="149"/>
      <c r="O13" s="144"/>
      <c r="P13" s="55"/>
      <c r="Q13" s="123"/>
      <c r="R13" s="123"/>
      <c r="S13" s="123"/>
      <c r="T13" s="123"/>
      <c r="U13" s="123"/>
      <c r="V13" s="123"/>
      <c r="W13" s="123"/>
      <c r="X13" s="123"/>
      <c r="Y13" s="123"/>
      <c r="Z13" s="123"/>
      <c r="AA13" s="123"/>
      <c r="AB13" s="158"/>
      <c r="AC13" s="298"/>
      <c r="AD13" s="9" t="s">
        <v>3</v>
      </c>
      <c r="AE13" s="8">
        <v>4163379.87</v>
      </c>
      <c r="AF13" s="8">
        <v>5598760.4400000004</v>
      </c>
      <c r="AG13" s="8">
        <v>7808686.6000000006</v>
      </c>
      <c r="AH13" s="8">
        <v>4776503.1700000009</v>
      </c>
      <c r="AI13" s="8">
        <v>1145637.4100000006</v>
      </c>
      <c r="AJ13" s="8">
        <v>-976465.16999999993</v>
      </c>
      <c r="AK13" s="8">
        <v>-3726428.4899999998</v>
      </c>
      <c r="AL13" s="8">
        <v>-5436027.6899999967</v>
      </c>
      <c r="AM13" s="8">
        <v>-3188708.1699999962</v>
      </c>
      <c r="AN13" s="8">
        <v>4091952.530000004</v>
      </c>
      <c r="AO13" s="8">
        <v>-1189978.9699999969</v>
      </c>
      <c r="AP13" s="8">
        <v>-4718406.4499999974</v>
      </c>
      <c r="AQ13" s="8">
        <v>-5317193.3899999969</v>
      </c>
      <c r="AR13" s="8">
        <v>-6351095.3399999971</v>
      </c>
      <c r="AS13" s="8">
        <v>-6854065.9199999971</v>
      </c>
      <c r="AT13" s="8">
        <v>-7182005.9099999974</v>
      </c>
      <c r="AU13" s="8">
        <v>-9094915.8099999987</v>
      </c>
      <c r="AV13" s="8">
        <v>-10018117.219999999</v>
      </c>
      <c r="AW13" s="8">
        <v>-8846069.4399999976</v>
      </c>
      <c r="AX13" s="8">
        <v>-8134295.7899999991</v>
      </c>
      <c r="AY13" s="8">
        <v>-4362785.5</v>
      </c>
      <c r="AZ13" s="8">
        <v>7369616.1399999969</v>
      </c>
      <c r="BA13" s="8">
        <v>4444311.589999998</v>
      </c>
      <c r="BB13" s="8">
        <v>-99057.500000002794</v>
      </c>
      <c r="BC13" s="8">
        <v>-741601.9700000023</v>
      </c>
      <c r="BF13" s="149"/>
      <c r="BG13"/>
      <c r="BH13"/>
      <c r="BI13" s="10">
        <v>44105</v>
      </c>
      <c r="BJ13" s="10">
        <v>44136</v>
      </c>
      <c r="BK13" s="10">
        <v>44166</v>
      </c>
      <c r="BL13" s="10">
        <v>44197</v>
      </c>
      <c r="BM13" s="10">
        <v>44228</v>
      </c>
      <c r="BN13" s="10">
        <v>44256</v>
      </c>
      <c r="BO13" s="10">
        <v>44287</v>
      </c>
      <c r="BP13" s="10">
        <v>44317</v>
      </c>
      <c r="BQ13" s="10">
        <v>44348</v>
      </c>
      <c r="BR13" s="10">
        <v>44378</v>
      </c>
      <c r="BS13" s="10">
        <v>44409</v>
      </c>
      <c r="BT13" s="10">
        <v>44440</v>
      </c>
      <c r="BU13" s="10">
        <v>44470</v>
      </c>
      <c r="BY13" s="149"/>
      <c r="BZ13" s="295"/>
      <c r="CA13" s="18" t="s">
        <v>2</v>
      </c>
      <c r="CB13" s="214">
        <v>1783212.1718906779</v>
      </c>
      <c r="CC13" s="214">
        <v>1035985.2469429747</v>
      </c>
      <c r="CD13" s="214">
        <v>237729.42544406466</v>
      </c>
      <c r="CE13" s="214">
        <v>-366328.51795433403</v>
      </c>
      <c r="CF13" s="214">
        <v>-767550.09718891722</v>
      </c>
      <c r="CG13" s="214">
        <v>-980795.26006977982</v>
      </c>
      <c r="CH13" s="214">
        <v>-982925.54186441668</v>
      </c>
      <c r="CK13" s="295"/>
      <c r="CL13" s="18" t="s">
        <v>2</v>
      </c>
      <c r="CM13" s="214">
        <v>1783212.1718906779</v>
      </c>
      <c r="CN13" s="214">
        <v>1035985.2369429746</v>
      </c>
      <c r="CO13" s="214">
        <v>237729.40544406488</v>
      </c>
      <c r="CP13" s="214">
        <v>-366328.53795433382</v>
      </c>
      <c r="CQ13" s="214">
        <v>-767550.11718891724</v>
      </c>
      <c r="CR13" s="214">
        <v>-980795.29006977985</v>
      </c>
      <c r="CS13" s="214">
        <v>-982925.57186441682</v>
      </c>
      <c r="CW13" s="149"/>
      <c r="CX13" s="298"/>
      <c r="CY13" s="9" t="s">
        <v>3</v>
      </c>
      <c r="CZ13" s="8">
        <v>7391068.9099999992</v>
      </c>
      <c r="DA13" s="7">
        <v>4465768.05</v>
      </c>
      <c r="DB13" s="7">
        <v>-77596.88000000082</v>
      </c>
      <c r="DC13" s="8">
        <v>-742123.83999999787</v>
      </c>
      <c r="DD13" s="8">
        <v>-3102910.5916527575</v>
      </c>
      <c r="DE13" s="8">
        <v>-5700960.7992901299</v>
      </c>
      <c r="DF13" s="8">
        <v>-6467318.1212826883</v>
      </c>
      <c r="DG13" s="8">
        <v>-10060921.904806912</v>
      </c>
      <c r="DH13" s="8">
        <v>-12539131.825888216</v>
      </c>
      <c r="DI13" s="8">
        <v>-16651843.538562674</v>
      </c>
      <c r="DJ13" s="8">
        <v>-17547946.79060214</v>
      </c>
      <c r="DK13" s="8">
        <v>-12600634.763377916</v>
      </c>
      <c r="DL13" s="8">
        <v>1920935.9071096107</v>
      </c>
      <c r="DM13" s="8">
        <v>-7819085.5535365548</v>
      </c>
      <c r="DN13" s="8">
        <v>-13236083.361145323</v>
      </c>
      <c r="DO13" s="8">
        <v>-15187441.904571105</v>
      </c>
      <c r="DP13" s="8">
        <v>-15390334.261469513</v>
      </c>
      <c r="DQ13" s="8">
        <v>-16873984.67003113</v>
      </c>
      <c r="DR13" s="8">
        <v>-15896599.73924985</v>
      </c>
      <c r="DS13" s="8">
        <v>-19576333.741227608</v>
      </c>
      <c r="DT13" s="8">
        <v>-20902162.299936797</v>
      </c>
      <c r="DU13" s="8">
        <v>-20902036.07722111</v>
      </c>
      <c r="DV13" s="8">
        <v>-21634120.811440501</v>
      </c>
      <c r="DW13" s="8">
        <v>-20374965.167200666</v>
      </c>
      <c r="DX13" s="8">
        <v>-5745710.4239491243</v>
      </c>
      <c r="DY13" s="208"/>
      <c r="DZ13" s="208"/>
      <c r="EA13" s="149"/>
      <c r="EB13" s="298"/>
      <c r="EC13" s="9" t="s">
        <v>3</v>
      </c>
      <c r="ED13" s="8">
        <v>-4341416.4699999988</v>
      </c>
      <c r="EE13" s="8">
        <v>7390290.0700000022</v>
      </c>
      <c r="EF13" s="7">
        <v>4464789.0400000028</v>
      </c>
      <c r="EG13" s="7">
        <v>-78576.079999998212</v>
      </c>
      <c r="EH13" s="8">
        <v>-743103.20999999531</v>
      </c>
      <c r="EI13" s="8">
        <v>-3103890.1516527548</v>
      </c>
      <c r="EJ13" s="8">
        <v>-5701940.5492901271</v>
      </c>
      <c r="EK13" s="8">
        <v>-6468348.0512826862</v>
      </c>
      <c r="EL13" s="8">
        <v>-10061951.954806909</v>
      </c>
      <c r="EM13" s="8">
        <v>-12540162.055888213</v>
      </c>
      <c r="EN13" s="8">
        <v>-16652873.938562671</v>
      </c>
      <c r="EO13" s="8">
        <v>-17548977.320602138</v>
      </c>
      <c r="EP13" s="8">
        <v>-12636668.593377912</v>
      </c>
      <c r="EQ13" s="8">
        <v>1884894.2471096143</v>
      </c>
      <c r="ER13" s="8">
        <v>-7854621.9135365523</v>
      </c>
      <c r="ES13" s="8">
        <v>-13271603.842655683</v>
      </c>
      <c r="ET13" s="8">
        <v>-15222982.756081466</v>
      </c>
      <c r="EU13" s="8">
        <v>-15425892.892979875</v>
      </c>
      <c r="EV13" s="8">
        <v>-16909571.441541493</v>
      </c>
      <c r="EW13" s="8">
        <v>-15932230.580760211</v>
      </c>
      <c r="EX13" s="8">
        <v>-19612025.652737971</v>
      </c>
      <c r="EY13" s="8">
        <v>-20937930.471447159</v>
      </c>
      <c r="EZ13" s="8">
        <v>-20937939.068731472</v>
      </c>
      <c r="FA13" s="8">
        <v>-21670127.622950863</v>
      </c>
      <c r="FB13" s="8">
        <v>-20411100.588711031</v>
      </c>
      <c r="FC13" s="8">
        <v>-5781984.8954594899</v>
      </c>
      <c r="FD13" s="8">
        <v>-9869277.9866397213</v>
      </c>
      <c r="FE13" s="8">
        <v>-11217602.154853933</v>
      </c>
      <c r="FH13" s="149"/>
      <c r="FI13" s="298"/>
      <c r="FJ13" s="9" t="s">
        <v>3</v>
      </c>
      <c r="FK13" s="7">
        <v>-12942902.3312224</v>
      </c>
      <c r="FL13" s="7">
        <v>-11362291.177444337</v>
      </c>
      <c r="FM13" s="7">
        <v>-11704784.621518528</v>
      </c>
      <c r="FN13" s="7">
        <v>-11639531.285428789</v>
      </c>
      <c r="FO13" s="8">
        <v>-13299618.208551662</v>
      </c>
      <c r="FP13" s="8">
        <v>-14628629.210006656</v>
      </c>
    </row>
    <row r="14" spans="1:175" s="4" customFormat="1" ht="14.5" outlineLevel="1" x14ac:dyDescent="0.35">
      <c r="A14" s="295"/>
      <c r="B14" s="18" t="s">
        <v>15</v>
      </c>
      <c r="C14" s="7">
        <f>IF(OR(C13=""),"",C13)</f>
        <v>0</v>
      </c>
      <c r="D14" s="7">
        <f>IF(OR(D13="",C14=""),"",D13+C14)</f>
        <v>3550.566661994797</v>
      </c>
      <c r="E14" s="7">
        <f t="shared" ref="E14:J14" si="5">IF(OR(E13="",D14=""),"",E13+D14)</f>
        <v>1511.3396501190339</v>
      </c>
      <c r="F14" s="7">
        <f t="shared" si="5"/>
        <v>-100015.03256340734</v>
      </c>
      <c r="G14" s="7">
        <f t="shared" si="5"/>
        <v>-96833.857546317231</v>
      </c>
      <c r="H14" s="7">
        <f t="shared" si="5"/>
        <v>-19872.291204579902</v>
      </c>
      <c r="I14" s="7">
        <f t="shared" si="5"/>
        <v>-70571.154749475507</v>
      </c>
      <c r="J14" s="7">
        <f t="shared" si="5"/>
        <v>-283335.71854857879</v>
      </c>
      <c r="M14" s="149"/>
      <c r="N14" s="149"/>
      <c r="O14" s="144"/>
      <c r="P14" s="137"/>
      <c r="Q14" s="139">
        <v>43862</v>
      </c>
      <c r="R14" s="139">
        <v>43891</v>
      </c>
      <c r="S14" s="139">
        <v>43922</v>
      </c>
      <c r="T14" s="139">
        <v>43952</v>
      </c>
      <c r="U14" s="139">
        <v>43983</v>
      </c>
      <c r="V14" s="139">
        <v>44013</v>
      </c>
      <c r="W14" s="139">
        <v>44044</v>
      </c>
      <c r="X14" s="139">
        <v>44075</v>
      </c>
      <c r="Y14" s="140">
        <v>44105</v>
      </c>
      <c r="Z14" s="123"/>
      <c r="AA14" s="123"/>
      <c r="AB14" s="158"/>
      <c r="AC14" s="123"/>
      <c r="AD14" s="123"/>
      <c r="AE14" s="123"/>
      <c r="AF14" s="123"/>
      <c r="AG14" s="123"/>
      <c r="AH14" s="123"/>
      <c r="AI14" s="123"/>
      <c r="AJ14" s="123"/>
      <c r="AK14" s="3"/>
      <c r="BF14" s="149"/>
      <c r="BG14" s="298" t="s">
        <v>0</v>
      </c>
      <c r="BH14" s="5"/>
      <c r="BI14"/>
      <c r="BJ14"/>
      <c r="BK14"/>
      <c r="BL14"/>
      <c r="BM14"/>
      <c r="BN14" s="198">
        <v>-21982.399999997608</v>
      </c>
      <c r="BO14"/>
      <c r="BP14"/>
      <c r="BQ14"/>
      <c r="BR14"/>
      <c r="BS14"/>
      <c r="BT14"/>
      <c r="BU14"/>
      <c r="BY14" s="149"/>
      <c r="BZ14" s="40"/>
      <c r="CA14" s="11"/>
      <c r="CB14" s="2"/>
      <c r="CC14" s="2"/>
      <c r="CD14" s="2"/>
      <c r="CE14" s="2"/>
      <c r="CF14" s="2"/>
      <c r="CG14" s="2"/>
      <c r="CH14" s="2"/>
      <c r="CK14" s="40"/>
      <c r="CL14" s="11"/>
      <c r="CM14" s="2"/>
      <c r="CN14" s="2"/>
      <c r="CO14" s="2"/>
      <c r="CP14" s="2"/>
      <c r="CQ14" s="2"/>
      <c r="CR14" s="2"/>
      <c r="CS14" s="2"/>
      <c r="CW14" s="149"/>
      <c r="CX14" s="40"/>
      <c r="CY14" s="11"/>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208"/>
      <c r="DZ14" s="208"/>
      <c r="EA14" s="149"/>
      <c r="FH14" s="149"/>
    </row>
    <row r="15" spans="1:175" s="4" customFormat="1" ht="15" customHeight="1" outlineLevel="1" x14ac:dyDescent="0.35">
      <c r="A15" s="40"/>
      <c r="B15" s="11"/>
      <c r="C15" s="12"/>
      <c r="D15" s="12"/>
      <c r="E15" s="12"/>
      <c r="F15" s="12"/>
      <c r="G15" s="12"/>
      <c r="H15" s="12"/>
      <c r="I15" s="12"/>
      <c r="J15" s="12"/>
      <c r="M15" s="149"/>
      <c r="N15" s="149"/>
      <c r="O15" s="144"/>
      <c r="P15" s="92"/>
      <c r="Q15" s="123"/>
      <c r="R15" s="123"/>
      <c r="S15" s="123"/>
      <c r="T15" s="123"/>
      <c r="U15" s="123"/>
      <c r="V15" s="123"/>
      <c r="W15" s="123"/>
      <c r="X15" s="123"/>
      <c r="Y15" s="123"/>
      <c r="Z15" s="123"/>
      <c r="AA15" s="123"/>
      <c r="AB15" s="158"/>
      <c r="AC15" s="123"/>
      <c r="AD15" s="123"/>
      <c r="AE15" s="123"/>
      <c r="AF15" s="123"/>
      <c r="AG15" s="123"/>
      <c r="AH15" s="123"/>
      <c r="AI15" s="123"/>
      <c r="AJ15" s="123"/>
      <c r="AK15" s="3"/>
      <c r="BF15" s="149"/>
      <c r="BG15" s="298"/>
      <c r="BH15" s="5" t="s">
        <v>9</v>
      </c>
      <c r="BI15" s="199">
        <v>5075926.8299999991</v>
      </c>
      <c r="BJ15" s="200">
        <f>8226323.59-BH5</f>
        <v>8170963.8799999999</v>
      </c>
      <c r="BK15" s="199">
        <v>17050986.669999998</v>
      </c>
      <c r="BL15" s="199">
        <v>3390691.4000000004</v>
      </c>
      <c r="BM15" s="200">
        <f>3040542.49-BI5</f>
        <v>3035434.49</v>
      </c>
      <c r="BN15" s="199">
        <v>6776151.4500000002</v>
      </c>
      <c r="BO15" s="199">
        <v>3593096.5983472401</v>
      </c>
      <c r="BP15" s="199">
        <v>3249816.752362628</v>
      </c>
      <c r="BQ15" s="199">
        <v>6101138.4180074409</v>
      </c>
      <c r="BR15" s="199">
        <v>5074049.6564757768</v>
      </c>
      <c r="BS15" s="199">
        <v>6150752.0389186945</v>
      </c>
      <c r="BT15" s="199">
        <v>4538886.177325543</v>
      </c>
      <c r="BU15" s="199">
        <v>5908069.5179605344</v>
      </c>
      <c r="BY15" s="149"/>
      <c r="BZ15" s="295" t="s">
        <v>20</v>
      </c>
      <c r="CA15" s="15"/>
      <c r="CB15" s="2"/>
      <c r="CC15" s="2"/>
      <c r="CD15" s="2"/>
      <c r="CE15" s="2"/>
      <c r="CF15" s="2"/>
      <c r="CG15" s="2"/>
      <c r="CH15" s="2"/>
      <c r="CK15" s="295" t="s">
        <v>20</v>
      </c>
      <c r="CL15" s="15"/>
      <c r="CM15" s="2"/>
      <c r="CN15" s="2"/>
      <c r="CO15" s="2"/>
      <c r="CP15" s="2"/>
      <c r="CQ15" s="2"/>
      <c r="CR15" s="2"/>
      <c r="CS15" s="2"/>
      <c r="CW15" s="149"/>
      <c r="CX15" s="295" t="s">
        <v>25</v>
      </c>
      <c r="CY15" s="15"/>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208"/>
      <c r="DZ15" s="208"/>
      <c r="EA15" s="149"/>
      <c r="EB15" s="4" t="s">
        <v>148</v>
      </c>
      <c r="EM15" s="4" t="s">
        <v>149</v>
      </c>
      <c r="EX15" s="4" t="s">
        <v>150</v>
      </c>
      <c r="FH15" s="149"/>
    </row>
    <row r="16" spans="1:175" s="4" customFormat="1" ht="15" customHeight="1" outlineLevel="1" thickBot="1" x14ac:dyDescent="0.4">
      <c r="A16" s="295" t="s">
        <v>21</v>
      </c>
      <c r="B16" s="15"/>
      <c r="C16" s="7"/>
      <c r="D16" s="7"/>
      <c r="E16" s="7"/>
      <c r="F16" s="7"/>
      <c r="G16" s="7"/>
      <c r="H16" s="7"/>
      <c r="I16" s="7"/>
      <c r="J16" s="7"/>
      <c r="M16" s="149"/>
      <c r="N16" s="149"/>
      <c r="O16" s="40"/>
      <c r="P16" s="11"/>
      <c r="Q16" s="141"/>
      <c r="R16" s="142"/>
      <c r="S16" s="142"/>
      <c r="T16" s="142"/>
      <c r="U16" s="142"/>
      <c r="V16" s="142"/>
      <c r="W16" s="142"/>
      <c r="X16" s="142"/>
      <c r="Y16" s="143"/>
      <c r="Z16" s="123"/>
      <c r="AA16" s="123"/>
      <c r="AB16" s="158"/>
      <c r="AC16" s="123"/>
      <c r="AD16" s="123"/>
      <c r="AE16" s="123"/>
      <c r="AF16" s="123"/>
      <c r="AG16" s="123"/>
      <c r="AH16" s="123"/>
      <c r="AI16" s="123"/>
      <c r="AJ16" s="123"/>
      <c r="BF16" s="149"/>
      <c r="BG16" s="298"/>
      <c r="BH16" s="5" t="s">
        <v>10</v>
      </c>
      <c r="BI16" s="199">
        <v>4362797.6900000004</v>
      </c>
      <c r="BJ16" s="199">
        <v>4453895.6900000004</v>
      </c>
      <c r="BK16" s="199">
        <v>5320333.05</v>
      </c>
      <c r="BL16" s="199">
        <v>6316759.2699999996</v>
      </c>
      <c r="BM16" s="199">
        <v>7583892.4100000001</v>
      </c>
      <c r="BN16" s="199">
        <v>7418563.8899999997</v>
      </c>
      <c r="BO16" s="199">
        <v>5953301.3499999996</v>
      </c>
      <c r="BP16" s="199">
        <v>5846801.6900000004</v>
      </c>
      <c r="BQ16" s="199">
        <v>6866409.0999999996</v>
      </c>
      <c r="BR16" s="199">
        <v>8666483.5800000001</v>
      </c>
      <c r="BS16" s="199">
        <v>8626819.1899999995</v>
      </c>
      <c r="BT16" s="199">
        <v>8648916.9199999999</v>
      </c>
      <c r="BU16" s="199">
        <v>6801979.5499999998</v>
      </c>
      <c r="BY16" s="149"/>
      <c r="BZ16" s="295"/>
      <c r="CA16" s="15" t="s">
        <v>28</v>
      </c>
      <c r="CB16" s="215">
        <v>1017970.7346454827</v>
      </c>
      <c r="CC16" s="215">
        <v>1252923.0225376603</v>
      </c>
      <c r="CD16" s="215">
        <v>1434652.1574546397</v>
      </c>
      <c r="CE16" s="215">
        <v>1242256.6900827016</v>
      </c>
      <c r="CF16" s="215">
        <v>466704.19082447694</v>
      </c>
      <c r="CG16" s="215">
        <v>411086.64598257263</v>
      </c>
      <c r="CH16" s="215">
        <v>460606.66199414816</v>
      </c>
      <c r="CK16" s="295"/>
      <c r="CL16" s="15" t="s">
        <v>28</v>
      </c>
      <c r="CM16" s="215">
        <v>1011793.2887044745</v>
      </c>
      <c r="CN16" s="215">
        <v>1239697.3927115593</v>
      </c>
      <c r="CO16" s="215">
        <v>1413139.8181276456</v>
      </c>
      <c r="CP16" s="215">
        <v>1222383.3115222841</v>
      </c>
      <c r="CQ16" s="215">
        <v>459531.31527281163</v>
      </c>
      <c r="CR16" s="215">
        <v>407298.77814346319</v>
      </c>
      <c r="CS16" s="215">
        <v>460066.17977211718</v>
      </c>
      <c r="CW16" s="149"/>
      <c r="CX16" s="295"/>
      <c r="CY16" s="15" t="s">
        <v>28</v>
      </c>
      <c r="CZ16" s="19">
        <v>1120062.8565557792</v>
      </c>
      <c r="DA16" s="19">
        <v>1377220.6643166305</v>
      </c>
      <c r="DB16" s="19">
        <v>1195166.5723548159</v>
      </c>
      <c r="DC16" s="19">
        <v>1300632.3993987506</v>
      </c>
      <c r="DD16" s="19">
        <v>1205822.8207733985</v>
      </c>
      <c r="DE16" s="19">
        <v>1472551.2785682739</v>
      </c>
      <c r="DF16" s="19">
        <v>3602609.9103061222</v>
      </c>
      <c r="DG16" s="19">
        <v>4524979.9029475963</v>
      </c>
      <c r="DH16" s="19">
        <v>4557691.9623519126</v>
      </c>
      <c r="DI16" s="19">
        <v>3395133.6257571932</v>
      </c>
      <c r="DJ16" s="19">
        <v>1618999.5517252116</v>
      </c>
      <c r="DK16" s="19">
        <v>1693340.1593012405</v>
      </c>
      <c r="DL16" s="19">
        <v>2043834.5150522972</v>
      </c>
      <c r="DM16" s="19">
        <v>2546894.0685010902</v>
      </c>
      <c r="DN16" s="19">
        <v>2089616.4766016018</v>
      </c>
      <c r="DO16" s="19">
        <v>912247.85076541686</v>
      </c>
      <c r="DP16" s="19">
        <v>846334.21711913729</v>
      </c>
      <c r="DQ16" s="19">
        <v>1066637.678205363</v>
      </c>
      <c r="DR16" s="19">
        <v>2863352.6421243409</v>
      </c>
      <c r="DS16" s="19">
        <v>3675557.5237109675</v>
      </c>
      <c r="DT16" s="19">
        <v>3342039.9312423691</v>
      </c>
      <c r="DU16" s="19">
        <v>2373846.5851787962</v>
      </c>
      <c r="DV16" s="19">
        <v>1051178.3111241481</v>
      </c>
      <c r="DW16" s="19">
        <v>1105092.1759465141</v>
      </c>
      <c r="DX16" s="19">
        <v>1381965.5186848878</v>
      </c>
      <c r="DY16" s="208"/>
      <c r="DZ16" s="208"/>
      <c r="EA16" s="149"/>
      <c r="FH16" s="149"/>
      <c r="FK16" s="248" t="s">
        <v>140</v>
      </c>
    </row>
    <row r="17" spans="1:175" s="2" customFormat="1" ht="15" customHeight="1" outlineLevel="1" x14ac:dyDescent="0.35">
      <c r="A17" s="295"/>
      <c r="B17" s="15" t="s">
        <v>28</v>
      </c>
      <c r="C17" s="20">
        <f>C88</f>
        <v>0.34412602678174997</v>
      </c>
      <c r="D17" s="20">
        <f t="shared" ref="D17:J17" si="6">D88</f>
        <v>593.85341007321881</v>
      </c>
      <c r="E17" s="20">
        <f t="shared" si="6"/>
        <v>8368.5225960071712</v>
      </c>
      <c r="F17" s="20">
        <f t="shared" si="6"/>
        <v>23641.814181406706</v>
      </c>
      <c r="G17" s="20">
        <f t="shared" si="6"/>
        <v>47663.861231335664</v>
      </c>
      <c r="H17" s="20">
        <f t="shared" si="6"/>
        <v>53423.137293371561</v>
      </c>
      <c r="I17" s="20">
        <f t="shared" si="6"/>
        <v>71954.397236201956</v>
      </c>
      <c r="J17" s="20">
        <f t="shared" si="6"/>
        <v>61965.752554031846</v>
      </c>
      <c r="M17" s="150"/>
      <c r="N17" s="150"/>
      <c r="O17" s="295" t="s">
        <v>25</v>
      </c>
      <c r="P17" s="15"/>
      <c r="Q17" s="7"/>
      <c r="R17" s="7"/>
      <c r="S17" s="7"/>
      <c r="T17" s="7"/>
      <c r="U17" s="7"/>
      <c r="V17" s="7"/>
      <c r="W17" s="7"/>
      <c r="X17" s="7"/>
      <c r="Y17" s="128"/>
      <c r="Z17" s="4"/>
      <c r="AA17" s="4"/>
      <c r="AB17" s="158"/>
      <c r="AC17" s="123"/>
      <c r="AD17" s="123"/>
      <c r="AE17" s="123"/>
      <c r="AF17" s="123"/>
      <c r="AG17" s="123"/>
      <c r="AH17" s="123"/>
      <c r="AI17" s="123"/>
      <c r="AJ17" s="123"/>
      <c r="AK17" s="4"/>
      <c r="BF17" s="150"/>
      <c r="BG17" s="298"/>
      <c r="BH17" s="5" t="s">
        <v>11</v>
      </c>
      <c r="BI17" s="201">
        <v>713129.13999999873</v>
      </c>
      <c r="BJ17" s="202">
        <f t="shared" ref="BJ17:BU17" si="7">IF(OR(BJ15="",BJ16=""),"",BJ15-BJ16)</f>
        <v>3717068.1899999995</v>
      </c>
      <c r="BK17" s="202">
        <f t="shared" si="7"/>
        <v>11730653.619999997</v>
      </c>
      <c r="BL17" s="202">
        <f t="shared" si="7"/>
        <v>-2926067.8699999992</v>
      </c>
      <c r="BM17" s="202">
        <f t="shared" si="7"/>
        <v>-4548457.92</v>
      </c>
      <c r="BN17" s="202">
        <f t="shared" si="7"/>
        <v>-642412.43999999948</v>
      </c>
      <c r="BO17" s="202">
        <f t="shared" si="7"/>
        <v>-2360204.7516527595</v>
      </c>
      <c r="BP17" s="202">
        <f t="shared" si="7"/>
        <v>-2596984.9376373724</v>
      </c>
      <c r="BQ17" s="202">
        <f t="shared" si="7"/>
        <v>-765270.68199255876</v>
      </c>
      <c r="BR17" s="202">
        <f t="shared" si="7"/>
        <v>-3592433.9235242233</v>
      </c>
      <c r="BS17" s="202">
        <f t="shared" si="7"/>
        <v>-2476067.151081305</v>
      </c>
      <c r="BT17" s="202">
        <f t="shared" si="7"/>
        <v>-4110030.7426744569</v>
      </c>
      <c r="BU17" s="202">
        <f t="shared" si="7"/>
        <v>-893910.03203946538</v>
      </c>
      <c r="BY17" s="150"/>
      <c r="BZ17" s="295"/>
      <c r="CA17" s="16" t="s">
        <v>26</v>
      </c>
      <c r="CB17" s="215">
        <v>1278047.5437683114</v>
      </c>
      <c r="CC17" s="215">
        <v>1599362.0545714868</v>
      </c>
      <c r="CD17" s="215">
        <v>2061688.4651608262</v>
      </c>
      <c r="CE17" s="215">
        <v>1660014.398272939</v>
      </c>
      <c r="CF17" s="215">
        <v>727343.38262135477</v>
      </c>
      <c r="CG17" s="215">
        <v>558489.16557480057</v>
      </c>
      <c r="CH17" s="215">
        <v>521512.93435668247</v>
      </c>
      <c r="CK17" s="295"/>
      <c r="CL17" s="16" t="s">
        <v>26</v>
      </c>
      <c r="CM17" s="215">
        <v>1281347.3500728621</v>
      </c>
      <c r="CN17" s="215">
        <v>1606180.5544486165</v>
      </c>
      <c r="CO17" s="215">
        <v>2073694.4195104088</v>
      </c>
      <c r="CP17" s="215">
        <v>1671524.4079852232</v>
      </c>
      <c r="CQ17" s="215">
        <v>731304.04769213265</v>
      </c>
      <c r="CR17" s="215">
        <v>560620.84130505682</v>
      </c>
      <c r="CS17" s="215">
        <v>521764.12904962653</v>
      </c>
      <c r="CW17" s="150"/>
      <c r="CX17" s="295"/>
      <c r="CY17" s="16" t="s">
        <v>26</v>
      </c>
      <c r="CZ17" s="19">
        <v>664038.72</v>
      </c>
      <c r="DA17" s="19">
        <v>811016.92</v>
      </c>
      <c r="DB17" s="19">
        <v>2076902.76</v>
      </c>
      <c r="DC17" s="19">
        <v>2924297.21</v>
      </c>
      <c r="DD17" s="19">
        <v>2229866.6</v>
      </c>
      <c r="DE17" s="19">
        <v>2168254.38</v>
      </c>
      <c r="DF17" s="19">
        <v>2621890.16</v>
      </c>
      <c r="DG17" s="19">
        <v>3329515.52</v>
      </c>
      <c r="DH17" s="19">
        <v>3339633.92</v>
      </c>
      <c r="DI17" s="19">
        <v>3328981</v>
      </c>
      <c r="DJ17" s="19">
        <v>2544745.08</v>
      </c>
      <c r="DK17" s="19">
        <v>2313567.6800000002</v>
      </c>
      <c r="DL17" s="19">
        <v>2791286.27</v>
      </c>
      <c r="DM17" s="19">
        <v>3345196.33</v>
      </c>
      <c r="DN17" s="19">
        <v>2693584.13</v>
      </c>
      <c r="DO17" s="19">
        <v>1313029.4300000002</v>
      </c>
      <c r="DP17" s="19">
        <v>1059088.8899999999</v>
      </c>
      <c r="DQ17" s="19">
        <v>1067990.67</v>
      </c>
      <c r="DR17" s="19">
        <v>1283730.6599999999</v>
      </c>
      <c r="DS17" s="19">
        <v>1612267.41</v>
      </c>
      <c r="DT17" s="19">
        <v>1561342.09</v>
      </c>
      <c r="DU17" s="19">
        <v>1380925.98</v>
      </c>
      <c r="DV17" s="19">
        <v>1082294.4100000001</v>
      </c>
      <c r="DW17" s="19">
        <v>1039274.52</v>
      </c>
      <c r="DX17" s="19">
        <v>1374184.39</v>
      </c>
      <c r="DY17" s="221"/>
      <c r="DZ17" s="221"/>
      <c r="EA17" s="150"/>
      <c r="FH17" s="150"/>
      <c r="FK17" s="249">
        <v>45017</v>
      </c>
      <c r="FL17" s="250">
        <v>45047</v>
      </c>
      <c r="FM17" s="250">
        <v>45078</v>
      </c>
      <c r="FN17" s="250">
        <v>45108</v>
      </c>
      <c r="FO17" s="250">
        <v>45139</v>
      </c>
      <c r="FP17" s="250">
        <v>45170</v>
      </c>
      <c r="FQ17" s="237"/>
      <c r="FR17" s="251"/>
      <c r="FS17" s="252"/>
    </row>
    <row r="18" spans="1:175" s="4" customFormat="1" ht="15" customHeight="1" outlineLevel="1" x14ac:dyDescent="0.35">
      <c r="A18" s="295"/>
      <c r="B18" s="16" t="s">
        <v>26</v>
      </c>
      <c r="C18" s="20">
        <f>IF('M3 Allocations - TD'!D52="","",'M3 Allocations - TD'!D70)</f>
        <v>0</v>
      </c>
      <c r="D18" s="20">
        <f>IF('M3 Allocations - TD'!E52="","",'M3 Allocations - TD'!E70)</f>
        <v>0</v>
      </c>
      <c r="E18" s="20">
        <f>IF('M3 Allocations - TD'!F52="","",'M3 Allocations - TD'!F70)</f>
        <v>4662.874879564878</v>
      </c>
      <c r="F18" s="20">
        <f>IF('M3 Allocations - TD'!G52="","",'M3 Allocations - TD'!G70)</f>
        <v>60575.806014450071</v>
      </c>
      <c r="G18" s="20">
        <f>IF('M3 Allocations - TD'!H52="","",'M3 Allocations - TD'!H70)</f>
        <v>69235.226705339766</v>
      </c>
      <c r="H18" s="20">
        <f>IF('M3 Allocations - TD'!I52="","",'M3 Allocations - TD'!I70)</f>
        <v>71132.268141530934</v>
      </c>
      <c r="I18" s="20">
        <f>IF('M3 Allocations - TD'!J52="","",'M3 Allocations - TD'!J70)</f>
        <v>68766.003213137257</v>
      </c>
      <c r="J18" s="20">
        <f>IF('M3 Allocations - TD'!K52="","",'M3 Allocations - TD'!K70)</f>
        <v>61936.863591354115</v>
      </c>
      <c r="M18" s="149"/>
      <c r="N18" s="149"/>
      <c r="O18" s="295"/>
      <c r="P18" s="15" t="s">
        <v>28</v>
      </c>
      <c r="Q18" s="19">
        <v>921069.68539476907</v>
      </c>
      <c r="R18" s="19">
        <v>727242.36549864151</v>
      </c>
      <c r="S18" s="19">
        <v>330495.27100759087</v>
      </c>
      <c r="T18" s="19">
        <v>448514.38010054693</v>
      </c>
      <c r="U18" s="19">
        <v>1166466.8526526124</v>
      </c>
      <c r="V18" s="19">
        <v>1596902.1714481553</v>
      </c>
      <c r="W18" s="19">
        <v>1748272.4117888492</v>
      </c>
      <c r="X18" s="19">
        <v>1519471.01623757</v>
      </c>
      <c r="Y18" s="129">
        <v>764880.45368540613</v>
      </c>
      <c r="Z18" s="2"/>
      <c r="AA18" s="2"/>
      <c r="AB18" s="157"/>
      <c r="AC18" s="132"/>
      <c r="AD18" s="132"/>
      <c r="AE18" s="132"/>
      <c r="AF18" s="132"/>
      <c r="AG18" s="132"/>
      <c r="AH18" s="132"/>
      <c r="AI18" s="132"/>
      <c r="AJ18" s="132"/>
      <c r="AK18" s="2"/>
      <c r="BF18" s="149"/>
      <c r="BG18" s="298"/>
      <c r="BH18" s="5" t="s">
        <v>4</v>
      </c>
      <c r="BI18" s="203">
        <v>2E-3</v>
      </c>
      <c r="BJ18" s="204">
        <v>2.5244400000000002E-3</v>
      </c>
      <c r="BK18" s="204">
        <v>2.8469900000000002E-3</v>
      </c>
      <c r="BL18" s="204">
        <v>2.0613900000000002E-3</v>
      </c>
      <c r="BM18" s="204">
        <v>2.3221700000000001E-3</v>
      </c>
      <c r="BN18" s="23">
        <v>2.1367399999999998E-3</v>
      </c>
      <c r="BO18" s="23">
        <v>2.2512299999999999E-3</v>
      </c>
      <c r="BP18" s="23">
        <v>2.2427200000000001E-3</v>
      </c>
      <c r="BQ18" s="23">
        <v>2.01659E-3</v>
      </c>
      <c r="BR18" s="23">
        <v>1.3954900000000001E-3</v>
      </c>
      <c r="BS18" s="23">
        <v>2.0509899999999999E-3</v>
      </c>
      <c r="BT18" s="23">
        <v>1.9323299999999999E-3</v>
      </c>
      <c r="BU18" s="23">
        <v>1.5E-3</v>
      </c>
      <c r="BV18" s="103" t="s">
        <v>84</v>
      </c>
      <c r="BW18" s="103" t="s">
        <v>87</v>
      </c>
      <c r="BY18" s="149"/>
      <c r="BZ18" s="295"/>
      <c r="CA18" s="16" t="s">
        <v>51</v>
      </c>
      <c r="CB18" s="215">
        <v>-198628.63</v>
      </c>
      <c r="CC18" s="215">
        <v>-248528.93</v>
      </c>
      <c r="CD18" s="215">
        <v>-321239.03999999998</v>
      </c>
      <c r="CE18" s="215">
        <v>-270175.45</v>
      </c>
      <c r="CF18" s="215">
        <v>-118232.21</v>
      </c>
      <c r="CG18" s="215">
        <v>-90604.87</v>
      </c>
      <c r="CH18" s="215">
        <v>-84722.21</v>
      </c>
      <c r="CK18" s="295"/>
      <c r="CL18" s="16" t="s">
        <v>51</v>
      </c>
      <c r="CM18" s="215">
        <v>-198628.63</v>
      </c>
      <c r="CN18" s="215">
        <v>-248528.93</v>
      </c>
      <c r="CO18" s="215">
        <v>-321239.03999999998</v>
      </c>
      <c r="CP18" s="215">
        <v>-270175.45</v>
      </c>
      <c r="CQ18" s="215">
        <v>-118232.21</v>
      </c>
      <c r="CR18" s="215">
        <v>-90604.87</v>
      </c>
      <c r="CS18" s="215">
        <v>-84722.21</v>
      </c>
      <c r="CW18" s="149"/>
      <c r="CX18" s="295"/>
      <c r="CY18" s="16" t="s">
        <v>51</v>
      </c>
      <c r="CZ18" s="19">
        <v>183380.12</v>
      </c>
      <c r="DA18" s="19">
        <v>220797.02</v>
      </c>
      <c r="DB18" s="19">
        <v>-269418.96999999997</v>
      </c>
      <c r="DC18" s="19">
        <v>-372580.93</v>
      </c>
      <c r="DD18" s="19">
        <v>-266557.01</v>
      </c>
      <c r="DE18" s="19">
        <v>-255479.12</v>
      </c>
      <c r="DF18" s="19">
        <v>-321252.77</v>
      </c>
      <c r="DG18" s="19">
        <v>-412310.44999999995</v>
      </c>
      <c r="DH18" s="19">
        <v>-417357.26</v>
      </c>
      <c r="DI18" s="19">
        <v>-413042.95</v>
      </c>
      <c r="DJ18" s="19">
        <v>-303496.26</v>
      </c>
      <c r="DK18" s="19">
        <v>-281268.86</v>
      </c>
      <c r="DL18" s="19">
        <v>-341119.99</v>
      </c>
      <c r="DM18" s="19">
        <v>-424246.17</v>
      </c>
      <c r="DN18" s="19">
        <v>-37488.600000000006</v>
      </c>
      <c r="DO18" s="19">
        <v>-16454.500000000015</v>
      </c>
      <c r="DP18" s="19">
        <v>-60641.26999999999</v>
      </c>
      <c r="DQ18" s="19">
        <v>8124.2599999999948</v>
      </c>
      <c r="DR18" s="19">
        <v>-761.50999999999476</v>
      </c>
      <c r="DS18" s="19">
        <v>-28136.840000000011</v>
      </c>
      <c r="DT18" s="19">
        <v>-22606.089999999997</v>
      </c>
      <c r="DU18" s="19">
        <v>-3873.9199999999837</v>
      </c>
      <c r="DV18" s="19">
        <v>12650.119999999995</v>
      </c>
      <c r="DW18" s="19">
        <v>15417.529999999984</v>
      </c>
      <c r="DX18" s="19">
        <v>-16235.439999999988</v>
      </c>
      <c r="DY18" s="208"/>
      <c r="DZ18" s="208"/>
      <c r="EA18" s="149"/>
      <c r="FH18" s="149"/>
      <c r="FK18" s="253">
        <v>780659.54894832708</v>
      </c>
      <c r="FL18" s="177">
        <v>800698.45677987696</v>
      </c>
      <c r="FM18" s="177">
        <v>814182.7547070767</v>
      </c>
      <c r="FN18" s="177">
        <v>827306.14447455411</v>
      </c>
      <c r="FO18" s="177">
        <v>194342.81553892637</v>
      </c>
      <c r="FP18" s="177">
        <v>252530.28392805366</v>
      </c>
      <c r="FQ18"/>
      <c r="FS18" s="254"/>
    </row>
    <row r="19" spans="1:175" s="4" customFormat="1" ht="15" customHeight="1" outlineLevel="1" x14ac:dyDescent="0.35">
      <c r="A19" s="295"/>
      <c r="B19" s="16" t="s">
        <v>51</v>
      </c>
      <c r="C19" s="20">
        <f>IF(C18="","",0)</f>
        <v>0</v>
      </c>
      <c r="D19" s="20">
        <f t="shared" ref="D19:J19" si="8">IF(D18="","",0)</f>
        <v>0</v>
      </c>
      <c r="E19" s="20">
        <f t="shared" si="8"/>
        <v>0</v>
      </c>
      <c r="F19" s="20">
        <f t="shared" si="8"/>
        <v>0</v>
      </c>
      <c r="G19" s="20">
        <f t="shared" si="8"/>
        <v>0</v>
      </c>
      <c r="H19" s="20">
        <f t="shared" si="8"/>
        <v>0</v>
      </c>
      <c r="I19" s="20">
        <f t="shared" si="8"/>
        <v>0</v>
      </c>
      <c r="J19" s="20">
        <f t="shared" si="8"/>
        <v>0</v>
      </c>
      <c r="M19" s="149"/>
      <c r="N19" s="149"/>
      <c r="O19" s="295"/>
      <c r="P19" s="16" t="s">
        <v>26</v>
      </c>
      <c r="Q19" s="19">
        <v>705379.12999999989</v>
      </c>
      <c r="R19" s="19">
        <v>656045.5</v>
      </c>
      <c r="S19" s="19">
        <v>537519.55000000005</v>
      </c>
      <c r="T19" s="19">
        <v>488973.88</v>
      </c>
      <c r="U19" s="19">
        <v>614590.80000000005</v>
      </c>
      <c r="V19" s="19">
        <v>791820.69</v>
      </c>
      <c r="W19" s="19">
        <v>759797.67</v>
      </c>
      <c r="X19" s="19">
        <v>707202.3</v>
      </c>
      <c r="Y19" s="129">
        <v>523078.24999999994</v>
      </c>
      <c r="AB19" s="157"/>
      <c r="AC19" s="132"/>
      <c r="AD19" s="132"/>
      <c r="AE19" s="132"/>
      <c r="AF19" s="132"/>
      <c r="AG19" s="132"/>
      <c r="AH19" s="132"/>
      <c r="AI19" s="132"/>
      <c r="AJ19" s="132"/>
      <c r="BF19" s="149"/>
      <c r="BG19" s="298"/>
      <c r="BH19" s="5" t="s">
        <v>5</v>
      </c>
      <c r="BI19" s="201">
        <v>-1351.83</v>
      </c>
      <c r="BJ19" s="205">
        <f t="shared" ref="BJ19:BL19" si="9">IF(OR(BJ18="",BJ17="",BI22=""),"",ROUND(((BI22+BJ17)*BJ18)/12,2))</f>
        <v>-924.63</v>
      </c>
      <c r="BK19" s="8">
        <f t="shared" si="9"/>
        <v>1740.1</v>
      </c>
      <c r="BL19" s="8">
        <f t="shared" si="9"/>
        <v>757.58</v>
      </c>
      <c r="BM19" s="8">
        <f>IF(OR(BM18="",BM17="",BL22=""),"",ROUND(((BL22+BM17)*BM18)/12,2))</f>
        <v>-26.62</v>
      </c>
      <c r="BN19" s="8">
        <f>IF(OR(BN18="",BN17="",BM22=""),"",ROUND(((BM22+BN17+BN14)*BN18)/12,2))+BE11</f>
        <v>-634.75999999999544</v>
      </c>
      <c r="BO19" s="8">
        <f>IF(OR(BO18="",BO17="",BN22=""),"",ROUND(((BN22+BO17)*BO18)/12,2))</f>
        <v>-593.26</v>
      </c>
      <c r="BP19" s="8">
        <f>IF(OR(BP18="",BP17="",BO22=""),"",ROUND(((BO22+BP17)*BP18)/12,2))</f>
        <v>-1076.49</v>
      </c>
      <c r="BQ19" s="8">
        <f t="shared" ref="BQ19:BU19" si="10">IF(OR(BQ18="",BQ17="",BP22=""),"",ROUND(((BP22+BQ17)*BQ18)/12,2))</f>
        <v>-1096.73</v>
      </c>
      <c r="BR19" s="8">
        <f t="shared" si="10"/>
        <v>-1176.8399999999999</v>
      </c>
      <c r="BS19" s="8">
        <f t="shared" si="10"/>
        <v>-2153.0300000000002</v>
      </c>
      <c r="BT19" s="8">
        <f t="shared" si="10"/>
        <v>-2690.64</v>
      </c>
      <c r="BU19" s="8">
        <f t="shared" si="10"/>
        <v>-2200.73</v>
      </c>
      <c r="BV19" s="208">
        <f>SUM('MEEIA 3 calcs'!$Z$10:$AK$10)</f>
        <v>-9951.7199999999939</v>
      </c>
      <c r="BW19" s="206">
        <f>SUM(BJ19:BU19)-BV19</f>
        <v>-124.32999999999993</v>
      </c>
      <c r="BY19" s="149"/>
      <c r="BZ19" s="295"/>
      <c r="CA19" s="16" t="s">
        <v>52</v>
      </c>
      <c r="CB19" s="215">
        <v>1079418.9137683115</v>
      </c>
      <c r="CC19" s="215">
        <v>1350833.1245714868</v>
      </c>
      <c r="CD19" s="215">
        <v>1740449.4251608262</v>
      </c>
      <c r="CE19" s="215">
        <v>1389838.9482729391</v>
      </c>
      <c r="CF19" s="215">
        <v>609111.17262135481</v>
      </c>
      <c r="CG19" s="215">
        <v>467884.29557480058</v>
      </c>
      <c r="CH19" s="215">
        <v>436790.72435668245</v>
      </c>
      <c r="CK19" s="295"/>
      <c r="CL19" s="16" t="s">
        <v>52</v>
      </c>
      <c r="CM19" s="215">
        <v>1082718.7200728622</v>
      </c>
      <c r="CN19" s="215">
        <v>1357651.6244486165</v>
      </c>
      <c r="CO19" s="215">
        <v>1752455.3795104087</v>
      </c>
      <c r="CP19" s="215">
        <v>1401348.9579852233</v>
      </c>
      <c r="CQ19" s="215">
        <v>613071.83769213269</v>
      </c>
      <c r="CR19" s="215">
        <v>470015.97130505682</v>
      </c>
      <c r="CS19" s="215">
        <v>437041.91904962651</v>
      </c>
      <c r="CT19" s="4" t="s">
        <v>117</v>
      </c>
      <c r="CU19" s="4" t="s">
        <v>118</v>
      </c>
      <c r="CV19" s="4" t="s">
        <v>119</v>
      </c>
      <c r="CW19" s="149"/>
      <c r="CX19" s="295"/>
      <c r="CY19" s="16" t="s">
        <v>52</v>
      </c>
      <c r="CZ19" s="19">
        <v>847418.84</v>
      </c>
      <c r="DA19" s="19">
        <v>1031813.9400000001</v>
      </c>
      <c r="DB19" s="19">
        <v>1807483.79</v>
      </c>
      <c r="DC19" s="19">
        <v>2551716.2800000003</v>
      </c>
      <c r="DD19" s="19">
        <v>1963309.5900000003</v>
      </c>
      <c r="DE19" s="19">
        <v>1912775.2599999998</v>
      </c>
      <c r="DF19" s="19">
        <v>2300637.39</v>
      </c>
      <c r="DG19" s="19">
        <v>2917205.0700000003</v>
      </c>
      <c r="DH19" s="19">
        <v>2922276.66</v>
      </c>
      <c r="DI19" s="19">
        <v>2915938.05</v>
      </c>
      <c r="DJ19" s="19">
        <v>2241248.8199999998</v>
      </c>
      <c r="DK19" s="19">
        <v>2032298.8200000003</v>
      </c>
      <c r="DL19" s="19">
        <v>2450166.2800000003</v>
      </c>
      <c r="DM19" s="19">
        <v>2920950.16</v>
      </c>
      <c r="DN19" s="19">
        <v>2656095.5300000003</v>
      </c>
      <c r="DO19" s="19">
        <v>1296574.93</v>
      </c>
      <c r="DP19" s="19">
        <v>998447.61999999988</v>
      </c>
      <c r="DQ19" s="19">
        <v>1076114.93</v>
      </c>
      <c r="DR19" s="19">
        <v>1282969.1499999999</v>
      </c>
      <c r="DS19" s="19">
        <v>1584130.5699999998</v>
      </c>
      <c r="DT19" s="19">
        <v>1538736</v>
      </c>
      <c r="DU19" s="19">
        <v>1377052.06</v>
      </c>
      <c r="DV19" s="19">
        <v>1094944.53</v>
      </c>
      <c r="DW19" s="19">
        <v>1054692.0499999998</v>
      </c>
      <c r="DX19" s="19">
        <v>1357948.95</v>
      </c>
      <c r="DY19" s="208"/>
      <c r="DZ19" s="208"/>
      <c r="EA19" s="149"/>
      <c r="FH19" s="149"/>
      <c r="FK19" s="255">
        <v>23110.13</v>
      </c>
      <c r="FL19" s="56">
        <v>19987.060000000001</v>
      </c>
      <c r="FM19" s="56">
        <v>19388.829999999998</v>
      </c>
      <c r="FN19" s="56">
        <v>54028.06</v>
      </c>
      <c r="FO19" s="56">
        <v>60059.490000000005</v>
      </c>
      <c r="FP19" s="56">
        <v>38128.49</v>
      </c>
      <c r="FQ19"/>
      <c r="FS19" s="254"/>
    </row>
    <row r="20" spans="1:175" s="4" customFormat="1" ht="15" customHeight="1" outlineLevel="1" x14ac:dyDescent="0.35">
      <c r="A20" s="295"/>
      <c r="B20" s="16" t="s">
        <v>52</v>
      </c>
      <c r="C20" s="7">
        <f t="shared" ref="C20:I20" si="11">IF(OR(C19="",C18=""),"",C18+C19)</f>
        <v>0</v>
      </c>
      <c r="D20" s="7">
        <f t="shared" si="11"/>
        <v>0</v>
      </c>
      <c r="E20" s="7">
        <f t="shared" si="11"/>
        <v>4662.874879564878</v>
      </c>
      <c r="F20" s="7">
        <f t="shared" si="11"/>
        <v>60575.806014450071</v>
      </c>
      <c r="G20" s="7">
        <f t="shared" si="11"/>
        <v>69235.226705339766</v>
      </c>
      <c r="H20" s="7">
        <f t="shared" si="11"/>
        <v>71132.268141530934</v>
      </c>
      <c r="I20" s="7">
        <f t="shared" si="11"/>
        <v>68766.003213137257</v>
      </c>
      <c r="J20" s="7">
        <f>IF(OR(J19="",J18=""),"",J18+J19)</f>
        <v>61936.863591354115</v>
      </c>
      <c r="M20" s="149"/>
      <c r="N20" s="149"/>
      <c r="O20" s="295"/>
      <c r="P20" s="16" t="s">
        <v>51</v>
      </c>
      <c r="Q20" s="19">
        <v>196554.22</v>
      </c>
      <c r="R20" s="19">
        <v>181274.15000000002</v>
      </c>
      <c r="S20" s="19">
        <v>149642.01999999999</v>
      </c>
      <c r="T20" s="19">
        <v>136362.22</v>
      </c>
      <c r="U20" s="19">
        <v>171212.22</v>
      </c>
      <c r="V20" s="19">
        <v>216757.82</v>
      </c>
      <c r="W20" s="19">
        <v>209115.01</v>
      </c>
      <c r="X20" s="19">
        <v>195955.65999999997</v>
      </c>
      <c r="Y20" s="129">
        <v>147507.93</v>
      </c>
      <c r="AB20" s="157"/>
      <c r="AC20" s="132"/>
      <c r="AD20" s="132"/>
      <c r="AE20" s="132"/>
      <c r="AF20" s="132"/>
      <c r="AG20" s="132"/>
      <c r="AH20" s="132"/>
      <c r="AI20" s="132"/>
      <c r="AJ20" s="132"/>
      <c r="BF20" s="149"/>
      <c r="BG20" s="298"/>
      <c r="BH20" s="6" t="s">
        <v>6</v>
      </c>
      <c r="BI20" s="201">
        <v>7624.8699999999935</v>
      </c>
      <c r="BJ20" s="205">
        <f t="shared" ref="BJ20:BM20" si="12">IF(OR(BI20="",BJ19=""),"",BI20+BJ19)</f>
        <v>6700.2399999999934</v>
      </c>
      <c r="BK20" s="8">
        <f t="shared" si="12"/>
        <v>8440.3399999999929</v>
      </c>
      <c r="BL20" s="8">
        <f t="shared" si="12"/>
        <v>9197.9199999999928</v>
      </c>
      <c r="BM20" s="8">
        <f t="shared" si="12"/>
        <v>9171.299999999992</v>
      </c>
      <c r="BN20" s="8">
        <f>IF(OR(BM20="",BN19=""),"",BM20+BN19)</f>
        <v>8536.5399999999972</v>
      </c>
      <c r="BO20" s="8">
        <f t="shared" ref="BO20:BU20" si="13">IF(OR(BN20="",BO19=""),"",BN20+BO19)</f>
        <v>7943.279999999997</v>
      </c>
      <c r="BP20" s="8">
        <f t="shared" si="13"/>
        <v>6866.7899999999972</v>
      </c>
      <c r="BQ20" s="8">
        <f t="shared" si="13"/>
        <v>5770.0599999999977</v>
      </c>
      <c r="BR20" s="8">
        <f>IF(OR(BQ20="",BR19=""),"",BQ20+BR19)</f>
        <v>4593.2199999999975</v>
      </c>
      <c r="BS20" s="8">
        <f t="shared" si="13"/>
        <v>2440.1899999999973</v>
      </c>
      <c r="BT20" s="8">
        <f t="shared" si="13"/>
        <v>-250.45000000000255</v>
      </c>
      <c r="BU20" s="8">
        <f t="shared" si="13"/>
        <v>-2451.1800000000026</v>
      </c>
      <c r="BY20" s="149"/>
      <c r="BZ20" s="295"/>
      <c r="CA20" s="16" t="s">
        <v>13</v>
      </c>
      <c r="CB20" s="215">
        <v>-61448.179122828762</v>
      </c>
      <c r="CC20" s="215">
        <v>-97910.102033826523</v>
      </c>
      <c r="CD20" s="215">
        <v>-305797.26770618651</v>
      </c>
      <c r="CE20" s="215">
        <v>-147582.25819023745</v>
      </c>
      <c r="CF20" s="215">
        <v>-142406.98179687787</v>
      </c>
      <c r="CG20" s="215">
        <v>-56797.649592227943</v>
      </c>
      <c r="CH20" s="215">
        <v>23815.937637465715</v>
      </c>
      <c r="CK20" s="295"/>
      <c r="CL20" s="16" t="s">
        <v>13</v>
      </c>
      <c r="CM20" s="215">
        <v>-70925.43136838777</v>
      </c>
      <c r="CN20" s="215">
        <v>-117954.23173705721</v>
      </c>
      <c r="CO20" s="215">
        <v>-339315.56138276309</v>
      </c>
      <c r="CP20" s="215">
        <v>-178965.64646293921</v>
      </c>
      <c r="CQ20" s="215">
        <v>-153540.52241932106</v>
      </c>
      <c r="CR20" s="215">
        <v>-62717.193161593634</v>
      </c>
      <c r="CS20" s="215">
        <v>23024.260722490668</v>
      </c>
      <c r="CT20" s="216">
        <f>SUM(CM20:CS20)</f>
        <v>-900394.32580957143</v>
      </c>
      <c r="CU20" s="216">
        <f>SUM(CB20:CH20)</f>
        <v>-788126.50080471928</v>
      </c>
      <c r="CV20" s="216">
        <f>CT20-CU20</f>
        <v>-112267.82500485214</v>
      </c>
      <c r="CW20" s="149"/>
      <c r="CX20" s="295"/>
      <c r="CY20" s="16" t="s">
        <v>13</v>
      </c>
      <c r="CZ20" s="19">
        <v>272644.01655577932</v>
      </c>
      <c r="DA20" s="19">
        <v>345406.72431663051</v>
      </c>
      <c r="DB20" s="19">
        <v>-612317.2176451839</v>
      </c>
      <c r="DC20" s="19">
        <v>-1251083.8806012496</v>
      </c>
      <c r="DD20" s="19">
        <v>-757486.76922660158</v>
      </c>
      <c r="DE20" s="19">
        <v>-440223.98143172619</v>
      </c>
      <c r="DF20" s="19">
        <v>1301972.520306122</v>
      </c>
      <c r="DG20" s="19">
        <v>1607774.8329475964</v>
      </c>
      <c r="DH20" s="19">
        <v>1635415.3023519127</v>
      </c>
      <c r="DI20" s="19">
        <v>479195.57575719332</v>
      </c>
      <c r="DJ20" s="19">
        <v>-622249.26827478828</v>
      </c>
      <c r="DK20" s="19">
        <v>-338958.66069875972</v>
      </c>
      <c r="DL20" s="19">
        <v>-406331.76494770299</v>
      </c>
      <c r="DM20" s="19">
        <v>-374056.09149891004</v>
      </c>
      <c r="DN20" s="19">
        <v>-566479.05339839845</v>
      </c>
      <c r="DO20" s="19">
        <v>-384327.07923458319</v>
      </c>
      <c r="DP20" s="19">
        <v>-152113.4028808627</v>
      </c>
      <c r="DQ20" s="19">
        <v>-9477.251794636868</v>
      </c>
      <c r="DR20" s="19">
        <v>1580383.492124341</v>
      </c>
      <c r="DS20" s="19">
        <v>2091426.9537109674</v>
      </c>
      <c r="DT20" s="19">
        <v>1803303.9312423691</v>
      </c>
      <c r="DU20" s="19">
        <v>996794.52517879615</v>
      </c>
      <c r="DV20" s="19">
        <v>-43766.218875852297</v>
      </c>
      <c r="DW20" s="19">
        <v>50400.12594651409</v>
      </c>
      <c r="DX20" s="19">
        <v>24016.56868488781</v>
      </c>
      <c r="DY20" s="208"/>
      <c r="DZ20" s="208"/>
      <c r="EA20" s="149"/>
      <c r="FH20" s="149"/>
      <c r="FK20" s="255"/>
      <c r="FL20" s="56"/>
      <c r="FM20" s="56"/>
      <c r="FN20" s="56">
        <v>-685363.89284558839</v>
      </c>
      <c r="FO20" s="56">
        <v>0</v>
      </c>
      <c r="FP20" s="56">
        <v>0</v>
      </c>
      <c r="FQ20"/>
      <c r="FS20" s="254"/>
    </row>
    <row r="21" spans="1:175" s="4" customFormat="1" ht="14.5" outlineLevel="1" x14ac:dyDescent="0.35">
      <c r="A21" s="295"/>
      <c r="B21" s="16" t="s">
        <v>13</v>
      </c>
      <c r="C21" s="7">
        <f t="shared" ref="C21:I21" si="14">IF(OR(C18="",C17=""),"",C17-C18)</f>
        <v>0.34412602678174997</v>
      </c>
      <c r="D21" s="7">
        <f t="shared" si="14"/>
        <v>593.85341007321881</v>
      </c>
      <c r="E21" s="7">
        <f t="shared" si="14"/>
        <v>3705.6477164422931</v>
      </c>
      <c r="F21" s="7">
        <f t="shared" si="14"/>
        <v>-36933.991833043365</v>
      </c>
      <c r="G21" s="7">
        <f t="shared" si="14"/>
        <v>-21571.365474004102</v>
      </c>
      <c r="H21" s="7">
        <f t="shared" si="14"/>
        <v>-17709.130848159373</v>
      </c>
      <c r="I21" s="7">
        <f t="shared" si="14"/>
        <v>3188.3940230646986</v>
      </c>
      <c r="J21" s="7">
        <f>IF(OR(J18="",J17=""),"",J17-J18)</f>
        <v>28.888962677730888</v>
      </c>
      <c r="K21" s="103" t="s">
        <v>84</v>
      </c>
      <c r="L21" s="103" t="s">
        <v>86</v>
      </c>
      <c r="M21" s="149"/>
      <c r="N21" s="149"/>
      <c r="O21" s="295"/>
      <c r="P21" s="16" t="s">
        <v>52</v>
      </c>
      <c r="Q21" s="19">
        <v>901933.35</v>
      </c>
      <c r="R21" s="19">
        <v>837319.65</v>
      </c>
      <c r="S21" s="19">
        <v>687161.57000000007</v>
      </c>
      <c r="T21" s="19">
        <v>625336.1</v>
      </c>
      <c r="U21" s="19">
        <v>785803.02</v>
      </c>
      <c r="V21" s="19">
        <v>1008578.51</v>
      </c>
      <c r="W21" s="19">
        <v>968912.67999999993</v>
      </c>
      <c r="X21" s="19">
        <v>903157.96</v>
      </c>
      <c r="Y21" s="129">
        <v>670586.17999999993</v>
      </c>
      <c r="AB21" s="157"/>
      <c r="AC21" s="132"/>
      <c r="AD21" s="132"/>
      <c r="AE21" s="132"/>
      <c r="AF21" s="132"/>
      <c r="AG21" s="132"/>
      <c r="AH21" s="132"/>
      <c r="AI21" s="132"/>
      <c r="AJ21" s="132"/>
      <c r="BF21" s="149"/>
      <c r="BG21" s="298"/>
      <c r="BH21" s="5" t="s">
        <v>12</v>
      </c>
      <c r="BI21" s="201">
        <v>711777.30999999878</v>
      </c>
      <c r="BJ21" s="205">
        <f t="shared" ref="BJ21:BM21" si="15">IF(OR(BJ19="",BJ17=""),"",BJ17+BJ19)</f>
        <v>3716143.5599999996</v>
      </c>
      <c r="BK21" s="8">
        <f t="shared" si="15"/>
        <v>11732393.719999997</v>
      </c>
      <c r="BL21" s="8">
        <f t="shared" si="15"/>
        <v>-2925310.2899999991</v>
      </c>
      <c r="BM21" s="8">
        <f t="shared" si="15"/>
        <v>-4548484.54</v>
      </c>
      <c r="BN21" s="8">
        <v>-664537.6399999971</v>
      </c>
      <c r="BO21" s="8">
        <f t="shared" ref="BO21:BU21" si="16">IF(OR(BO19="",BO17=""),"",BO17+BO19)</f>
        <v>-2360798.0116527593</v>
      </c>
      <c r="BP21" s="8">
        <f t="shared" si="16"/>
        <v>-2598061.4276373726</v>
      </c>
      <c r="BQ21" s="8">
        <f t="shared" si="16"/>
        <v>-766367.41199255874</v>
      </c>
      <c r="BR21" s="8">
        <f t="shared" si="16"/>
        <v>-3593610.7635242231</v>
      </c>
      <c r="BS21" s="8">
        <f t="shared" si="16"/>
        <v>-2478220.1810813048</v>
      </c>
      <c r="BT21" s="8">
        <f t="shared" si="16"/>
        <v>-4112721.382674457</v>
      </c>
      <c r="BU21" s="8">
        <f t="shared" si="16"/>
        <v>-896110.76203946536</v>
      </c>
      <c r="BY21" s="149"/>
      <c r="BZ21" s="295"/>
      <c r="CA21" s="17" t="s">
        <v>8</v>
      </c>
      <c r="CB21" s="215">
        <v>307.64999999999998</v>
      </c>
      <c r="CC21" s="215">
        <v>447.9</v>
      </c>
      <c r="CD21" s="215">
        <v>280.74</v>
      </c>
      <c r="CE21" s="215">
        <v>251.34</v>
      </c>
      <c r="CF21" s="215">
        <v>435.39</v>
      </c>
      <c r="CG21" s="215">
        <v>306.26</v>
      </c>
      <c r="CH21" s="215">
        <v>436.47</v>
      </c>
      <c r="CK21" s="295"/>
      <c r="CL21" s="17" t="s">
        <v>8</v>
      </c>
      <c r="CM21" s="215">
        <v>306.44</v>
      </c>
      <c r="CN21" s="215">
        <v>441.49</v>
      </c>
      <c r="CO21" s="215">
        <v>268.42</v>
      </c>
      <c r="CP21" s="215">
        <v>228.05</v>
      </c>
      <c r="CQ21" s="215">
        <v>374.82</v>
      </c>
      <c r="CR21" s="215">
        <v>250.44</v>
      </c>
      <c r="CS21" s="215">
        <v>347.49</v>
      </c>
      <c r="CW21" s="149"/>
      <c r="CX21" s="295"/>
      <c r="CY21" s="17" t="s">
        <v>8</v>
      </c>
      <c r="CZ21" s="19">
        <v>587.21</v>
      </c>
      <c r="DA21" s="19">
        <v>702.58999999999992</v>
      </c>
      <c r="DB21" s="19">
        <v>620.98</v>
      </c>
      <c r="DC21" s="19">
        <v>282.39</v>
      </c>
      <c r="DD21" s="19">
        <v>105.45000000000002</v>
      </c>
      <c r="DE21" s="19">
        <v>-24.939999999999998</v>
      </c>
      <c r="DF21" s="19">
        <v>142.39000000000001</v>
      </c>
      <c r="DG21" s="19">
        <v>237.57</v>
      </c>
      <c r="DH21" s="19">
        <v>557.38</v>
      </c>
      <c r="DI21" s="19">
        <v>535.88</v>
      </c>
      <c r="DJ21" s="19">
        <v>300.33</v>
      </c>
      <c r="DK21" s="19">
        <v>227.60999999999999</v>
      </c>
      <c r="DL21" s="19">
        <v>224.75000000000003</v>
      </c>
      <c r="DM21" s="19">
        <v>46.379999999999995</v>
      </c>
      <c r="DN21" s="19">
        <v>-90.359999999999985</v>
      </c>
      <c r="DO21" s="19">
        <v>-440.15000000000009</v>
      </c>
      <c r="DP21" s="19">
        <v>-490.59999999999997</v>
      </c>
      <c r="DQ21" s="19">
        <v>-777.49</v>
      </c>
      <c r="DR21" s="19">
        <v>738.53000000000009</v>
      </c>
      <c r="DS21" s="19">
        <v>4559.8100000000004</v>
      </c>
      <c r="DT21" s="19">
        <v>9499.25</v>
      </c>
      <c r="DU21" s="19">
        <v>12901.65</v>
      </c>
      <c r="DV21" s="19">
        <v>15702.11</v>
      </c>
      <c r="DW21" s="19">
        <v>19685.54</v>
      </c>
      <c r="DX21" s="19">
        <v>21313.8</v>
      </c>
      <c r="DY21" s="208"/>
      <c r="DZ21" s="208"/>
      <c r="EA21" s="149"/>
      <c r="FH21" s="149"/>
      <c r="FK21" s="255">
        <v>0</v>
      </c>
      <c r="FL21" s="56">
        <v>0</v>
      </c>
      <c r="FM21" s="56">
        <v>0</v>
      </c>
      <c r="FN21" s="56">
        <v>0</v>
      </c>
      <c r="FO21" s="56">
        <v>0</v>
      </c>
      <c r="FP21" s="56">
        <v>0</v>
      </c>
      <c r="FQ21"/>
      <c r="FS21" s="254"/>
    </row>
    <row r="22" spans="1:175" s="4" customFormat="1" ht="14.5" outlineLevel="1" x14ac:dyDescent="0.35">
      <c r="A22" s="295"/>
      <c r="B22" s="17" t="s">
        <v>8</v>
      </c>
      <c r="C22" s="7">
        <f>ROUND((C21+0)*'MEEIA 3 calcs'!F9/12,2)</f>
        <v>0</v>
      </c>
      <c r="D22" s="7">
        <f>ROUND((D21+C24)*'MEEIA 3 calcs'!G9/12,2)</f>
        <v>1.32</v>
      </c>
      <c r="E22" s="7">
        <f>ROUND((E21+D24)*'MEEIA 3 calcs'!H9/12,2)</f>
        <v>9.6</v>
      </c>
      <c r="F22" s="7">
        <f>ROUND((F21+E24)*'MEEIA 3 calcs'!I9/12,2)</f>
        <v>-72.040000000000006</v>
      </c>
      <c r="G22" s="7">
        <f>ROUND((G21+F24)*'MEEIA 3 calcs'!J9/12,2)</f>
        <v>-117.35</v>
      </c>
      <c r="H22" s="7">
        <f>ROUND((H21+G24)*'MEEIA 3 calcs'!K9/12,2)</f>
        <v>-141.25</v>
      </c>
      <c r="I22" s="7">
        <f>ROUND((I21+H24)*'MEEIA 3 calcs'!L9/12,2)</f>
        <v>-127.55</v>
      </c>
      <c r="J22" s="7">
        <f>ROUND((J21+I24)*'MEEIA 3 calcs'!M9/12,2)</f>
        <v>-121.81</v>
      </c>
      <c r="K22" s="104">
        <f>SUM('MEEIA 3 calcs'!F42:M42)</f>
        <v>-569.1</v>
      </c>
      <c r="L22" s="112">
        <f>SUM(C22:J22)-K22</f>
        <v>1.999999999998181E-2</v>
      </c>
      <c r="M22" s="149"/>
      <c r="N22" s="149"/>
      <c r="O22" s="295"/>
      <c r="P22" s="16" t="s">
        <v>13</v>
      </c>
      <c r="Q22" s="19">
        <v>19136.33539476915</v>
      </c>
      <c r="R22" s="19">
        <v>-110077.28450135858</v>
      </c>
      <c r="S22" s="19">
        <v>-356666.29899240914</v>
      </c>
      <c r="T22" s="19">
        <v>-176821.71989945308</v>
      </c>
      <c r="U22" s="19">
        <v>380663.8326526123</v>
      </c>
      <c r="V22" s="19">
        <v>588323.66144815541</v>
      </c>
      <c r="W22" s="19">
        <v>779359.73178884923</v>
      </c>
      <c r="X22" s="19">
        <v>616313.05623756989</v>
      </c>
      <c r="Y22" s="129">
        <v>94294.273685406195</v>
      </c>
      <c r="AB22" s="157"/>
      <c r="AC22" s="132"/>
      <c r="AD22" s="132"/>
      <c r="AE22" s="132"/>
      <c r="AF22" s="132"/>
      <c r="AG22" s="132"/>
      <c r="AH22" s="132"/>
      <c r="AI22" s="132"/>
      <c r="AJ22" s="132"/>
      <c r="BF22" s="149"/>
      <c r="BG22" s="298"/>
      <c r="BH22" s="9" t="s">
        <v>3</v>
      </c>
      <c r="BI22" s="201">
        <v>-8112331.2599999979</v>
      </c>
      <c r="BJ22" s="205">
        <f t="shared" ref="BJ22:BM22" si="17">IF(OR(BJ21="",BI22=""),"",BJ21+BI22)</f>
        <v>-4396187.6999999983</v>
      </c>
      <c r="BK22" s="8">
        <f t="shared" si="17"/>
        <v>7336206.0199999986</v>
      </c>
      <c r="BL22" s="8">
        <f t="shared" si="17"/>
        <v>4410895.7299999995</v>
      </c>
      <c r="BM22" s="8">
        <f t="shared" si="17"/>
        <v>-137588.81000000052</v>
      </c>
      <c r="BN22" s="8">
        <f>IF(OR(BN21="",BM22=""),"",BN21+BM22)</f>
        <v>-802126.44999999763</v>
      </c>
      <c r="BO22" s="8">
        <f t="shared" ref="BO22:BU22" si="18">IF(OR(BO21="",BN22=""),"",BO21+BN22)</f>
        <v>-3162924.4616527567</v>
      </c>
      <c r="BP22" s="8">
        <f t="shared" si="18"/>
        <v>-5760985.8892901298</v>
      </c>
      <c r="BQ22" s="8">
        <f t="shared" si="18"/>
        <v>-6527353.301282689</v>
      </c>
      <c r="BR22" s="8">
        <f t="shared" si="18"/>
        <v>-10120964.064806912</v>
      </c>
      <c r="BS22" s="8">
        <f t="shared" si="18"/>
        <v>-12599184.245888216</v>
      </c>
      <c r="BT22" s="8">
        <f t="shared" si="18"/>
        <v>-16711905.628562674</v>
      </c>
      <c r="BU22" s="8">
        <f t="shared" si="18"/>
        <v>-17608016.390602138</v>
      </c>
      <c r="BY22" s="149"/>
      <c r="BZ22" s="295"/>
      <c r="CA22" s="16" t="s">
        <v>14</v>
      </c>
      <c r="CB22" s="215">
        <v>-61140.529122828761</v>
      </c>
      <c r="CC22" s="215">
        <v>-97462.202033826528</v>
      </c>
      <c r="CD22" s="215">
        <v>-305516.52770618652</v>
      </c>
      <c r="CE22" s="215">
        <v>-147330.91819023745</v>
      </c>
      <c r="CF22" s="215">
        <v>-141971.59179687785</v>
      </c>
      <c r="CG22" s="215">
        <v>-56491.389592227941</v>
      </c>
      <c r="CH22" s="215">
        <v>24252.407637465716</v>
      </c>
      <c r="CK22" s="295"/>
      <c r="CL22" s="16" t="s">
        <v>14</v>
      </c>
      <c r="CM22" s="215">
        <v>-70618.991368387768</v>
      </c>
      <c r="CN22" s="215">
        <v>-117512.74173705721</v>
      </c>
      <c r="CO22" s="215">
        <v>-339047.1413827631</v>
      </c>
      <c r="CP22" s="215">
        <v>-178737.59646293923</v>
      </c>
      <c r="CQ22" s="215">
        <v>-153165.70241932105</v>
      </c>
      <c r="CR22" s="215">
        <v>-62466.753161593631</v>
      </c>
      <c r="CS22" s="215">
        <v>23371.750722490669</v>
      </c>
      <c r="CW22" s="149"/>
      <c r="CX22" s="295"/>
      <c r="CY22" s="17" t="s">
        <v>27</v>
      </c>
      <c r="CZ22" s="14">
        <v>-8605.260000000002</v>
      </c>
      <c r="DA22" s="14">
        <v>-7902.6700000000019</v>
      </c>
      <c r="DB22" s="14">
        <v>-7281.6900000000023</v>
      </c>
      <c r="DC22" s="14">
        <v>-6999.300000000002</v>
      </c>
      <c r="DD22" s="14">
        <v>-6893.8500000000022</v>
      </c>
      <c r="DE22" s="14">
        <v>-6918.7900000000018</v>
      </c>
      <c r="DF22" s="14">
        <v>-6776.4000000000015</v>
      </c>
      <c r="DG22" s="14">
        <v>-6538.8300000000017</v>
      </c>
      <c r="DH22" s="14">
        <v>-5981.4500000000016</v>
      </c>
      <c r="DI22" s="14">
        <v>-5445.5700000000015</v>
      </c>
      <c r="DJ22" s="14">
        <v>-5145.2400000000016</v>
      </c>
      <c r="DK22" s="14">
        <v>-4917.6300000000019</v>
      </c>
      <c r="DL22" s="14">
        <v>-4692.8800000000019</v>
      </c>
      <c r="DM22" s="14">
        <v>-4646.5000000000018</v>
      </c>
      <c r="DN22" s="14">
        <v>-4736.8600000000015</v>
      </c>
      <c r="DO22" s="14">
        <v>-5177.010000000002</v>
      </c>
      <c r="DP22" s="14">
        <v>-5667.6100000000024</v>
      </c>
      <c r="DQ22" s="14">
        <v>-6445.1000000000022</v>
      </c>
      <c r="DR22" s="14">
        <v>-5706.5700000000024</v>
      </c>
      <c r="DS22" s="14">
        <v>-1146.760000000002</v>
      </c>
      <c r="DT22" s="14">
        <v>8352.489999999998</v>
      </c>
      <c r="DU22" s="14">
        <v>21254.14</v>
      </c>
      <c r="DV22" s="14">
        <v>36956.25</v>
      </c>
      <c r="DW22" s="14">
        <v>56641.79</v>
      </c>
      <c r="DX22" s="14">
        <v>77955.59</v>
      </c>
      <c r="DY22" s="208"/>
      <c r="DZ22" s="208"/>
      <c r="EA22" s="149"/>
      <c r="FH22" s="149"/>
      <c r="FK22" s="255">
        <v>2979.1408147609818</v>
      </c>
      <c r="FL22" s="56">
        <v>0</v>
      </c>
      <c r="FM22" s="56">
        <v>428.90625</v>
      </c>
      <c r="FN22" s="56">
        <v>0</v>
      </c>
      <c r="FO22" s="56">
        <v>0</v>
      </c>
      <c r="FP22" s="56">
        <v>0</v>
      </c>
      <c r="FQ22"/>
      <c r="FS22" s="254"/>
    </row>
    <row r="23" spans="1:175" s="4" customFormat="1" ht="14.5" outlineLevel="1" x14ac:dyDescent="0.35">
      <c r="A23" s="295"/>
      <c r="B23" s="16" t="s">
        <v>14</v>
      </c>
      <c r="C23" s="7">
        <f t="shared" ref="C23:J23" si="19">IF(OR(C21="",C22=""),"",C21+C22)</f>
        <v>0.34412602678174997</v>
      </c>
      <c r="D23" s="7">
        <f t="shared" si="19"/>
        <v>595.17341007321886</v>
      </c>
      <c r="E23" s="7">
        <f t="shared" si="19"/>
        <v>3715.247716442293</v>
      </c>
      <c r="F23" s="7">
        <f t="shared" si="19"/>
        <v>-37006.031833043366</v>
      </c>
      <c r="G23" s="7">
        <f t="shared" si="19"/>
        <v>-21688.715474004101</v>
      </c>
      <c r="H23" s="7">
        <f t="shared" si="19"/>
        <v>-17850.380848159373</v>
      </c>
      <c r="I23" s="7">
        <f t="shared" si="19"/>
        <v>3060.8440230646984</v>
      </c>
      <c r="J23" s="7">
        <f t="shared" si="19"/>
        <v>-92.921037322269115</v>
      </c>
      <c r="M23" s="149"/>
      <c r="N23" s="149"/>
      <c r="O23" s="295"/>
      <c r="P23" s="17" t="s">
        <v>8</v>
      </c>
      <c r="Q23" s="19">
        <v>-788.05</v>
      </c>
      <c r="R23" s="19">
        <v>-714.39</v>
      </c>
      <c r="S23" s="19">
        <v>-517.45000000000005</v>
      </c>
      <c r="T23" s="19">
        <v>-75.570000000000007</v>
      </c>
      <c r="U23" s="19">
        <v>-15.789999999999996</v>
      </c>
      <c r="V23" s="19">
        <v>105.58999999999999</v>
      </c>
      <c r="W23" s="19">
        <v>186.98</v>
      </c>
      <c r="X23" s="19">
        <v>253.54000000000002</v>
      </c>
      <c r="Y23" s="129">
        <v>449.55</v>
      </c>
      <c r="AB23" s="157"/>
      <c r="AC23" s="132"/>
      <c r="AD23" s="132"/>
      <c r="AE23" s="132"/>
      <c r="AF23" s="132"/>
      <c r="AG23" s="132"/>
      <c r="AH23" s="132"/>
      <c r="AI23" s="132"/>
      <c r="AJ23" s="132"/>
      <c r="BF23" s="149"/>
      <c r="BY23" s="149"/>
      <c r="BZ23" s="295"/>
      <c r="CA23" s="18" t="s">
        <v>15</v>
      </c>
      <c r="CB23" s="215">
        <v>2409964.1436557667</v>
      </c>
      <c r="CC23" s="215">
        <v>2063973.0116219402</v>
      </c>
      <c r="CD23" s="215">
        <v>1437217.4439157536</v>
      </c>
      <c r="CE23" s="215">
        <v>1019711.0757255162</v>
      </c>
      <c r="CF23" s="215">
        <v>759507.27392863831</v>
      </c>
      <c r="CG23" s="215">
        <v>612411.01433641044</v>
      </c>
      <c r="CH23" s="215">
        <v>551941.21197387611</v>
      </c>
      <c r="CK23" s="295"/>
      <c r="CL23" s="18" t="s">
        <v>15</v>
      </c>
      <c r="CM23" s="215">
        <v>2400485.6814102079</v>
      </c>
      <c r="CN23" s="215">
        <v>2034444.0096731507</v>
      </c>
      <c r="CO23" s="215">
        <v>1374157.8282903875</v>
      </c>
      <c r="CP23" s="215">
        <v>925244.78182744829</v>
      </c>
      <c r="CQ23" s="215">
        <v>653846.86940812715</v>
      </c>
      <c r="CR23" s="215">
        <v>500775.24624653353</v>
      </c>
      <c r="CS23" s="215">
        <v>439424.78696902422</v>
      </c>
      <c r="CW23" s="149"/>
      <c r="CX23" s="295"/>
      <c r="CY23" s="16" t="s">
        <v>14</v>
      </c>
      <c r="CZ23" s="19">
        <v>273231.22655577934</v>
      </c>
      <c r="DA23" s="19">
        <v>346109.31431663054</v>
      </c>
      <c r="DB23" s="19">
        <v>-611696.23764518392</v>
      </c>
      <c r="DC23" s="19">
        <v>-1250801.4906012495</v>
      </c>
      <c r="DD23" s="19">
        <v>-757381.31922660163</v>
      </c>
      <c r="DE23" s="19">
        <v>-440248.92143172614</v>
      </c>
      <c r="DF23" s="19">
        <v>1302114.9103061222</v>
      </c>
      <c r="DG23" s="19">
        <v>1608012.4029475963</v>
      </c>
      <c r="DH23" s="19">
        <v>1635972.6823519126</v>
      </c>
      <c r="DI23" s="19">
        <v>479731.45575719327</v>
      </c>
      <c r="DJ23" s="19">
        <v>-621948.9382747882</v>
      </c>
      <c r="DK23" s="19">
        <v>-338731.05069875967</v>
      </c>
      <c r="DL23" s="19">
        <v>-406107.01494770299</v>
      </c>
      <c r="DM23" s="19">
        <v>-374009.71149891004</v>
      </c>
      <c r="DN23" s="19">
        <v>-566569.41339839844</v>
      </c>
      <c r="DO23" s="19">
        <v>-384767.22923458321</v>
      </c>
      <c r="DP23" s="19">
        <v>-152604.00288086268</v>
      </c>
      <c r="DQ23" s="19">
        <v>-10254.741794636866</v>
      </c>
      <c r="DR23" s="19">
        <v>1581122.0221243408</v>
      </c>
      <c r="DS23" s="19">
        <v>2095986.7637109675</v>
      </c>
      <c r="DT23" s="19">
        <v>1812803.1812423691</v>
      </c>
      <c r="DU23" s="19">
        <v>1009696.1751787962</v>
      </c>
      <c r="DV23" s="19">
        <v>-28064.108875852296</v>
      </c>
      <c r="DW23" s="19">
        <v>70085.665946514084</v>
      </c>
      <c r="DX23" s="19">
        <v>45330.368684887799</v>
      </c>
      <c r="DY23" s="208"/>
      <c r="DZ23" s="208"/>
      <c r="EA23" s="149"/>
      <c r="FH23" s="149"/>
      <c r="FK23" s="255">
        <v>6050.3629832110209</v>
      </c>
      <c r="FL23" s="56">
        <v>6502.762072800364</v>
      </c>
      <c r="FM23" s="56">
        <v>6694.3464825225892</v>
      </c>
      <c r="FN23" s="56">
        <v>1627.4960900394124</v>
      </c>
      <c r="FO23" s="56">
        <v>1872.0216108727457</v>
      </c>
      <c r="FP23" s="56">
        <v>2147.7276178171905</v>
      </c>
      <c r="FQ23"/>
      <c r="FS23" s="254"/>
    </row>
    <row r="24" spans="1:175" s="4" customFormat="1" ht="14.5" outlineLevel="1" x14ac:dyDescent="0.35">
      <c r="A24" s="295"/>
      <c r="B24" s="18" t="s">
        <v>16</v>
      </c>
      <c r="C24" s="7">
        <f>IF(OR(C23=""),"",C23)</f>
        <v>0.34412602678174997</v>
      </c>
      <c r="D24" s="7">
        <f t="shared" ref="D24:J24" si="20">IF(OR(D23="",C24=""),"",D23+C24)</f>
        <v>595.5175361000006</v>
      </c>
      <c r="E24" s="7">
        <f t="shared" si="20"/>
        <v>4310.7652525422936</v>
      </c>
      <c r="F24" s="7">
        <f t="shared" si="20"/>
        <v>-32695.266580501073</v>
      </c>
      <c r="G24" s="7">
        <f t="shared" si="20"/>
        <v>-54383.982054505177</v>
      </c>
      <c r="H24" s="7">
        <f t="shared" si="20"/>
        <v>-72234.36290266455</v>
      </c>
      <c r="I24" s="7">
        <f t="shared" si="20"/>
        <v>-69173.518879599855</v>
      </c>
      <c r="J24" s="7">
        <f t="shared" si="20"/>
        <v>-69266.439916922129</v>
      </c>
      <c r="M24" s="149"/>
      <c r="N24" s="149"/>
      <c r="O24" s="295"/>
      <c r="P24" s="17" t="s">
        <v>27</v>
      </c>
      <c r="Q24" s="14">
        <v>-9510.0399999999991</v>
      </c>
      <c r="R24" s="14">
        <v>-10224.429999999998</v>
      </c>
      <c r="S24" s="14">
        <v>-10741.88</v>
      </c>
      <c r="T24" s="14">
        <v>-10817.449999999999</v>
      </c>
      <c r="U24" s="14">
        <v>-10833.24</v>
      </c>
      <c r="V24" s="14">
        <v>-10727.65</v>
      </c>
      <c r="W24" s="14">
        <v>-10540.67</v>
      </c>
      <c r="X24" s="14">
        <v>-10287.129999999999</v>
      </c>
      <c r="Y24" s="130">
        <v>-9837.58</v>
      </c>
      <c r="AB24" s="158"/>
      <c r="AC24" s="123"/>
      <c r="AD24" s="123"/>
      <c r="AE24" s="123"/>
      <c r="AF24" s="123"/>
      <c r="AG24" s="123"/>
      <c r="AH24" s="123"/>
      <c r="AI24" s="123"/>
      <c r="AJ24" s="123"/>
      <c r="BF24" s="149"/>
      <c r="BY24" s="149"/>
      <c r="BZ24" s="40"/>
      <c r="CA24" s="11"/>
      <c r="CB24" s="2"/>
      <c r="CC24" s="2"/>
      <c r="CD24" s="2"/>
      <c r="CE24" s="2"/>
      <c r="CF24" s="2"/>
      <c r="CG24" s="2"/>
      <c r="CH24" s="2"/>
      <c r="CK24" s="40"/>
      <c r="CL24" s="11"/>
      <c r="CM24" s="2"/>
      <c r="CN24" s="2"/>
      <c r="CO24" s="2"/>
      <c r="CP24" s="2"/>
      <c r="CQ24" s="2"/>
      <c r="CR24" s="2"/>
      <c r="CS24" s="2"/>
      <c r="CW24" s="149"/>
      <c r="CX24" s="295"/>
      <c r="CY24" s="18" t="s">
        <v>2</v>
      </c>
      <c r="CZ24" s="19">
        <v>3523797.8340895325</v>
      </c>
      <c r="DA24" s="19">
        <v>4090704.1684061629</v>
      </c>
      <c r="DB24" s="19">
        <v>3209588.960760979</v>
      </c>
      <c r="DC24" s="19">
        <v>1586206.5401597298</v>
      </c>
      <c r="DD24" s="19">
        <v>562268.21093312814</v>
      </c>
      <c r="DE24" s="19">
        <v>-133459.83049859805</v>
      </c>
      <c r="DF24" s="19">
        <v>847402.30980752397</v>
      </c>
      <c r="DG24" s="19">
        <v>2043104.2627551204</v>
      </c>
      <c r="DH24" s="19">
        <v>3261719.6851070328</v>
      </c>
      <c r="DI24" s="19">
        <v>3328408.1908642258</v>
      </c>
      <c r="DJ24" s="19">
        <v>2402962.9925894379</v>
      </c>
      <c r="DK24" s="19">
        <v>1782963.081890678</v>
      </c>
      <c r="DL24" s="19">
        <v>1035736.0769429749</v>
      </c>
      <c r="DM24" s="19">
        <v>237480.19544406491</v>
      </c>
      <c r="DN24" s="19">
        <v>-366577.81795433362</v>
      </c>
      <c r="DO24" s="19">
        <v>-767799.54718891683</v>
      </c>
      <c r="DP24" s="19">
        <v>-981044.82006977953</v>
      </c>
      <c r="DQ24" s="19">
        <v>-983175.30186441657</v>
      </c>
      <c r="DR24" s="19">
        <v>597185.21025992464</v>
      </c>
      <c r="DS24" s="19">
        <v>2665035.1339708921</v>
      </c>
      <c r="DT24" s="19">
        <v>4455232.2252132613</v>
      </c>
      <c r="DU24" s="19">
        <v>5461054.4803920574</v>
      </c>
      <c r="DV24" s="19">
        <v>5445640.4915162046</v>
      </c>
      <c r="DW24" s="19">
        <v>5531143.6874627192</v>
      </c>
      <c r="DX24" s="19">
        <v>5560238.6161476066</v>
      </c>
      <c r="DY24" s="208"/>
      <c r="DZ24" s="208"/>
      <c r="EA24" s="149"/>
      <c r="FH24" s="149"/>
      <c r="FK24" s="255">
        <v>800698.45677987696</v>
      </c>
      <c r="FL24" s="56">
        <v>814182.7547070767</v>
      </c>
      <c r="FM24" s="56">
        <v>827306.14447455411</v>
      </c>
      <c r="FN24" s="56">
        <v>194342.81553892637</v>
      </c>
      <c r="FO24" s="56">
        <v>252530.28392805366</v>
      </c>
      <c r="FP24" s="56">
        <v>288511.0463102365</v>
      </c>
      <c r="FQ24"/>
      <c r="FS24" s="254"/>
    </row>
    <row r="25" spans="1:175" s="4" customFormat="1" ht="18.75" customHeight="1" outlineLevel="1" x14ac:dyDescent="0.35">
      <c r="A25" s="40"/>
      <c r="B25" s="11"/>
      <c r="C25" s="12"/>
      <c r="D25" s="12"/>
      <c r="E25" s="12"/>
      <c r="F25" s="12"/>
      <c r="G25" s="12"/>
      <c r="H25" s="12"/>
      <c r="I25" s="12"/>
      <c r="J25" s="12"/>
      <c r="M25" s="149"/>
      <c r="N25" s="149"/>
      <c r="O25" s="295"/>
      <c r="P25" s="16" t="s">
        <v>14</v>
      </c>
      <c r="Q25" s="19">
        <v>18348.285394769147</v>
      </c>
      <c r="R25" s="19">
        <v>-110791.67450135859</v>
      </c>
      <c r="S25" s="19">
        <v>-357183.74899240915</v>
      </c>
      <c r="T25" s="19">
        <v>-176897.28989945308</v>
      </c>
      <c r="U25" s="19">
        <v>380648.04265261232</v>
      </c>
      <c r="V25" s="19">
        <v>588429.25144815538</v>
      </c>
      <c r="W25" s="19">
        <v>779546.71178884932</v>
      </c>
      <c r="X25" s="19">
        <v>616566.59623756993</v>
      </c>
      <c r="Y25" s="129">
        <v>94743.823685406212</v>
      </c>
      <c r="AB25" s="157"/>
      <c r="AC25" s="132"/>
      <c r="AD25" s="132"/>
      <c r="AE25" s="132"/>
      <c r="AF25" s="132"/>
      <c r="AG25" s="132"/>
      <c r="AH25" s="132"/>
      <c r="AI25" s="132"/>
      <c r="AJ25" s="132"/>
      <c r="BF25" s="149"/>
      <c r="BG25" s="149"/>
      <c r="BH25" s="149"/>
      <c r="BI25" s="149"/>
      <c r="BJ25" s="149"/>
      <c r="BK25" s="149"/>
      <c r="BL25" s="149"/>
      <c r="BM25" s="149"/>
      <c r="BN25" s="149"/>
      <c r="BO25" s="149"/>
      <c r="BP25" s="149"/>
      <c r="BQ25" s="149"/>
      <c r="BR25" s="149"/>
      <c r="BS25" s="149"/>
      <c r="BT25" s="149"/>
      <c r="BU25" s="149"/>
      <c r="BV25" s="149"/>
      <c r="BW25" s="149"/>
      <c r="BY25" s="149"/>
      <c r="BZ25" s="295" t="s">
        <v>21</v>
      </c>
      <c r="CA25" s="15"/>
      <c r="CB25" s="2"/>
      <c r="CC25" s="2"/>
      <c r="CD25" s="2"/>
      <c r="CE25" s="2"/>
      <c r="CF25" s="2"/>
      <c r="CG25" s="2"/>
      <c r="CH25" s="2"/>
      <c r="CK25" s="295" t="s">
        <v>21</v>
      </c>
      <c r="CL25" s="15"/>
      <c r="CM25" s="2"/>
      <c r="CN25" s="2"/>
      <c r="CO25" s="2"/>
      <c r="CP25" s="2"/>
      <c r="CQ25" s="2"/>
      <c r="CR25" s="2"/>
      <c r="CS25" s="2"/>
      <c r="CW25" s="149"/>
      <c r="CX25" s="40"/>
      <c r="CY25" s="11"/>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208"/>
      <c r="DZ25" s="208"/>
      <c r="EA25" s="149"/>
      <c r="FH25" s="149"/>
      <c r="FK25" s="253">
        <v>-190030.42932728733</v>
      </c>
      <c r="FL25" s="177">
        <v>-193230.6689463169</v>
      </c>
      <c r="FM25" s="177">
        <v>-196345.25393224583</v>
      </c>
      <c r="FN25" s="177">
        <v>-46123.541716390289</v>
      </c>
      <c r="FO25" s="177">
        <v>-59933.221884780636</v>
      </c>
      <c r="FP25" s="177">
        <v>-68472.566084976861</v>
      </c>
      <c r="FQ25"/>
      <c r="FS25" s="254"/>
    </row>
    <row r="26" spans="1:175" s="4" customFormat="1" ht="15" customHeight="1" outlineLevel="1" x14ac:dyDescent="0.35">
      <c r="A26" s="295" t="s">
        <v>22</v>
      </c>
      <c r="B26" s="15"/>
      <c r="C26" s="7"/>
      <c r="D26" s="7"/>
      <c r="E26" s="7"/>
      <c r="F26" s="7"/>
      <c r="G26" s="7"/>
      <c r="H26" s="7"/>
      <c r="I26" s="7"/>
      <c r="J26" s="7"/>
      <c r="M26" s="149"/>
      <c r="N26" s="149"/>
      <c r="O26" s="295"/>
      <c r="P26" s="18" t="s">
        <v>2</v>
      </c>
      <c r="Q26" s="19">
        <v>-525113.90717548993</v>
      </c>
      <c r="R26" s="19">
        <v>-454631.4316768485</v>
      </c>
      <c r="S26" s="19">
        <v>-662173.16066925763</v>
      </c>
      <c r="T26" s="19">
        <v>-702708.23056871083</v>
      </c>
      <c r="U26" s="19">
        <v>-150847.96791609848</v>
      </c>
      <c r="V26" s="19">
        <v>654339.10353205702</v>
      </c>
      <c r="W26" s="19">
        <v>1643000.8253209062</v>
      </c>
      <c r="X26" s="19">
        <v>2455523.0815584762</v>
      </c>
      <c r="Y26" s="129">
        <v>2697774.8352438826</v>
      </c>
      <c r="AB26" s="157"/>
      <c r="AC26" s="132"/>
      <c r="AD26" s="132"/>
      <c r="AE26" s="132"/>
      <c r="AF26" s="132"/>
      <c r="AG26" s="132"/>
      <c r="AH26" s="132"/>
      <c r="AI26" s="132"/>
      <c r="AJ26" s="132"/>
      <c r="BF26" s="149"/>
      <c r="BG26" s="57" t="s">
        <v>114</v>
      </c>
      <c r="BY26" s="149"/>
      <c r="BZ26" s="295"/>
      <c r="CA26" s="15" t="s">
        <v>28</v>
      </c>
      <c r="CB26" s="215">
        <v>222262.13845546212</v>
      </c>
      <c r="CC26" s="215">
        <v>249509.48642011534</v>
      </c>
      <c r="CD26" s="215">
        <v>321944.69044732186</v>
      </c>
      <c r="CE26" s="215">
        <v>246962.75301226831</v>
      </c>
      <c r="CF26" s="215">
        <v>100845.58616926862</v>
      </c>
      <c r="CG26" s="215">
        <v>127422.49440160212</v>
      </c>
      <c r="CH26" s="215">
        <v>191471.00601967305</v>
      </c>
      <c r="CK26" s="295"/>
      <c r="CL26" s="15" t="s">
        <v>28</v>
      </c>
      <c r="CM26" s="215">
        <v>223625.03574520181</v>
      </c>
      <c r="CN26" s="215">
        <v>252523.31386563691</v>
      </c>
      <c r="CO26" s="215">
        <v>327101.18395832536</v>
      </c>
      <c r="CP26" s="215">
        <v>251928.48906907809</v>
      </c>
      <c r="CQ26" s="215">
        <v>102552.95286269565</v>
      </c>
      <c r="CR26" s="215">
        <v>128255.52178299883</v>
      </c>
      <c r="CS26" s="215">
        <v>191587.71421253134</v>
      </c>
      <c r="CW26" s="149"/>
      <c r="CX26" s="295" t="s">
        <v>20</v>
      </c>
      <c r="CY26" s="15"/>
      <c r="CZ26" s="7"/>
      <c r="DA26" s="7"/>
      <c r="DB26" s="7"/>
      <c r="DC26" s="7"/>
      <c r="DD26" s="7"/>
      <c r="DE26" s="7"/>
      <c r="DF26" s="7"/>
      <c r="DG26" s="7"/>
      <c r="DH26" s="7"/>
      <c r="DI26" s="7"/>
      <c r="DJ26" s="7"/>
      <c r="DK26" s="7"/>
      <c r="DL26" s="7"/>
      <c r="DM26" s="7"/>
      <c r="DN26" s="7"/>
      <c r="DO26" s="7"/>
      <c r="DP26" s="7"/>
      <c r="DQ26" s="7"/>
      <c r="DR26" s="7"/>
      <c r="DS26" s="7"/>
      <c r="DT26" s="7"/>
      <c r="DU26" s="7"/>
      <c r="DV26" s="125">
        <v>-112267.825004852</v>
      </c>
      <c r="DW26" s="7"/>
      <c r="DX26" s="7"/>
      <c r="DY26" s="208"/>
      <c r="DZ26" s="208"/>
      <c r="EA26" s="149"/>
      <c r="FH26" s="149"/>
      <c r="FK26" s="253">
        <v>610668.02745258959</v>
      </c>
      <c r="FL26" s="177">
        <v>620952.08576075977</v>
      </c>
      <c r="FM26" s="177">
        <v>630960.89054230833</v>
      </c>
      <c r="FN26" s="177">
        <v>148219.27382253608</v>
      </c>
      <c r="FO26" s="177">
        <v>192597.06204327301</v>
      </c>
      <c r="FP26" s="177">
        <v>220038.48022525964</v>
      </c>
      <c r="FQ26"/>
      <c r="FS26" s="254"/>
    </row>
    <row r="27" spans="1:175" s="2" customFormat="1" ht="15" customHeight="1" outlineLevel="1" x14ac:dyDescent="0.35">
      <c r="A27" s="295"/>
      <c r="B27" s="15" t="s">
        <v>28</v>
      </c>
      <c r="C27" s="20">
        <f>C89</f>
        <v>0.38250960519337501</v>
      </c>
      <c r="D27" s="20">
        <f t="shared" ref="D27:J27" si="21">D89</f>
        <v>592.84700439506275</v>
      </c>
      <c r="E27" s="20">
        <f t="shared" si="21"/>
        <v>3788.6582603776305</v>
      </c>
      <c r="F27" s="20">
        <f t="shared" si="21"/>
        <v>18535.810544392894</v>
      </c>
      <c r="G27" s="20">
        <f t="shared" si="21"/>
        <v>43757.113824202133</v>
      </c>
      <c r="H27" s="20">
        <f t="shared" si="21"/>
        <v>59086.939884825857</v>
      </c>
      <c r="I27" s="20">
        <f t="shared" si="21"/>
        <v>83744.849905232913</v>
      </c>
      <c r="J27" s="20">
        <f t="shared" si="21"/>
        <v>59946.023885732408</v>
      </c>
      <c r="M27" s="150"/>
      <c r="N27" s="150"/>
      <c r="O27" s="40"/>
      <c r="P27" s="11"/>
      <c r="Q27" s="12"/>
      <c r="R27" s="12"/>
      <c r="S27" s="12"/>
      <c r="T27" s="12"/>
      <c r="U27" s="12"/>
      <c r="V27" s="12"/>
      <c r="W27" s="12"/>
      <c r="X27" s="12"/>
      <c r="Y27" s="127"/>
      <c r="Z27" s="4"/>
      <c r="AA27" s="4"/>
      <c r="AB27" s="158"/>
      <c r="AC27" s="123"/>
      <c r="AD27" s="123"/>
      <c r="AE27" s="123"/>
      <c r="AF27" s="123"/>
      <c r="AG27" s="123"/>
      <c r="AH27" s="123"/>
      <c r="AI27" s="123"/>
      <c r="AJ27" s="123"/>
      <c r="AK27" s="4"/>
      <c r="BF27" s="150"/>
      <c r="BG27" s="55"/>
      <c r="BY27" s="150"/>
      <c r="BZ27" s="295"/>
      <c r="CA27" s="16" t="s">
        <v>26</v>
      </c>
      <c r="CB27" s="215">
        <v>312397.32107489841</v>
      </c>
      <c r="CC27" s="215">
        <v>355639.37645809754</v>
      </c>
      <c r="CD27" s="215">
        <v>419510.42236398638</v>
      </c>
      <c r="CE27" s="215">
        <v>345889.73802590865</v>
      </c>
      <c r="CF27" s="215">
        <v>199586.56344967708</v>
      </c>
      <c r="CG27" s="215">
        <v>176831.15319493209</v>
      </c>
      <c r="CH27" s="215">
        <v>171543.19774187819</v>
      </c>
      <c r="CK27" s="295"/>
      <c r="CL27" s="16" t="s">
        <v>26</v>
      </c>
      <c r="CM27" s="215">
        <v>311669.3022282609</v>
      </c>
      <c r="CN27" s="215">
        <v>354085.59169796284</v>
      </c>
      <c r="CO27" s="215">
        <v>416632.60304568737</v>
      </c>
      <c r="CP27" s="215">
        <v>343013.74640381179</v>
      </c>
      <c r="CQ27" s="215">
        <v>198643.80240817316</v>
      </c>
      <c r="CR27" s="215">
        <v>176362.35535747116</v>
      </c>
      <c r="CS27" s="215">
        <v>171488.95640428353</v>
      </c>
      <c r="CW27" s="150"/>
      <c r="CX27" s="295"/>
      <c r="CY27" s="15" t="s">
        <v>28</v>
      </c>
      <c r="CZ27" s="20">
        <v>767580.56672561402</v>
      </c>
      <c r="DA27" s="20">
        <v>793063.84804214339</v>
      </c>
      <c r="DB27" s="20">
        <v>764854.30430963449</v>
      </c>
      <c r="DC27" s="20">
        <v>819560.20806617534</v>
      </c>
      <c r="DD27" s="20">
        <v>733166.25858200283</v>
      </c>
      <c r="DE27" s="20">
        <v>808585.44290839287</v>
      </c>
      <c r="DF27" s="20">
        <v>2229150.475396621</v>
      </c>
      <c r="DG27" s="20">
        <v>2728598.0253418689</v>
      </c>
      <c r="DH27" s="20">
        <v>2843181.2454154654</v>
      </c>
      <c r="DI27" s="20">
        <v>2152415.8892408246</v>
      </c>
      <c r="DJ27" s="20">
        <v>886771.1903804827</v>
      </c>
      <c r="DK27" s="20">
        <v>1017970.7346454827</v>
      </c>
      <c r="DL27" s="20">
        <v>1252923.0225376603</v>
      </c>
      <c r="DM27" s="20">
        <v>1434652.1574546397</v>
      </c>
      <c r="DN27" s="20">
        <v>1242256.6900827016</v>
      </c>
      <c r="DO27" s="20">
        <v>466704.19082447694</v>
      </c>
      <c r="DP27" s="20">
        <v>411086.64598257263</v>
      </c>
      <c r="DQ27" s="20">
        <v>460606.66199414816</v>
      </c>
      <c r="DR27" s="20">
        <v>1458035.3553365585</v>
      </c>
      <c r="DS27" s="20">
        <v>1865399.5827007205</v>
      </c>
      <c r="DT27" s="20">
        <v>1789207.583547906</v>
      </c>
      <c r="DU27" s="20">
        <v>1230661.6176145528</v>
      </c>
      <c r="DV27" s="20">
        <v>448108.96181830607</v>
      </c>
      <c r="DW27" s="20">
        <v>511415.71013617213</v>
      </c>
      <c r="DX27" s="20">
        <v>657599.6612363765</v>
      </c>
      <c r="DY27" s="221"/>
      <c r="DZ27" s="221"/>
      <c r="EA27" s="150"/>
      <c r="FH27" s="150"/>
      <c r="FK27" s="256">
        <v>8.2900000000000001E-2</v>
      </c>
      <c r="FL27" s="257">
        <v>8.2900000000000001E-2</v>
      </c>
      <c r="FM27" s="257">
        <v>8.2900000000000001E-2</v>
      </c>
      <c r="FN27" s="258">
        <v>8.3599999999999994E-2</v>
      </c>
      <c r="FO27" s="258">
        <v>8.3599999999999994E-2</v>
      </c>
      <c r="FP27" s="258">
        <v>8.3599999999999994E-2</v>
      </c>
      <c r="FQ27" s="259" t="s">
        <v>137</v>
      </c>
      <c r="FS27" s="260"/>
    </row>
    <row r="28" spans="1:175" s="4" customFormat="1" ht="15" customHeight="1" outlineLevel="1" x14ac:dyDescent="0.35">
      <c r="A28" s="295"/>
      <c r="B28" s="16" t="s">
        <v>26</v>
      </c>
      <c r="C28" s="20">
        <f>IF('M3 Allocations - TD'!D53="","",'M3 Allocations - TD'!D71)</f>
        <v>0</v>
      </c>
      <c r="D28" s="20">
        <f>IF('M3 Allocations - TD'!E53="","",'M3 Allocations - TD'!E71)</f>
        <v>0</v>
      </c>
      <c r="E28" s="20">
        <f>IF('M3 Allocations - TD'!F53="","",'M3 Allocations - TD'!F71)</f>
        <v>6753.6701978728988</v>
      </c>
      <c r="F28" s="20">
        <f>IF('M3 Allocations - TD'!G53="","",'M3 Allocations - TD'!G71)</f>
        <v>107151.44580605239</v>
      </c>
      <c r="G28" s="20">
        <f>IF('M3 Allocations - TD'!H53="","",'M3 Allocations - TD'!H71)</f>
        <v>115634.5208649429</v>
      </c>
      <c r="H28" s="20">
        <f>IF('M3 Allocations - TD'!I53="","",'M3 Allocations - TD'!I71)</f>
        <v>118331.81312804784</v>
      </c>
      <c r="I28" s="20">
        <f>IF('M3 Allocations - TD'!J53="","",'M3 Allocations - TD'!J71)</f>
        <v>119601.33814288217</v>
      </c>
      <c r="J28" s="20">
        <f>IF('M3 Allocations - TD'!K53="","",'M3 Allocations - TD'!K71)</f>
        <v>109968.9574924099</v>
      </c>
      <c r="M28" s="149"/>
      <c r="N28" s="149"/>
      <c r="O28" s="295" t="s">
        <v>20</v>
      </c>
      <c r="P28" s="15"/>
      <c r="Q28" s="7"/>
      <c r="R28" s="7"/>
      <c r="S28" s="7"/>
      <c r="T28" s="7"/>
      <c r="U28" s="7"/>
      <c r="V28" s="7"/>
      <c r="W28" s="7"/>
      <c r="X28" s="7"/>
      <c r="Y28" s="128"/>
      <c r="AB28" s="158"/>
      <c r="AC28" s="123"/>
      <c r="AD28" s="123"/>
      <c r="AE28" s="123"/>
      <c r="AF28" s="123"/>
      <c r="AG28" s="123"/>
      <c r="AH28" s="123"/>
      <c r="AI28" s="123"/>
      <c r="AJ28" s="123"/>
      <c r="BF28" s="149"/>
      <c r="BG28" s="2" t="s">
        <v>115</v>
      </c>
      <c r="BY28" s="149"/>
      <c r="BZ28" s="295"/>
      <c r="CA28" s="16" t="s">
        <v>51</v>
      </c>
      <c r="CB28" s="215">
        <v>-34659.79</v>
      </c>
      <c r="CC28" s="215">
        <v>-39489.65</v>
      </c>
      <c r="CD28" s="215">
        <v>-46633.93</v>
      </c>
      <c r="CE28" s="215">
        <v>59971.88</v>
      </c>
      <c r="CF28" s="215">
        <v>34460.21</v>
      </c>
      <c r="CG28" s="215">
        <v>30482.11</v>
      </c>
      <c r="CH28" s="215">
        <v>29523.43</v>
      </c>
      <c r="CK28" s="295"/>
      <c r="CL28" s="16" t="s">
        <v>51</v>
      </c>
      <c r="CM28" s="215">
        <v>-34659.79</v>
      </c>
      <c r="CN28" s="215">
        <v>-39489.65</v>
      </c>
      <c r="CO28" s="215">
        <v>-46633.93</v>
      </c>
      <c r="CP28" s="215">
        <v>59971.88</v>
      </c>
      <c r="CQ28" s="215">
        <v>34460.21</v>
      </c>
      <c r="CR28" s="215">
        <v>30482.11</v>
      </c>
      <c r="CS28" s="215">
        <v>29523.43</v>
      </c>
      <c r="CW28" s="149"/>
      <c r="CX28" s="295"/>
      <c r="CY28" s="16" t="s">
        <v>26</v>
      </c>
      <c r="CZ28" s="20">
        <v>435339.54516653361</v>
      </c>
      <c r="DA28" s="20">
        <v>565868.64496161381</v>
      </c>
      <c r="DB28" s="20">
        <v>1375644.4768897495</v>
      </c>
      <c r="DC28" s="20">
        <v>1787809.7846895901</v>
      </c>
      <c r="DD28" s="20">
        <v>1208966.210998087</v>
      </c>
      <c r="DE28" s="20">
        <v>1135096.7258818494</v>
      </c>
      <c r="DF28" s="20">
        <v>1483131.5421443433</v>
      </c>
      <c r="DG28" s="20">
        <v>1957827.6512690852</v>
      </c>
      <c r="DH28" s="20">
        <v>1996815.833049651</v>
      </c>
      <c r="DI28" s="20">
        <v>1962236.8311878431</v>
      </c>
      <c r="DJ28" s="20">
        <v>1361448.9893388003</v>
      </c>
      <c r="DK28" s="20">
        <v>1278047.5437683114</v>
      </c>
      <c r="DL28" s="20">
        <v>1599362.0545714868</v>
      </c>
      <c r="DM28" s="20">
        <v>2061688.4651608262</v>
      </c>
      <c r="DN28" s="20">
        <v>1660014.398272939</v>
      </c>
      <c r="DO28" s="20">
        <v>727343.38262135477</v>
      </c>
      <c r="DP28" s="20">
        <v>558489.16557480057</v>
      </c>
      <c r="DQ28" s="20">
        <v>521512.93435668247</v>
      </c>
      <c r="DR28" s="20">
        <v>661161.70778882992</v>
      </c>
      <c r="DS28" s="20">
        <v>907955.1483625297</v>
      </c>
      <c r="DT28" s="20">
        <v>865613.78677226591</v>
      </c>
      <c r="DU28" s="20">
        <v>722180.00996221579</v>
      </c>
      <c r="DV28" s="20">
        <v>521401.47348380275</v>
      </c>
      <c r="DW28" s="20">
        <v>494704.46538048884</v>
      </c>
      <c r="DX28" s="20">
        <v>756126.23939637165</v>
      </c>
      <c r="DY28" s="208"/>
      <c r="DZ28" s="208"/>
      <c r="EA28" s="149"/>
      <c r="FH28" s="149"/>
      <c r="FK28" s="268">
        <v>0.03</v>
      </c>
      <c r="FL28" s="59">
        <v>0.03</v>
      </c>
      <c r="FM28" s="59">
        <v>0.03</v>
      </c>
      <c r="FN28" s="59">
        <v>0.03</v>
      </c>
      <c r="FO28" s="59">
        <v>0.03</v>
      </c>
      <c r="FP28" s="59">
        <v>0.03</v>
      </c>
      <c r="FQ28"/>
      <c r="FS28" s="254"/>
    </row>
    <row r="29" spans="1:175" s="4" customFormat="1" ht="15" customHeight="1" outlineLevel="1" x14ac:dyDescent="0.35">
      <c r="A29" s="295"/>
      <c r="B29" s="16" t="s">
        <v>51</v>
      </c>
      <c r="C29" s="20">
        <f>IF(C28="","",0)</f>
        <v>0</v>
      </c>
      <c r="D29" s="20">
        <f t="shared" ref="D29:I29" si="22">IF(D28="","",0)</f>
        <v>0</v>
      </c>
      <c r="E29" s="20">
        <f t="shared" si="22"/>
        <v>0</v>
      </c>
      <c r="F29" s="20">
        <f t="shared" si="22"/>
        <v>0</v>
      </c>
      <c r="G29" s="20">
        <f t="shared" si="22"/>
        <v>0</v>
      </c>
      <c r="H29" s="20">
        <f t="shared" si="22"/>
        <v>0</v>
      </c>
      <c r="I29" s="20">
        <f t="shared" si="22"/>
        <v>0</v>
      </c>
      <c r="J29" s="20">
        <f>IF(J28="","",0)</f>
        <v>0</v>
      </c>
      <c r="M29" s="149"/>
      <c r="N29" s="149"/>
      <c r="O29" s="295"/>
      <c r="P29" s="15" t="s">
        <v>28</v>
      </c>
      <c r="Q29" s="20">
        <v>676189.22029010952</v>
      </c>
      <c r="R29" s="20">
        <v>463090.51540533279</v>
      </c>
      <c r="S29" s="20">
        <v>212999.83668866704</v>
      </c>
      <c r="T29" s="20">
        <v>239315.41925638349</v>
      </c>
      <c r="U29" s="20">
        <v>745964.63979628112</v>
      </c>
      <c r="V29" s="20">
        <v>1021961.1417325244</v>
      </c>
      <c r="W29" s="20">
        <v>1221140.287913003</v>
      </c>
      <c r="X29" s="20">
        <v>1038934.5439936385</v>
      </c>
      <c r="Y29" s="131">
        <v>456853.18990942289</v>
      </c>
      <c r="Z29" s="2"/>
      <c r="AA29" s="2"/>
      <c r="AB29" s="158"/>
      <c r="AC29" s="123"/>
      <c r="AD29" s="123"/>
      <c r="AE29" s="123"/>
      <c r="AF29" s="123"/>
      <c r="AG29" s="123"/>
      <c r="AH29" s="123"/>
      <c r="AI29" s="123"/>
      <c r="AJ29" s="123"/>
      <c r="AK29" s="2"/>
      <c r="BF29" s="149"/>
      <c r="BG29" s="47" t="s">
        <v>113</v>
      </c>
      <c r="BY29" s="149"/>
      <c r="BZ29" s="295"/>
      <c r="CA29" s="16" t="s">
        <v>52</v>
      </c>
      <c r="CB29" s="215">
        <v>277737.53107489843</v>
      </c>
      <c r="CC29" s="215">
        <v>316149.72645809752</v>
      </c>
      <c r="CD29" s="215">
        <v>372876.49236398638</v>
      </c>
      <c r="CE29" s="215">
        <v>405861.61802590865</v>
      </c>
      <c r="CF29" s="215">
        <v>234046.77344967707</v>
      </c>
      <c r="CG29" s="215">
        <v>207313.26319493208</v>
      </c>
      <c r="CH29" s="215">
        <v>201066.62774187818</v>
      </c>
      <c r="CK29" s="295"/>
      <c r="CL29" s="16" t="s">
        <v>52</v>
      </c>
      <c r="CM29" s="215">
        <v>277009.51222826092</v>
      </c>
      <c r="CN29" s="215">
        <v>314595.94169796281</v>
      </c>
      <c r="CO29" s="215">
        <v>369998.67304568738</v>
      </c>
      <c r="CP29" s="215">
        <v>402985.6264038118</v>
      </c>
      <c r="CQ29" s="215">
        <v>233104.01240817315</v>
      </c>
      <c r="CR29" s="215">
        <v>206844.46535747114</v>
      </c>
      <c r="CS29" s="215">
        <v>201012.38640428352</v>
      </c>
      <c r="CT29" s="4" t="s">
        <v>117</v>
      </c>
      <c r="CU29" s="4" t="s">
        <v>118</v>
      </c>
      <c r="CV29" s="4" t="s">
        <v>119</v>
      </c>
      <c r="CW29" s="149"/>
      <c r="CX29" s="295"/>
      <c r="CY29" s="16" t="s">
        <v>51</v>
      </c>
      <c r="CZ29" s="20">
        <v>106401.64</v>
      </c>
      <c r="DA29" s="20">
        <v>138469.78</v>
      </c>
      <c r="DB29" s="20">
        <v>-214209.84</v>
      </c>
      <c r="DC29" s="20">
        <v>-278064.93</v>
      </c>
      <c r="DD29" s="20">
        <v>-187629.17</v>
      </c>
      <c r="DE29" s="20">
        <v>-176283.71</v>
      </c>
      <c r="DF29" s="20">
        <v>-231223.27</v>
      </c>
      <c r="DG29" s="20">
        <v>-305423.73</v>
      </c>
      <c r="DH29" s="20">
        <v>-311615.01</v>
      </c>
      <c r="DI29" s="20">
        <v>-306092.45</v>
      </c>
      <c r="DJ29" s="20">
        <v>-211968.1</v>
      </c>
      <c r="DK29" s="20">
        <v>-198628.63</v>
      </c>
      <c r="DL29" s="20">
        <v>-248528.93</v>
      </c>
      <c r="DM29" s="20">
        <v>-321239.03999999998</v>
      </c>
      <c r="DN29" s="20">
        <v>-270175.45</v>
      </c>
      <c r="DO29" s="20">
        <v>-118232.21</v>
      </c>
      <c r="DP29" s="20">
        <v>-90604.87</v>
      </c>
      <c r="DQ29" s="20">
        <v>-84722.21</v>
      </c>
      <c r="DR29" s="20">
        <v>-107685.96</v>
      </c>
      <c r="DS29" s="20">
        <v>-148122.69</v>
      </c>
      <c r="DT29" s="20">
        <v>-141095.97</v>
      </c>
      <c r="DU29" s="20">
        <v>-117508.65</v>
      </c>
      <c r="DV29" s="20">
        <v>-84587.71</v>
      </c>
      <c r="DW29" s="20">
        <v>-80065.600000000006</v>
      </c>
      <c r="DX29" s="20">
        <v>-122414.96</v>
      </c>
      <c r="DY29" s="208"/>
      <c r="DZ29" s="208"/>
      <c r="EA29" s="149"/>
      <c r="FH29" s="149"/>
      <c r="FK29" s="268">
        <v>5.2900000000000003E-2</v>
      </c>
      <c r="FL29" s="59">
        <v>5.2900000000000003E-2</v>
      </c>
      <c r="FM29" s="59">
        <v>5.2900000000000003E-2</v>
      </c>
      <c r="FN29" s="59">
        <v>5.3599999999999995E-2</v>
      </c>
      <c r="FO29" s="59">
        <v>5.3599999999999995E-2</v>
      </c>
      <c r="FP29" s="59">
        <v>5.3599999999999995E-2</v>
      </c>
      <c r="FQ29"/>
      <c r="FS29" s="254"/>
    </row>
    <row r="30" spans="1:175" s="4" customFormat="1" ht="15" customHeight="1" outlineLevel="1" x14ac:dyDescent="0.35">
      <c r="A30" s="295"/>
      <c r="B30" s="16" t="s">
        <v>52</v>
      </c>
      <c r="C30" s="7">
        <f t="shared" ref="C30:I30" si="23">IF(OR(C29="",C28=""),"",C28+C29)</f>
        <v>0</v>
      </c>
      <c r="D30" s="7">
        <f t="shared" si="23"/>
        <v>0</v>
      </c>
      <c r="E30" s="7">
        <f t="shared" si="23"/>
        <v>6753.6701978728988</v>
      </c>
      <c r="F30" s="7">
        <f t="shared" si="23"/>
        <v>107151.44580605239</v>
      </c>
      <c r="G30" s="7">
        <f t="shared" si="23"/>
        <v>115634.5208649429</v>
      </c>
      <c r="H30" s="7">
        <f t="shared" si="23"/>
        <v>118331.81312804784</v>
      </c>
      <c r="I30" s="7">
        <f t="shared" si="23"/>
        <v>119601.33814288217</v>
      </c>
      <c r="J30" s="7">
        <f>IF(OR(J29="",J28=""),"",J28+J29)</f>
        <v>109968.9574924099</v>
      </c>
      <c r="M30" s="149"/>
      <c r="N30" s="149"/>
      <c r="O30" s="295"/>
      <c r="P30" s="16" t="s">
        <v>26</v>
      </c>
      <c r="Q30" s="20">
        <v>474323.05163473397</v>
      </c>
      <c r="R30" s="20">
        <v>428810.25716296653</v>
      </c>
      <c r="S30" s="20">
        <v>339346.33491655142</v>
      </c>
      <c r="T30" s="20">
        <v>302925.05162387801</v>
      </c>
      <c r="U30" s="20">
        <v>399589.74786578171</v>
      </c>
      <c r="V30" s="20">
        <v>536049.73122413771</v>
      </c>
      <c r="W30" s="20">
        <v>503311.04413038632</v>
      </c>
      <c r="X30" s="20">
        <v>453730.11803544633</v>
      </c>
      <c r="Y30" s="131">
        <v>307694.93026905361</v>
      </c>
      <c r="AB30" s="158"/>
      <c r="AC30" s="123"/>
      <c r="AD30" s="123"/>
      <c r="AE30" s="123"/>
      <c r="AF30" s="123"/>
      <c r="AG30" s="123"/>
      <c r="AH30" s="123"/>
      <c r="AI30" s="123"/>
      <c r="AJ30" s="123"/>
      <c r="BF30" s="149"/>
      <c r="BG30"/>
      <c r="BH30"/>
      <c r="BI30" s="10">
        <v>44105</v>
      </c>
      <c r="BJ30" s="10">
        <v>44136</v>
      </c>
      <c r="BK30" s="10">
        <v>44166</v>
      </c>
      <c r="BL30" s="10">
        <v>44197</v>
      </c>
      <c r="BM30" s="10">
        <v>44228</v>
      </c>
      <c r="BN30" s="10">
        <v>44256</v>
      </c>
      <c r="BO30" s="10">
        <v>44287</v>
      </c>
      <c r="BP30" s="10">
        <v>44317</v>
      </c>
      <c r="BQ30" s="10">
        <v>44348</v>
      </c>
      <c r="BR30" s="10">
        <v>44378</v>
      </c>
      <c r="BS30" s="10">
        <v>44409</v>
      </c>
      <c r="BT30" s="10">
        <v>44440</v>
      </c>
      <c r="BU30" s="10">
        <v>44470</v>
      </c>
      <c r="BY30" s="149"/>
      <c r="BZ30" s="295"/>
      <c r="CA30" s="16" t="s">
        <v>13</v>
      </c>
      <c r="CB30" s="215">
        <v>-55475.392619436316</v>
      </c>
      <c r="CC30" s="215">
        <v>-66640.240037982177</v>
      </c>
      <c r="CD30" s="215">
        <v>-50931.801916664524</v>
      </c>
      <c r="CE30" s="215">
        <v>-158898.86501364034</v>
      </c>
      <c r="CF30" s="215">
        <v>-133201.18728040846</v>
      </c>
      <c r="CG30" s="215">
        <v>-79890.76879332996</v>
      </c>
      <c r="CH30" s="215">
        <v>-9595.6217222051346</v>
      </c>
      <c r="CK30" s="295"/>
      <c r="CL30" s="16" t="s">
        <v>13</v>
      </c>
      <c r="CM30" s="215">
        <v>-53384.476483059116</v>
      </c>
      <c r="CN30" s="215">
        <v>-62072.627832325903</v>
      </c>
      <c r="CO30" s="215">
        <v>-42897.489087362017</v>
      </c>
      <c r="CP30" s="215">
        <v>-151057.13733473371</v>
      </c>
      <c r="CQ30" s="215">
        <v>-130551.0595454775</v>
      </c>
      <c r="CR30" s="215">
        <v>-78588.943574472316</v>
      </c>
      <c r="CS30" s="215">
        <v>-9424.6721917521791</v>
      </c>
      <c r="CT30" s="216">
        <f>SUM(CM30:CS30)</f>
        <v>-527976.40604918275</v>
      </c>
      <c r="CU30" s="216">
        <f>SUM(CB30:CH30)</f>
        <v>-554633.87738366681</v>
      </c>
      <c r="CV30" s="216">
        <f>CT30-CU30</f>
        <v>26657.471334484057</v>
      </c>
      <c r="CW30" s="149"/>
      <c r="CX30" s="295"/>
      <c r="CY30" s="16" t="s">
        <v>52</v>
      </c>
      <c r="CZ30" s="7">
        <v>541741.18516653357</v>
      </c>
      <c r="DA30" s="7">
        <v>704338.42496161384</v>
      </c>
      <c r="DB30" s="7">
        <v>1161434.6368897494</v>
      </c>
      <c r="DC30" s="7">
        <v>1509744.8546895902</v>
      </c>
      <c r="DD30" s="7">
        <v>1021337.0409980869</v>
      </c>
      <c r="DE30" s="7">
        <v>958813.01588184945</v>
      </c>
      <c r="DF30" s="7">
        <v>1251908.2721443432</v>
      </c>
      <c r="DG30" s="7">
        <v>1652403.9212690853</v>
      </c>
      <c r="DH30" s="7">
        <v>1685200.823049651</v>
      </c>
      <c r="DI30" s="7">
        <v>1656144.3811878432</v>
      </c>
      <c r="DJ30" s="7">
        <v>1149480.8893388002</v>
      </c>
      <c r="DK30" s="7">
        <v>1079418.9137683115</v>
      </c>
      <c r="DL30" s="7">
        <v>1350833.1245714868</v>
      </c>
      <c r="DM30" s="7">
        <v>1740449.4251608262</v>
      </c>
      <c r="DN30" s="7">
        <v>1389838.9482729391</v>
      </c>
      <c r="DO30" s="7">
        <v>609111.17262135481</v>
      </c>
      <c r="DP30" s="7">
        <v>467884.29557480058</v>
      </c>
      <c r="DQ30" s="7">
        <v>436790.72435668245</v>
      </c>
      <c r="DR30" s="7">
        <v>553475.74778882996</v>
      </c>
      <c r="DS30" s="7">
        <v>759832.45836252975</v>
      </c>
      <c r="DT30" s="7">
        <v>724517.81677226594</v>
      </c>
      <c r="DU30" s="7">
        <v>604671.35996221576</v>
      </c>
      <c r="DV30" s="7">
        <v>436813.76348380273</v>
      </c>
      <c r="DW30" s="7">
        <v>414638.8653804888</v>
      </c>
      <c r="DX30" s="7">
        <v>633711.27939637168</v>
      </c>
      <c r="DY30" s="208"/>
      <c r="DZ30" s="208"/>
      <c r="EA30" s="149"/>
      <c r="FH30" s="149"/>
      <c r="FK30" s="253">
        <v>2692.0282210201658</v>
      </c>
      <c r="FL30" s="177">
        <v>2737.3637780620161</v>
      </c>
      <c r="FM30" s="177">
        <v>2781.4859258073425</v>
      </c>
      <c r="FN30" s="259">
        <v>662.04608974066116</v>
      </c>
      <c r="FO30" s="259">
        <v>860.26687712661942</v>
      </c>
      <c r="FP30" s="259">
        <v>982.83854500615973</v>
      </c>
      <c r="FQ30"/>
      <c r="FS30" s="254"/>
    </row>
    <row r="31" spans="1:175" s="4" customFormat="1" ht="14.5" outlineLevel="1" x14ac:dyDescent="0.35">
      <c r="A31" s="295"/>
      <c r="B31" s="16" t="s">
        <v>13</v>
      </c>
      <c r="C31" s="7">
        <f t="shared" ref="C31:I31" si="24">IF(OR(C28="",C27=""),"",C27-C28)</f>
        <v>0.38250960519337501</v>
      </c>
      <c r="D31" s="7">
        <f t="shared" si="24"/>
        <v>592.84700439506275</v>
      </c>
      <c r="E31" s="7">
        <f t="shared" si="24"/>
        <v>-2965.0119374952683</v>
      </c>
      <c r="F31" s="7">
        <f t="shared" si="24"/>
        <v>-88615.635261659496</v>
      </c>
      <c r="G31" s="7">
        <f t="shared" si="24"/>
        <v>-71877.407040740771</v>
      </c>
      <c r="H31" s="7">
        <f t="shared" si="24"/>
        <v>-59244.873243221984</v>
      </c>
      <c r="I31" s="7">
        <f t="shared" si="24"/>
        <v>-35856.488237649261</v>
      </c>
      <c r="J31" s="7">
        <f>IF(OR(J28="",J27=""),"",J27-J28)</f>
        <v>-50022.933606677492</v>
      </c>
      <c r="K31" s="103" t="s">
        <v>84</v>
      </c>
      <c r="L31" s="103" t="s">
        <v>87</v>
      </c>
      <c r="M31" s="149"/>
      <c r="N31" s="149"/>
      <c r="O31" s="295"/>
      <c r="P31" s="16" t="s">
        <v>51</v>
      </c>
      <c r="Q31" s="20">
        <v>115732.97</v>
      </c>
      <c r="R31" s="20">
        <v>104574.51</v>
      </c>
      <c r="S31" s="20">
        <v>82818.98</v>
      </c>
      <c r="T31" s="20">
        <v>74005.649999999994</v>
      </c>
      <c r="U31" s="20">
        <v>97941.18</v>
      </c>
      <c r="V31" s="20">
        <v>131594.67000000001</v>
      </c>
      <c r="W31" s="20">
        <v>123527.13</v>
      </c>
      <c r="X31" s="20">
        <v>111322.95</v>
      </c>
      <c r="Y31" s="131">
        <v>75219.710000000006</v>
      </c>
      <c r="AB31" s="158"/>
      <c r="AC31" s="123"/>
      <c r="AD31" s="123"/>
      <c r="AE31" s="123"/>
      <c r="AF31" s="123"/>
      <c r="AG31" s="123"/>
      <c r="AH31" s="123"/>
      <c r="AI31" s="123"/>
      <c r="AJ31" s="123"/>
      <c r="BF31" s="149"/>
      <c r="BG31"/>
      <c r="BH31" s="58" t="s">
        <v>8</v>
      </c>
      <c r="BI31" s="29"/>
      <c r="BJ31" s="61">
        <v>2.5244400000000002E-3</v>
      </c>
      <c r="BK31" s="61">
        <v>2.8469900000000002E-3</v>
      </c>
      <c r="BL31" s="61">
        <v>2.0613900000000002E-3</v>
      </c>
      <c r="BM31" s="61">
        <v>2.3221700000000001E-3</v>
      </c>
      <c r="BN31" s="61">
        <v>2.1367399999999998E-3</v>
      </c>
      <c r="BO31" s="61">
        <v>2.2512299999999999E-3</v>
      </c>
      <c r="BP31" s="61">
        <v>2.2427200000000001E-3</v>
      </c>
      <c r="BQ31" s="61">
        <v>2.01659E-3</v>
      </c>
      <c r="BR31" s="61">
        <v>1.3954900000000001E-3</v>
      </c>
      <c r="BS31" s="61">
        <v>2.0509899999999999E-3</v>
      </c>
      <c r="BT31" s="61">
        <v>1.9323299999999999E-3</v>
      </c>
      <c r="BU31" s="61">
        <v>1.5E-3</v>
      </c>
      <c r="BY31" s="149"/>
      <c r="BZ31" s="295"/>
      <c r="CA31" s="17" t="s">
        <v>8</v>
      </c>
      <c r="CB31" s="215">
        <v>-36.92</v>
      </c>
      <c r="CC31" s="215">
        <v>-85.81</v>
      </c>
      <c r="CD31" s="215">
        <v>-96.32</v>
      </c>
      <c r="CE31" s="215">
        <v>-145.96</v>
      </c>
      <c r="CF31" s="215">
        <v>-396.3</v>
      </c>
      <c r="CG31" s="215">
        <v>-370.62</v>
      </c>
      <c r="CH31" s="215">
        <v>-570.75</v>
      </c>
      <c r="CK31" s="295"/>
      <c r="CL31" s="17" t="s">
        <v>8</v>
      </c>
      <c r="CM31" s="215">
        <v>-36.659999999999997</v>
      </c>
      <c r="CN31" s="215">
        <v>-84.37</v>
      </c>
      <c r="CO31" s="215">
        <v>-93.45</v>
      </c>
      <c r="CP31" s="215">
        <v>-140.4</v>
      </c>
      <c r="CQ31" s="215">
        <v>-381.85</v>
      </c>
      <c r="CR31" s="215">
        <v>-357.36</v>
      </c>
      <c r="CS31" s="215">
        <v>-549.62</v>
      </c>
      <c r="CW31" s="149"/>
      <c r="CX31" s="295"/>
      <c r="CY31" s="16" t="s">
        <v>13</v>
      </c>
      <c r="CZ31" s="7">
        <v>225839.38155908044</v>
      </c>
      <c r="DA31" s="7">
        <v>88725.423080529552</v>
      </c>
      <c r="DB31" s="7">
        <v>-396580.33258011495</v>
      </c>
      <c r="DC31" s="7">
        <v>-690184.64662341482</v>
      </c>
      <c r="DD31" s="7">
        <v>-288170.78241608408</v>
      </c>
      <c r="DE31" s="7">
        <v>-150227.57297345658</v>
      </c>
      <c r="DF31" s="7">
        <v>977242.2032522778</v>
      </c>
      <c r="DG31" s="7">
        <v>1076194.1040727836</v>
      </c>
      <c r="DH31" s="7">
        <v>1157980.4223658144</v>
      </c>
      <c r="DI31" s="7">
        <v>496271.50805298146</v>
      </c>
      <c r="DJ31" s="7">
        <v>-262709.69895831752</v>
      </c>
      <c r="DK31" s="7">
        <v>-61448.179122828762</v>
      </c>
      <c r="DL31" s="7">
        <v>-97910.102033826523</v>
      </c>
      <c r="DM31" s="7">
        <v>-305797.26770618651</v>
      </c>
      <c r="DN31" s="7">
        <v>-147582.25819023745</v>
      </c>
      <c r="DO31" s="7">
        <v>-142406.98179687787</v>
      </c>
      <c r="DP31" s="7">
        <v>-56797.649592227943</v>
      </c>
      <c r="DQ31" s="7">
        <v>23815.937637465715</v>
      </c>
      <c r="DR31" s="7">
        <v>904559.60754772858</v>
      </c>
      <c r="DS31" s="7">
        <v>1105567.1243381908</v>
      </c>
      <c r="DT31" s="7">
        <v>1064689.7667756402</v>
      </c>
      <c r="DU31" s="7">
        <v>625990.25765233708</v>
      </c>
      <c r="DV31" s="125">
        <v>-100972.62667034866</v>
      </c>
      <c r="DW31" s="7">
        <v>96776.844755683327</v>
      </c>
      <c r="DX31" s="7">
        <v>23888.381840004819</v>
      </c>
      <c r="DY31" s="208"/>
      <c r="DZ31" s="208"/>
      <c r="EA31" s="149"/>
      <c r="FB31" s="288"/>
      <c r="FC31" s="288"/>
      <c r="FH31" s="149"/>
      <c r="FK31" s="261"/>
      <c r="FL31"/>
      <c r="FM31" s="58" t="s">
        <v>130</v>
      </c>
      <c r="FN31" s="177">
        <v>571.87936483195176</v>
      </c>
      <c r="FO31" s="177">
        <v>743.10366438362848</v>
      </c>
      <c r="FP31" s="177">
        <v>848.98180286912691</v>
      </c>
      <c r="FQ31"/>
      <c r="FS31" s="254"/>
    </row>
    <row r="32" spans="1:175" s="4" customFormat="1" ht="15" outlineLevel="1" thickBot="1" x14ac:dyDescent="0.4">
      <c r="A32" s="295"/>
      <c r="B32" s="17" t="s">
        <v>8</v>
      </c>
      <c r="C32" s="7">
        <f>ROUND((C31+0)*'MEEIA 3 calcs'!F9/12,2)</f>
        <v>0</v>
      </c>
      <c r="D32" s="7">
        <f>ROUND((D31+C34)*'MEEIA 3 calcs'!G9/12,2)</f>
        <v>1.32</v>
      </c>
      <c r="E32" s="7">
        <f>ROUND((E31+D34)*'MEEIA 3 calcs'!H9/12,2)</f>
        <v>-5.29</v>
      </c>
      <c r="F32" s="7">
        <f>ROUND((F31+E34)*'MEEIA 3 calcs'!I9/12,2)</f>
        <v>-200.94</v>
      </c>
      <c r="G32" s="7">
        <f>ROUND((G31+F34)*'MEEIA 3 calcs'!J9/12,2)</f>
        <v>-352.62</v>
      </c>
      <c r="H32" s="7">
        <f>ROUND((H31+G34)*'MEEIA 3 calcs'!K9/12,2)</f>
        <v>-436.28</v>
      </c>
      <c r="I32" s="7">
        <f>ROUND((I31+H34)*'MEEIA 3 calcs'!L9/12,2)</f>
        <v>-478.4</v>
      </c>
      <c r="J32" s="7">
        <f>ROUND((J31+I34)*'MEEIA 3 calcs'!M9/12,2)</f>
        <v>-545.15</v>
      </c>
      <c r="K32" s="104">
        <f>SUM('MEEIA 3 calcs'!F52:M52)</f>
        <v>-2112.7799999999997</v>
      </c>
      <c r="L32" s="112">
        <f>SUM(C32:J32)-K32</f>
        <v>95.419999999999618</v>
      </c>
      <c r="M32" s="149"/>
      <c r="N32" s="149"/>
      <c r="O32" s="295"/>
      <c r="P32" s="16" t="s">
        <v>52</v>
      </c>
      <c r="Q32" s="7">
        <v>590056.021634734</v>
      </c>
      <c r="R32" s="7">
        <v>533384.76716296654</v>
      </c>
      <c r="S32" s="7">
        <v>422165.3149165514</v>
      </c>
      <c r="T32" s="7">
        <v>376930.70162387798</v>
      </c>
      <c r="U32" s="7">
        <v>497530.9278657817</v>
      </c>
      <c r="V32" s="7">
        <v>667644.40122413775</v>
      </c>
      <c r="W32" s="7">
        <v>626838.17413038632</v>
      </c>
      <c r="X32" s="7">
        <v>565053.06803544634</v>
      </c>
      <c r="Y32" s="7">
        <v>382914.64026905363</v>
      </c>
      <c r="AB32" s="158"/>
      <c r="AC32" s="123"/>
      <c r="AD32" s="123"/>
      <c r="AE32" s="123"/>
      <c r="AF32" s="123"/>
      <c r="AG32" s="123"/>
      <c r="AH32" s="123"/>
      <c r="AI32" s="123"/>
      <c r="AJ32" s="123"/>
      <c r="BF32" s="149"/>
      <c r="BG32" s="296" t="s">
        <v>65</v>
      </c>
      <c r="BH32" s="84"/>
      <c r="BI32" s="8">
        <v>0</v>
      </c>
      <c r="BJ32" s="151">
        <v>-50000</v>
      </c>
      <c r="BK32" s="29"/>
      <c r="BL32" s="29"/>
      <c r="BM32" s="29"/>
      <c r="BN32" s="29"/>
      <c r="BO32" s="29"/>
      <c r="BP32" s="29"/>
      <c r="BQ32" s="29"/>
      <c r="BR32" s="29"/>
      <c r="BS32" s="29"/>
      <c r="BT32" s="29"/>
      <c r="BU32" s="151">
        <v>-153732.06</v>
      </c>
      <c r="BY32" s="149"/>
      <c r="BZ32" s="295"/>
      <c r="CA32" s="16" t="s">
        <v>14</v>
      </c>
      <c r="CB32" s="215">
        <v>-55512.312619436314</v>
      </c>
      <c r="CC32" s="215">
        <v>-66726.050037982175</v>
      </c>
      <c r="CD32" s="215">
        <v>-51028.121916664524</v>
      </c>
      <c r="CE32" s="215">
        <v>-159044.82501364034</v>
      </c>
      <c r="CF32" s="215">
        <v>-133597.48728040844</v>
      </c>
      <c r="CG32" s="215">
        <v>-80261.388793329956</v>
      </c>
      <c r="CH32" s="215">
        <v>-10166.371722205135</v>
      </c>
      <c r="CK32" s="295"/>
      <c r="CL32" s="16" t="s">
        <v>14</v>
      </c>
      <c r="CM32" s="215">
        <v>-53421.136483059119</v>
      </c>
      <c r="CN32" s="215">
        <v>-62156.997832325906</v>
      </c>
      <c r="CO32" s="215">
        <v>-42990.939087362014</v>
      </c>
      <c r="CP32" s="215">
        <v>-151197.5373347337</v>
      </c>
      <c r="CQ32" s="215">
        <v>-130932.90954547751</v>
      </c>
      <c r="CR32" s="215">
        <v>-78946.303574472317</v>
      </c>
      <c r="CS32" s="215">
        <v>-9974.2921917521799</v>
      </c>
      <c r="CW32" s="149"/>
      <c r="CX32" s="295"/>
      <c r="CY32" s="17" t="s">
        <v>8</v>
      </c>
      <c r="CZ32" s="7">
        <v>456.88</v>
      </c>
      <c r="DA32" s="7">
        <v>510.01</v>
      </c>
      <c r="DB32" s="7">
        <v>456.43</v>
      </c>
      <c r="DC32" s="7">
        <v>247.66</v>
      </c>
      <c r="DD32" s="7">
        <v>171.71</v>
      </c>
      <c r="DE32" s="7">
        <v>110.07</v>
      </c>
      <c r="DF32" s="7">
        <v>224.36</v>
      </c>
      <c r="DG32" s="7">
        <v>244.92</v>
      </c>
      <c r="DH32" s="7">
        <v>504.66</v>
      </c>
      <c r="DI32" s="7">
        <v>506.17</v>
      </c>
      <c r="DJ32" s="7">
        <v>333.65</v>
      </c>
      <c r="DK32" s="7">
        <v>307.63</v>
      </c>
      <c r="DL32" s="7">
        <v>447.85</v>
      </c>
      <c r="DM32" s="7">
        <v>280.7</v>
      </c>
      <c r="DN32" s="7">
        <v>251.29</v>
      </c>
      <c r="DO32" s="7">
        <v>435.28</v>
      </c>
      <c r="DP32" s="7">
        <v>306.17</v>
      </c>
      <c r="DQ32" s="7">
        <v>436.32</v>
      </c>
      <c r="DR32" s="7">
        <v>1669.89</v>
      </c>
      <c r="DS32" s="7">
        <v>3955.25</v>
      </c>
      <c r="DT32" s="7">
        <v>6912.87</v>
      </c>
      <c r="DU32" s="7">
        <v>8881.91</v>
      </c>
      <c r="DV32" s="7">
        <v>10335.17</v>
      </c>
      <c r="DW32" s="7">
        <v>12862.03</v>
      </c>
      <c r="DX32" s="7">
        <v>13527.2</v>
      </c>
      <c r="DY32" s="208">
        <f>SUM('MEEIA 3 calcs'!AA32:AY32)</f>
        <v>64573.87</v>
      </c>
      <c r="DZ32" s="223">
        <f>SUM(CZ32:DX32)-DY32</f>
        <v>-197.79000000000087</v>
      </c>
      <c r="EA32" s="149"/>
      <c r="EZ32" s="289"/>
      <c r="FA32" s="290"/>
      <c r="FB32" s="291"/>
      <c r="FC32" s="292"/>
      <c r="FH32" s="149"/>
      <c r="FK32" s="262"/>
      <c r="FL32" s="82"/>
      <c r="FM32" s="263" t="s">
        <v>138</v>
      </c>
      <c r="FN32" s="264">
        <v>90.166724908709398</v>
      </c>
      <c r="FO32" s="264">
        <v>117.16321274299094</v>
      </c>
      <c r="FP32" s="264">
        <v>133.85674213703282</v>
      </c>
      <c r="FQ32" s="265" t="s">
        <v>139</v>
      </c>
      <c r="FR32" s="266"/>
      <c r="FS32" s="267"/>
    </row>
    <row r="33" spans="1:164" s="4" customFormat="1" ht="14.5" outlineLevel="1" x14ac:dyDescent="0.35">
      <c r="A33" s="295"/>
      <c r="B33" s="16" t="s">
        <v>14</v>
      </c>
      <c r="C33" s="7">
        <f t="shared" ref="C33:J33" si="25">IF(OR(C31="",C32=""),"",C31+C32)</f>
        <v>0.38250960519337501</v>
      </c>
      <c r="D33" s="7">
        <f t="shared" si="25"/>
        <v>594.1670043950628</v>
      </c>
      <c r="E33" s="7">
        <f t="shared" si="25"/>
        <v>-2970.3019374952682</v>
      </c>
      <c r="F33" s="7">
        <f t="shared" si="25"/>
        <v>-88816.575261659498</v>
      </c>
      <c r="G33" s="7">
        <f t="shared" si="25"/>
        <v>-72230.027040740766</v>
      </c>
      <c r="H33" s="7">
        <f t="shared" si="25"/>
        <v>-59681.153243221983</v>
      </c>
      <c r="I33" s="7">
        <f t="shared" si="25"/>
        <v>-36334.888237649262</v>
      </c>
      <c r="J33" s="7">
        <f t="shared" si="25"/>
        <v>-50568.083606677494</v>
      </c>
      <c r="M33" s="149"/>
      <c r="N33" s="149"/>
      <c r="O33" s="295"/>
      <c r="P33" s="16" t="s">
        <v>13</v>
      </c>
      <c r="Q33" s="7">
        <v>86133.198655375512</v>
      </c>
      <c r="R33" s="7">
        <v>-70294.251757633756</v>
      </c>
      <c r="S33" s="7">
        <v>-209165.47822788436</v>
      </c>
      <c r="T33" s="7">
        <v>-137615.28236749448</v>
      </c>
      <c r="U33" s="7">
        <v>248433.71193049941</v>
      </c>
      <c r="V33" s="7">
        <v>354316.74050838663</v>
      </c>
      <c r="W33" s="7">
        <v>594302.11378261668</v>
      </c>
      <c r="X33" s="7">
        <v>473881.47595819214</v>
      </c>
      <c r="Y33" s="7">
        <v>73938.549640369252</v>
      </c>
      <c r="Z33" s="103" t="s">
        <v>84</v>
      </c>
      <c r="AA33" s="103" t="s">
        <v>87</v>
      </c>
      <c r="AB33" s="158"/>
      <c r="AC33" s="123"/>
      <c r="AD33" s="123"/>
      <c r="AE33" s="123"/>
      <c r="AF33" s="123"/>
      <c r="AG33" s="123"/>
      <c r="AH33" s="123"/>
      <c r="AI33" s="123"/>
      <c r="AJ33" s="123"/>
      <c r="AK33" s="134"/>
      <c r="BF33" s="149"/>
      <c r="BG33" s="296"/>
      <c r="BH33" s="84" t="s">
        <v>66</v>
      </c>
      <c r="BI33" s="8">
        <v>0</v>
      </c>
      <c r="BJ33" s="22">
        <v>0</v>
      </c>
      <c r="BK33" s="22">
        <v>0</v>
      </c>
      <c r="BL33" s="22">
        <v>0</v>
      </c>
      <c r="BM33" s="22">
        <v>0</v>
      </c>
      <c r="BN33" s="22">
        <v>0</v>
      </c>
      <c r="BO33" s="22">
        <v>0</v>
      </c>
      <c r="BP33" s="22">
        <v>0</v>
      </c>
      <c r="BQ33" s="22">
        <v>0</v>
      </c>
      <c r="BR33" s="22">
        <v>0</v>
      </c>
      <c r="BS33" s="22">
        <v>0</v>
      </c>
      <c r="BT33" s="22">
        <v>0</v>
      </c>
      <c r="BU33" s="22">
        <v>0</v>
      </c>
      <c r="BY33" s="149"/>
      <c r="BZ33" s="295"/>
      <c r="CA33" s="18" t="s">
        <v>16</v>
      </c>
      <c r="CB33" s="215">
        <v>-289230.94684451108</v>
      </c>
      <c r="CC33" s="215">
        <v>-395446.64688249328</v>
      </c>
      <c r="CD33" s="215">
        <v>-493108.69879915781</v>
      </c>
      <c r="CE33" s="215">
        <v>-592181.6438127982</v>
      </c>
      <c r="CF33" s="215">
        <v>-691318.92109320662</v>
      </c>
      <c r="CG33" s="215">
        <v>-741098.19988653657</v>
      </c>
      <c r="CH33" s="215">
        <v>-721741.14160874172</v>
      </c>
      <c r="CK33" s="295"/>
      <c r="CL33" s="18" t="s">
        <v>16</v>
      </c>
      <c r="CM33" s="215">
        <v>-287139.77070813393</v>
      </c>
      <c r="CN33" s="215">
        <v>-388786.41854045982</v>
      </c>
      <c r="CO33" s="215">
        <v>-478411.28762782185</v>
      </c>
      <c r="CP33" s="215">
        <v>-569636.94496255554</v>
      </c>
      <c r="CQ33" s="215">
        <v>-666109.64450803306</v>
      </c>
      <c r="CR33" s="215">
        <v>-714573.83808250539</v>
      </c>
      <c r="CS33" s="215">
        <v>-695024.70027425757</v>
      </c>
      <c r="CW33" s="149"/>
      <c r="CX33" s="295"/>
      <c r="CY33" s="16" t="s">
        <v>14</v>
      </c>
      <c r="CZ33" s="7">
        <v>226296.26155908045</v>
      </c>
      <c r="DA33" s="7">
        <v>89235.433080529547</v>
      </c>
      <c r="DB33" s="7">
        <v>-396123.90258011495</v>
      </c>
      <c r="DC33" s="7">
        <v>-689936.98662341479</v>
      </c>
      <c r="DD33" s="7">
        <v>-287999.07241608406</v>
      </c>
      <c r="DE33" s="7">
        <v>-150117.50297345658</v>
      </c>
      <c r="DF33" s="7">
        <v>977466.56325227779</v>
      </c>
      <c r="DG33" s="7">
        <v>1076439.0240727835</v>
      </c>
      <c r="DH33" s="7">
        <v>1158485.0823658144</v>
      </c>
      <c r="DI33" s="7">
        <v>496777.67805298144</v>
      </c>
      <c r="DJ33" s="7">
        <v>-262376.04895831749</v>
      </c>
      <c r="DK33" s="7">
        <v>-61140.549122828765</v>
      </c>
      <c r="DL33" s="7">
        <v>-97462.252033826517</v>
      </c>
      <c r="DM33" s="7">
        <v>-305516.5677061865</v>
      </c>
      <c r="DN33" s="7">
        <v>-147330.96819023744</v>
      </c>
      <c r="DO33" s="7">
        <v>-141971.70179687787</v>
      </c>
      <c r="DP33" s="7">
        <v>-56491.479592227945</v>
      </c>
      <c r="DQ33" s="7">
        <v>24252.257637465715</v>
      </c>
      <c r="DR33" s="7">
        <v>906229.49754772859</v>
      </c>
      <c r="DS33" s="7">
        <v>1109522.3743381908</v>
      </c>
      <c r="DT33" s="7">
        <v>1071602.6367756403</v>
      </c>
      <c r="DU33" s="7">
        <v>634872.16765233711</v>
      </c>
      <c r="DV33" s="7">
        <v>-90637.456670348663</v>
      </c>
      <c r="DW33" s="7">
        <v>109638.87475568333</v>
      </c>
      <c r="DX33" s="7">
        <v>37415.581840004816</v>
      </c>
      <c r="DY33" s="208"/>
      <c r="DZ33" s="208"/>
      <c r="EA33" s="149"/>
      <c r="EZ33" s="289"/>
      <c r="FA33" s="290"/>
      <c r="FB33" s="291"/>
      <c r="FC33" s="292"/>
      <c r="FH33" s="149"/>
    </row>
    <row r="34" spans="1:164" s="4" customFormat="1" ht="14.5" outlineLevel="1" x14ac:dyDescent="0.35">
      <c r="A34" s="295"/>
      <c r="B34" s="18" t="s">
        <v>17</v>
      </c>
      <c r="C34" s="7">
        <f>IF(OR(C33=""),"",C33)</f>
        <v>0.38250960519337501</v>
      </c>
      <c r="D34" s="7">
        <f t="shared" ref="D34:J34" si="26">IF(OR(D33="",C34=""),"",D33+C34)</f>
        <v>594.54951400025618</v>
      </c>
      <c r="E34" s="7">
        <f t="shared" si="26"/>
        <v>-2375.752423495012</v>
      </c>
      <c r="F34" s="7">
        <f t="shared" si="26"/>
        <v>-91192.327685154509</v>
      </c>
      <c r="G34" s="7">
        <f t="shared" si="26"/>
        <v>-163422.35472589527</v>
      </c>
      <c r="H34" s="7">
        <f t="shared" si="26"/>
        <v>-223103.50796911726</v>
      </c>
      <c r="I34" s="7">
        <f t="shared" si="26"/>
        <v>-259438.39620676651</v>
      </c>
      <c r="J34" s="7">
        <f t="shared" si="26"/>
        <v>-310006.47981344402</v>
      </c>
      <c r="M34" s="149"/>
      <c r="N34" s="149"/>
      <c r="O34" s="295"/>
      <c r="P34" s="17" t="s">
        <v>8</v>
      </c>
      <c r="Q34" s="7">
        <v>-2.91</v>
      </c>
      <c r="R34" s="7">
        <v>50.9</v>
      </c>
      <c r="S34" s="7">
        <v>-73.48</v>
      </c>
      <c r="T34" s="7">
        <v>-16.95</v>
      </c>
      <c r="U34" s="7">
        <v>19.760000000000002</v>
      </c>
      <c r="V34" s="7">
        <v>108.88</v>
      </c>
      <c r="W34" s="7">
        <v>158.51</v>
      </c>
      <c r="X34" s="7">
        <v>204.25</v>
      </c>
      <c r="Y34" s="7">
        <v>354.55</v>
      </c>
      <c r="Z34" s="104">
        <v>321.81</v>
      </c>
      <c r="AA34" s="112">
        <v>481.7</v>
      </c>
      <c r="AB34" s="158"/>
      <c r="AC34" s="123"/>
      <c r="AD34" s="123"/>
      <c r="AE34" s="123"/>
      <c r="AF34" s="123"/>
      <c r="AG34" s="123"/>
      <c r="AH34" s="123"/>
      <c r="AI34" s="123"/>
      <c r="AJ34" s="123"/>
      <c r="AK34" s="135"/>
      <c r="BF34" s="149"/>
      <c r="BG34" s="296"/>
      <c r="BH34" s="84" t="s">
        <v>67</v>
      </c>
      <c r="BI34" s="8">
        <v>0</v>
      </c>
      <c r="BJ34" s="8">
        <f>IF(OR(BJ33=""),"",BJ32-BJ33)</f>
        <v>-50000</v>
      </c>
      <c r="BK34" s="8">
        <f>IF(OR(BK33=""),"",BK32-BK33)</f>
        <v>0</v>
      </c>
      <c r="BL34" s="8">
        <f t="shared" ref="BL34:BU34" si="27">IF(OR(BL33=""),"",BL32-BL33)</f>
        <v>0</v>
      </c>
      <c r="BM34" s="8">
        <f t="shared" si="27"/>
        <v>0</v>
      </c>
      <c r="BN34" s="8">
        <f t="shared" si="27"/>
        <v>0</v>
      </c>
      <c r="BO34" s="8">
        <f t="shared" si="27"/>
        <v>0</v>
      </c>
      <c r="BP34" s="8">
        <f t="shared" si="27"/>
        <v>0</v>
      </c>
      <c r="BQ34" s="8">
        <f t="shared" si="27"/>
        <v>0</v>
      </c>
      <c r="BR34" s="8">
        <f t="shared" si="27"/>
        <v>0</v>
      </c>
      <c r="BS34" s="8">
        <f t="shared" si="27"/>
        <v>0</v>
      </c>
      <c r="BT34" s="8">
        <f t="shared" si="27"/>
        <v>0</v>
      </c>
      <c r="BU34" s="8">
        <f t="shared" si="27"/>
        <v>-153732.06</v>
      </c>
      <c r="BV34" s="103" t="s">
        <v>84</v>
      </c>
      <c r="BW34" s="103" t="s">
        <v>87</v>
      </c>
      <c r="BY34" s="149"/>
      <c r="BZ34" s="40"/>
      <c r="CA34" s="11"/>
      <c r="CB34" s="2"/>
      <c r="CC34" s="2"/>
      <c r="CD34" s="2"/>
      <c r="CE34" s="2"/>
      <c r="CF34" s="2"/>
      <c r="CG34" s="2"/>
      <c r="CH34" s="2"/>
      <c r="CK34" s="40"/>
      <c r="CL34" s="11"/>
      <c r="CM34" s="2"/>
      <c r="CN34" s="2"/>
      <c r="CO34" s="2"/>
      <c r="CP34" s="2"/>
      <c r="CQ34" s="2"/>
      <c r="CR34" s="2"/>
      <c r="CS34" s="2"/>
      <c r="CW34" s="149"/>
      <c r="CX34" s="295"/>
      <c r="CY34" s="18" t="s">
        <v>15</v>
      </c>
      <c r="CZ34" s="7">
        <v>2741729.6655055969</v>
      </c>
      <c r="DA34" s="7">
        <v>2969434.8785861265</v>
      </c>
      <c r="DB34" s="7">
        <v>2359101.1360060116</v>
      </c>
      <c r="DC34" s="7">
        <v>1391099.2193825969</v>
      </c>
      <c r="DD34" s="7">
        <v>915470.97696651286</v>
      </c>
      <c r="DE34" s="7">
        <v>589069.76399305626</v>
      </c>
      <c r="DF34" s="7">
        <v>1335313.0572453341</v>
      </c>
      <c r="DG34" s="7">
        <v>2106328.3513181177</v>
      </c>
      <c r="DH34" s="7">
        <v>2953198.4236839321</v>
      </c>
      <c r="DI34" s="7">
        <v>3143883.6517369132</v>
      </c>
      <c r="DJ34" s="7">
        <v>2669539.5027785958</v>
      </c>
      <c r="DK34" s="7">
        <v>2409770.3236557669</v>
      </c>
      <c r="DL34" s="7">
        <v>2063779.1416219403</v>
      </c>
      <c r="DM34" s="7">
        <v>1437023.5339157539</v>
      </c>
      <c r="DN34" s="7">
        <v>1019517.1157255165</v>
      </c>
      <c r="DO34" s="7">
        <v>759313.2039286386</v>
      </c>
      <c r="DP34" s="7">
        <v>612216.85433641064</v>
      </c>
      <c r="DQ34" s="7">
        <v>551746.9019738764</v>
      </c>
      <c r="DR34" s="7">
        <v>1350290.4395216051</v>
      </c>
      <c r="DS34" s="7">
        <v>2311690.1238597957</v>
      </c>
      <c r="DT34" s="7">
        <v>3242196.7906354358</v>
      </c>
      <c r="DU34" s="7">
        <v>3759560.3082877728</v>
      </c>
      <c r="DV34" s="7">
        <v>3584335.1416174243</v>
      </c>
      <c r="DW34" s="7">
        <v>3613908.4163731076</v>
      </c>
      <c r="DX34" s="7">
        <v>3528909.0382131124</v>
      </c>
      <c r="DY34" s="208"/>
      <c r="DZ34" s="208"/>
      <c r="EA34" s="149"/>
      <c r="EZ34" s="289"/>
      <c r="FA34" s="216"/>
      <c r="FC34" s="292"/>
      <c r="FH34" s="149"/>
    </row>
    <row r="35" spans="1:164" s="4" customFormat="1" ht="16.5" customHeight="1" outlineLevel="1" x14ac:dyDescent="0.35">
      <c r="A35" s="40"/>
      <c r="B35" s="11"/>
      <c r="C35" s="12"/>
      <c r="D35" s="12"/>
      <c r="E35" s="12"/>
      <c r="F35" s="12"/>
      <c r="G35" s="12"/>
      <c r="H35" s="12"/>
      <c r="I35" s="12"/>
      <c r="J35" s="12"/>
      <c r="M35" s="149"/>
      <c r="N35" s="149"/>
      <c r="O35" s="295"/>
      <c r="P35" s="16" t="s">
        <v>14</v>
      </c>
      <c r="Q35" s="7">
        <v>86130.288655375509</v>
      </c>
      <c r="R35" s="7">
        <v>-70243.351757633762</v>
      </c>
      <c r="S35" s="7">
        <v>-209238.95822788437</v>
      </c>
      <c r="T35" s="7">
        <v>-137632.23236749449</v>
      </c>
      <c r="U35" s="7">
        <v>248453.47193049942</v>
      </c>
      <c r="V35" s="7">
        <v>354425.62050838664</v>
      </c>
      <c r="W35" s="7">
        <v>594460.62378261669</v>
      </c>
      <c r="X35" s="7">
        <v>474085.72595819214</v>
      </c>
      <c r="Y35" s="7">
        <v>74293.099640369255</v>
      </c>
      <c r="AB35" s="158"/>
      <c r="AC35" s="123"/>
      <c r="AD35" s="123"/>
      <c r="AE35" s="123"/>
      <c r="AF35" s="123"/>
      <c r="AG35" s="123"/>
      <c r="AH35" s="123"/>
      <c r="AI35" s="123"/>
      <c r="AJ35" s="123"/>
      <c r="BF35" s="149"/>
      <c r="BG35" s="296"/>
      <c r="BH35" s="85" t="s">
        <v>8</v>
      </c>
      <c r="BI35" s="8">
        <v>0</v>
      </c>
      <c r="BJ35" s="8">
        <f>IF(OR(BJ31="",BJ34=""),"",((BJ34+BI38)*BJ31)/12)</f>
        <v>-10.518500000000001</v>
      </c>
      <c r="BK35" s="8">
        <f>IF(OR(BK31="",BK34=""),"",((BK34+BJ38)*BK31)/12)</f>
        <v>-11.864953838692918</v>
      </c>
      <c r="BL35" s="8">
        <f t="shared" ref="BL35:BU35" si="28">IF(OR(BL31="",BL34=""),"",((BL34+BK38)*BL31)/12)</f>
        <v>-8.5929700856590454</v>
      </c>
      <c r="BM35" s="8">
        <f t="shared" si="28"/>
        <v>-9.6817027101953688</v>
      </c>
      <c r="BN35" s="8">
        <f t="shared" si="28"/>
        <v>-8.9103229871254239</v>
      </c>
      <c r="BO35" s="8">
        <f t="shared" si="28"/>
        <v>-9.3894241650701495</v>
      </c>
      <c r="BP35" s="8">
        <f t="shared" si="28"/>
        <v>-9.3556855002249169</v>
      </c>
      <c r="BQ35" s="8">
        <f t="shared" si="28"/>
        <v>-8.4139383700435406</v>
      </c>
      <c r="BR35" s="8">
        <f t="shared" si="28"/>
        <v>-5.8234643713087815</v>
      </c>
      <c r="BS35" s="8">
        <f t="shared" si="28"/>
        <v>-8.5599009331342053</v>
      </c>
      <c r="BT35" s="8">
        <f t="shared" si="28"/>
        <v>-8.0660463544855254</v>
      </c>
      <c r="BU35" s="8">
        <f t="shared" si="28"/>
        <v>-25.478904613664493</v>
      </c>
      <c r="BV35" s="45">
        <f>SUM('MEEIA 3 calcs'!$AC$79:$AK$79)</f>
        <v>-93.633286691266136</v>
      </c>
      <c r="BW35" s="209">
        <f>SUM(BJ35:BU35)-BV35</f>
        <v>-31.022527238338242</v>
      </c>
      <c r="BY35" s="149"/>
      <c r="BZ35" s="295" t="s">
        <v>22</v>
      </c>
      <c r="CA35" s="15"/>
      <c r="CB35" s="2"/>
      <c r="CC35" s="2"/>
      <c r="CD35" s="2"/>
      <c r="CE35" s="2"/>
      <c r="CF35" s="2"/>
      <c r="CG35" s="2"/>
      <c r="CH35" s="2"/>
      <c r="CK35" s="295" t="s">
        <v>22</v>
      </c>
      <c r="CL35" s="15"/>
      <c r="CM35" s="2"/>
      <c r="CN35" s="2"/>
      <c r="CO35" s="2"/>
      <c r="CP35" s="2"/>
      <c r="CQ35" s="2"/>
      <c r="CR35" s="2"/>
      <c r="CS35" s="2"/>
      <c r="CW35" s="149"/>
      <c r="CX35" s="40"/>
      <c r="CY35" s="11"/>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208"/>
      <c r="DZ35" s="208"/>
      <c r="EA35" s="149"/>
      <c r="FH35" s="149"/>
    </row>
    <row r="36" spans="1:164" s="4" customFormat="1" ht="15" customHeight="1" outlineLevel="1" x14ac:dyDescent="0.35">
      <c r="A36" s="295" t="s">
        <v>23</v>
      </c>
      <c r="B36" s="15"/>
      <c r="C36" s="7"/>
      <c r="D36" s="7"/>
      <c r="E36" s="7"/>
      <c r="F36" s="7"/>
      <c r="G36" s="7"/>
      <c r="H36" s="7"/>
      <c r="I36" s="7"/>
      <c r="J36" s="7"/>
      <c r="M36" s="149"/>
      <c r="N36" s="149"/>
      <c r="O36" s="295"/>
      <c r="P36" s="18" t="s">
        <v>15</v>
      </c>
      <c r="Q36" s="7">
        <v>-1937.7221135914442</v>
      </c>
      <c r="R36" s="7">
        <v>32393.436128774789</v>
      </c>
      <c r="S36" s="7">
        <v>-94026.542099109589</v>
      </c>
      <c r="T36" s="7">
        <v>-157653.12446660409</v>
      </c>
      <c r="U36" s="7">
        <v>188741.52746389533</v>
      </c>
      <c r="V36" s="7">
        <v>674761.81797228195</v>
      </c>
      <c r="W36" s="7">
        <v>1392749.5717548986</v>
      </c>
      <c r="X36" s="7">
        <v>1978158.2477130909</v>
      </c>
      <c r="Y36" s="7">
        <v>2127671.0573534602</v>
      </c>
      <c r="AB36" s="158"/>
      <c r="AC36" s="123"/>
      <c r="AD36" s="123"/>
      <c r="AE36" s="123"/>
      <c r="AF36" s="123"/>
      <c r="AG36" s="123"/>
      <c r="AH36" s="123"/>
      <c r="AI36" s="123"/>
      <c r="AJ36" s="123"/>
      <c r="BF36" s="149"/>
      <c r="BG36" s="296"/>
      <c r="BH36" s="85" t="s">
        <v>6</v>
      </c>
      <c r="BI36" s="8">
        <v>0</v>
      </c>
      <c r="BJ36" s="8">
        <f>IF(OR(BI36="",BJ35=""),"",BI36+BJ35)</f>
        <v>-10.518500000000001</v>
      </c>
      <c r="BK36" s="8">
        <f>IF(OR(BJ36="",BK35=""),"",BJ36+BK35)</f>
        <v>-22.383453838692919</v>
      </c>
      <c r="BL36" s="8">
        <f t="shared" ref="BL36:BU36" si="29">IF(OR(BK36="",BL35=""),"",BK36+BL35)</f>
        <v>-30.976423924351963</v>
      </c>
      <c r="BM36" s="8">
        <f t="shared" si="29"/>
        <v>-40.65812663454733</v>
      </c>
      <c r="BN36" s="8">
        <f t="shared" si="29"/>
        <v>-49.568449621672755</v>
      </c>
      <c r="BO36" s="8">
        <f t="shared" si="29"/>
        <v>-58.957873786742908</v>
      </c>
      <c r="BP36" s="8">
        <f t="shared" si="29"/>
        <v>-68.313559286967831</v>
      </c>
      <c r="BQ36" s="8">
        <f t="shared" si="29"/>
        <v>-76.727497657011369</v>
      </c>
      <c r="BR36" s="8">
        <f t="shared" si="29"/>
        <v>-82.550962028320157</v>
      </c>
      <c r="BS36" s="8">
        <f t="shared" si="29"/>
        <v>-91.110862961454359</v>
      </c>
      <c r="BT36" s="8">
        <f t="shared" si="29"/>
        <v>-99.176909315939881</v>
      </c>
      <c r="BU36" s="8">
        <f t="shared" si="29"/>
        <v>-124.65581392960438</v>
      </c>
      <c r="BY36" s="149"/>
      <c r="BZ36" s="295"/>
      <c r="CA36" s="15" t="s">
        <v>28</v>
      </c>
      <c r="CB36" s="215">
        <v>343727.65210763505</v>
      </c>
      <c r="CC36" s="215">
        <v>418850.04670264991</v>
      </c>
      <c r="CD36" s="215">
        <v>627056.98298263596</v>
      </c>
      <c r="CE36" s="215">
        <v>475288.11809378932</v>
      </c>
      <c r="CF36" s="215">
        <v>288997.35659879085</v>
      </c>
      <c r="CG36" s="215">
        <v>253245.26358346242</v>
      </c>
      <c r="CH36" s="215">
        <v>337719.24594805558</v>
      </c>
      <c r="CK36" s="295"/>
      <c r="CL36" s="15" t="s">
        <v>28</v>
      </c>
      <c r="CM36" s="215">
        <v>346863.60736251896</v>
      </c>
      <c r="CN36" s="215">
        <v>425347.38911170891</v>
      </c>
      <c r="CO36" s="215">
        <v>637376.30236025481</v>
      </c>
      <c r="CP36" s="215">
        <v>484892.17267486599</v>
      </c>
      <c r="CQ36" s="215">
        <v>292490.26913272648</v>
      </c>
      <c r="CR36" s="215">
        <v>255072.04713250711</v>
      </c>
      <c r="CS36" s="215">
        <v>337988.09514378215</v>
      </c>
      <c r="CW36" s="149"/>
      <c r="CX36" s="295" t="s">
        <v>21</v>
      </c>
      <c r="CY36" s="15"/>
      <c r="CZ36" s="7"/>
      <c r="DA36" s="7"/>
      <c r="DB36" s="7"/>
      <c r="DC36" s="7"/>
      <c r="DD36" s="7"/>
      <c r="DE36" s="7"/>
      <c r="DF36" s="7"/>
      <c r="DG36" s="7"/>
      <c r="DH36" s="7"/>
      <c r="DI36" s="7"/>
      <c r="DJ36" s="7"/>
      <c r="DK36" s="7"/>
      <c r="DL36" s="7"/>
      <c r="DM36" s="7"/>
      <c r="DN36" s="7"/>
      <c r="DO36" s="7"/>
      <c r="DP36" s="7"/>
      <c r="DQ36" s="7"/>
      <c r="DR36" s="7"/>
      <c r="DS36" s="7"/>
      <c r="DT36" s="7"/>
      <c r="DU36" s="7"/>
      <c r="DV36" s="125">
        <v>26657.471334484057</v>
      </c>
      <c r="DW36" s="7"/>
      <c r="DX36" s="7"/>
      <c r="DY36" s="208"/>
      <c r="DZ36" s="208"/>
      <c r="EA36" s="149"/>
      <c r="FH36" s="149"/>
    </row>
    <row r="37" spans="1:164" s="2" customFormat="1" ht="15" customHeight="1" outlineLevel="1" x14ac:dyDescent="0.35">
      <c r="A37" s="295"/>
      <c r="B37" s="15" t="s">
        <v>28</v>
      </c>
      <c r="C37" s="20">
        <f>C90</f>
        <v>0</v>
      </c>
      <c r="D37" s="20">
        <f t="shared" ref="D37:J37" si="30">D90</f>
        <v>10.498979963866001</v>
      </c>
      <c r="E37" s="20">
        <f t="shared" si="30"/>
        <v>1076.2976856366847</v>
      </c>
      <c r="F37" s="20">
        <f t="shared" si="30"/>
        <v>8208.8465748072213</v>
      </c>
      <c r="G37" s="20">
        <f t="shared" si="30"/>
        <v>17844.087336984448</v>
      </c>
      <c r="H37" s="20">
        <f t="shared" si="30"/>
        <v>19824.195520493558</v>
      </c>
      <c r="I37" s="20">
        <f t="shared" si="30"/>
        <v>22243.951069283008</v>
      </c>
      <c r="J37" s="20">
        <f t="shared" si="30"/>
        <v>14376.331615218623</v>
      </c>
      <c r="M37" s="150"/>
      <c r="N37" s="150"/>
      <c r="O37" s="40"/>
      <c r="P37" s="11"/>
      <c r="Q37" s="12"/>
      <c r="R37" s="12"/>
      <c r="S37" s="12"/>
      <c r="T37" s="12"/>
      <c r="U37" s="12"/>
      <c r="V37" s="12"/>
      <c r="W37" s="12"/>
      <c r="X37" s="12"/>
      <c r="Y37" s="12"/>
      <c r="Z37" s="4"/>
      <c r="AA37" s="4"/>
      <c r="AB37" s="158"/>
      <c r="AC37" s="123"/>
      <c r="AD37" s="123"/>
      <c r="AE37" s="123"/>
      <c r="AF37" s="123"/>
      <c r="AG37" s="123"/>
      <c r="AH37" s="123"/>
      <c r="AI37" s="123"/>
      <c r="AJ37" s="123"/>
      <c r="AK37" s="4"/>
      <c r="BF37" s="150"/>
      <c r="BG37" s="296"/>
      <c r="BH37" s="84" t="s">
        <v>69</v>
      </c>
      <c r="BI37" s="8">
        <v>0</v>
      </c>
      <c r="BJ37" s="8">
        <f>IF(OR(BJ35="",BJ34=""),"",BJ34+BJ35)</f>
        <v>-50010.518499999998</v>
      </c>
      <c r="BK37" s="8">
        <f>IF(OR(BK35="",BK34=""),"",BK34+BK35)</f>
        <v>-11.864953838692918</v>
      </c>
      <c r="BL37" s="8">
        <f t="shared" ref="BL37:BU37" si="31">IF(OR(BL35="",BL34=""),"",BL34+BL35)</f>
        <v>-8.5929700856590454</v>
      </c>
      <c r="BM37" s="8">
        <f t="shared" si="31"/>
        <v>-9.6817027101953688</v>
      </c>
      <c r="BN37" s="8">
        <f t="shared" si="31"/>
        <v>-8.9103229871254239</v>
      </c>
      <c r="BO37" s="8">
        <f t="shared" si="31"/>
        <v>-9.3894241650701495</v>
      </c>
      <c r="BP37" s="8">
        <f t="shared" si="31"/>
        <v>-9.3556855002249169</v>
      </c>
      <c r="BQ37" s="8">
        <f t="shared" si="31"/>
        <v>-8.4139383700435406</v>
      </c>
      <c r="BR37" s="8">
        <f t="shared" si="31"/>
        <v>-5.8234643713087815</v>
      </c>
      <c r="BS37" s="8">
        <f t="shared" si="31"/>
        <v>-8.5599009331342053</v>
      </c>
      <c r="BT37" s="8">
        <f t="shared" si="31"/>
        <v>-8.0660463544855254</v>
      </c>
      <c r="BU37" s="8">
        <f t="shared" si="31"/>
        <v>-153757.53890461367</v>
      </c>
      <c r="BY37" s="150"/>
      <c r="BZ37" s="295"/>
      <c r="CA37" s="16" t="s">
        <v>26</v>
      </c>
      <c r="CB37" s="215">
        <v>519976.82051891321</v>
      </c>
      <c r="CC37" s="215">
        <v>567613.70409043762</v>
      </c>
      <c r="CD37" s="215">
        <v>605915.85091646248</v>
      </c>
      <c r="CE37" s="215">
        <v>491377.50787101442</v>
      </c>
      <c r="CF37" s="215">
        <v>295776.31891815155</v>
      </c>
      <c r="CG37" s="215">
        <v>275370.89343587006</v>
      </c>
      <c r="CH37" s="215">
        <v>285530.13328453153</v>
      </c>
      <c r="CK37" s="295"/>
      <c r="CL37" s="16" t="s">
        <v>26</v>
      </c>
      <c r="CM37" s="215">
        <v>518301.68729724293</v>
      </c>
      <c r="CN37" s="215">
        <v>564263.98623198015</v>
      </c>
      <c r="CO37" s="215">
        <v>600156.67821640242</v>
      </c>
      <c r="CP37" s="215">
        <v>485815.15413385612</v>
      </c>
      <c r="CQ37" s="215">
        <v>293847.62845519924</v>
      </c>
      <c r="CR37" s="215">
        <v>274342.84538315726</v>
      </c>
      <c r="CS37" s="215">
        <v>285405.182845061</v>
      </c>
      <c r="CW37" s="150"/>
      <c r="CX37" s="295"/>
      <c r="CY37" s="15" t="s">
        <v>28</v>
      </c>
      <c r="CZ37" s="20">
        <v>116491.49867964754</v>
      </c>
      <c r="DA37" s="20">
        <v>196559.66519683803</v>
      </c>
      <c r="DB37" s="20">
        <v>143190.44336244816</v>
      </c>
      <c r="DC37" s="20">
        <v>165885.95699877734</v>
      </c>
      <c r="DD37" s="20">
        <v>168014.93999895826</v>
      </c>
      <c r="DE37" s="20">
        <v>224708.57117023846</v>
      </c>
      <c r="DF37" s="20">
        <v>334985.01191056194</v>
      </c>
      <c r="DG37" s="20">
        <v>449867.18718954525</v>
      </c>
      <c r="DH37" s="20">
        <v>392143.15877642907</v>
      </c>
      <c r="DI37" s="20">
        <v>337751.81199888035</v>
      </c>
      <c r="DJ37" s="20">
        <v>247793.76914859904</v>
      </c>
      <c r="DK37" s="20">
        <v>222262.13845546212</v>
      </c>
      <c r="DL37" s="20">
        <v>249509.48642011534</v>
      </c>
      <c r="DM37" s="20">
        <v>321944.69044732186</v>
      </c>
      <c r="DN37" s="20">
        <v>246962.75301226831</v>
      </c>
      <c r="DO37" s="20">
        <v>100845.58616926862</v>
      </c>
      <c r="DP37" s="20">
        <v>127422.49440160212</v>
      </c>
      <c r="DQ37" s="20">
        <v>191471.00601967305</v>
      </c>
      <c r="DR37" s="20">
        <v>262682.7688338983</v>
      </c>
      <c r="DS37" s="20">
        <v>354188.78297288192</v>
      </c>
      <c r="DT37" s="20">
        <v>291793.54141646903</v>
      </c>
      <c r="DU37" s="20">
        <v>288002.90399346605</v>
      </c>
      <c r="DV37" s="20">
        <v>176158.92806469859</v>
      </c>
      <c r="DW37" s="20">
        <v>148988.71783347923</v>
      </c>
      <c r="DX37" s="20">
        <v>166383.33688258496</v>
      </c>
      <c r="DY37" s="221"/>
      <c r="DZ37" s="221"/>
      <c r="EA37" s="150"/>
      <c r="FH37" s="150"/>
    </row>
    <row r="38" spans="1:164" s="4" customFormat="1" ht="15" customHeight="1" outlineLevel="1" x14ac:dyDescent="0.35">
      <c r="A38" s="295"/>
      <c r="B38" s="16" t="s">
        <v>26</v>
      </c>
      <c r="C38" s="20">
        <f>IF('M3 Allocations - TD'!D54="","",'M3 Allocations - TD'!D72)</f>
        <v>0</v>
      </c>
      <c r="D38" s="20">
        <f>IF('M3 Allocations - TD'!E54="","",'M3 Allocations - TD'!E72)</f>
        <v>0</v>
      </c>
      <c r="E38" s="20">
        <f>IF('M3 Allocations - TD'!F54="","",'M3 Allocations - TD'!F72)</f>
        <v>2381.1324731369587</v>
      </c>
      <c r="F38" s="20">
        <f>IF('M3 Allocations - TD'!G54="","",'M3 Allocations - TD'!G72)</f>
        <v>41080.759711289073</v>
      </c>
      <c r="G38" s="20">
        <f>IF('M3 Allocations - TD'!H54="","",'M3 Allocations - TD'!H72)</f>
        <v>46620.227707662583</v>
      </c>
      <c r="H38" s="20">
        <f>IF('M3 Allocations - TD'!I54="","",'M3 Allocations - TD'!I72)</f>
        <v>48915.290383093015</v>
      </c>
      <c r="I38" s="20">
        <f>IF('M3 Allocations - TD'!J54="","",'M3 Allocations - TD'!J72)</f>
        <v>48689.064699160743</v>
      </c>
      <c r="J38" s="20">
        <f>IF('M3 Allocations - TD'!K54="","",'M3 Allocations - TD'!K72)</f>
        <v>45154.720570269681</v>
      </c>
      <c r="M38" s="149"/>
      <c r="N38" s="149"/>
      <c r="O38" s="295" t="s">
        <v>21</v>
      </c>
      <c r="P38" s="15"/>
      <c r="Q38" s="7"/>
      <c r="R38" s="7"/>
      <c r="S38" s="7"/>
      <c r="T38" s="7"/>
      <c r="U38" s="7"/>
      <c r="V38" s="7"/>
      <c r="W38" s="7"/>
      <c r="X38" s="7"/>
      <c r="Y38" s="7"/>
      <c r="AB38" s="158"/>
      <c r="AC38" s="123"/>
      <c r="AD38" s="123"/>
      <c r="AE38" s="123"/>
      <c r="AF38" s="123"/>
      <c r="AG38" s="123"/>
      <c r="AH38" s="123"/>
      <c r="AI38" s="123"/>
      <c r="AJ38" s="123"/>
      <c r="BF38" s="149"/>
      <c r="BG38" s="296"/>
      <c r="BH38" s="86" t="s">
        <v>70</v>
      </c>
      <c r="BI38" s="8">
        <v>0</v>
      </c>
      <c r="BJ38" s="8">
        <f>IF(OR(BJ37="",BI38=""),"",BJ37+BI38)</f>
        <v>-50010.518499999998</v>
      </c>
      <c r="BK38" s="8">
        <f>IF(OR(BK37="",BJ38=""),"",BK37+BJ38)</f>
        <v>-50022.383453838695</v>
      </c>
      <c r="BL38" s="8">
        <f t="shared" ref="BL38:BU38" si="32">IF(OR(BL37="",BK38=""),"",BL37+BK38)</f>
        <v>-50030.976423924352</v>
      </c>
      <c r="BM38" s="8">
        <f t="shared" si="32"/>
        <v>-50040.658126634546</v>
      </c>
      <c r="BN38" s="8">
        <f t="shared" si="32"/>
        <v>-50049.568449621671</v>
      </c>
      <c r="BO38" s="8">
        <f t="shared" si="32"/>
        <v>-50058.957873786741</v>
      </c>
      <c r="BP38" s="8">
        <f t="shared" si="32"/>
        <v>-50068.313559286966</v>
      </c>
      <c r="BQ38" s="8">
        <f t="shared" si="32"/>
        <v>-50076.727497657012</v>
      </c>
      <c r="BR38" s="8">
        <f t="shared" si="32"/>
        <v>-50082.550962028319</v>
      </c>
      <c r="BS38" s="8">
        <f t="shared" si="32"/>
        <v>-50091.110862961454</v>
      </c>
      <c r="BT38" s="8">
        <f t="shared" si="32"/>
        <v>-50099.176909315938</v>
      </c>
      <c r="BU38" s="8">
        <f t="shared" si="32"/>
        <v>-203856.71581392962</v>
      </c>
      <c r="BY38" s="149"/>
      <c r="BZ38" s="295"/>
      <c r="CA38" s="16" t="s">
        <v>51</v>
      </c>
      <c r="CB38" s="215">
        <v>-43533.32</v>
      </c>
      <c r="CC38" s="215">
        <v>-47580.19</v>
      </c>
      <c r="CD38" s="215">
        <v>-50865.22</v>
      </c>
      <c r="CE38" s="215">
        <v>38543.78</v>
      </c>
      <c r="CF38" s="215">
        <v>23075.85</v>
      </c>
      <c r="CG38" s="215">
        <v>21444.13</v>
      </c>
      <c r="CH38" s="215">
        <v>22179.41</v>
      </c>
      <c r="CK38" s="295"/>
      <c r="CL38" s="16" t="s">
        <v>51</v>
      </c>
      <c r="CM38" s="215">
        <v>-43533.32</v>
      </c>
      <c r="CN38" s="215">
        <v>-47580.19</v>
      </c>
      <c r="CO38" s="215">
        <v>-50865.22</v>
      </c>
      <c r="CP38" s="215">
        <v>38543.78</v>
      </c>
      <c r="CQ38" s="215">
        <v>23075.85</v>
      </c>
      <c r="CR38" s="215">
        <v>21444.13</v>
      </c>
      <c r="CS38" s="215">
        <v>22179.41</v>
      </c>
      <c r="CW38" s="149"/>
      <c r="CX38" s="295"/>
      <c r="CY38" s="16" t="s">
        <v>26</v>
      </c>
      <c r="CZ38" s="20">
        <v>68599.470346323797</v>
      </c>
      <c r="DA38" s="20">
        <v>81564.73791205966</v>
      </c>
      <c r="DB38" s="20">
        <v>242664.75286538465</v>
      </c>
      <c r="DC38" s="20">
        <v>375919.83719992841</v>
      </c>
      <c r="DD38" s="20">
        <v>300075.62636462261</v>
      </c>
      <c r="DE38" s="20">
        <v>293923.98139317043</v>
      </c>
      <c r="DF38" s="20">
        <v>350815.31218641665</v>
      </c>
      <c r="DG38" s="20">
        <v>415012.49945076351</v>
      </c>
      <c r="DH38" s="20">
        <v>415043.37829811877</v>
      </c>
      <c r="DI38" s="20">
        <v>419425.17682734353</v>
      </c>
      <c r="DJ38" s="20">
        <v>350351.57477839955</v>
      </c>
      <c r="DK38" s="20">
        <v>312397.32107489841</v>
      </c>
      <c r="DL38" s="20">
        <v>355639.37645809754</v>
      </c>
      <c r="DM38" s="20">
        <v>419510.42236398638</v>
      </c>
      <c r="DN38" s="20">
        <v>345889.73802590865</v>
      </c>
      <c r="DO38" s="20">
        <v>199586.56344967708</v>
      </c>
      <c r="DP38" s="20">
        <v>176831.15319493209</v>
      </c>
      <c r="DQ38" s="20">
        <v>171543.19774187819</v>
      </c>
      <c r="DR38" s="20">
        <v>199615.15184616181</v>
      </c>
      <c r="DS38" s="20">
        <v>238634.42662698543</v>
      </c>
      <c r="DT38" s="20">
        <v>233703.41244781748</v>
      </c>
      <c r="DU38" s="20">
        <v>214332.64423371092</v>
      </c>
      <c r="DV38" s="20">
        <v>176304.098950004</v>
      </c>
      <c r="DW38" s="20">
        <v>167898.42293823551</v>
      </c>
      <c r="DX38" s="20">
        <v>208742.33055279544</v>
      </c>
      <c r="DY38" s="208"/>
      <c r="DZ38" s="208"/>
      <c r="EA38" s="149"/>
      <c r="FH38" s="149"/>
    </row>
    <row r="39" spans="1:164" s="4" customFormat="1" ht="15" customHeight="1" outlineLevel="1" x14ac:dyDescent="0.35">
      <c r="A39" s="295"/>
      <c r="B39" s="16" t="s">
        <v>51</v>
      </c>
      <c r="C39" s="20">
        <f>IF(C38="","",0)</f>
        <v>0</v>
      </c>
      <c r="D39" s="20">
        <f t="shared" ref="D39:I39" si="33">IF(D38="","",0)</f>
        <v>0</v>
      </c>
      <c r="E39" s="20">
        <f t="shared" si="33"/>
        <v>0</v>
      </c>
      <c r="F39" s="20">
        <f t="shared" si="33"/>
        <v>0</v>
      </c>
      <c r="G39" s="20">
        <f t="shared" si="33"/>
        <v>0</v>
      </c>
      <c r="H39" s="20">
        <f t="shared" si="33"/>
        <v>0</v>
      </c>
      <c r="I39" s="20">
        <f t="shared" si="33"/>
        <v>0</v>
      </c>
      <c r="J39" s="20">
        <f>IF(J38="","",0)</f>
        <v>0</v>
      </c>
      <c r="M39" s="149"/>
      <c r="N39" s="149"/>
      <c r="O39" s="295"/>
      <c r="P39" s="15" t="s">
        <v>28</v>
      </c>
      <c r="Q39" s="20">
        <v>88043.147483850829</v>
      </c>
      <c r="R39" s="20">
        <v>103641.60510926238</v>
      </c>
      <c r="S39" s="20">
        <v>44495.668454394727</v>
      </c>
      <c r="T39" s="20">
        <v>72447.479306892477</v>
      </c>
      <c r="U39" s="20">
        <v>100242.14080653639</v>
      </c>
      <c r="V39" s="20">
        <v>144814.88878280437</v>
      </c>
      <c r="W39" s="20">
        <v>113846.66455304027</v>
      </c>
      <c r="X39" s="20">
        <v>127713.0610159208</v>
      </c>
      <c r="Y39" s="20">
        <v>102944.20736329375</v>
      </c>
      <c r="Z39" s="2"/>
      <c r="AA39" s="2"/>
      <c r="AB39" s="158"/>
      <c r="AC39" s="123"/>
      <c r="AD39" s="123"/>
      <c r="AE39" s="123"/>
      <c r="AF39" s="123"/>
      <c r="AG39" s="123"/>
      <c r="AH39" s="123"/>
      <c r="AI39" s="123"/>
      <c r="AJ39" s="123"/>
      <c r="AK39" s="2"/>
      <c r="BF39" s="149"/>
      <c r="BY39" s="149"/>
      <c r="BZ39" s="295"/>
      <c r="CA39" s="16" t="s">
        <v>52</v>
      </c>
      <c r="CB39" s="215">
        <v>476443.50051891321</v>
      </c>
      <c r="CC39" s="215">
        <v>520033.51409043762</v>
      </c>
      <c r="CD39" s="215">
        <v>555050.63091646251</v>
      </c>
      <c r="CE39" s="215">
        <v>529921.28787101444</v>
      </c>
      <c r="CF39" s="215">
        <v>318852.16891815152</v>
      </c>
      <c r="CG39" s="215">
        <v>296815.02343587007</v>
      </c>
      <c r="CH39" s="215">
        <v>307709.54328453151</v>
      </c>
      <c r="CK39" s="295"/>
      <c r="CL39" s="16" t="s">
        <v>52</v>
      </c>
      <c r="CM39" s="215">
        <v>474768.36729724292</v>
      </c>
      <c r="CN39" s="215">
        <v>516683.79623198014</v>
      </c>
      <c r="CO39" s="215">
        <v>549291.45821640245</v>
      </c>
      <c r="CP39" s="215">
        <v>524358.93413385609</v>
      </c>
      <c r="CQ39" s="215">
        <v>316923.47845519922</v>
      </c>
      <c r="CR39" s="215">
        <v>295786.97538315726</v>
      </c>
      <c r="CS39" s="215">
        <v>307584.59284506098</v>
      </c>
      <c r="CT39" s="4" t="s">
        <v>117</v>
      </c>
      <c r="CU39" s="4" t="s">
        <v>118</v>
      </c>
      <c r="CV39" s="4" t="s">
        <v>119</v>
      </c>
      <c r="CW39" s="149"/>
      <c r="CX39" s="295"/>
      <c r="CY39" s="16" t="s">
        <v>51</v>
      </c>
      <c r="CZ39" s="20">
        <v>16957.169999999998</v>
      </c>
      <c r="DA39" s="20">
        <v>20227.96</v>
      </c>
      <c r="DB39" s="20">
        <v>-27075.87</v>
      </c>
      <c r="DC39" s="20">
        <v>-41869.919999999998</v>
      </c>
      <c r="DD39" s="20">
        <v>-33303.57</v>
      </c>
      <c r="DE39" s="20">
        <v>-32560.29</v>
      </c>
      <c r="DF39" s="20">
        <v>-38841.39</v>
      </c>
      <c r="DG39" s="20">
        <v>-45977.98</v>
      </c>
      <c r="DH39" s="20">
        <v>-45995.38</v>
      </c>
      <c r="DI39" s="20">
        <v>-46474.38</v>
      </c>
      <c r="DJ39" s="20">
        <v>-38765.449999999997</v>
      </c>
      <c r="DK39" s="20">
        <v>-34659.79</v>
      </c>
      <c r="DL39" s="20">
        <v>-39489.65</v>
      </c>
      <c r="DM39" s="20">
        <v>-46633.93</v>
      </c>
      <c r="DN39" s="20">
        <v>59971.88</v>
      </c>
      <c r="DO39" s="20">
        <v>34460.21</v>
      </c>
      <c r="DP39" s="20">
        <v>30482.11</v>
      </c>
      <c r="DQ39" s="20">
        <v>29523.43</v>
      </c>
      <c r="DR39" s="20">
        <v>34337.879999999997</v>
      </c>
      <c r="DS39" s="20">
        <v>41091.919999999998</v>
      </c>
      <c r="DT39" s="20">
        <v>40250.86</v>
      </c>
      <c r="DU39" s="20">
        <v>36905.46</v>
      </c>
      <c r="DV39" s="20">
        <v>30354.95</v>
      </c>
      <c r="DW39" s="20">
        <v>28938.2</v>
      </c>
      <c r="DX39" s="20">
        <v>36146.32</v>
      </c>
      <c r="DY39" s="208"/>
      <c r="DZ39" s="208"/>
      <c r="EA39" s="149"/>
      <c r="FH39" s="149"/>
    </row>
    <row r="40" spans="1:164" s="4" customFormat="1" ht="15" customHeight="1" outlineLevel="1" x14ac:dyDescent="0.35">
      <c r="A40" s="295"/>
      <c r="B40" s="16" t="s">
        <v>52</v>
      </c>
      <c r="C40" s="7">
        <f t="shared" ref="C40:I40" si="34">IF(OR(C39="",C38=""),"",C38+C39)</f>
        <v>0</v>
      </c>
      <c r="D40" s="7">
        <f t="shared" si="34"/>
        <v>0</v>
      </c>
      <c r="E40" s="7">
        <f t="shared" si="34"/>
        <v>2381.1324731369587</v>
      </c>
      <c r="F40" s="7">
        <f t="shared" si="34"/>
        <v>41080.759711289073</v>
      </c>
      <c r="G40" s="7">
        <f t="shared" si="34"/>
        <v>46620.227707662583</v>
      </c>
      <c r="H40" s="7">
        <f t="shared" si="34"/>
        <v>48915.290383093015</v>
      </c>
      <c r="I40" s="7">
        <f t="shared" si="34"/>
        <v>48689.064699160743</v>
      </c>
      <c r="J40" s="7">
        <f>IF(OR(J39="",J38=""),"",J38+J39)</f>
        <v>45154.720570269681</v>
      </c>
      <c r="M40" s="149"/>
      <c r="N40" s="149"/>
      <c r="O40" s="295"/>
      <c r="P40" s="16" t="s">
        <v>26</v>
      </c>
      <c r="Q40" s="20">
        <v>72477.677451482814</v>
      </c>
      <c r="R40" s="20">
        <v>71928.028717536567</v>
      </c>
      <c r="S40" s="20">
        <v>55453.451619799707</v>
      </c>
      <c r="T40" s="20">
        <v>50391.746026202469</v>
      </c>
      <c r="U40" s="20">
        <v>63389.498728401399</v>
      </c>
      <c r="V40" s="20">
        <v>78881.855890584935</v>
      </c>
      <c r="W40" s="20">
        <v>76955.02703194521</v>
      </c>
      <c r="X40" s="20">
        <v>73755.388306573834</v>
      </c>
      <c r="Y40" s="20">
        <v>59772.834718849517</v>
      </c>
      <c r="AB40" s="158"/>
      <c r="AC40" s="123"/>
      <c r="AD40" s="123"/>
      <c r="AE40" s="123"/>
      <c r="AF40" s="123"/>
      <c r="AG40" s="123"/>
      <c r="AH40" s="123"/>
      <c r="AI40" s="123"/>
      <c r="AJ40" s="123"/>
      <c r="BF40" s="149"/>
      <c r="BY40" s="149"/>
      <c r="BZ40" s="295"/>
      <c r="CA40" s="16" t="s">
        <v>13</v>
      </c>
      <c r="CB40" s="215">
        <v>-132715.84841127816</v>
      </c>
      <c r="CC40" s="215">
        <v>-101183.46738778771</v>
      </c>
      <c r="CD40" s="215">
        <v>72006.352066173451</v>
      </c>
      <c r="CE40" s="215">
        <v>-54633.169777225121</v>
      </c>
      <c r="CF40" s="215">
        <v>-29854.812319360673</v>
      </c>
      <c r="CG40" s="215">
        <v>-43569.759852407646</v>
      </c>
      <c r="CH40" s="215">
        <v>30009.702663524076</v>
      </c>
      <c r="CK40" s="295"/>
      <c r="CL40" s="16" t="s">
        <v>13</v>
      </c>
      <c r="CM40" s="215">
        <v>-127904.75993472396</v>
      </c>
      <c r="CN40" s="215">
        <v>-91336.407120271237</v>
      </c>
      <c r="CO40" s="215">
        <v>88084.844143852359</v>
      </c>
      <c r="CP40" s="215">
        <v>-39466.761458990106</v>
      </c>
      <c r="CQ40" s="215">
        <v>-24433.209322472743</v>
      </c>
      <c r="CR40" s="215">
        <v>-40714.928250650148</v>
      </c>
      <c r="CS40" s="215">
        <v>30403.502298721171</v>
      </c>
      <c r="CT40" s="216">
        <f>SUM(CM40:CS40)</f>
        <v>-205367.71964453466</v>
      </c>
      <c r="CU40" s="216">
        <f>SUM(CB40:CH40)</f>
        <v>-259941.00301836175</v>
      </c>
      <c r="CV40" s="216">
        <f>CT40-CU40</f>
        <v>54573.283373827086</v>
      </c>
      <c r="CW40" s="149"/>
      <c r="CX40" s="295"/>
      <c r="CY40" s="16" t="s">
        <v>52</v>
      </c>
      <c r="CZ40" s="7">
        <v>85556.640346323795</v>
      </c>
      <c r="DA40" s="7">
        <v>101792.69791205967</v>
      </c>
      <c r="DB40" s="7">
        <v>215588.88286538466</v>
      </c>
      <c r="DC40" s="7">
        <v>334049.91719992843</v>
      </c>
      <c r="DD40" s="7">
        <v>266772.05636462261</v>
      </c>
      <c r="DE40" s="7">
        <v>261363.69139317042</v>
      </c>
      <c r="DF40" s="7">
        <v>311973.92218641663</v>
      </c>
      <c r="DG40" s="7">
        <v>369034.51945076353</v>
      </c>
      <c r="DH40" s="7">
        <v>369047.99829811876</v>
      </c>
      <c r="DI40" s="7">
        <v>372950.79682734353</v>
      </c>
      <c r="DJ40" s="7">
        <v>311586.12477839953</v>
      </c>
      <c r="DK40" s="7">
        <v>277737.53107489843</v>
      </c>
      <c r="DL40" s="7">
        <v>316149.72645809752</v>
      </c>
      <c r="DM40" s="7">
        <v>372876.49236398638</v>
      </c>
      <c r="DN40" s="7">
        <v>405861.61802590865</v>
      </c>
      <c r="DO40" s="7">
        <v>234046.77344967707</v>
      </c>
      <c r="DP40" s="7">
        <v>207313.26319493208</v>
      </c>
      <c r="DQ40" s="7">
        <v>201066.62774187818</v>
      </c>
      <c r="DR40" s="7">
        <v>233953.03184616182</v>
      </c>
      <c r="DS40" s="7">
        <v>279726.34662698541</v>
      </c>
      <c r="DT40" s="7">
        <v>273954.27244781749</v>
      </c>
      <c r="DU40" s="7">
        <v>251238.10423371091</v>
      </c>
      <c r="DV40" s="7">
        <v>206659.04895000401</v>
      </c>
      <c r="DW40" s="7">
        <v>196836.62293823552</v>
      </c>
      <c r="DX40" s="7">
        <v>244888.65055279544</v>
      </c>
      <c r="DY40" s="208"/>
      <c r="DZ40" s="208"/>
      <c r="EA40" s="149"/>
      <c r="FH40" s="149"/>
    </row>
    <row r="41" spans="1:164" s="4" customFormat="1" ht="14.5" outlineLevel="1" x14ac:dyDescent="0.35">
      <c r="A41" s="295"/>
      <c r="B41" s="16" t="s">
        <v>13</v>
      </c>
      <c r="C41" s="7">
        <f t="shared" ref="C41:I41" si="35">IF(OR(C38="",C37=""),"",C37-C38)</f>
        <v>0</v>
      </c>
      <c r="D41" s="7">
        <f t="shared" si="35"/>
        <v>10.498979963866001</v>
      </c>
      <c r="E41" s="7">
        <f t="shared" si="35"/>
        <v>-1304.8347875002739</v>
      </c>
      <c r="F41" s="7">
        <f t="shared" si="35"/>
        <v>-32871.913136481853</v>
      </c>
      <c r="G41" s="7">
        <f t="shared" si="35"/>
        <v>-28776.140370678135</v>
      </c>
      <c r="H41" s="7">
        <f t="shared" si="35"/>
        <v>-29091.094862599457</v>
      </c>
      <c r="I41" s="7">
        <f t="shared" si="35"/>
        <v>-26445.113629877735</v>
      </c>
      <c r="J41" s="7">
        <f>IF(OR(J38="",J37=""),"",J37-J38)</f>
        <v>-30778.388955051058</v>
      </c>
      <c r="K41" s="103" t="s">
        <v>84</v>
      </c>
      <c r="L41" s="103" t="s">
        <v>87</v>
      </c>
      <c r="M41" s="149"/>
      <c r="N41" s="149"/>
      <c r="O41" s="295"/>
      <c r="P41" s="16" t="s">
        <v>51</v>
      </c>
      <c r="Q41" s="20">
        <v>17996.03</v>
      </c>
      <c r="R41" s="20">
        <v>17828.82</v>
      </c>
      <c r="S41" s="20">
        <v>13698.34</v>
      </c>
      <c r="T41" s="20">
        <v>12419.68</v>
      </c>
      <c r="U41" s="20">
        <v>15595.43</v>
      </c>
      <c r="V41" s="20">
        <v>19419.18</v>
      </c>
      <c r="W41" s="20">
        <v>18927.88</v>
      </c>
      <c r="X41" s="20">
        <v>18118.43</v>
      </c>
      <c r="Y41" s="20">
        <v>14686.23</v>
      </c>
      <c r="AB41" s="158"/>
      <c r="AC41" s="123"/>
      <c r="AD41" s="123"/>
      <c r="AE41" s="123"/>
      <c r="AF41" s="123"/>
      <c r="AG41" s="123"/>
      <c r="AH41" s="123"/>
      <c r="AI41" s="123"/>
      <c r="AJ41" s="123"/>
      <c r="BF41" s="149"/>
      <c r="BY41" s="149"/>
      <c r="BZ41" s="295"/>
      <c r="CA41" s="17" t="s">
        <v>8</v>
      </c>
      <c r="CB41" s="215">
        <v>-0.83</v>
      </c>
      <c r="CC41" s="215">
        <v>-33.700000000000003</v>
      </c>
      <c r="CD41" s="215">
        <v>-26.21</v>
      </c>
      <c r="CE41" s="215">
        <v>-37.049999999999997</v>
      </c>
      <c r="CF41" s="215">
        <v>-90.11</v>
      </c>
      <c r="CG41" s="215">
        <v>-89.72</v>
      </c>
      <c r="CH41" s="215">
        <v>-100.68</v>
      </c>
      <c r="CK41" s="295"/>
      <c r="CL41" s="17" t="s">
        <v>8</v>
      </c>
      <c r="CM41" s="215">
        <v>-0.22</v>
      </c>
      <c r="CN41" s="215">
        <v>-30.52</v>
      </c>
      <c r="CO41" s="215">
        <v>-20.21</v>
      </c>
      <c r="CP41" s="215">
        <v>-25.73</v>
      </c>
      <c r="CQ41" s="215">
        <v>-60.66</v>
      </c>
      <c r="CR41" s="215">
        <v>-62.59</v>
      </c>
      <c r="CS41" s="215">
        <v>-57.43</v>
      </c>
      <c r="CW41" s="149"/>
      <c r="CX41" s="295"/>
      <c r="CY41" s="16" t="s">
        <v>13</v>
      </c>
      <c r="CZ41" s="7">
        <v>30934.858333323748</v>
      </c>
      <c r="DA41" s="7">
        <v>94766.967284778366</v>
      </c>
      <c r="DB41" s="7">
        <v>-72398.439502936497</v>
      </c>
      <c r="DC41" s="7">
        <v>-168163.96020115109</v>
      </c>
      <c r="DD41" s="7">
        <v>-98757.116365664348</v>
      </c>
      <c r="DE41" s="7">
        <v>-36655.120222931961</v>
      </c>
      <c r="DF41" s="7">
        <v>23011.089724145306</v>
      </c>
      <c r="DG41" s="7">
        <v>80832.667738781718</v>
      </c>
      <c r="DH41" s="7">
        <v>23095.16047831031</v>
      </c>
      <c r="DI41" s="7">
        <v>-35198.984828463173</v>
      </c>
      <c r="DJ41" s="7">
        <v>-63792.355629800499</v>
      </c>
      <c r="DK41" s="7">
        <v>-55475.392619436316</v>
      </c>
      <c r="DL41" s="7">
        <v>-66640.240037982177</v>
      </c>
      <c r="DM41" s="7">
        <v>-50931.801916664524</v>
      </c>
      <c r="DN41" s="7">
        <v>-158898.86501364034</v>
      </c>
      <c r="DO41" s="7">
        <v>-133201.18728040846</v>
      </c>
      <c r="DP41" s="7">
        <v>-79890.76879332996</v>
      </c>
      <c r="DQ41" s="7">
        <v>-9595.6217222051346</v>
      </c>
      <c r="DR41" s="7">
        <v>28729.736987736484</v>
      </c>
      <c r="DS41" s="7">
        <v>74462.436345896509</v>
      </c>
      <c r="DT41" s="7">
        <v>17839.268968651537</v>
      </c>
      <c r="DU41" s="7">
        <v>36764.799759755144</v>
      </c>
      <c r="DV41" s="125">
        <v>-3842.6495508213702</v>
      </c>
      <c r="DW41" s="7">
        <v>-47847.905104756297</v>
      </c>
      <c r="DX41" s="7">
        <v>-78505.313670210482</v>
      </c>
      <c r="DY41" s="208"/>
      <c r="DZ41" s="208"/>
      <c r="EA41" s="149"/>
      <c r="FH41" s="149"/>
    </row>
    <row r="42" spans="1:164" s="4" customFormat="1" ht="14.5" outlineLevel="1" x14ac:dyDescent="0.35">
      <c r="A42" s="295"/>
      <c r="B42" s="17" t="s">
        <v>8</v>
      </c>
      <c r="C42" s="7">
        <f>ROUND((C41+0)*'MEEIA 3 calcs'!F9/12,2)</f>
        <v>0</v>
      </c>
      <c r="D42" s="7">
        <f>ROUND((D41+C44)*'MEEIA 3 calcs'!G9/12,2)</f>
        <v>0.02</v>
      </c>
      <c r="E42" s="7">
        <f>ROUND((E41+D44)*'MEEIA 3 calcs'!H9/12,2)</f>
        <v>-2.89</v>
      </c>
      <c r="F42" s="7">
        <f>ROUND((F41+E44)*'MEEIA 3 calcs'!I9/12,2)</f>
        <v>-75.459999999999994</v>
      </c>
      <c r="G42" s="7">
        <f>ROUND((G41+F44)*'MEEIA 3 calcs'!J9/12,2)</f>
        <v>-136.28</v>
      </c>
      <c r="H42" s="7">
        <f>ROUND((H41+G44)*'MEEIA 3 calcs'!K9/12,2)</f>
        <v>-180.74</v>
      </c>
      <c r="I42" s="7">
        <f>ROUND((I41+H44)*'MEEIA 3 calcs'!L9/12,2)</f>
        <v>-219.61</v>
      </c>
      <c r="J42" s="7">
        <f>ROUND((J41+I44)*'MEEIA 3 calcs'!M9/12,2)</f>
        <v>-264.02</v>
      </c>
      <c r="K42" s="104">
        <f>SUM('MEEIA 3 calcs'!F62:M62)</f>
        <v>-925.55</v>
      </c>
      <c r="L42" s="112">
        <f>SUM(C42:J42)-K42</f>
        <v>46.569999999999936</v>
      </c>
      <c r="M42" s="149"/>
      <c r="N42" s="149"/>
      <c r="O42" s="295"/>
      <c r="P42" s="16" t="s">
        <v>52</v>
      </c>
      <c r="Q42" s="7">
        <v>90473.707451482813</v>
      </c>
      <c r="R42" s="7">
        <v>89756.848717536574</v>
      </c>
      <c r="S42" s="7">
        <v>69151.791619799711</v>
      </c>
      <c r="T42" s="7">
        <v>62811.426026202469</v>
      </c>
      <c r="U42" s="7">
        <v>78984.928728401399</v>
      </c>
      <c r="V42" s="7">
        <v>98301.035890584928</v>
      </c>
      <c r="W42" s="7">
        <v>95882.907031945215</v>
      </c>
      <c r="X42" s="7">
        <v>91873.818306573841</v>
      </c>
      <c r="Y42" s="7">
        <v>74459.06471884952</v>
      </c>
      <c r="AB42" s="158"/>
      <c r="AC42" s="123"/>
      <c r="AD42" s="123"/>
      <c r="AE42" s="123"/>
      <c r="AF42" s="123"/>
      <c r="AG42" s="123"/>
      <c r="AH42" s="123"/>
      <c r="AI42" s="123"/>
      <c r="AJ42" s="123"/>
      <c r="BF42" s="149"/>
      <c r="BY42" s="149"/>
      <c r="BZ42" s="295"/>
      <c r="CA42" s="16" t="s">
        <v>14</v>
      </c>
      <c r="CB42" s="215">
        <v>-132716.67841127815</v>
      </c>
      <c r="CC42" s="215">
        <v>-101217.1673877877</v>
      </c>
      <c r="CD42" s="215">
        <v>71980.142066173445</v>
      </c>
      <c r="CE42" s="215">
        <v>-54670.219777225124</v>
      </c>
      <c r="CF42" s="215">
        <v>-29944.922319360674</v>
      </c>
      <c r="CG42" s="215">
        <v>-43659.479852407647</v>
      </c>
      <c r="CH42" s="215">
        <v>29909.022663524076</v>
      </c>
      <c r="CK42" s="295"/>
      <c r="CL42" s="16" t="s">
        <v>14</v>
      </c>
      <c r="CM42" s="215">
        <v>-127904.97993472396</v>
      </c>
      <c r="CN42" s="215">
        <v>-91366.927120271241</v>
      </c>
      <c r="CO42" s="215">
        <v>88064.634143852352</v>
      </c>
      <c r="CP42" s="215">
        <v>-39492.491458990109</v>
      </c>
      <c r="CQ42" s="215">
        <v>-24493.869322472743</v>
      </c>
      <c r="CR42" s="215">
        <v>-40777.518250650144</v>
      </c>
      <c r="CS42" s="215">
        <v>30346.07229872117</v>
      </c>
      <c r="CW42" s="149"/>
      <c r="CX42" s="295"/>
      <c r="CY42" s="17" t="s">
        <v>8</v>
      </c>
      <c r="CZ42" s="7">
        <v>64.099999999999994</v>
      </c>
      <c r="DA42" s="7">
        <v>85.83</v>
      </c>
      <c r="DB42" s="7">
        <v>77.459999999999994</v>
      </c>
      <c r="DC42" s="7">
        <v>33.89</v>
      </c>
      <c r="DD42" s="7">
        <v>10.93</v>
      </c>
      <c r="DE42" s="7">
        <v>-2.04</v>
      </c>
      <c r="DF42" s="7">
        <v>-4.5</v>
      </c>
      <c r="DG42" s="7">
        <v>0.94</v>
      </c>
      <c r="DH42" s="7">
        <v>-2.5299999999999998</v>
      </c>
      <c r="DI42" s="7">
        <v>-15.54</v>
      </c>
      <c r="DJ42" s="7">
        <v>-24.88</v>
      </c>
      <c r="DK42" s="7">
        <v>-36.93</v>
      </c>
      <c r="DL42" s="7">
        <v>-85.82</v>
      </c>
      <c r="DM42" s="7">
        <v>-96.33</v>
      </c>
      <c r="DN42" s="7">
        <v>-145.97</v>
      </c>
      <c r="DO42" s="7">
        <v>-396.32</v>
      </c>
      <c r="DP42" s="7">
        <v>-370.63</v>
      </c>
      <c r="DQ42" s="7">
        <v>-570.77</v>
      </c>
      <c r="DR42" s="7">
        <v>-815.62</v>
      </c>
      <c r="DS42" s="7">
        <v>-932.3</v>
      </c>
      <c r="DT42" s="7">
        <v>-1040.1600000000001</v>
      </c>
      <c r="DU42" s="7">
        <v>-980.8</v>
      </c>
      <c r="DV42" s="7">
        <v>-1123.8599999999999</v>
      </c>
      <c r="DW42" s="7">
        <v>-1459.69</v>
      </c>
      <c r="DX42" s="7">
        <v>-1741.2</v>
      </c>
      <c r="DY42" s="208">
        <f>SUM('MEEIA 3 calcs'!AA42:AY42)</f>
        <v>-9544.9599999999991</v>
      </c>
      <c r="DZ42" s="223">
        <f>SUM(CZ42:DX42)-DY42</f>
        <v>-27.780000000000655</v>
      </c>
      <c r="EA42" s="149"/>
      <c r="FH42" s="149"/>
    </row>
    <row r="43" spans="1:164" s="4" customFormat="1" ht="14.5" outlineLevel="1" x14ac:dyDescent="0.35">
      <c r="A43" s="295"/>
      <c r="B43" s="16" t="s">
        <v>14</v>
      </c>
      <c r="C43" s="7">
        <f t="shared" ref="C43:J43" si="36">IF(OR(C41="",C42=""),"",C41+C42)</f>
        <v>0</v>
      </c>
      <c r="D43" s="7">
        <f t="shared" si="36"/>
        <v>10.518979963866</v>
      </c>
      <c r="E43" s="7">
        <f t="shared" si="36"/>
        <v>-1307.724787500274</v>
      </c>
      <c r="F43" s="7">
        <f t="shared" si="36"/>
        <v>-32947.373136481852</v>
      </c>
      <c r="G43" s="7">
        <f t="shared" si="36"/>
        <v>-28912.420370678134</v>
      </c>
      <c r="H43" s="7">
        <f t="shared" si="36"/>
        <v>-29271.834862599459</v>
      </c>
      <c r="I43" s="7">
        <f t="shared" si="36"/>
        <v>-26664.723629877735</v>
      </c>
      <c r="J43" s="7">
        <f t="shared" si="36"/>
        <v>-31042.408955051058</v>
      </c>
      <c r="M43" s="149"/>
      <c r="N43" s="149"/>
      <c r="O43" s="295"/>
      <c r="P43" s="16" t="s">
        <v>13</v>
      </c>
      <c r="Q43" s="7">
        <v>-2430.5599676319835</v>
      </c>
      <c r="R43" s="7">
        <v>13884.756391725808</v>
      </c>
      <c r="S43" s="7">
        <v>-24656.123165404984</v>
      </c>
      <c r="T43" s="7">
        <v>9636.0532806900083</v>
      </c>
      <c r="U43" s="7">
        <v>21257.212078134995</v>
      </c>
      <c r="V43" s="7">
        <v>46513.852892219438</v>
      </c>
      <c r="W43" s="7">
        <v>17963.75752109506</v>
      </c>
      <c r="X43" s="7">
        <v>35839.24270934696</v>
      </c>
      <c r="Y43" s="7">
        <v>28485.142644444233</v>
      </c>
      <c r="Z43" s="103" t="s">
        <v>84</v>
      </c>
      <c r="AA43" s="103" t="s">
        <v>86</v>
      </c>
      <c r="AB43" s="158"/>
      <c r="AC43" s="123"/>
      <c r="AD43" s="123"/>
      <c r="AE43" s="123"/>
      <c r="AF43" s="123"/>
      <c r="AG43" s="123"/>
      <c r="AH43" s="123"/>
      <c r="AI43" s="123"/>
      <c r="AJ43" s="123"/>
      <c r="AK43" s="134"/>
      <c r="BF43" s="149"/>
      <c r="BY43" s="149"/>
      <c r="BZ43" s="295"/>
      <c r="CA43" s="18" t="s">
        <v>17</v>
      </c>
      <c r="CB43" s="215">
        <v>-6512.098706385179</v>
      </c>
      <c r="CC43" s="215">
        <v>-155309.4560941729</v>
      </c>
      <c r="CD43" s="215">
        <v>-134194.53402799944</v>
      </c>
      <c r="CE43" s="215">
        <v>-150320.97380522458</v>
      </c>
      <c r="CF43" s="215">
        <v>-157190.04612458526</v>
      </c>
      <c r="CG43" s="215">
        <v>-179405.39597699291</v>
      </c>
      <c r="CH43" s="215">
        <v>-127316.96331346883</v>
      </c>
      <c r="CK43" s="295"/>
      <c r="CL43" s="18" t="s">
        <v>17</v>
      </c>
      <c r="CM43" s="215">
        <v>-1700.4002298309933</v>
      </c>
      <c r="CN43" s="215">
        <v>-140647.51735010225</v>
      </c>
      <c r="CO43" s="215">
        <v>-103448.1032062499</v>
      </c>
      <c r="CP43" s="215">
        <v>-104396.81466524</v>
      </c>
      <c r="CQ43" s="215">
        <v>-105814.83398771274</v>
      </c>
      <c r="CR43" s="215">
        <v>-125148.22223836288</v>
      </c>
      <c r="CS43" s="215">
        <v>-72622.739939641717</v>
      </c>
      <c r="CW43" s="149"/>
      <c r="CX43" s="295"/>
      <c r="CY43" s="16" t="s">
        <v>14</v>
      </c>
      <c r="CZ43" s="7">
        <v>30998.958333323746</v>
      </c>
      <c r="DA43" s="7">
        <v>94852.797284778368</v>
      </c>
      <c r="DB43" s="7">
        <v>-72320.97950293649</v>
      </c>
      <c r="DC43" s="7">
        <v>-168130.07020115107</v>
      </c>
      <c r="DD43" s="7">
        <v>-98746.186365664355</v>
      </c>
      <c r="DE43" s="7">
        <v>-36657.160222931961</v>
      </c>
      <c r="DF43" s="7">
        <v>23006.589724145306</v>
      </c>
      <c r="DG43" s="7">
        <v>80833.60773878172</v>
      </c>
      <c r="DH43" s="7">
        <v>23092.630478310311</v>
      </c>
      <c r="DI43" s="7">
        <v>-35214.524828463174</v>
      </c>
      <c r="DJ43" s="7">
        <v>-63817.235629800496</v>
      </c>
      <c r="DK43" s="7">
        <v>-55512.322619436316</v>
      </c>
      <c r="DL43" s="7">
        <v>-66726.060037982184</v>
      </c>
      <c r="DM43" s="7">
        <v>-51028.131916664526</v>
      </c>
      <c r="DN43" s="7">
        <v>-159044.83501364035</v>
      </c>
      <c r="DO43" s="7">
        <v>-133597.50728040846</v>
      </c>
      <c r="DP43" s="7">
        <v>-80261.398793329965</v>
      </c>
      <c r="DQ43" s="7">
        <v>-10166.391722205135</v>
      </c>
      <c r="DR43" s="7">
        <v>27914.116987736485</v>
      </c>
      <c r="DS43" s="7">
        <v>73530.136345896506</v>
      </c>
      <c r="DT43" s="7">
        <v>16799.108968651537</v>
      </c>
      <c r="DU43" s="7">
        <v>35783.999759755141</v>
      </c>
      <c r="DV43" s="7">
        <v>-4966.5095508213699</v>
      </c>
      <c r="DW43" s="7">
        <v>-49307.595104756299</v>
      </c>
      <c r="DX43" s="7">
        <v>-80246.513670210479</v>
      </c>
      <c r="DY43" s="208"/>
      <c r="DZ43" s="208"/>
      <c r="EA43" s="149"/>
      <c r="FH43" s="149"/>
    </row>
    <row r="44" spans="1:164" s="4" customFormat="1" ht="14.5" outlineLevel="1" x14ac:dyDescent="0.35">
      <c r="A44" s="295"/>
      <c r="B44" s="18" t="s">
        <v>18</v>
      </c>
      <c r="C44" s="7">
        <f>IF(OR(C43=""),"",C43)</f>
        <v>0</v>
      </c>
      <c r="D44" s="7">
        <f t="shared" ref="D44:J44" si="37">IF(OR(D43="",C44=""),"",D43+C44)</f>
        <v>10.518979963866</v>
      </c>
      <c r="E44" s="7">
        <f t="shared" si="37"/>
        <v>-1297.205807536408</v>
      </c>
      <c r="F44" s="7">
        <f t="shared" si="37"/>
        <v>-34244.578944018263</v>
      </c>
      <c r="G44" s="7">
        <f t="shared" si="37"/>
        <v>-63156.999314696397</v>
      </c>
      <c r="H44" s="7">
        <f t="shared" si="37"/>
        <v>-92428.834177295852</v>
      </c>
      <c r="I44" s="7">
        <f t="shared" si="37"/>
        <v>-119093.55780717358</v>
      </c>
      <c r="J44" s="7">
        <f t="shared" si="37"/>
        <v>-150135.96676222465</v>
      </c>
      <c r="M44" s="149"/>
      <c r="N44" s="149"/>
      <c r="O44" s="295"/>
      <c r="P44" s="17" t="s">
        <v>8</v>
      </c>
      <c r="Q44" s="7">
        <v>26.58</v>
      </c>
      <c r="R44" s="7">
        <v>77.78</v>
      </c>
      <c r="S44" s="7">
        <v>30.14</v>
      </c>
      <c r="T44" s="7">
        <v>6.52</v>
      </c>
      <c r="U44" s="7">
        <v>10.210000000000001</v>
      </c>
      <c r="V44" s="7">
        <v>26.38</v>
      </c>
      <c r="W44" s="7">
        <v>22.8</v>
      </c>
      <c r="X44" s="7">
        <v>26.26</v>
      </c>
      <c r="Y44" s="7">
        <v>49.59</v>
      </c>
      <c r="Z44" s="104">
        <v>197.73</v>
      </c>
      <c r="AA44" s="112">
        <v>78.53</v>
      </c>
      <c r="AB44" s="158"/>
      <c r="AC44" s="123"/>
      <c r="AD44" s="123"/>
      <c r="AE44" s="123"/>
      <c r="AF44" s="123"/>
      <c r="AG44" s="123"/>
      <c r="AH44" s="123"/>
      <c r="AI44" s="123"/>
      <c r="AJ44" s="123"/>
      <c r="AK44" s="135"/>
      <c r="BF44" s="149"/>
      <c r="BY44" s="149"/>
      <c r="BZ44" s="40"/>
      <c r="CA44" s="11"/>
      <c r="CB44" s="2"/>
      <c r="CC44" s="2"/>
      <c r="CD44" s="2"/>
      <c r="CE44" s="2"/>
      <c r="CF44" s="2"/>
      <c r="CG44" s="2"/>
      <c r="CH44" s="2"/>
      <c r="CK44" s="40"/>
      <c r="CL44" s="11"/>
      <c r="CM44" s="2"/>
      <c r="CN44" s="2"/>
      <c r="CO44" s="2"/>
      <c r="CP44" s="2"/>
      <c r="CQ44" s="2"/>
      <c r="CR44" s="2"/>
      <c r="CS44" s="2"/>
      <c r="CW44" s="149"/>
      <c r="CX44" s="295"/>
      <c r="CY44" s="18" t="s">
        <v>16</v>
      </c>
      <c r="CZ44" s="7">
        <v>384650.777299857</v>
      </c>
      <c r="DA44" s="7">
        <v>499731.5345846354</v>
      </c>
      <c r="DB44" s="7">
        <v>400334.68508169893</v>
      </c>
      <c r="DC44" s="7">
        <v>190334.69488054788</v>
      </c>
      <c r="DD44" s="7">
        <v>58284.938514883514</v>
      </c>
      <c r="DE44" s="7">
        <v>-10932.511708048449</v>
      </c>
      <c r="DF44" s="7">
        <v>-26767.311983903142</v>
      </c>
      <c r="DG44" s="7">
        <v>8088.3157548785748</v>
      </c>
      <c r="DH44" s="7">
        <v>-14814.433766811111</v>
      </c>
      <c r="DI44" s="7">
        <v>-96503.338595274283</v>
      </c>
      <c r="DJ44" s="7">
        <v>-199086.02422507477</v>
      </c>
      <c r="DK44" s="7">
        <v>-289258.13684451109</v>
      </c>
      <c r="DL44" s="7">
        <v>-395473.84688249324</v>
      </c>
      <c r="DM44" s="7">
        <v>-493135.90879915777</v>
      </c>
      <c r="DN44" s="7">
        <v>-592208.86381279817</v>
      </c>
      <c r="DO44" s="7">
        <v>-691346.16109320661</v>
      </c>
      <c r="DP44" s="7">
        <v>-741125.44988653657</v>
      </c>
      <c r="DQ44" s="7">
        <v>-721768.41160874174</v>
      </c>
      <c r="DR44" s="7">
        <v>-659516.4146210053</v>
      </c>
      <c r="DS44" s="7">
        <v>-544894.35827510874</v>
      </c>
      <c r="DT44" s="7">
        <v>-487844.38930645719</v>
      </c>
      <c r="DU44" s="7">
        <v>-415154.92954670207</v>
      </c>
      <c r="DV44" s="7">
        <v>-389766.48909752344</v>
      </c>
      <c r="DW44" s="7">
        <v>-410135.88420227973</v>
      </c>
      <c r="DX44" s="7">
        <v>-454236.07787249022</v>
      </c>
      <c r="DY44" s="208"/>
      <c r="DZ44" s="208"/>
      <c r="EA44" s="149"/>
      <c r="FH44" s="149"/>
    </row>
    <row r="45" spans="1:164" s="4" customFormat="1" ht="20.25" customHeight="1" outlineLevel="1" x14ac:dyDescent="0.35">
      <c r="A45" s="40"/>
      <c r="B45" s="11"/>
      <c r="C45" s="12"/>
      <c r="D45" s="12"/>
      <c r="E45" s="12"/>
      <c r="F45" s="12"/>
      <c r="G45" s="12"/>
      <c r="H45" s="12"/>
      <c r="I45" s="12"/>
      <c r="J45" s="12"/>
      <c r="M45" s="149"/>
      <c r="N45" s="149"/>
      <c r="O45" s="295"/>
      <c r="P45" s="16" t="s">
        <v>14</v>
      </c>
      <c r="Q45" s="7">
        <v>-2403.9799676319835</v>
      </c>
      <c r="R45" s="7">
        <v>13962.536391725809</v>
      </c>
      <c r="S45" s="7">
        <v>-24625.983165404985</v>
      </c>
      <c r="T45" s="7">
        <v>9642.5732806900087</v>
      </c>
      <c r="U45" s="7">
        <v>21267.422078134994</v>
      </c>
      <c r="V45" s="7">
        <v>46540.232892219436</v>
      </c>
      <c r="W45" s="7">
        <v>17986.557521095059</v>
      </c>
      <c r="X45" s="7">
        <v>35865.502709346962</v>
      </c>
      <c r="Y45" s="7">
        <v>28534.732644444233</v>
      </c>
      <c r="AB45" s="158"/>
      <c r="AC45" s="123"/>
      <c r="AD45" s="123"/>
      <c r="AE45" s="123"/>
      <c r="AF45" s="123"/>
      <c r="AG45" s="123"/>
      <c r="AH45" s="123"/>
      <c r="AI45" s="123"/>
      <c r="AJ45" s="123"/>
      <c r="BF45" s="149"/>
      <c r="BY45" s="149"/>
      <c r="BZ45" s="295" t="s">
        <v>23</v>
      </c>
      <c r="CA45" s="15"/>
      <c r="CB45" s="2"/>
      <c r="CC45" s="2"/>
      <c r="CD45" s="2"/>
      <c r="CE45" s="2"/>
      <c r="CF45" s="2"/>
      <c r="CG45" s="2"/>
      <c r="CH45" s="2"/>
      <c r="CK45" s="295" t="s">
        <v>23</v>
      </c>
      <c r="CL45" s="15"/>
      <c r="CM45" s="2"/>
      <c r="CN45" s="2"/>
      <c r="CO45" s="2"/>
      <c r="CP45" s="2"/>
      <c r="CQ45" s="2"/>
      <c r="CR45" s="2"/>
      <c r="CS45" s="2"/>
      <c r="CW45" s="149"/>
      <c r="CX45" s="40"/>
      <c r="CY45" s="11"/>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208"/>
      <c r="DZ45" s="208"/>
      <c r="EA45" s="149"/>
      <c r="FH45" s="149"/>
    </row>
    <row r="46" spans="1:164" s="4" customFormat="1" ht="15" customHeight="1" outlineLevel="1" x14ac:dyDescent="0.35">
      <c r="A46" s="295" t="s">
        <v>24</v>
      </c>
      <c r="B46" s="15"/>
      <c r="C46" s="7"/>
      <c r="D46" s="7"/>
      <c r="E46" s="7"/>
      <c r="F46" s="7"/>
      <c r="G46" s="7"/>
      <c r="H46" s="7"/>
      <c r="I46" s="7"/>
      <c r="J46" s="7"/>
      <c r="M46" s="149"/>
      <c r="N46" s="149"/>
      <c r="O46" s="295"/>
      <c r="P46" s="18" t="s">
        <v>16</v>
      </c>
      <c r="Q46" s="7">
        <v>17709.387711885101</v>
      </c>
      <c r="R46" s="7">
        <v>49500.744103610908</v>
      </c>
      <c r="S46" s="7">
        <v>38573.100938205927</v>
      </c>
      <c r="T46" s="7">
        <v>60635.35421889594</v>
      </c>
      <c r="U46" s="7">
        <v>97498.206297030934</v>
      </c>
      <c r="V46" s="7">
        <v>163457.61918925037</v>
      </c>
      <c r="W46" s="7">
        <v>200372.05671034544</v>
      </c>
      <c r="X46" s="7">
        <v>254355.9894196924</v>
      </c>
      <c r="Y46" s="7">
        <v>297576.95206413663</v>
      </c>
      <c r="AB46" s="158"/>
      <c r="AC46" s="123"/>
      <c r="AD46" s="123"/>
      <c r="AE46" s="123"/>
      <c r="AF46" s="123"/>
      <c r="AG46" s="123"/>
      <c r="AH46" s="123"/>
      <c r="AI46" s="123"/>
      <c r="AJ46" s="123"/>
      <c r="BF46" s="149"/>
      <c r="BY46" s="149"/>
      <c r="BZ46" s="295"/>
      <c r="CA46" s="15" t="s">
        <v>28</v>
      </c>
      <c r="CB46" s="215">
        <v>93253.892629017733</v>
      </c>
      <c r="CC46" s="215">
        <v>103488.5984224446</v>
      </c>
      <c r="CD46" s="215">
        <v>144414.82989089785</v>
      </c>
      <c r="CE46" s="215">
        <v>110066.63506595949</v>
      </c>
      <c r="CF46" s="215">
        <v>50328.1679847302</v>
      </c>
      <c r="CG46" s="215">
        <v>48818.637830727937</v>
      </c>
      <c r="CH46" s="215">
        <v>69139.5977047872</v>
      </c>
      <c r="CK46" s="295"/>
      <c r="CL46" s="15" t="s">
        <v>28</v>
      </c>
      <c r="CM46" s="215">
        <v>94499.435722133203</v>
      </c>
      <c r="CN46" s="215">
        <v>106373.63204827519</v>
      </c>
      <c r="CO46" s="215">
        <v>148860.54934641003</v>
      </c>
      <c r="CP46" s="215">
        <v>113969.38798552775</v>
      </c>
      <c r="CQ46" s="215">
        <v>51770.931765260808</v>
      </c>
      <c r="CR46" s="215">
        <v>49637.482299138559</v>
      </c>
      <c r="CS46" s="215">
        <v>69257.34742855576</v>
      </c>
      <c r="CW46" s="149"/>
      <c r="CX46" s="295" t="s">
        <v>22</v>
      </c>
      <c r="CY46" s="15"/>
      <c r="CZ46" s="7"/>
      <c r="DA46" s="7"/>
      <c r="DB46" s="7"/>
      <c r="DC46" s="7"/>
      <c r="DD46" s="7"/>
      <c r="DE46" s="7"/>
      <c r="DF46" s="7"/>
      <c r="DG46" s="7"/>
      <c r="DH46" s="7"/>
      <c r="DI46" s="7"/>
      <c r="DJ46" s="7"/>
      <c r="DK46" s="7"/>
      <c r="DL46" s="7"/>
      <c r="DM46" s="7"/>
      <c r="DN46" s="7"/>
      <c r="DO46" s="7"/>
      <c r="DP46" s="7"/>
      <c r="DQ46" s="7"/>
      <c r="DR46" s="7"/>
      <c r="DS46" s="7"/>
      <c r="DT46" s="7"/>
      <c r="DU46" s="7"/>
      <c r="DV46" s="125">
        <v>54573.283373827086</v>
      </c>
      <c r="DW46" s="7"/>
      <c r="DX46" s="7"/>
      <c r="DY46" s="208"/>
      <c r="DZ46" s="208"/>
      <c r="EA46" s="149"/>
      <c r="FH46" s="149"/>
    </row>
    <row r="47" spans="1:164" s="2" customFormat="1" ht="15" customHeight="1" outlineLevel="1" x14ac:dyDescent="0.35">
      <c r="A47" s="295"/>
      <c r="B47" s="15" t="s">
        <v>28</v>
      </c>
      <c r="C47" s="20">
        <f>C91</f>
        <v>0</v>
      </c>
      <c r="D47" s="20">
        <f t="shared" ref="D47:J47" si="38">D91</f>
        <v>0</v>
      </c>
      <c r="E47" s="20">
        <f t="shared" si="38"/>
        <v>178.04544936482247</v>
      </c>
      <c r="F47" s="20">
        <f t="shared" si="38"/>
        <v>661.15950808601849</v>
      </c>
      <c r="G47" s="20">
        <f t="shared" si="38"/>
        <v>877.99265710747466</v>
      </c>
      <c r="H47" s="20">
        <f t="shared" si="38"/>
        <v>967.48184726463296</v>
      </c>
      <c r="I47" s="20">
        <f t="shared" si="38"/>
        <v>1381.2114306574015</v>
      </c>
      <c r="J47" s="20">
        <f t="shared" si="38"/>
        <v>1095.1994877590121</v>
      </c>
      <c r="M47" s="150"/>
      <c r="N47" s="150"/>
      <c r="O47" s="40"/>
      <c r="P47" s="11"/>
      <c r="Q47" s="12"/>
      <c r="R47" s="12"/>
      <c r="S47" s="12"/>
      <c r="T47" s="12"/>
      <c r="U47" s="12"/>
      <c r="V47" s="12"/>
      <c r="W47" s="12"/>
      <c r="X47" s="12"/>
      <c r="Y47" s="12"/>
      <c r="Z47" s="4"/>
      <c r="AA47" s="4"/>
      <c r="AB47" s="158"/>
      <c r="AC47" s="123"/>
      <c r="AD47" s="123"/>
      <c r="AE47" s="123"/>
      <c r="AF47" s="123"/>
      <c r="AG47" s="123"/>
      <c r="AH47" s="123"/>
      <c r="AI47" s="123"/>
      <c r="AJ47" s="123"/>
      <c r="AK47" s="4"/>
      <c r="BF47" s="150"/>
      <c r="BY47" s="150"/>
      <c r="BZ47" s="295"/>
      <c r="CA47" s="16" t="s">
        <v>26</v>
      </c>
      <c r="CB47" s="215">
        <v>171603.607119394</v>
      </c>
      <c r="CC47" s="215">
        <v>225113.97993017494</v>
      </c>
      <c r="CD47" s="215">
        <v>217125.39653110137</v>
      </c>
      <c r="CE47" s="215">
        <v>162221.33538769459</v>
      </c>
      <c r="CF47" s="215">
        <v>84753.684454895163</v>
      </c>
      <c r="CG47" s="215">
        <v>72198.807943159496</v>
      </c>
      <c r="CH47" s="215">
        <v>84979.402614517516</v>
      </c>
      <c r="CK47" s="295"/>
      <c r="CL47" s="16" t="s">
        <v>26</v>
      </c>
      <c r="CM47" s="215">
        <v>170938.27536408586</v>
      </c>
      <c r="CN47" s="215">
        <v>223626.59508106788</v>
      </c>
      <c r="CO47" s="215">
        <v>214644.25749630781</v>
      </c>
      <c r="CP47" s="215">
        <v>159960.98877011714</v>
      </c>
      <c r="CQ47" s="215">
        <v>83957.029881736671</v>
      </c>
      <c r="CR47" s="215">
        <v>71737.991738818018</v>
      </c>
      <c r="CS47" s="215">
        <v>84924.677214678944</v>
      </c>
      <c r="CW47" s="150"/>
      <c r="CX47" s="295"/>
      <c r="CY47" s="15" t="s">
        <v>28</v>
      </c>
      <c r="CZ47" s="20">
        <v>171784.13279113677</v>
      </c>
      <c r="DA47" s="20">
        <v>283797.45031291858</v>
      </c>
      <c r="DB47" s="20">
        <v>210481.86723637651</v>
      </c>
      <c r="DC47" s="20">
        <v>232927.56555946911</v>
      </c>
      <c r="DD47" s="20">
        <v>221111.27962203597</v>
      </c>
      <c r="DE47" s="20">
        <v>314679.79966629087</v>
      </c>
      <c r="DF47" s="20">
        <v>715299.40366319334</v>
      </c>
      <c r="DG47" s="20">
        <v>953627.42461110547</v>
      </c>
      <c r="DH47" s="20">
        <v>939310.43288894033</v>
      </c>
      <c r="DI47" s="20">
        <v>659615.18241367524</v>
      </c>
      <c r="DJ47" s="20">
        <v>353569.18814987835</v>
      </c>
      <c r="DK47" s="20">
        <v>343727.65210763505</v>
      </c>
      <c r="DL47" s="20">
        <v>418850.04670264991</v>
      </c>
      <c r="DM47" s="20">
        <v>627056.98298263596</v>
      </c>
      <c r="DN47" s="20">
        <v>475288.11809378932</v>
      </c>
      <c r="DO47" s="20">
        <v>288997.35659879085</v>
      </c>
      <c r="DP47" s="20">
        <v>253245.26358346242</v>
      </c>
      <c r="DQ47" s="20">
        <v>337719.24594805558</v>
      </c>
      <c r="DR47" s="20">
        <v>917413.81462190335</v>
      </c>
      <c r="DS47" s="20">
        <v>1145597.0197120309</v>
      </c>
      <c r="DT47" s="20">
        <v>988866.58881189337</v>
      </c>
      <c r="DU47" s="20">
        <v>672365.26793086936</v>
      </c>
      <c r="DV47" s="20">
        <v>344986.1375718661</v>
      </c>
      <c r="DW47" s="20">
        <v>367525.10463732504</v>
      </c>
      <c r="DX47" s="20">
        <v>468411.57966709038</v>
      </c>
      <c r="DY47" s="221"/>
      <c r="DZ47" s="221"/>
      <c r="EA47" s="150"/>
      <c r="FH47" s="150"/>
    </row>
    <row r="48" spans="1:164" s="4" customFormat="1" ht="15" customHeight="1" outlineLevel="1" x14ac:dyDescent="0.35">
      <c r="A48" s="295"/>
      <c r="B48" s="16" t="s">
        <v>26</v>
      </c>
      <c r="C48" s="20">
        <f>IF('M3 Allocations - TD'!D55="","",'M3 Allocations - TD'!D73)</f>
        <v>0</v>
      </c>
      <c r="D48" s="20">
        <f>IF('M3 Allocations - TD'!E55="","",'M3 Allocations - TD'!E73)</f>
        <v>0</v>
      </c>
      <c r="E48" s="20">
        <f>IF('M3 Allocations - TD'!F55="","",'M3 Allocations - TD'!F73)</f>
        <v>-48.583419353926594</v>
      </c>
      <c r="F48" s="20">
        <f>IF('M3 Allocations - TD'!G55="","",'M3 Allocations - TD'!G73)</f>
        <v>4125.9071778961579</v>
      </c>
      <c r="G48" s="20">
        <f>IF('M3 Allocations - TD'!H55="","",'M3 Allocations - TD'!H73)</f>
        <v>6806.3797850987785</v>
      </c>
      <c r="H48" s="20">
        <f>IF('M3 Allocations - TD'!I55="","",'M3 Allocations - TD'!I73)</f>
        <v>7524.9044581782691</v>
      </c>
      <c r="I48" s="20">
        <f>IF('M3 Allocations - TD'!J55="","",'M3 Allocations - TD'!J73)</f>
        <v>7658.4495072300715</v>
      </c>
      <c r="J48" s="20">
        <f>IF('M3 Allocations - TD'!K55="","",'M3 Allocations - TD'!K73)</f>
        <v>7241.6490844376849</v>
      </c>
      <c r="M48" s="149"/>
      <c r="N48" s="149"/>
      <c r="O48" s="295" t="s">
        <v>22</v>
      </c>
      <c r="P48" s="15"/>
      <c r="Q48" s="7"/>
      <c r="R48" s="7"/>
      <c r="S48" s="7"/>
      <c r="T48" s="7"/>
      <c r="U48" s="7"/>
      <c r="V48" s="7"/>
      <c r="W48" s="7"/>
      <c r="X48" s="7"/>
      <c r="Y48" s="7"/>
      <c r="AB48" s="158"/>
      <c r="AC48" s="123"/>
      <c r="AD48" s="123"/>
      <c r="AE48" s="123"/>
      <c r="AF48" s="123"/>
      <c r="AG48" s="123"/>
      <c r="AH48" s="123"/>
      <c r="AI48" s="123"/>
      <c r="AJ48" s="123"/>
      <c r="BF48" s="149"/>
      <c r="BY48" s="149"/>
      <c r="BZ48" s="295"/>
      <c r="CA48" s="16" t="s">
        <v>51</v>
      </c>
      <c r="CB48" s="215">
        <v>-8146.01</v>
      </c>
      <c r="CC48" s="215">
        <v>-10707.36</v>
      </c>
      <c r="CD48" s="215">
        <v>-10340.290000000001</v>
      </c>
      <c r="CE48" s="215">
        <v>58728.46</v>
      </c>
      <c r="CF48" s="215">
        <v>30610.37</v>
      </c>
      <c r="CG48" s="215">
        <v>26134.63</v>
      </c>
      <c r="CH48" s="215">
        <v>30515.41</v>
      </c>
      <c r="CK48" s="295"/>
      <c r="CL48" s="16" t="s">
        <v>51</v>
      </c>
      <c r="CM48" s="215">
        <v>-8146.01</v>
      </c>
      <c r="CN48" s="215">
        <v>-10707.36</v>
      </c>
      <c r="CO48" s="215">
        <v>-10340.290000000001</v>
      </c>
      <c r="CP48" s="215">
        <v>58728.46</v>
      </c>
      <c r="CQ48" s="215">
        <v>30610.37</v>
      </c>
      <c r="CR48" s="215">
        <v>26134.63</v>
      </c>
      <c r="CS48" s="215">
        <v>30515.41</v>
      </c>
      <c r="CW48" s="149"/>
      <c r="CX48" s="295"/>
      <c r="CY48" s="16" t="s">
        <v>26</v>
      </c>
      <c r="CZ48" s="20">
        <v>96572.606390330679</v>
      </c>
      <c r="DA48" s="20">
        <v>102973.56100695563</v>
      </c>
      <c r="DB48" s="20">
        <v>317054.12799449282</v>
      </c>
      <c r="DC48" s="20">
        <v>555274.69988765684</v>
      </c>
      <c r="DD48" s="20">
        <v>496959.09444564459</v>
      </c>
      <c r="DE48" s="20">
        <v>507462.60422851134</v>
      </c>
      <c r="DF48" s="20">
        <v>564396.00989380945</v>
      </c>
      <c r="DG48" s="20">
        <v>660447.26760719228</v>
      </c>
      <c r="DH48" s="20">
        <v>654260.67532357096</v>
      </c>
      <c r="DI48" s="20">
        <v>666957.41235823918</v>
      </c>
      <c r="DJ48" s="20">
        <v>587413.62430156593</v>
      </c>
      <c r="DK48" s="20">
        <v>519976.82051891321</v>
      </c>
      <c r="DL48" s="20">
        <v>567613.70409043762</v>
      </c>
      <c r="DM48" s="20">
        <v>605915.85091646248</v>
      </c>
      <c r="DN48" s="20">
        <v>491377.50787101442</v>
      </c>
      <c r="DO48" s="20">
        <v>295776.31891815155</v>
      </c>
      <c r="DP48" s="20">
        <v>275370.89343587006</v>
      </c>
      <c r="DQ48" s="20">
        <v>285530.13328453153</v>
      </c>
      <c r="DR48" s="20">
        <v>320626.18147462484</v>
      </c>
      <c r="DS48" s="20">
        <v>359045.8467287785</v>
      </c>
      <c r="DT48" s="20">
        <v>356393.75583709526</v>
      </c>
      <c r="DU48" s="20">
        <v>340966.67570072628</v>
      </c>
      <c r="DV48" s="20">
        <v>293032.69252515415</v>
      </c>
      <c r="DW48" s="20">
        <v>284530.72242752794</v>
      </c>
      <c r="DX48" s="20">
        <v>315151.4942720079</v>
      </c>
      <c r="DY48" s="208"/>
      <c r="DZ48" s="208"/>
      <c r="EA48" s="149"/>
      <c r="FH48" s="149"/>
    </row>
    <row r="49" spans="1:164" s="4" customFormat="1" ht="15" customHeight="1" outlineLevel="1" x14ac:dyDescent="0.35">
      <c r="A49" s="295"/>
      <c r="B49" s="16" t="s">
        <v>51</v>
      </c>
      <c r="C49" s="20">
        <f>IF(C48="","",0)</f>
        <v>0</v>
      </c>
      <c r="D49" s="20">
        <f t="shared" ref="D49:I49" si="39">IF(D48="","",0)</f>
        <v>0</v>
      </c>
      <c r="E49" s="20">
        <f t="shared" si="39"/>
        <v>0</v>
      </c>
      <c r="F49" s="20">
        <f t="shared" si="39"/>
        <v>0</v>
      </c>
      <c r="G49" s="20">
        <f t="shared" si="39"/>
        <v>0</v>
      </c>
      <c r="H49" s="20">
        <f t="shared" si="39"/>
        <v>0</v>
      </c>
      <c r="I49" s="20">
        <f t="shared" si="39"/>
        <v>0</v>
      </c>
      <c r="J49" s="20">
        <f>IF(J48="","",0)</f>
        <v>0</v>
      </c>
      <c r="M49" s="149"/>
      <c r="N49" s="149"/>
      <c r="O49" s="295"/>
      <c r="P49" s="15" t="s">
        <v>28</v>
      </c>
      <c r="Q49" s="20">
        <v>122696.92137199735</v>
      </c>
      <c r="R49" s="20">
        <v>123411.87388052933</v>
      </c>
      <c r="S49" s="20">
        <v>47446.211556775474</v>
      </c>
      <c r="T49" s="20">
        <v>83556.534245541465</v>
      </c>
      <c r="U49" s="20">
        <v>189049.36683437167</v>
      </c>
      <c r="V49" s="20">
        <v>265484.4397628404</v>
      </c>
      <c r="W49" s="20">
        <v>248590.59560852987</v>
      </c>
      <c r="X49" s="20">
        <v>229992.78825383674</v>
      </c>
      <c r="Y49" s="20">
        <v>142655.78999924072</v>
      </c>
      <c r="Z49" s="2"/>
      <c r="AA49" s="2"/>
      <c r="AB49" s="158"/>
      <c r="AC49" s="123"/>
      <c r="AD49" s="123"/>
      <c r="AE49" s="123"/>
      <c r="AF49" s="123"/>
      <c r="AG49" s="123"/>
      <c r="AH49" s="123"/>
      <c r="AI49" s="123"/>
      <c r="AJ49" s="123"/>
      <c r="AK49" s="2"/>
      <c r="BF49" s="149"/>
      <c r="BY49" s="149"/>
      <c r="BZ49" s="295"/>
      <c r="CA49" s="16" t="s">
        <v>52</v>
      </c>
      <c r="CB49" s="215">
        <v>163457.59711939399</v>
      </c>
      <c r="CC49" s="215">
        <v>214406.61993017496</v>
      </c>
      <c r="CD49" s="215">
        <v>206785.10653110137</v>
      </c>
      <c r="CE49" s="215">
        <v>220949.79538769458</v>
      </c>
      <c r="CF49" s="215">
        <v>115364.05445489516</v>
      </c>
      <c r="CG49" s="215">
        <v>98333.437943159501</v>
      </c>
      <c r="CH49" s="215">
        <v>115494.81261451752</v>
      </c>
      <c r="CK49" s="295"/>
      <c r="CL49" s="16" t="s">
        <v>52</v>
      </c>
      <c r="CM49" s="215">
        <v>162792.26536408585</v>
      </c>
      <c r="CN49" s="215">
        <v>212919.23508106789</v>
      </c>
      <c r="CO49" s="215">
        <v>204303.9674963078</v>
      </c>
      <c r="CP49" s="215">
        <v>218689.44877011713</v>
      </c>
      <c r="CQ49" s="215">
        <v>114567.39988173667</v>
      </c>
      <c r="CR49" s="215">
        <v>97872.621738818023</v>
      </c>
      <c r="CS49" s="215">
        <v>115440.08721467895</v>
      </c>
      <c r="CT49" s="4" t="s">
        <v>117</v>
      </c>
      <c r="CU49" s="4" t="s">
        <v>118</v>
      </c>
      <c r="CV49" s="4" t="s">
        <v>119</v>
      </c>
      <c r="CW49" s="149"/>
      <c r="CX49" s="295"/>
      <c r="CY49" s="16" t="s">
        <v>51</v>
      </c>
      <c r="CZ49" s="20">
        <v>37469.9</v>
      </c>
      <c r="DA49" s="20">
        <v>40157.82</v>
      </c>
      <c r="DB49" s="20">
        <v>-26804.880000000001</v>
      </c>
      <c r="DC49" s="20">
        <v>-46741.51</v>
      </c>
      <c r="DD49" s="20">
        <v>-41624.800000000003</v>
      </c>
      <c r="DE49" s="20">
        <v>-42397.51</v>
      </c>
      <c r="DF49" s="20">
        <v>-47114.93</v>
      </c>
      <c r="DG49" s="20">
        <v>-55182.37</v>
      </c>
      <c r="DH49" s="20">
        <v>-54689.09</v>
      </c>
      <c r="DI49" s="20">
        <v>-55739.85</v>
      </c>
      <c r="DJ49" s="20">
        <v>-48995.69</v>
      </c>
      <c r="DK49" s="20">
        <v>-43533.32</v>
      </c>
      <c r="DL49" s="20">
        <v>-47580.19</v>
      </c>
      <c r="DM49" s="20">
        <v>-50865.22</v>
      </c>
      <c r="DN49" s="20">
        <v>38543.78</v>
      </c>
      <c r="DO49" s="20">
        <v>23075.85</v>
      </c>
      <c r="DP49" s="20">
        <v>21444.13</v>
      </c>
      <c r="DQ49" s="20">
        <v>22179.41</v>
      </c>
      <c r="DR49" s="20">
        <v>24889.02</v>
      </c>
      <c r="DS49" s="20">
        <v>27910.6</v>
      </c>
      <c r="DT49" s="20">
        <v>27712.27</v>
      </c>
      <c r="DU49" s="20">
        <v>26504</v>
      </c>
      <c r="DV49" s="20">
        <v>22775.33</v>
      </c>
      <c r="DW49" s="20">
        <v>22147.35</v>
      </c>
      <c r="DX49" s="20">
        <v>24687.83</v>
      </c>
      <c r="DY49" s="208"/>
      <c r="DZ49" s="208"/>
      <c r="EA49" s="149"/>
      <c r="FH49" s="149"/>
    </row>
    <row r="50" spans="1:164" s="4" customFormat="1" ht="15" customHeight="1" outlineLevel="1" x14ac:dyDescent="0.35">
      <c r="A50" s="295"/>
      <c r="B50" s="16" t="s">
        <v>52</v>
      </c>
      <c r="C50" s="7">
        <f t="shared" ref="C50:I50" si="40">IF(OR(C49="",C48=""),"",C48+C49)</f>
        <v>0</v>
      </c>
      <c r="D50" s="7">
        <f t="shared" si="40"/>
        <v>0</v>
      </c>
      <c r="E50" s="7">
        <f t="shared" si="40"/>
        <v>-48.583419353926594</v>
      </c>
      <c r="F50" s="7">
        <f t="shared" si="40"/>
        <v>4125.9071778961579</v>
      </c>
      <c r="G50" s="7">
        <f t="shared" si="40"/>
        <v>6806.3797850987785</v>
      </c>
      <c r="H50" s="7">
        <f t="shared" si="40"/>
        <v>7524.9044581782691</v>
      </c>
      <c r="I50" s="7">
        <f t="shared" si="40"/>
        <v>7658.4495072300715</v>
      </c>
      <c r="J50" s="7">
        <f>IF(OR(J49="",J48=""),"",J48+J49)</f>
        <v>7241.6490844376849</v>
      </c>
      <c r="M50" s="149"/>
      <c r="N50" s="149"/>
      <c r="O50" s="295"/>
      <c r="P50" s="16" t="s">
        <v>26</v>
      </c>
      <c r="Q50" s="20">
        <v>104313.87773241718</v>
      </c>
      <c r="R50" s="20">
        <v>98420.974410363575</v>
      </c>
      <c r="S50" s="20">
        <v>84560.155028366615</v>
      </c>
      <c r="T50" s="20">
        <v>79147.524446379844</v>
      </c>
      <c r="U50" s="20">
        <v>94049.927973792379</v>
      </c>
      <c r="V50" s="20">
        <v>109708.48677351972</v>
      </c>
      <c r="W50" s="20">
        <v>109463.73998502946</v>
      </c>
      <c r="X50" s="20">
        <v>109154.24836711264</v>
      </c>
      <c r="Y50" s="20">
        <v>93111.170115006884</v>
      </c>
      <c r="AB50" s="158"/>
      <c r="AC50" s="123"/>
      <c r="AD50" s="123"/>
      <c r="AE50" s="123"/>
      <c r="AF50" s="123"/>
      <c r="AG50" s="123"/>
      <c r="AH50" s="123"/>
      <c r="AI50" s="123"/>
      <c r="AJ50" s="123"/>
      <c r="BF50" s="149"/>
      <c r="BY50" s="149"/>
      <c r="BZ50" s="295"/>
      <c r="CA50" s="16" t="s">
        <v>13</v>
      </c>
      <c r="CB50" s="215">
        <v>-70203.704490376258</v>
      </c>
      <c r="CC50" s="215">
        <v>-110918.02150773036</v>
      </c>
      <c r="CD50" s="215">
        <v>-62370.276640203519</v>
      </c>
      <c r="CE50" s="215">
        <v>-110883.16032173509</v>
      </c>
      <c r="CF50" s="215">
        <v>-65035.886470164958</v>
      </c>
      <c r="CG50" s="215">
        <v>-49514.800112431563</v>
      </c>
      <c r="CH50" s="215">
        <v>-46355.214909730319</v>
      </c>
      <c r="CK50" s="295"/>
      <c r="CL50" s="16" t="s">
        <v>13</v>
      </c>
      <c r="CM50" s="215">
        <v>-68292.829641952645</v>
      </c>
      <c r="CN50" s="215">
        <v>-106545.6030327927</v>
      </c>
      <c r="CO50" s="215">
        <v>-55443.41814989777</v>
      </c>
      <c r="CP50" s="215">
        <v>-104720.06078458938</v>
      </c>
      <c r="CQ50" s="215">
        <v>-62796.468116475859</v>
      </c>
      <c r="CR50" s="215">
        <v>-48235.139439679464</v>
      </c>
      <c r="CS50" s="215">
        <v>-46182.739786123188</v>
      </c>
      <c r="CT50" s="216">
        <f>SUM(CM50:CS50)</f>
        <v>-492216.258951511</v>
      </c>
      <c r="CU50" s="216">
        <f>SUM(CB50:CH50)</f>
        <v>-515281.06445237203</v>
      </c>
      <c r="CV50" s="216">
        <f>CT50-CU50</f>
        <v>23064.805500861024</v>
      </c>
      <c r="CW50" s="149"/>
      <c r="CX50" s="295"/>
      <c r="CY50" s="16" t="s">
        <v>52</v>
      </c>
      <c r="CZ50" s="7">
        <v>134042.50639033067</v>
      </c>
      <c r="DA50" s="7">
        <v>143131.38100695563</v>
      </c>
      <c r="DB50" s="7">
        <v>290249.24799449282</v>
      </c>
      <c r="DC50" s="7">
        <v>508533.18988765683</v>
      </c>
      <c r="DD50" s="7">
        <v>455334.2944456446</v>
      </c>
      <c r="DE50" s="7">
        <v>465065.09422851133</v>
      </c>
      <c r="DF50" s="7">
        <v>517281.07989380945</v>
      </c>
      <c r="DG50" s="7">
        <v>605264.89760719228</v>
      </c>
      <c r="DH50" s="7">
        <v>599571.58532357099</v>
      </c>
      <c r="DI50" s="7">
        <v>611217.5623582392</v>
      </c>
      <c r="DJ50" s="7">
        <v>538417.93430156587</v>
      </c>
      <c r="DK50" s="7">
        <v>476443.50051891321</v>
      </c>
      <c r="DL50" s="7">
        <v>520033.51409043762</v>
      </c>
      <c r="DM50" s="7">
        <v>555050.63091646251</v>
      </c>
      <c r="DN50" s="7">
        <v>529921.28787101444</v>
      </c>
      <c r="DO50" s="7">
        <v>318852.16891815152</v>
      </c>
      <c r="DP50" s="7">
        <v>296815.02343587007</v>
      </c>
      <c r="DQ50" s="7">
        <v>307709.54328453151</v>
      </c>
      <c r="DR50" s="7">
        <v>345515.20147462486</v>
      </c>
      <c r="DS50" s="7">
        <v>386956.44672877848</v>
      </c>
      <c r="DT50" s="7">
        <v>384106.02583709528</v>
      </c>
      <c r="DU50" s="7">
        <v>367470.67570072628</v>
      </c>
      <c r="DV50" s="7">
        <v>315808.02252515417</v>
      </c>
      <c r="DW50" s="7">
        <v>306678.07242752792</v>
      </c>
      <c r="DX50" s="7">
        <v>339839.32427200791</v>
      </c>
      <c r="DY50" s="208"/>
      <c r="DZ50" s="208"/>
      <c r="EA50" s="149"/>
      <c r="FH50" s="149"/>
    </row>
    <row r="51" spans="1:164" s="4" customFormat="1" ht="14.5" outlineLevel="1" x14ac:dyDescent="0.35">
      <c r="A51" s="295"/>
      <c r="B51" s="16" t="s">
        <v>13</v>
      </c>
      <c r="C51" s="7">
        <f t="shared" ref="C51:I51" si="41">IF(OR(C48="",C47=""),"",C47-C48)</f>
        <v>0</v>
      </c>
      <c r="D51" s="7">
        <f t="shared" si="41"/>
        <v>0</v>
      </c>
      <c r="E51" s="7">
        <f t="shared" si="41"/>
        <v>226.62886871874906</v>
      </c>
      <c r="F51" s="7">
        <f t="shared" si="41"/>
        <v>-3464.7476698101395</v>
      </c>
      <c r="G51" s="7">
        <f t="shared" si="41"/>
        <v>-5928.3871279913037</v>
      </c>
      <c r="H51" s="7">
        <f t="shared" si="41"/>
        <v>-6557.4226109136362</v>
      </c>
      <c r="I51" s="7">
        <f t="shared" si="41"/>
        <v>-6277.2380765726703</v>
      </c>
      <c r="J51" s="7">
        <f>IF(OR(J48="",J47=""),"",J47-J48)</f>
        <v>-6146.4495966786726</v>
      </c>
      <c r="K51" s="103" t="s">
        <v>84</v>
      </c>
      <c r="L51" s="103" t="s">
        <v>87</v>
      </c>
      <c r="M51" s="149"/>
      <c r="N51" s="149"/>
      <c r="O51" s="295"/>
      <c r="P51" s="16" t="s">
        <v>51</v>
      </c>
      <c r="Q51" s="20">
        <v>40612.01</v>
      </c>
      <c r="R51" s="20">
        <v>38351.11</v>
      </c>
      <c r="S51" s="20">
        <v>32774.379999999997</v>
      </c>
      <c r="T51" s="20">
        <v>30569.17</v>
      </c>
      <c r="U51" s="20">
        <v>36225.06</v>
      </c>
      <c r="V51" s="20">
        <v>42295.91</v>
      </c>
      <c r="W51" s="20">
        <v>42141.33</v>
      </c>
      <c r="X51" s="20">
        <v>41942.74</v>
      </c>
      <c r="Y51" s="20">
        <v>35788.269999999997</v>
      </c>
      <c r="AB51" s="158"/>
      <c r="AC51" s="123"/>
      <c r="AD51" s="123"/>
      <c r="AE51" s="123"/>
      <c r="AF51" s="123"/>
      <c r="AG51" s="123"/>
      <c r="AH51" s="123"/>
      <c r="AI51" s="123"/>
      <c r="AJ51" s="123"/>
      <c r="BF51" s="149"/>
      <c r="BY51" s="149"/>
      <c r="BZ51" s="295"/>
      <c r="CA51" s="17" t="s">
        <v>8</v>
      </c>
      <c r="CB51" s="215">
        <v>-25.96</v>
      </c>
      <c r="CC51" s="215">
        <v>-70.53</v>
      </c>
      <c r="CD51" s="215">
        <v>-77.709999999999994</v>
      </c>
      <c r="CE51" s="215">
        <v>-110.94</v>
      </c>
      <c r="CF51" s="215">
        <v>-277.91000000000003</v>
      </c>
      <c r="CG51" s="215">
        <v>-254.26</v>
      </c>
      <c r="CH51" s="215">
        <v>-414.91</v>
      </c>
      <c r="CK51" s="295"/>
      <c r="CL51" s="17" t="s">
        <v>8</v>
      </c>
      <c r="CM51" s="215">
        <v>-25.71</v>
      </c>
      <c r="CN51" s="215">
        <v>-69.17</v>
      </c>
      <c r="CO51" s="215">
        <v>-75.13</v>
      </c>
      <c r="CP51" s="215">
        <v>-106.16</v>
      </c>
      <c r="CQ51" s="215">
        <v>-265.5</v>
      </c>
      <c r="CR51" s="215">
        <v>-242.8</v>
      </c>
      <c r="CS51" s="215">
        <v>-396.63</v>
      </c>
      <c r="CW51" s="149"/>
      <c r="CX51" s="295"/>
      <c r="CY51" s="16" t="s">
        <v>13</v>
      </c>
      <c r="CZ51" s="7">
        <v>37741.626400806097</v>
      </c>
      <c r="DA51" s="7">
        <v>140666.06930596294</v>
      </c>
      <c r="DB51" s="7">
        <v>-79767.380758116313</v>
      </c>
      <c r="DC51" s="7">
        <v>-275605.62432818773</v>
      </c>
      <c r="DD51" s="7">
        <v>-234223.01482360862</v>
      </c>
      <c r="DE51" s="7">
        <v>-150385.29456222046</v>
      </c>
      <c r="DF51" s="7">
        <v>198018.32376938389</v>
      </c>
      <c r="DG51" s="7">
        <v>348362.52700391319</v>
      </c>
      <c r="DH51" s="7">
        <v>339738.84756536933</v>
      </c>
      <c r="DI51" s="7">
        <v>48397.62005543604</v>
      </c>
      <c r="DJ51" s="7">
        <v>-184848.74615168752</v>
      </c>
      <c r="DK51" s="7">
        <v>-132715.84841127816</v>
      </c>
      <c r="DL51" s="7">
        <v>-101183.46738778771</v>
      </c>
      <c r="DM51" s="7">
        <v>72006.352066173451</v>
      </c>
      <c r="DN51" s="7">
        <v>-54633.169777225121</v>
      </c>
      <c r="DO51" s="7">
        <v>-29854.812319360673</v>
      </c>
      <c r="DP51" s="7">
        <v>-43569.759852407646</v>
      </c>
      <c r="DQ51" s="7">
        <v>30009.702663524076</v>
      </c>
      <c r="DR51" s="7">
        <v>571898.61314727855</v>
      </c>
      <c r="DS51" s="7">
        <v>758640.57298325235</v>
      </c>
      <c r="DT51" s="7">
        <v>604760.56297479803</v>
      </c>
      <c r="DU51" s="7">
        <v>304894.59223014308</v>
      </c>
      <c r="DV51" s="125">
        <v>83751.398420539015</v>
      </c>
      <c r="DW51" s="7">
        <v>60847.032209797122</v>
      </c>
      <c r="DX51" s="7">
        <v>128572.25539508247</v>
      </c>
      <c r="DY51" s="208"/>
      <c r="DZ51" s="208"/>
      <c r="EA51" s="149"/>
      <c r="FH51" s="149"/>
    </row>
    <row r="52" spans="1:164" s="4" customFormat="1" ht="14.5" outlineLevel="1" x14ac:dyDescent="0.35">
      <c r="A52" s="295"/>
      <c r="B52" s="17" t="s">
        <v>8</v>
      </c>
      <c r="C52" s="7">
        <f>ROUND((C51+0)*'MEEIA 3 calcs'!F9/12,2)</f>
        <v>0</v>
      </c>
      <c r="D52" s="7">
        <f>ROUND((D51+C54)*'MEEIA 3 calcs'!G9/12,2)</f>
        <v>0</v>
      </c>
      <c r="E52" s="7">
        <f>ROUND((E51+D54)*'MEEIA 3 calcs'!H9/12,2)</f>
        <v>0.51</v>
      </c>
      <c r="F52" s="7">
        <f>ROUND((F51+E54)*'MEEIA 3 calcs'!I9/12,2)</f>
        <v>-7.15</v>
      </c>
      <c r="G52" s="7">
        <f>ROUND((G51+F54)*'MEEIA 3 calcs'!J9/12,2)</f>
        <v>-19.84</v>
      </c>
      <c r="H52" s="7">
        <f>ROUND((H51+G54)*'MEEIA 3 calcs'!K9/12,2)</f>
        <v>-30.86</v>
      </c>
      <c r="I52" s="7">
        <f>ROUND((I51+H54)*'MEEIA 3 calcs'!L9/12,2)</f>
        <v>-40.75</v>
      </c>
      <c r="J52" s="7">
        <f>ROUND((J51+I54)*'MEEIA 3 calcs'!M9/12,2)</f>
        <v>-49.76</v>
      </c>
      <c r="K52" s="104">
        <f>SUM('MEEIA 3 calcs'!F72:M72)</f>
        <v>-163.53</v>
      </c>
      <c r="L52" s="112">
        <f>SUM(C52:J52)-K52</f>
        <v>15.680000000000007</v>
      </c>
      <c r="M52" s="149"/>
      <c r="N52" s="149"/>
      <c r="O52" s="295"/>
      <c r="P52" s="16" t="s">
        <v>52</v>
      </c>
      <c r="Q52" s="7">
        <v>144925.88773241718</v>
      </c>
      <c r="R52" s="7">
        <v>136772.08441036358</v>
      </c>
      <c r="S52" s="7">
        <v>117334.5350283666</v>
      </c>
      <c r="T52" s="7">
        <v>109716.69444637984</v>
      </c>
      <c r="U52" s="7">
        <v>130274.98797379238</v>
      </c>
      <c r="V52" s="7">
        <v>152004.39677351972</v>
      </c>
      <c r="W52" s="7">
        <v>151605.06998502946</v>
      </c>
      <c r="X52" s="7">
        <v>151096.98836711264</v>
      </c>
      <c r="Y52" s="7">
        <v>128899.44011500687</v>
      </c>
      <c r="AB52" s="158"/>
      <c r="AC52" s="123"/>
      <c r="AD52" s="123"/>
      <c r="AE52" s="123"/>
      <c r="AF52" s="123"/>
      <c r="AG52" s="123"/>
      <c r="AH52" s="123"/>
      <c r="AI52" s="123"/>
      <c r="AJ52" s="123"/>
      <c r="BF52" s="149"/>
      <c r="BY52" s="149"/>
      <c r="BZ52" s="295"/>
      <c r="CA52" s="16" t="s">
        <v>14</v>
      </c>
      <c r="CB52" s="215">
        <v>-70229.664490376264</v>
      </c>
      <c r="CC52" s="215">
        <v>-110988.55150773036</v>
      </c>
      <c r="CD52" s="215">
        <v>-62447.986640203519</v>
      </c>
      <c r="CE52" s="215">
        <v>-110994.1003217351</v>
      </c>
      <c r="CF52" s="215">
        <v>-65313.796470164962</v>
      </c>
      <c r="CG52" s="215">
        <v>-49769.060112431565</v>
      </c>
      <c r="CH52" s="215">
        <v>-46770.124909730323</v>
      </c>
      <c r="CK52" s="295"/>
      <c r="CL52" s="16" t="s">
        <v>14</v>
      </c>
      <c r="CM52" s="215">
        <v>-68318.539641952651</v>
      </c>
      <c r="CN52" s="215">
        <v>-106614.7730327927</v>
      </c>
      <c r="CO52" s="215">
        <v>-55518.548149897768</v>
      </c>
      <c r="CP52" s="215">
        <v>-104826.22078458939</v>
      </c>
      <c r="CQ52" s="215">
        <v>-63061.968116475859</v>
      </c>
      <c r="CR52" s="215">
        <v>-48477.939439679467</v>
      </c>
      <c r="CS52" s="215">
        <v>-46579.369786123185</v>
      </c>
      <c r="CW52" s="149"/>
      <c r="CX52" s="295"/>
      <c r="CY52" s="17" t="s">
        <v>8</v>
      </c>
      <c r="CZ52" s="7">
        <v>66.36</v>
      </c>
      <c r="DA52" s="7">
        <v>99.47</v>
      </c>
      <c r="DB52" s="7">
        <v>91.45</v>
      </c>
      <c r="DC52" s="7">
        <v>26.76</v>
      </c>
      <c r="DD52" s="7">
        <v>-23.55</v>
      </c>
      <c r="DE52" s="7">
        <v>-59.49</v>
      </c>
      <c r="DF52" s="7">
        <v>-28.14</v>
      </c>
      <c r="DG52" s="7">
        <v>14.61</v>
      </c>
      <c r="DH52" s="7">
        <v>70.2</v>
      </c>
      <c r="DI52" s="7">
        <v>64.97</v>
      </c>
      <c r="DJ52" s="7">
        <v>21.21</v>
      </c>
      <c r="DK52" s="7">
        <v>-0.83</v>
      </c>
      <c r="DL52" s="7">
        <v>-33.71</v>
      </c>
      <c r="DM52" s="7">
        <v>-26.22</v>
      </c>
      <c r="DN52" s="7">
        <v>-37.06</v>
      </c>
      <c r="DO52" s="7">
        <v>-90.13</v>
      </c>
      <c r="DP52" s="7">
        <v>-89.73</v>
      </c>
      <c r="DQ52" s="7">
        <v>-100.7</v>
      </c>
      <c r="DR52" s="7">
        <v>581.27</v>
      </c>
      <c r="DS52" s="7">
        <v>2153.65</v>
      </c>
      <c r="DT52" s="7">
        <v>4040.95</v>
      </c>
      <c r="DU52" s="7">
        <v>5272.86</v>
      </c>
      <c r="DV52" s="7">
        <v>6762.22</v>
      </c>
      <c r="DW52" s="7">
        <v>8672.91</v>
      </c>
      <c r="DX52" s="7">
        <v>9966.83</v>
      </c>
      <c r="DY52" s="208">
        <f>SUM('MEEIA 3 calcs'!AA52:AY52)</f>
        <v>37444.9</v>
      </c>
      <c r="DZ52" s="223">
        <f>SUM(CZ52:DX52)-DY52</f>
        <v>-28.739999999997963</v>
      </c>
      <c r="EA52" s="149"/>
      <c r="FH52" s="149"/>
    </row>
    <row r="53" spans="1:164" s="4" customFormat="1" ht="14.5" outlineLevel="1" x14ac:dyDescent="0.35">
      <c r="A53" s="295"/>
      <c r="B53" s="16" t="s">
        <v>14</v>
      </c>
      <c r="C53" s="7">
        <f t="shared" ref="C53:J53" si="42">IF(OR(C51="",C52=""),"",C51+C52)</f>
        <v>0</v>
      </c>
      <c r="D53" s="7">
        <f t="shared" si="42"/>
        <v>0</v>
      </c>
      <c r="E53" s="7">
        <f t="shared" si="42"/>
        <v>227.13886871874905</v>
      </c>
      <c r="F53" s="7">
        <f t="shared" si="42"/>
        <v>-3471.8976698101396</v>
      </c>
      <c r="G53" s="7">
        <f t="shared" si="42"/>
        <v>-5948.2271279913039</v>
      </c>
      <c r="H53" s="7">
        <f t="shared" si="42"/>
        <v>-6588.2826109136358</v>
      </c>
      <c r="I53" s="7">
        <f t="shared" si="42"/>
        <v>-6317.9880765726703</v>
      </c>
      <c r="J53" s="7">
        <f t="shared" si="42"/>
        <v>-6196.2095966786728</v>
      </c>
      <c r="M53" s="149"/>
      <c r="N53" s="149"/>
      <c r="O53" s="295"/>
      <c r="P53" s="16" t="s">
        <v>13</v>
      </c>
      <c r="Q53" s="7">
        <v>-22228.966360419829</v>
      </c>
      <c r="R53" s="7">
        <v>-13360.21052983425</v>
      </c>
      <c r="S53" s="7">
        <v>-69888.323471591139</v>
      </c>
      <c r="T53" s="7">
        <v>-26160.160200838378</v>
      </c>
      <c r="U53" s="7">
        <v>58774.378860579294</v>
      </c>
      <c r="V53" s="7">
        <v>113480.04298932067</v>
      </c>
      <c r="W53" s="7">
        <v>96985.525623500405</v>
      </c>
      <c r="X53" s="7">
        <v>78895.799886724097</v>
      </c>
      <c r="Y53" s="7">
        <v>13756.349884233845</v>
      </c>
      <c r="Z53" s="103" t="s">
        <v>84</v>
      </c>
      <c r="AA53" s="103" t="s">
        <v>87</v>
      </c>
      <c r="AB53" s="158"/>
      <c r="AC53" s="123"/>
      <c r="AD53" s="123"/>
      <c r="AE53" s="123"/>
      <c r="AF53" s="123"/>
      <c r="AG53" s="123"/>
      <c r="AH53" s="123"/>
      <c r="AI53" s="123"/>
      <c r="AJ53" s="123"/>
      <c r="AK53" s="134"/>
      <c r="BF53" s="149"/>
      <c r="BY53" s="149"/>
      <c r="BZ53" s="295"/>
      <c r="CA53" s="18" t="s">
        <v>18</v>
      </c>
      <c r="CB53" s="215">
        <v>-203337.21655740903</v>
      </c>
      <c r="CC53" s="215">
        <v>-325033.1280651394</v>
      </c>
      <c r="CD53" s="215">
        <v>-397821.40470534295</v>
      </c>
      <c r="CE53" s="215">
        <v>-450087.04502707807</v>
      </c>
      <c r="CF53" s="215">
        <v>-484790.47149724304</v>
      </c>
      <c r="CG53" s="215">
        <v>-508424.90160967462</v>
      </c>
      <c r="CH53" s="215">
        <v>-524679.61651940492</v>
      </c>
      <c r="CK53" s="295"/>
      <c r="CL53" s="18" t="s">
        <v>18</v>
      </c>
      <c r="CM53" s="215">
        <v>-201426.09170898545</v>
      </c>
      <c r="CN53" s="215">
        <v>-318748.22474177816</v>
      </c>
      <c r="CO53" s="215">
        <v>-384607.06289167592</v>
      </c>
      <c r="CP53" s="215">
        <v>-430704.82367626531</v>
      </c>
      <c r="CQ53" s="215">
        <v>-463156.42179274117</v>
      </c>
      <c r="CR53" s="215">
        <v>-485499.73123242066</v>
      </c>
      <c r="CS53" s="215">
        <v>-501563.69101854385</v>
      </c>
      <c r="CW53" s="149"/>
      <c r="CX53" s="295"/>
      <c r="CY53" s="16" t="s">
        <v>14</v>
      </c>
      <c r="CZ53" s="7">
        <v>37807.986400806098</v>
      </c>
      <c r="DA53" s="7">
        <v>140765.53930596294</v>
      </c>
      <c r="DB53" s="7">
        <v>-79675.930758116316</v>
      </c>
      <c r="DC53" s="7">
        <v>-275578.86432818772</v>
      </c>
      <c r="DD53" s="7">
        <v>-234246.56482360861</v>
      </c>
      <c r="DE53" s="7">
        <v>-150444.78456222045</v>
      </c>
      <c r="DF53" s="7">
        <v>197990.18376938388</v>
      </c>
      <c r="DG53" s="7">
        <v>348377.13700391317</v>
      </c>
      <c r="DH53" s="7">
        <v>339809.04756536934</v>
      </c>
      <c r="DI53" s="7">
        <v>48462.590055436041</v>
      </c>
      <c r="DJ53" s="7">
        <v>-184827.53615168753</v>
      </c>
      <c r="DK53" s="7">
        <v>-132716.67841127815</v>
      </c>
      <c r="DL53" s="7">
        <v>-101217.17738778771</v>
      </c>
      <c r="DM53" s="7">
        <v>71980.13206617345</v>
      </c>
      <c r="DN53" s="7">
        <v>-54670.229777225119</v>
      </c>
      <c r="DO53" s="7">
        <v>-29944.942319360674</v>
      </c>
      <c r="DP53" s="7">
        <v>-43659.489852407649</v>
      </c>
      <c r="DQ53" s="7">
        <v>29909.002663524076</v>
      </c>
      <c r="DR53" s="7">
        <v>572479.88314727857</v>
      </c>
      <c r="DS53" s="7">
        <v>760794.22298325237</v>
      </c>
      <c r="DT53" s="7">
        <v>608801.51297479798</v>
      </c>
      <c r="DU53" s="7">
        <v>310167.45223014307</v>
      </c>
      <c r="DV53" s="7">
        <v>90513.618420539016</v>
      </c>
      <c r="DW53" s="7">
        <v>69519.942209797126</v>
      </c>
      <c r="DX53" s="7">
        <v>138539.08539508245</v>
      </c>
      <c r="DY53" s="208"/>
      <c r="DZ53" s="208"/>
      <c r="EA53" s="149"/>
      <c r="FH53" s="149"/>
    </row>
    <row r="54" spans="1:164" s="4" customFormat="1" ht="14.5" outlineLevel="1" x14ac:dyDescent="0.35">
      <c r="A54" s="295"/>
      <c r="B54" s="18" t="s">
        <v>19</v>
      </c>
      <c r="C54" s="7">
        <f>IF(OR(C53=""),"",C53)</f>
        <v>0</v>
      </c>
      <c r="D54" s="7">
        <f t="shared" ref="D54:J54" si="43">IF(OR(D53="",C54=""),"",D53+C54)</f>
        <v>0</v>
      </c>
      <c r="E54" s="7">
        <f t="shared" si="43"/>
        <v>227.13886871874905</v>
      </c>
      <c r="F54" s="7">
        <f t="shared" si="43"/>
        <v>-3244.7588010913905</v>
      </c>
      <c r="G54" s="7">
        <f t="shared" si="43"/>
        <v>-9192.9859290826935</v>
      </c>
      <c r="H54" s="7">
        <f t="shared" si="43"/>
        <v>-15781.26853999633</v>
      </c>
      <c r="I54" s="7">
        <f t="shared" si="43"/>
        <v>-22099.256616569</v>
      </c>
      <c r="J54" s="7">
        <f t="shared" si="43"/>
        <v>-28295.466213247673</v>
      </c>
      <c r="M54" s="149"/>
      <c r="N54" s="149"/>
      <c r="O54" s="295"/>
      <c r="P54" s="17" t="s">
        <v>8</v>
      </c>
      <c r="Q54" s="7">
        <v>-419.27</v>
      </c>
      <c r="R54" s="7">
        <v>-400.36</v>
      </c>
      <c r="S54" s="7">
        <v>-228.28</v>
      </c>
      <c r="T54" s="7">
        <v>-30.95</v>
      </c>
      <c r="U54" s="7">
        <v>-20.18</v>
      </c>
      <c r="V54" s="7">
        <v>-5.97</v>
      </c>
      <c r="W54" s="7">
        <v>11.62</v>
      </c>
      <c r="X54" s="7">
        <v>23.03</v>
      </c>
      <c r="Y54" s="7">
        <v>45.42</v>
      </c>
      <c r="Z54" s="104">
        <v>-1201.2799999999997</v>
      </c>
      <c r="AA54" s="112">
        <v>176.33999999999946</v>
      </c>
      <c r="AB54" s="158"/>
      <c r="AC54" s="123"/>
      <c r="AD54" s="123"/>
      <c r="AE54" s="123"/>
      <c r="AF54" s="123"/>
      <c r="AG54" s="123"/>
      <c r="AH54" s="123"/>
      <c r="AI54" s="123"/>
      <c r="AJ54" s="123"/>
      <c r="AK54" s="135"/>
      <c r="BF54" s="149"/>
      <c r="BY54" s="149"/>
      <c r="BZ54" s="40"/>
      <c r="CA54" s="11"/>
      <c r="CB54" s="2"/>
      <c r="CC54" s="2"/>
      <c r="CD54" s="2"/>
      <c r="CE54" s="2"/>
      <c r="CF54" s="2"/>
      <c r="CG54" s="2"/>
      <c r="CH54" s="2"/>
      <c r="CK54" s="40"/>
      <c r="CL54" s="11"/>
      <c r="CM54" s="2"/>
      <c r="CN54" s="2"/>
      <c r="CO54" s="2"/>
      <c r="CP54" s="2"/>
      <c r="CQ54" s="2"/>
      <c r="CR54" s="2"/>
      <c r="CS54" s="2"/>
      <c r="CW54" s="149"/>
      <c r="CX54" s="295"/>
      <c r="CY54" s="18" t="s">
        <v>17</v>
      </c>
      <c r="CZ54" s="7">
        <v>398211.7526286483</v>
      </c>
      <c r="DA54" s="7">
        <v>579135.11193461122</v>
      </c>
      <c r="DB54" s="7">
        <v>472654.30117649492</v>
      </c>
      <c r="DC54" s="7">
        <v>150333.92684830719</v>
      </c>
      <c r="DD54" s="7">
        <v>-125537.43797530141</v>
      </c>
      <c r="DE54" s="7">
        <v>-318379.73253752186</v>
      </c>
      <c r="DF54" s="7">
        <v>-167504.47876813798</v>
      </c>
      <c r="DG54" s="7">
        <v>125690.2882357752</v>
      </c>
      <c r="DH54" s="7">
        <v>410810.24580114451</v>
      </c>
      <c r="DI54" s="7">
        <v>403532.98585658055</v>
      </c>
      <c r="DJ54" s="7">
        <v>169709.75970489302</v>
      </c>
      <c r="DK54" s="7">
        <v>-6540.2387063851347</v>
      </c>
      <c r="DL54" s="7">
        <v>-155337.60609417286</v>
      </c>
      <c r="DM54" s="7">
        <v>-134222.69402799942</v>
      </c>
      <c r="DN54" s="7">
        <v>-150349.14380522454</v>
      </c>
      <c r="DO54" s="7">
        <v>-157218.23612458521</v>
      </c>
      <c r="DP54" s="7">
        <v>-179433.59597699286</v>
      </c>
      <c r="DQ54" s="7">
        <v>-127345.18331346879</v>
      </c>
      <c r="DR54" s="7">
        <v>470023.71983380977</v>
      </c>
      <c r="DS54" s="7">
        <v>1258728.5428170622</v>
      </c>
      <c r="DT54" s="7">
        <v>1895242.3257918602</v>
      </c>
      <c r="DU54" s="7">
        <v>2231913.7780220034</v>
      </c>
      <c r="DV54" s="7">
        <v>2345202.7264425424</v>
      </c>
      <c r="DW54" s="7">
        <v>2436870.0186523395</v>
      </c>
      <c r="DX54" s="7">
        <v>2600096.9340474219</v>
      </c>
      <c r="DY54" s="208"/>
      <c r="DZ54" s="208"/>
      <c r="EA54" s="149"/>
      <c r="FH54" s="149"/>
    </row>
    <row r="55" spans="1:164" s="4" customFormat="1" ht="16.5" customHeight="1" outlineLevel="1" x14ac:dyDescent="0.35">
      <c r="A55" s="40"/>
      <c r="B55" s="11"/>
      <c r="C55" s="97"/>
      <c r="D55" s="12"/>
      <c r="E55" s="12"/>
      <c r="F55" s="12"/>
      <c r="G55" s="12"/>
      <c r="H55" s="12"/>
      <c r="I55" s="12"/>
      <c r="J55" s="12"/>
      <c r="M55" s="149"/>
      <c r="N55" s="149"/>
      <c r="O55" s="295"/>
      <c r="P55" s="16" t="s">
        <v>14</v>
      </c>
      <c r="Q55" s="7">
        <v>-22648.236360419829</v>
      </c>
      <c r="R55" s="7">
        <v>-13760.570529834251</v>
      </c>
      <c r="S55" s="7">
        <v>-70116.603471591137</v>
      </c>
      <c r="T55" s="7">
        <v>-26191.110200838379</v>
      </c>
      <c r="U55" s="7">
        <v>58754.198860579294</v>
      </c>
      <c r="V55" s="7">
        <v>113474.07298932067</v>
      </c>
      <c r="W55" s="7">
        <v>96997.145623500401</v>
      </c>
      <c r="X55" s="7">
        <v>78918.829886724096</v>
      </c>
      <c r="Y55" s="7">
        <v>13801.769884233845</v>
      </c>
      <c r="AB55" s="158"/>
      <c r="AC55" s="123"/>
      <c r="AD55" s="123"/>
      <c r="AE55" s="123"/>
      <c r="AF55" s="123"/>
      <c r="AG55" s="123"/>
      <c r="AH55" s="123"/>
      <c r="AI55" s="123"/>
      <c r="AJ55" s="123"/>
      <c r="BF55" s="149"/>
      <c r="BY55" s="149"/>
      <c r="BZ55" s="295" t="s">
        <v>24</v>
      </c>
      <c r="CA55" s="15"/>
      <c r="CB55" s="2"/>
      <c r="CC55" s="2"/>
      <c r="CD55" s="2"/>
      <c r="CE55" s="2"/>
      <c r="CF55" s="2"/>
      <c r="CG55" s="2"/>
      <c r="CH55" s="2"/>
      <c r="CK55" s="295" t="s">
        <v>24</v>
      </c>
      <c r="CL55" s="15"/>
      <c r="CM55" s="2"/>
      <c r="CN55" s="2"/>
      <c r="CO55" s="2"/>
      <c r="CP55" s="2"/>
      <c r="CQ55" s="2"/>
      <c r="CR55" s="2"/>
      <c r="CS55" s="2"/>
      <c r="CW55" s="149"/>
      <c r="CX55" s="40"/>
      <c r="CY55" s="11"/>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208"/>
      <c r="DZ55" s="208"/>
      <c r="EA55" s="149"/>
      <c r="FH55" s="149"/>
    </row>
    <row r="56" spans="1:164" ht="15" customHeight="1" x14ac:dyDescent="0.35">
      <c r="O56" s="295"/>
      <c r="P56" s="18" t="s">
        <v>17</v>
      </c>
      <c r="Q56" s="7">
        <v>-279378.1186167358</v>
      </c>
      <c r="R56" s="7">
        <v>-254787.57914657006</v>
      </c>
      <c r="S56" s="7">
        <v>-292129.80261816119</v>
      </c>
      <c r="T56" s="7">
        <v>-287751.74281899957</v>
      </c>
      <c r="U56" s="7">
        <v>-192772.48395842029</v>
      </c>
      <c r="V56" s="7">
        <v>-37002.500969099608</v>
      </c>
      <c r="W56" s="7">
        <v>102135.97465440081</v>
      </c>
      <c r="X56" s="7">
        <v>222997.54454112489</v>
      </c>
      <c r="Y56" s="7">
        <v>272587.58442535874</v>
      </c>
      <c r="Z56" s="4"/>
      <c r="AA56" s="4"/>
      <c r="AB56" s="158"/>
      <c r="AC56" s="123"/>
      <c r="AD56" s="123"/>
      <c r="AE56" s="123"/>
      <c r="AF56" s="123"/>
      <c r="AG56" s="123"/>
      <c r="AH56" s="123"/>
      <c r="AI56" s="123"/>
      <c r="AJ56" s="123"/>
      <c r="AK56" s="4"/>
      <c r="BZ56" s="295"/>
      <c r="CA56" s="15" t="s">
        <v>28</v>
      </c>
      <c r="CB56" s="215">
        <v>16125.741463642871</v>
      </c>
      <c r="CC56" s="215">
        <v>19063.36096942682</v>
      </c>
      <c r="CD56" s="215">
        <v>18825.407725594807</v>
      </c>
      <c r="CE56" s="215">
        <v>15042.280346882986</v>
      </c>
      <c r="CF56" s="215">
        <v>5372.5491881501548</v>
      </c>
      <c r="CG56" s="215">
        <v>5761.1753207721658</v>
      </c>
      <c r="CH56" s="215">
        <v>7701.1665386990999</v>
      </c>
      <c r="CK56" s="295"/>
      <c r="CL56" s="15" t="s">
        <v>28</v>
      </c>
      <c r="CM56" s="215">
        <v>16558.791766912029</v>
      </c>
      <c r="CN56" s="215">
        <v>19892.787315116471</v>
      </c>
      <c r="CO56" s="215">
        <v>20416.214708454521</v>
      </c>
      <c r="CP56" s="215">
        <v>16443.115349845692</v>
      </c>
      <c r="CQ56" s="215">
        <v>5902.3817319222526</v>
      </c>
      <c r="CR56" s="215">
        <v>6070.3877610296313</v>
      </c>
      <c r="CS56" s="215">
        <v>7738.3416483766814</v>
      </c>
      <c r="CX56" s="295" t="s">
        <v>23</v>
      </c>
      <c r="CY56" s="15"/>
      <c r="CZ56" s="7"/>
      <c r="DA56" s="7"/>
      <c r="DB56" s="7"/>
      <c r="DC56" s="7"/>
      <c r="DD56" s="7"/>
      <c r="DE56" s="7"/>
      <c r="DF56" s="7"/>
      <c r="DG56" s="7"/>
      <c r="DH56" s="7"/>
      <c r="DI56" s="7"/>
      <c r="DJ56" s="7"/>
      <c r="DK56" s="7"/>
      <c r="DL56" s="7"/>
      <c r="DM56" s="7"/>
      <c r="DN56" s="7"/>
      <c r="DO56" s="7"/>
      <c r="DP56" s="7"/>
      <c r="DQ56" s="7"/>
      <c r="DR56" s="7"/>
      <c r="DS56" s="7"/>
      <c r="DT56" s="7"/>
      <c r="DU56" s="7"/>
      <c r="DV56" s="125">
        <v>23064.805500861024</v>
      </c>
      <c r="DW56" s="7"/>
      <c r="DX56" s="7"/>
    </row>
    <row r="57" spans="1:164" ht="14.5" x14ac:dyDescent="0.35">
      <c r="O57" s="40"/>
      <c r="P57" s="11"/>
      <c r="Q57" s="12"/>
      <c r="R57" s="12"/>
      <c r="S57" s="12"/>
      <c r="T57" s="12"/>
      <c r="U57" s="12"/>
      <c r="V57" s="12"/>
      <c r="W57" s="12"/>
      <c r="X57" s="12"/>
      <c r="Y57" s="12"/>
      <c r="Z57" s="4"/>
      <c r="AA57" s="4"/>
      <c r="AB57" s="158"/>
      <c r="AC57" s="123"/>
      <c r="AD57" s="123"/>
      <c r="AE57" s="123"/>
      <c r="AF57" s="123"/>
      <c r="AG57" s="123"/>
      <c r="AH57" s="123"/>
      <c r="AI57" s="123"/>
      <c r="AJ57" s="123"/>
      <c r="AK57" s="4"/>
      <c r="BZ57" s="295"/>
      <c r="CA57" s="16" t="s">
        <v>26</v>
      </c>
      <c r="CB57" s="215">
        <v>31542.387518483061</v>
      </c>
      <c r="CC57" s="215">
        <v>43557.154949803051</v>
      </c>
      <c r="CD57" s="215">
        <v>40956.195027623748</v>
      </c>
      <c r="CE57" s="215">
        <v>34081.150442443461</v>
      </c>
      <c r="CF57" s="215">
        <v>5569.4805559214219</v>
      </c>
      <c r="CG57" s="215">
        <v>-23801.130148762259</v>
      </c>
      <c r="CH57" s="215">
        <v>4425.0020023903071</v>
      </c>
      <c r="CK57" s="295"/>
      <c r="CL57" s="16" t="s">
        <v>26</v>
      </c>
      <c r="CM57" s="215">
        <v>31311.065037548167</v>
      </c>
      <c r="CN57" s="215">
        <v>43129.542540372691</v>
      </c>
      <c r="CO57" s="215">
        <v>40068.371731193831</v>
      </c>
      <c r="CP57" s="215">
        <v>33269.832706991961</v>
      </c>
      <c r="CQ57" s="215">
        <v>5276.9215627583089</v>
      </c>
      <c r="CR57" s="215">
        <v>-23975.143784503343</v>
      </c>
      <c r="CS57" s="215">
        <v>4407.7244863500364</v>
      </c>
      <c r="CX57" s="295"/>
      <c r="CY57" s="15" t="s">
        <v>28</v>
      </c>
      <c r="CZ57" s="20">
        <v>51735.412802116007</v>
      </c>
      <c r="DA57" s="20">
        <v>90838.744276912417</v>
      </c>
      <c r="DB57" s="20">
        <v>65459.948883100595</v>
      </c>
      <c r="DC57" s="20">
        <v>71534.944524128558</v>
      </c>
      <c r="DD57" s="20">
        <v>71343.757771636898</v>
      </c>
      <c r="DE57" s="20">
        <v>103296.3103477702</v>
      </c>
      <c r="DF57" s="20">
        <v>256562.81120160531</v>
      </c>
      <c r="DG57" s="20">
        <v>319479.07850425603</v>
      </c>
      <c r="DH57" s="20">
        <v>309875.12991512951</v>
      </c>
      <c r="DI57" s="20">
        <v>200668.49634980995</v>
      </c>
      <c r="DJ57" s="20">
        <v>111417.50190042912</v>
      </c>
      <c r="DK57" s="20">
        <v>93253.892629017733</v>
      </c>
      <c r="DL57" s="20">
        <v>103488.5984224446</v>
      </c>
      <c r="DM57" s="20">
        <v>144414.82989089785</v>
      </c>
      <c r="DN57" s="20">
        <v>110066.63506595949</v>
      </c>
      <c r="DO57" s="20">
        <v>50328.1679847302</v>
      </c>
      <c r="DP57" s="20">
        <v>48818.637830727937</v>
      </c>
      <c r="DQ57" s="20">
        <v>69139.5977047872</v>
      </c>
      <c r="DR57" s="20">
        <v>204404.00741586328</v>
      </c>
      <c r="DS57" s="20">
        <v>281050.68735267245</v>
      </c>
      <c r="DT57" s="20">
        <v>243115.17544525067</v>
      </c>
      <c r="DU57" s="20">
        <v>160177.67633933009</v>
      </c>
      <c r="DV57" s="20">
        <v>71401.608823197399</v>
      </c>
      <c r="DW57" s="20">
        <v>68759.703767405808</v>
      </c>
      <c r="DX57" s="20">
        <v>79423.074388787179</v>
      </c>
    </row>
    <row r="58" spans="1:164" s="1" customFormat="1" ht="14.5" x14ac:dyDescent="0.35">
      <c r="B58"/>
      <c r="C58"/>
      <c r="D58"/>
      <c r="E58"/>
      <c r="F58"/>
      <c r="G58"/>
      <c r="H58"/>
      <c r="I58"/>
      <c r="J58"/>
      <c r="K58"/>
      <c r="L58"/>
      <c r="M58" s="148"/>
      <c r="N58" s="148"/>
      <c r="O58" s="295" t="s">
        <v>23</v>
      </c>
      <c r="P58" s="15"/>
      <c r="Q58" s="7"/>
      <c r="R58" s="7"/>
      <c r="S58" s="7"/>
      <c r="T58" s="7"/>
      <c r="U58" s="7"/>
      <c r="V58" s="7"/>
      <c r="W58" s="7"/>
      <c r="X58" s="7"/>
      <c r="Y58" s="7"/>
      <c r="Z58" s="4"/>
      <c r="AA58" s="4"/>
      <c r="AB58" s="158"/>
      <c r="AC58" s="123"/>
      <c r="AD58" s="123"/>
      <c r="AE58" s="123"/>
      <c r="AF58" s="123"/>
      <c r="AG58" s="123"/>
      <c r="AH58" s="123"/>
      <c r="AI58" s="123"/>
      <c r="AJ58" s="123"/>
      <c r="AK58" s="4"/>
      <c r="BF58" s="182"/>
      <c r="BY58" s="182"/>
      <c r="BZ58" s="295"/>
      <c r="CA58" s="16" t="s">
        <v>51</v>
      </c>
      <c r="CB58" s="215">
        <v>3698.89</v>
      </c>
      <c r="CC58" s="215">
        <v>5186.1400000000003</v>
      </c>
      <c r="CD58" s="215">
        <v>4832.3100000000004</v>
      </c>
      <c r="CE58" s="215">
        <v>75442.73</v>
      </c>
      <c r="CF58" s="215">
        <v>13631.28</v>
      </c>
      <c r="CG58" s="215">
        <v>-48097.27</v>
      </c>
      <c r="CH58" s="215">
        <v>10628.22</v>
      </c>
      <c r="CK58" s="295"/>
      <c r="CL58" s="16" t="s">
        <v>51</v>
      </c>
      <c r="CM58" s="215">
        <v>3698.89</v>
      </c>
      <c r="CN58" s="215">
        <v>5186.1400000000003</v>
      </c>
      <c r="CO58" s="215">
        <v>4832.3100000000004</v>
      </c>
      <c r="CP58" s="215">
        <v>75442.73</v>
      </c>
      <c r="CQ58" s="215">
        <v>13631.28</v>
      </c>
      <c r="CR58" s="215">
        <v>-48097.27</v>
      </c>
      <c r="CS58" s="215">
        <v>10628.22</v>
      </c>
      <c r="CW58" s="182"/>
      <c r="CX58" s="295"/>
      <c r="CY58" s="16" t="s">
        <v>26</v>
      </c>
      <c r="CZ58" s="20">
        <v>41188.257144152223</v>
      </c>
      <c r="DA58" s="20">
        <v>40226.995717895465</v>
      </c>
      <c r="DB58" s="20">
        <v>108585.49808616596</v>
      </c>
      <c r="DC58" s="20">
        <v>181792.64072508441</v>
      </c>
      <c r="DD58" s="20">
        <v>183572.05910467496</v>
      </c>
      <c r="DE58" s="20">
        <v>190770.53370651661</v>
      </c>
      <c r="DF58" s="20">
        <v>183881.99525765545</v>
      </c>
      <c r="DG58" s="20">
        <v>245635.92921565124</v>
      </c>
      <c r="DH58" s="20">
        <v>225402.14448890529</v>
      </c>
      <c r="DI58" s="20">
        <v>228315.5064563354</v>
      </c>
      <c r="DJ58" s="20">
        <v>197613.76683715408</v>
      </c>
      <c r="DK58" s="20">
        <v>171603.607119394</v>
      </c>
      <c r="DL58" s="20">
        <v>225113.97993017494</v>
      </c>
      <c r="DM58" s="20">
        <v>217125.39653110137</v>
      </c>
      <c r="DN58" s="20">
        <v>162221.33538769459</v>
      </c>
      <c r="DO58" s="20">
        <v>84753.684454895163</v>
      </c>
      <c r="DP58" s="20">
        <v>72198.807943159496</v>
      </c>
      <c r="DQ58" s="20">
        <v>84979.402614517516</v>
      </c>
      <c r="DR58" s="20">
        <v>96900.261492082005</v>
      </c>
      <c r="DS58" s="20">
        <v>100482.39287136923</v>
      </c>
      <c r="DT58" s="20">
        <v>99567.440007197365</v>
      </c>
      <c r="DU58" s="20">
        <v>97105.740111514999</v>
      </c>
      <c r="DV58" s="20">
        <v>86103.564631792964</v>
      </c>
      <c r="DW58" s="20">
        <v>86765.912910017505</v>
      </c>
      <c r="DX58" s="20">
        <v>89195.654381293964</v>
      </c>
      <c r="DY58" s="222"/>
      <c r="DZ58" s="222"/>
      <c r="EA58" s="182"/>
      <c r="FH58" s="182"/>
    </row>
    <row r="59" spans="1:164" ht="14.5" x14ac:dyDescent="0.35">
      <c r="C59" s="10">
        <v>43525</v>
      </c>
      <c r="D59" s="10">
        <v>43556</v>
      </c>
      <c r="E59" s="10">
        <v>43586</v>
      </c>
      <c r="F59" s="10">
        <v>43617</v>
      </c>
      <c r="G59" s="10">
        <v>43677</v>
      </c>
      <c r="H59" s="10">
        <v>43708</v>
      </c>
      <c r="I59" s="10">
        <v>43738</v>
      </c>
      <c r="J59" s="10">
        <v>43769</v>
      </c>
      <c r="O59" s="295"/>
      <c r="P59" s="15" t="s">
        <v>28</v>
      </c>
      <c r="Q59" s="20">
        <v>29425.974245256413</v>
      </c>
      <c r="R59" s="20">
        <v>32165.147795809222</v>
      </c>
      <c r="S59" s="20">
        <v>21213.003373036219</v>
      </c>
      <c r="T59" s="20">
        <v>41395.000804902586</v>
      </c>
      <c r="U59" s="20">
        <v>92952.761963081415</v>
      </c>
      <c r="V59" s="20">
        <v>123951.10916307675</v>
      </c>
      <c r="W59" s="20">
        <v>122809.27801030048</v>
      </c>
      <c r="X59" s="20">
        <v>96049.861338882605</v>
      </c>
      <c r="Y59" s="20">
        <v>51830.00376307463</v>
      </c>
      <c r="Z59" s="2"/>
      <c r="AA59" s="2"/>
      <c r="AB59" s="158"/>
      <c r="AC59" s="123"/>
      <c r="AD59" s="123"/>
      <c r="AE59" s="123"/>
      <c r="AF59" s="123"/>
      <c r="AG59" s="123"/>
      <c r="AH59" s="123"/>
      <c r="AI59" s="123"/>
      <c r="AJ59" s="123"/>
      <c r="AK59" s="2"/>
      <c r="BZ59" s="295"/>
      <c r="CA59" s="16" t="s">
        <v>52</v>
      </c>
      <c r="CB59" s="215">
        <v>35241.277518483061</v>
      </c>
      <c r="CC59" s="215">
        <v>48743.29494980305</v>
      </c>
      <c r="CD59" s="215">
        <v>45788.505027623745</v>
      </c>
      <c r="CE59" s="215">
        <v>109523.88044244345</v>
      </c>
      <c r="CF59" s="215">
        <v>19200.760555921421</v>
      </c>
      <c r="CG59" s="215">
        <v>-71898.400148762259</v>
      </c>
      <c r="CH59" s="215">
        <v>15053.222002390306</v>
      </c>
      <c r="CK59" s="295"/>
      <c r="CL59" s="16" t="s">
        <v>52</v>
      </c>
      <c r="CM59" s="215">
        <v>35009.95503754817</v>
      </c>
      <c r="CN59" s="215">
        <v>48315.682540372691</v>
      </c>
      <c r="CO59" s="215">
        <v>44900.681731193828</v>
      </c>
      <c r="CP59" s="215">
        <v>108712.56270699196</v>
      </c>
      <c r="CQ59" s="215">
        <v>18908.20156275831</v>
      </c>
      <c r="CR59" s="215">
        <v>-72072.41378450334</v>
      </c>
      <c r="CS59" s="215">
        <v>15035.944486350036</v>
      </c>
      <c r="CT59" s="4" t="s">
        <v>117</v>
      </c>
      <c r="CU59" s="4" t="s">
        <v>118</v>
      </c>
      <c r="CV59" s="4" t="s">
        <v>119</v>
      </c>
      <c r="CX59" s="295"/>
      <c r="CY59" s="16" t="s">
        <v>51</v>
      </c>
      <c r="CZ59" s="20">
        <v>19565.84</v>
      </c>
      <c r="DA59" s="20">
        <v>19211.02</v>
      </c>
      <c r="DB59" s="20">
        <v>-5225.53</v>
      </c>
      <c r="DC59" s="20">
        <v>-8688.59</v>
      </c>
      <c r="DD59" s="20">
        <v>-8718.77</v>
      </c>
      <c r="DE59" s="20">
        <v>-9032.2099999999991</v>
      </c>
      <c r="DF59" s="20">
        <v>-8700.5300000000007</v>
      </c>
      <c r="DG59" s="20">
        <v>-11631.74</v>
      </c>
      <c r="DH59" s="20">
        <v>-10679.45</v>
      </c>
      <c r="DI59" s="20">
        <v>-10815</v>
      </c>
      <c r="DJ59" s="20">
        <v>-9338.6</v>
      </c>
      <c r="DK59" s="20">
        <v>-8146.01</v>
      </c>
      <c r="DL59" s="20">
        <v>-10707.36</v>
      </c>
      <c r="DM59" s="20">
        <v>-10340.290000000001</v>
      </c>
      <c r="DN59" s="20">
        <v>58728.46</v>
      </c>
      <c r="DO59" s="20">
        <v>30610.37</v>
      </c>
      <c r="DP59" s="20">
        <v>26134.63</v>
      </c>
      <c r="DQ59" s="20">
        <v>30515.41</v>
      </c>
      <c r="DR59" s="20">
        <v>34741.599999999999</v>
      </c>
      <c r="DS59" s="20">
        <v>36119.75</v>
      </c>
      <c r="DT59" s="20">
        <v>35830</v>
      </c>
      <c r="DU59" s="20">
        <v>34903.65</v>
      </c>
      <c r="DV59" s="20">
        <v>30944.84</v>
      </c>
      <c r="DW59" s="20">
        <v>31250.06</v>
      </c>
      <c r="DX59" s="20">
        <v>32438.34</v>
      </c>
    </row>
    <row r="60" spans="1:164" ht="14.5" x14ac:dyDescent="0.35">
      <c r="B60" s="36" t="s">
        <v>38</v>
      </c>
      <c r="C60" s="29"/>
      <c r="D60" s="29"/>
      <c r="E60" s="29"/>
      <c r="F60" s="29"/>
      <c r="G60" s="29"/>
      <c r="H60" s="29"/>
      <c r="I60" s="29"/>
      <c r="J60" s="29"/>
      <c r="O60" s="295"/>
      <c r="P60" s="16" t="s">
        <v>26</v>
      </c>
      <c r="Q60" s="20">
        <v>43471.756585125317</v>
      </c>
      <c r="R60" s="20">
        <v>37573.855689531287</v>
      </c>
      <c r="S60" s="20">
        <v>36905.295455925545</v>
      </c>
      <c r="T60" s="20">
        <v>34871.894488322658</v>
      </c>
      <c r="U60" s="20">
        <v>40727.091457001268</v>
      </c>
      <c r="V60" s="20">
        <v>42825.077518324979</v>
      </c>
      <c r="W60" s="20">
        <v>44954.202556147626</v>
      </c>
      <c r="X60" s="20">
        <v>45054.75137109276</v>
      </c>
      <c r="Y60" s="20">
        <v>40035.738044047088</v>
      </c>
      <c r="Z60" s="4"/>
      <c r="AA60" s="4"/>
      <c r="AB60" s="158"/>
      <c r="AC60" s="123"/>
      <c r="AD60" s="123"/>
      <c r="AE60" s="123"/>
      <c r="AF60" s="123"/>
      <c r="AG60" s="123"/>
      <c r="AH60" s="123"/>
      <c r="AI60" s="123"/>
      <c r="AJ60" s="123"/>
      <c r="AK60" s="4"/>
      <c r="BZ60" s="295"/>
      <c r="CA60" s="16" t="s">
        <v>13</v>
      </c>
      <c r="CB60" s="215">
        <v>-19115.536054840188</v>
      </c>
      <c r="CC60" s="215">
        <v>-29679.93398037623</v>
      </c>
      <c r="CD60" s="215">
        <v>-26963.097302028938</v>
      </c>
      <c r="CE60" s="215">
        <v>-94481.600095560469</v>
      </c>
      <c r="CF60" s="215">
        <v>-13828.211367771266</v>
      </c>
      <c r="CG60" s="215">
        <v>77659.575469534422</v>
      </c>
      <c r="CH60" s="215">
        <v>-7352.0554636912066</v>
      </c>
      <c r="CK60" s="295"/>
      <c r="CL60" s="16" t="s">
        <v>13</v>
      </c>
      <c r="CM60" s="215">
        <v>-18451.163270636142</v>
      </c>
      <c r="CN60" s="215">
        <v>-28422.895225256219</v>
      </c>
      <c r="CO60" s="215">
        <v>-24484.467022739307</v>
      </c>
      <c r="CP60" s="215">
        <v>-92269.447357146273</v>
      </c>
      <c r="CQ60" s="215">
        <v>-13005.819830836057</v>
      </c>
      <c r="CR60" s="215">
        <v>78142.801545532973</v>
      </c>
      <c r="CS60" s="215">
        <v>-7297.6028379733543</v>
      </c>
      <c r="CT60" s="216">
        <f>SUM(CM60:CS60)</f>
        <v>-105788.59399905437</v>
      </c>
      <c r="CU60" s="216">
        <f>SUM(CB60:CH60)</f>
        <v>-113760.85879473387</v>
      </c>
      <c r="CV60" s="216">
        <f>CT60-CU60</f>
        <v>7972.2647956794972</v>
      </c>
      <c r="CX60" s="295"/>
      <c r="CY60" s="16" t="s">
        <v>52</v>
      </c>
      <c r="CZ60" s="7">
        <v>60754.097144152227</v>
      </c>
      <c r="DA60" s="7">
        <v>59438.015717895469</v>
      </c>
      <c r="DB60" s="7">
        <v>103359.96808616596</v>
      </c>
      <c r="DC60" s="7">
        <v>173104.05072508441</v>
      </c>
      <c r="DD60" s="7">
        <v>174853.28910467497</v>
      </c>
      <c r="DE60" s="7">
        <v>181738.32370651662</v>
      </c>
      <c r="DF60" s="7">
        <v>175181.46525765545</v>
      </c>
      <c r="DG60" s="7">
        <v>234004.18921565125</v>
      </c>
      <c r="DH60" s="7">
        <v>214722.69448890528</v>
      </c>
      <c r="DI60" s="7">
        <v>217500.5064563354</v>
      </c>
      <c r="DJ60" s="7">
        <v>188275.16683715407</v>
      </c>
      <c r="DK60" s="7">
        <v>163457.59711939399</v>
      </c>
      <c r="DL60" s="7">
        <v>214406.61993017496</v>
      </c>
      <c r="DM60" s="7">
        <v>206785.10653110137</v>
      </c>
      <c r="DN60" s="7">
        <v>220949.79538769458</v>
      </c>
      <c r="DO60" s="7">
        <v>115364.05445489516</v>
      </c>
      <c r="DP60" s="7">
        <v>98333.437943159501</v>
      </c>
      <c r="DQ60" s="7">
        <v>115494.81261451752</v>
      </c>
      <c r="DR60" s="7">
        <v>131641.86149208201</v>
      </c>
      <c r="DS60" s="7">
        <v>136602.14287136923</v>
      </c>
      <c r="DT60" s="7">
        <v>135397.44000719738</v>
      </c>
      <c r="DU60" s="7">
        <v>132009.39011151501</v>
      </c>
      <c r="DV60" s="7">
        <v>117048.40463179296</v>
      </c>
      <c r="DW60" s="7">
        <v>118015.9729100175</v>
      </c>
      <c r="DX60" s="7">
        <v>121633.99438129396</v>
      </c>
    </row>
    <row r="61" spans="1:164" ht="14.5" x14ac:dyDescent="0.35">
      <c r="B61" t="s">
        <v>33</v>
      </c>
      <c r="C61" s="41">
        <v>0</v>
      </c>
      <c r="D61" s="41">
        <v>3542.7066619947968</v>
      </c>
      <c r="E61" s="41">
        <v>30136.455518898227</v>
      </c>
      <c r="F61" s="41">
        <v>273500.38459568418</v>
      </c>
      <c r="G61" s="41">
        <v>714630.19454973028</v>
      </c>
      <c r="H61" s="41">
        <v>1252115.2720556506</v>
      </c>
      <c r="I61" s="41">
        <v>1625934.6179925092</v>
      </c>
      <c r="J61" s="41">
        <v>1762960.5580065004</v>
      </c>
      <c r="O61" s="295"/>
      <c r="P61" s="16" t="s">
        <v>51</v>
      </c>
      <c r="Q61" s="20">
        <v>20708.53</v>
      </c>
      <c r="R61" s="20">
        <v>17927.830000000002</v>
      </c>
      <c r="S61" s="20">
        <v>17511.97</v>
      </c>
      <c r="T61" s="20">
        <v>16485.95</v>
      </c>
      <c r="U61" s="20">
        <v>19200.04</v>
      </c>
      <c r="V61" s="20">
        <v>20208.66</v>
      </c>
      <c r="W61" s="20">
        <v>21182.03</v>
      </c>
      <c r="X61" s="20">
        <v>21187.42</v>
      </c>
      <c r="Y61" s="20">
        <v>18832.849999999999</v>
      </c>
      <c r="Z61" s="4"/>
      <c r="AA61" s="4"/>
      <c r="AB61" s="158"/>
      <c r="AC61" s="123"/>
      <c r="AD61" s="123"/>
      <c r="AE61" s="123"/>
      <c r="AF61" s="123"/>
      <c r="AG61" s="123"/>
      <c r="AH61" s="123"/>
      <c r="AI61" s="123"/>
      <c r="AJ61" s="123"/>
      <c r="AK61" s="4"/>
      <c r="BZ61" s="295"/>
      <c r="CA61" s="17" t="s">
        <v>8</v>
      </c>
      <c r="CB61" s="215">
        <v>-16.3</v>
      </c>
      <c r="CC61" s="215">
        <v>-33.03</v>
      </c>
      <c r="CD61" s="215">
        <v>-34.06</v>
      </c>
      <c r="CE61" s="215">
        <v>-47.68</v>
      </c>
      <c r="CF61" s="215">
        <v>-111.07</v>
      </c>
      <c r="CG61" s="215">
        <v>-82.15</v>
      </c>
      <c r="CH61" s="215">
        <v>-127.42</v>
      </c>
      <c r="CK61" s="295"/>
      <c r="CL61" s="17" t="s">
        <v>8</v>
      </c>
      <c r="CM61" s="215">
        <v>-16.21</v>
      </c>
      <c r="CN61" s="215">
        <v>-32.61</v>
      </c>
      <c r="CO61" s="215">
        <v>-33.200000000000003</v>
      </c>
      <c r="CP61" s="215">
        <v>-46.05</v>
      </c>
      <c r="CQ61" s="215">
        <v>-106.81</v>
      </c>
      <c r="CR61" s="215">
        <v>-78.19</v>
      </c>
      <c r="CS61" s="215">
        <v>-121.1</v>
      </c>
      <c r="CX61" s="295"/>
      <c r="CY61" s="16" t="s">
        <v>13</v>
      </c>
      <c r="CZ61" s="7">
        <v>-9018.6843420362202</v>
      </c>
      <c r="DA61" s="7">
        <v>31400.728559016949</v>
      </c>
      <c r="DB61" s="7">
        <v>-37900.019203065363</v>
      </c>
      <c r="DC61" s="7">
        <v>-101569.10620095585</v>
      </c>
      <c r="DD61" s="7">
        <v>-103509.53133303807</v>
      </c>
      <c r="DE61" s="7">
        <v>-78442.013358746422</v>
      </c>
      <c r="DF61" s="7">
        <v>81381.345943949855</v>
      </c>
      <c r="DG61" s="7">
        <v>85474.889288604783</v>
      </c>
      <c r="DH61" s="7">
        <v>95152.435426224227</v>
      </c>
      <c r="DI61" s="7">
        <v>-16832.010106525442</v>
      </c>
      <c r="DJ61" s="7">
        <v>-76857.664936724948</v>
      </c>
      <c r="DK61" s="7">
        <v>-70203.704490376258</v>
      </c>
      <c r="DL61" s="7">
        <v>-110918.02150773036</v>
      </c>
      <c r="DM61" s="7">
        <v>-62370.276640203519</v>
      </c>
      <c r="DN61" s="7">
        <v>-110883.16032173509</v>
      </c>
      <c r="DO61" s="7">
        <v>-65035.886470164958</v>
      </c>
      <c r="DP61" s="7">
        <v>-49514.800112431563</v>
      </c>
      <c r="DQ61" s="7">
        <v>-46355.214909730319</v>
      </c>
      <c r="DR61" s="7">
        <v>72762.145923781267</v>
      </c>
      <c r="DS61" s="7">
        <v>144448.54448130322</v>
      </c>
      <c r="DT61" s="7">
        <v>107717.73543805329</v>
      </c>
      <c r="DU61" s="7">
        <v>28168.286227815086</v>
      </c>
      <c r="DV61" s="125">
        <v>-22581.990307734537</v>
      </c>
      <c r="DW61" s="7">
        <v>-49256.269142611694</v>
      </c>
      <c r="DX61" s="7">
        <v>-42210.919992506781</v>
      </c>
    </row>
    <row r="62" spans="1:164" ht="14.5" x14ac:dyDescent="0.35">
      <c r="B62" t="s">
        <v>34</v>
      </c>
      <c r="C62" s="41">
        <v>0.34412602678174997</v>
      </c>
      <c r="D62" s="41">
        <v>594.19753610000055</v>
      </c>
      <c r="E62" s="41">
        <v>8962.7201321071716</v>
      </c>
      <c r="F62" s="41">
        <v>32604.534313513876</v>
      </c>
      <c r="G62" s="41">
        <v>80268.39554484954</v>
      </c>
      <c r="H62" s="41">
        <v>133550.07117798761</v>
      </c>
      <c r="I62" s="41">
        <v>205226.49945065699</v>
      </c>
      <c r="J62" s="41">
        <v>266976.49556192581</v>
      </c>
      <c r="O62" s="295"/>
      <c r="P62" s="16" t="s">
        <v>52</v>
      </c>
      <c r="Q62" s="7">
        <v>64180.286585125315</v>
      </c>
      <c r="R62" s="7">
        <v>55501.685689531289</v>
      </c>
      <c r="S62" s="7">
        <v>54417.265455925546</v>
      </c>
      <c r="T62" s="7">
        <v>51357.844488322662</v>
      </c>
      <c r="U62" s="7">
        <v>59927.131457001269</v>
      </c>
      <c r="V62" s="7">
        <v>63033.737518324982</v>
      </c>
      <c r="W62" s="7">
        <v>66136.232556147617</v>
      </c>
      <c r="X62" s="7">
        <v>66242.171371092758</v>
      </c>
      <c r="Y62" s="7">
        <v>58868.588044047086</v>
      </c>
      <c r="Z62" s="4"/>
      <c r="AA62" s="4"/>
      <c r="AB62" s="158"/>
      <c r="AC62" s="123"/>
      <c r="AD62" s="123"/>
      <c r="AE62" s="123"/>
      <c r="AF62" s="123"/>
      <c r="AG62" s="123"/>
      <c r="AH62" s="123"/>
      <c r="AI62" s="123"/>
      <c r="AJ62" s="123"/>
      <c r="AK62" s="4"/>
      <c r="BZ62" s="295"/>
      <c r="CA62" s="16" t="s">
        <v>14</v>
      </c>
      <c r="CB62" s="215">
        <v>-19131.836054840187</v>
      </c>
      <c r="CC62" s="215">
        <v>-29712.963980376229</v>
      </c>
      <c r="CD62" s="215">
        <v>-26997.15730202894</v>
      </c>
      <c r="CE62" s="215">
        <v>-94529.280095560462</v>
      </c>
      <c r="CF62" s="215">
        <v>-13939.281367771266</v>
      </c>
      <c r="CG62" s="215">
        <v>77577.425469534428</v>
      </c>
      <c r="CH62" s="215">
        <v>-7479.4754636912066</v>
      </c>
      <c r="CK62" s="295"/>
      <c r="CL62" s="16" t="s">
        <v>14</v>
      </c>
      <c r="CM62" s="215">
        <v>-18467.373270636141</v>
      </c>
      <c r="CN62" s="215">
        <v>-28455.50522525622</v>
      </c>
      <c r="CO62" s="215">
        <v>-24517.667022739308</v>
      </c>
      <c r="CP62" s="215">
        <v>-92315.497357146276</v>
      </c>
      <c r="CQ62" s="215">
        <v>-13112.629830836056</v>
      </c>
      <c r="CR62" s="215">
        <v>78064.611545532971</v>
      </c>
      <c r="CS62" s="215">
        <v>-7418.7028379733547</v>
      </c>
      <c r="CX62" s="295"/>
      <c r="CY62" s="17" t="s">
        <v>8</v>
      </c>
      <c r="CZ62" s="7">
        <v>10.08</v>
      </c>
      <c r="DA62" s="7">
        <v>19.079999999999998</v>
      </c>
      <c r="DB62" s="7">
        <v>13.15</v>
      </c>
      <c r="DC62" s="7">
        <v>-7.53</v>
      </c>
      <c r="DD62" s="7">
        <v>-28.99</v>
      </c>
      <c r="DE62" s="7">
        <v>-45.23</v>
      </c>
      <c r="DF62" s="7">
        <v>-28.46</v>
      </c>
      <c r="DG62" s="7">
        <v>-11.11</v>
      </c>
      <c r="DH62" s="7">
        <v>-1.9</v>
      </c>
      <c r="DI62" s="7">
        <v>-6.24</v>
      </c>
      <c r="DJ62" s="7">
        <v>-15.62</v>
      </c>
      <c r="DK62" s="7">
        <v>-25.96</v>
      </c>
      <c r="DL62" s="7">
        <v>-70.540000000000006</v>
      </c>
      <c r="DM62" s="7">
        <v>-77.709999999999994</v>
      </c>
      <c r="DN62" s="7">
        <v>-110.94</v>
      </c>
      <c r="DO62" s="7">
        <v>-277.91000000000003</v>
      </c>
      <c r="DP62" s="7">
        <v>-254.26</v>
      </c>
      <c r="DQ62" s="7">
        <v>-414.92</v>
      </c>
      <c r="DR62" s="7">
        <v>-516.55999999999995</v>
      </c>
      <c r="DS62" s="7">
        <v>-406.42</v>
      </c>
      <c r="DT62" s="7">
        <v>-200.82</v>
      </c>
      <c r="DU62" s="7">
        <v>-73.69</v>
      </c>
      <c r="DV62" s="7">
        <v>-66.010000000000005</v>
      </c>
      <c r="DW62" s="7">
        <v>-146.08000000000001</v>
      </c>
      <c r="DX62" s="7">
        <v>-195.55</v>
      </c>
      <c r="DY62" s="208">
        <f>SUM('MEEIA 3 calcs'!AA62:AY62)</f>
        <v>-2935.78</v>
      </c>
      <c r="DZ62" s="223">
        <f>SUM(CZ62:DX62)-DY62</f>
        <v>-4.3600000000001273</v>
      </c>
    </row>
    <row r="63" spans="1:164" ht="14.5" x14ac:dyDescent="0.35">
      <c r="B63" t="s">
        <v>35</v>
      </c>
      <c r="C63" s="41">
        <v>0.38250960519337501</v>
      </c>
      <c r="D63" s="41">
        <v>592.84700439506275</v>
      </c>
      <c r="E63" s="41">
        <v>3788.6582603776305</v>
      </c>
      <c r="F63" s="41">
        <v>18535.810544392894</v>
      </c>
      <c r="G63" s="41">
        <v>43757.113824202133</v>
      </c>
      <c r="H63" s="41">
        <v>58774.468786924044</v>
      </c>
      <c r="I63" s="41">
        <v>83102.627859122615</v>
      </c>
      <c r="J63" s="41">
        <v>59438.654651636796</v>
      </c>
      <c r="O63" s="295"/>
      <c r="P63" s="16" t="s">
        <v>13</v>
      </c>
      <c r="Q63" s="7">
        <v>-34754.312339868906</v>
      </c>
      <c r="R63" s="7">
        <v>-23336.537893722067</v>
      </c>
      <c r="S63" s="7">
        <v>-33204.262082889327</v>
      </c>
      <c r="T63" s="7">
        <v>-9962.8436834200766</v>
      </c>
      <c r="U63" s="7">
        <v>33025.630506080146</v>
      </c>
      <c r="V63" s="7">
        <v>60917.371644751765</v>
      </c>
      <c r="W63" s="7">
        <v>56673.04545415286</v>
      </c>
      <c r="X63" s="7">
        <v>29807.689967789847</v>
      </c>
      <c r="Y63" s="7">
        <v>-7038.5842809724563</v>
      </c>
      <c r="Z63" s="103" t="s">
        <v>84</v>
      </c>
      <c r="AA63" s="103" t="s">
        <v>87</v>
      </c>
      <c r="AB63" s="158"/>
      <c r="AC63" s="123"/>
      <c r="AD63" s="123"/>
      <c r="AE63" s="123"/>
      <c r="AF63" s="123"/>
      <c r="AG63" s="123"/>
      <c r="AH63" s="123"/>
      <c r="AI63" s="123"/>
      <c r="AJ63" s="123"/>
      <c r="AK63" s="134"/>
      <c r="BZ63" s="295"/>
      <c r="CA63" s="18" t="s">
        <v>19</v>
      </c>
      <c r="CB63" s="215">
        <v>-127671.70965678364</v>
      </c>
      <c r="CC63" s="215">
        <v>-152198.53363715988</v>
      </c>
      <c r="CD63" s="215">
        <v>-174363.38093918882</v>
      </c>
      <c r="CE63" s="215">
        <v>-193449.93103474929</v>
      </c>
      <c r="CF63" s="215">
        <v>-193757.93240252056</v>
      </c>
      <c r="CG63" s="215">
        <v>-164277.77693298613</v>
      </c>
      <c r="CH63" s="215">
        <v>-161129.03239667733</v>
      </c>
      <c r="CK63" s="295"/>
      <c r="CL63" s="18" t="s">
        <v>19</v>
      </c>
      <c r="CM63" s="215">
        <v>-127007.24687257959</v>
      </c>
      <c r="CN63" s="215">
        <v>-150276.61209783581</v>
      </c>
      <c r="CO63" s="215">
        <v>-169961.96912057512</v>
      </c>
      <c r="CP63" s="215">
        <v>-186834.7364777214</v>
      </c>
      <c r="CQ63" s="215">
        <v>-186316.08630855745</v>
      </c>
      <c r="CR63" s="215">
        <v>-156348.74476302447</v>
      </c>
      <c r="CS63" s="215">
        <v>-153139.22760099784</v>
      </c>
      <c r="CX63" s="295"/>
      <c r="CY63" s="16" t="s">
        <v>14</v>
      </c>
      <c r="CZ63" s="7">
        <v>-9008.6043420362203</v>
      </c>
      <c r="DA63" s="7">
        <v>31419.80855901695</v>
      </c>
      <c r="DB63" s="7">
        <v>-37886.869203065362</v>
      </c>
      <c r="DC63" s="7">
        <v>-101576.63620095585</v>
      </c>
      <c r="DD63" s="7">
        <v>-103538.52133303808</v>
      </c>
      <c r="DE63" s="7">
        <v>-78487.243358746418</v>
      </c>
      <c r="DF63" s="7">
        <v>81352.885943949848</v>
      </c>
      <c r="DG63" s="7">
        <v>85463.779288604783</v>
      </c>
      <c r="DH63" s="7">
        <v>95150.535426224233</v>
      </c>
      <c r="DI63" s="7">
        <v>-16838.250106525444</v>
      </c>
      <c r="DJ63" s="7">
        <v>-76873.284936724944</v>
      </c>
      <c r="DK63" s="7">
        <v>-70229.664490376264</v>
      </c>
      <c r="DL63" s="7">
        <v>-110988.56150773035</v>
      </c>
      <c r="DM63" s="7">
        <v>-62447.986640203519</v>
      </c>
      <c r="DN63" s="7">
        <v>-110994.1003217351</v>
      </c>
      <c r="DO63" s="7">
        <v>-65313.796470164962</v>
      </c>
      <c r="DP63" s="7">
        <v>-49769.060112431565</v>
      </c>
      <c r="DQ63" s="7">
        <v>-46770.134909730317</v>
      </c>
      <c r="DR63" s="7">
        <v>72245.585923781269</v>
      </c>
      <c r="DS63" s="7">
        <v>144042.12448130321</v>
      </c>
      <c r="DT63" s="7">
        <v>107516.91543805329</v>
      </c>
      <c r="DU63" s="7">
        <v>28094.596227815087</v>
      </c>
      <c r="DV63" s="7">
        <v>-22648.000307734535</v>
      </c>
      <c r="DW63" s="7">
        <v>-49402.349142611696</v>
      </c>
      <c r="DX63" s="7">
        <v>-42406.469992506783</v>
      </c>
    </row>
    <row r="64" spans="1:164" ht="14.5" x14ac:dyDescent="0.35">
      <c r="B64" t="s">
        <v>36</v>
      </c>
      <c r="C64" s="41">
        <v>0</v>
      </c>
      <c r="D64" s="41">
        <v>10.498979963866001</v>
      </c>
      <c r="E64" s="41">
        <v>1076.2976856366847</v>
      </c>
      <c r="F64" s="41">
        <v>8208.8465748072213</v>
      </c>
      <c r="G64" s="41">
        <v>17844.087336984448</v>
      </c>
      <c r="H64" s="41">
        <v>19693.510444666666</v>
      </c>
      <c r="I64" s="41">
        <v>21979.473223835281</v>
      </c>
      <c r="J64" s="41">
        <v>14165.40710660777</v>
      </c>
      <c r="O64" s="295"/>
      <c r="P64" s="17" t="s">
        <v>8</v>
      </c>
      <c r="Q64" s="7">
        <v>-328.55</v>
      </c>
      <c r="R64" s="7">
        <v>-353.07</v>
      </c>
      <c r="S64" s="7">
        <v>-187.99</v>
      </c>
      <c r="T64" s="7">
        <v>-25.17</v>
      </c>
      <c r="U64" s="7">
        <v>-19.04</v>
      </c>
      <c r="V64" s="7">
        <v>-16.260000000000002</v>
      </c>
      <c r="W64" s="7">
        <v>-2.61</v>
      </c>
      <c r="X64" s="7">
        <v>2.9</v>
      </c>
      <c r="Y64" s="7">
        <v>6.65</v>
      </c>
      <c r="Z64" s="104">
        <v>-1011.1099999999999</v>
      </c>
      <c r="AA64" s="112">
        <v>87.969999999999914</v>
      </c>
      <c r="AB64" s="158"/>
      <c r="AC64" s="123"/>
      <c r="AD64" s="123"/>
      <c r="AE64" s="123"/>
      <c r="AF64" s="123"/>
      <c r="AG64" s="123"/>
      <c r="AH64" s="123"/>
      <c r="AI64" s="123"/>
      <c r="AJ64" s="123"/>
      <c r="AK64" s="135"/>
      <c r="CX64" s="295"/>
      <c r="CY64" s="18" t="s">
        <v>18</v>
      </c>
      <c r="CZ64" s="7">
        <v>60467.393854227506</v>
      </c>
      <c r="DA64" s="7">
        <v>111098.22241324445</v>
      </c>
      <c r="DB64" s="7">
        <v>67985.823210179093</v>
      </c>
      <c r="DC64" s="7">
        <v>-42279.402990776754</v>
      </c>
      <c r="DD64" s="7">
        <v>-154536.69432381482</v>
      </c>
      <c r="DE64" s="7">
        <v>-242056.14768256125</v>
      </c>
      <c r="DF64" s="7">
        <v>-169403.79173861141</v>
      </c>
      <c r="DG64" s="7">
        <v>-95571.752450006636</v>
      </c>
      <c r="DH64" s="7">
        <v>-11100.6670237824</v>
      </c>
      <c r="DI64" s="7">
        <v>-38753.917130307847</v>
      </c>
      <c r="DJ64" s="7">
        <v>-124965.8020670328</v>
      </c>
      <c r="DK64" s="7">
        <v>-203341.47655740904</v>
      </c>
      <c r="DL64" s="7">
        <v>-325037.39806513942</v>
      </c>
      <c r="DM64" s="7">
        <v>-397825.67470534297</v>
      </c>
      <c r="DN64" s="7">
        <v>-450091.31502707809</v>
      </c>
      <c r="DO64" s="7">
        <v>-484794.74149724306</v>
      </c>
      <c r="DP64" s="7">
        <v>-508429.17160967464</v>
      </c>
      <c r="DQ64" s="7">
        <v>-524683.89651940495</v>
      </c>
      <c r="DR64" s="7">
        <v>-417696.71059562371</v>
      </c>
      <c r="DS64" s="7">
        <v>-237534.8361143205</v>
      </c>
      <c r="DT64" s="7">
        <v>-94187.920676267211</v>
      </c>
      <c r="DU64" s="7">
        <v>-31189.674448452119</v>
      </c>
      <c r="DV64" s="7">
        <v>-22892.834756186654</v>
      </c>
      <c r="DW64" s="7">
        <v>-41045.123898798352</v>
      </c>
      <c r="DX64" s="7">
        <v>-51013.253891305139</v>
      </c>
    </row>
    <row r="65" spans="2:130" ht="14.5" x14ac:dyDescent="0.35">
      <c r="B65" t="s">
        <v>37</v>
      </c>
      <c r="C65" s="41">
        <v>0</v>
      </c>
      <c r="D65" s="41">
        <v>0</v>
      </c>
      <c r="E65" s="41">
        <v>178.04544936482247</v>
      </c>
      <c r="F65" s="41">
        <v>661.15950808601849</v>
      </c>
      <c r="G65" s="41">
        <v>877.99265710747466</v>
      </c>
      <c r="H65" s="41">
        <v>909.22642550037904</v>
      </c>
      <c r="I65" s="41">
        <v>1261.0041997151543</v>
      </c>
      <c r="J65" s="41">
        <v>997.60306748635742</v>
      </c>
      <c r="O65" s="295"/>
      <c r="P65" s="16" t="s">
        <v>14</v>
      </c>
      <c r="Q65" s="7">
        <v>-35082.862339868909</v>
      </c>
      <c r="R65" s="7">
        <v>-23689.607893722066</v>
      </c>
      <c r="S65" s="7">
        <v>-33392.252082889325</v>
      </c>
      <c r="T65" s="7">
        <v>-9988.0136834200766</v>
      </c>
      <c r="U65" s="7">
        <v>33006.590506080145</v>
      </c>
      <c r="V65" s="7">
        <v>60901.111644751763</v>
      </c>
      <c r="W65" s="7">
        <v>56670.435454152859</v>
      </c>
      <c r="X65" s="7">
        <v>29810.589967789849</v>
      </c>
      <c r="Y65" s="7">
        <v>-7031.9342809724567</v>
      </c>
      <c r="Z65" s="4"/>
      <c r="AA65" s="4"/>
      <c r="AB65" s="158"/>
      <c r="AC65" s="123"/>
      <c r="AD65" s="123"/>
      <c r="AE65" s="123"/>
      <c r="AF65" s="123"/>
      <c r="AG65" s="123"/>
      <c r="AH65" s="123"/>
      <c r="AI65" s="123"/>
      <c r="AJ65" s="123"/>
      <c r="AK65" s="4"/>
      <c r="CX65" s="40"/>
      <c r="CY65" s="11"/>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row>
    <row r="66" spans="2:130" ht="15" customHeight="1" x14ac:dyDescent="0.35">
      <c r="B66" t="s">
        <v>29</v>
      </c>
      <c r="C66" s="41">
        <v>0</v>
      </c>
      <c r="D66" s="41">
        <v>0</v>
      </c>
      <c r="E66" s="41">
        <v>0</v>
      </c>
      <c r="F66" s="41">
        <v>0</v>
      </c>
      <c r="G66" s="41">
        <v>0</v>
      </c>
      <c r="H66" s="41">
        <v>1171.3068451326408</v>
      </c>
      <c r="I66" s="41">
        <v>3700.907022561827</v>
      </c>
      <c r="J66" s="41">
        <v>5539.3571582453487</v>
      </c>
      <c r="O66" s="295"/>
      <c r="P66" s="18" t="s">
        <v>18</v>
      </c>
      <c r="Q66" s="7">
        <v>-218928.41939694106</v>
      </c>
      <c r="R66" s="7">
        <v>-224690.19729066311</v>
      </c>
      <c r="S66" s="7">
        <v>-240570.47937355243</v>
      </c>
      <c r="T66" s="7">
        <v>-234072.5430569725</v>
      </c>
      <c r="U66" s="7">
        <v>-181865.91255089236</v>
      </c>
      <c r="V66" s="7">
        <v>-100756.1409061406</v>
      </c>
      <c r="W66" s="7">
        <v>-22903.675451987743</v>
      </c>
      <c r="X66" s="7">
        <v>28094.334515802104</v>
      </c>
      <c r="Y66" s="7">
        <v>39895.250234829648</v>
      </c>
      <c r="Z66" s="4"/>
      <c r="AA66" s="4"/>
      <c r="AB66" s="158"/>
      <c r="AC66" s="123"/>
      <c r="AD66" s="123"/>
      <c r="AE66" s="123"/>
      <c r="AF66" s="123"/>
      <c r="AG66" s="123"/>
      <c r="AH66" s="123"/>
      <c r="AI66" s="123"/>
      <c r="AJ66" s="123"/>
      <c r="AK66" s="4"/>
      <c r="CX66" s="295" t="s">
        <v>24</v>
      </c>
      <c r="CY66" s="15"/>
      <c r="CZ66" s="7"/>
      <c r="DA66" s="7"/>
      <c r="DB66" s="7"/>
      <c r="DC66" s="7"/>
      <c r="DD66" s="7"/>
      <c r="DE66" s="7"/>
      <c r="DF66" s="7"/>
      <c r="DG66" s="7"/>
      <c r="DH66" s="7"/>
      <c r="DI66" s="7"/>
      <c r="DJ66" s="7"/>
      <c r="DK66" s="7"/>
      <c r="DL66" s="7"/>
      <c r="DM66" s="7"/>
      <c r="DN66" s="7"/>
      <c r="DO66" s="7"/>
      <c r="DP66" s="7"/>
      <c r="DQ66" s="7"/>
      <c r="DR66" s="7"/>
      <c r="DS66" s="7"/>
      <c r="DT66" s="7"/>
      <c r="DU66" s="7"/>
      <c r="DV66" s="125">
        <v>7972.2647956794972</v>
      </c>
      <c r="DW66" s="7"/>
      <c r="DX66" s="7"/>
    </row>
    <row r="67" spans="2:130" ht="14.5" x14ac:dyDescent="0.35">
      <c r="B67" s="33" t="s">
        <v>31</v>
      </c>
      <c r="C67" s="44">
        <f>SUM(C61:C66)</f>
        <v>0.72663563197512504</v>
      </c>
      <c r="D67" s="44">
        <f t="shared" ref="D67:J67" si="44">SUM(D61:D66)</f>
        <v>4740.2501824537267</v>
      </c>
      <c r="E67" s="44">
        <f t="shared" si="44"/>
        <v>44142.177046384539</v>
      </c>
      <c r="F67" s="44">
        <f t="shared" si="44"/>
        <v>333510.73553648428</v>
      </c>
      <c r="G67" s="44">
        <f t="shared" si="44"/>
        <v>857377.78391287383</v>
      </c>
      <c r="H67" s="44">
        <f t="shared" si="44"/>
        <v>1466213.8557358622</v>
      </c>
      <c r="I67" s="44">
        <f t="shared" si="44"/>
        <v>1941205.129748401</v>
      </c>
      <c r="J67" s="44">
        <f t="shared" si="44"/>
        <v>2110078.0755524025</v>
      </c>
      <c r="O67" s="40"/>
      <c r="P67" s="11"/>
      <c r="Q67" s="12"/>
      <c r="R67" s="12"/>
      <c r="S67" s="12"/>
      <c r="T67" s="12"/>
      <c r="U67" s="12"/>
      <c r="V67" s="12"/>
      <c r="W67" s="12"/>
      <c r="X67" s="12"/>
      <c r="Y67" s="12"/>
      <c r="Z67" s="4"/>
      <c r="AA67" s="4"/>
      <c r="AB67" s="158"/>
      <c r="AC67" s="123"/>
      <c r="AD67" s="123"/>
      <c r="AE67" s="123"/>
      <c r="AF67" s="123"/>
      <c r="AG67" s="123"/>
      <c r="AH67" s="123"/>
      <c r="AI67" s="123"/>
      <c r="AJ67" s="123"/>
      <c r="AK67" s="4"/>
      <c r="BZ67" s="27"/>
      <c r="CA67" s="27" t="s">
        <v>32</v>
      </c>
      <c r="CK67" s="27"/>
      <c r="CL67" s="27" t="s">
        <v>32</v>
      </c>
      <c r="CX67" s="295"/>
      <c r="CY67" s="15" t="s">
        <v>28</v>
      </c>
      <c r="CZ67" s="20">
        <v>12471.245557264963</v>
      </c>
      <c r="DA67" s="20">
        <v>12960.956487818141</v>
      </c>
      <c r="DB67" s="20">
        <v>11180.008563256184</v>
      </c>
      <c r="DC67" s="20">
        <v>10723.724250200386</v>
      </c>
      <c r="DD67" s="20">
        <v>12186.584798764601</v>
      </c>
      <c r="DE67" s="20">
        <v>21281.154475581399</v>
      </c>
      <c r="DF67" s="20">
        <v>66612.208134140514</v>
      </c>
      <c r="DG67" s="20">
        <v>73408.187300820806</v>
      </c>
      <c r="DH67" s="20">
        <v>73181.995355948209</v>
      </c>
      <c r="DI67" s="20">
        <v>44682.245754003154</v>
      </c>
      <c r="DJ67" s="20">
        <v>19447.902145822471</v>
      </c>
      <c r="DK67" s="20">
        <v>16125.741463642871</v>
      </c>
      <c r="DL67" s="20">
        <v>19063.36096942682</v>
      </c>
      <c r="DM67" s="20">
        <v>18825.407725594807</v>
      </c>
      <c r="DN67" s="20">
        <v>15042.280346882986</v>
      </c>
      <c r="DO67" s="20">
        <v>5372.5491881501548</v>
      </c>
      <c r="DP67" s="20">
        <v>5761.1753207721658</v>
      </c>
      <c r="DQ67" s="20">
        <v>7701.1665386990999</v>
      </c>
      <c r="DR67" s="20">
        <v>20816.695916117322</v>
      </c>
      <c r="DS67" s="20">
        <v>29321.450972661642</v>
      </c>
      <c r="DT67" s="20">
        <v>29057.042020850196</v>
      </c>
      <c r="DU67" s="20">
        <v>22639.119300577775</v>
      </c>
      <c r="DV67" s="20">
        <v>10522.674846079888</v>
      </c>
      <c r="DW67" s="20">
        <v>8402.9395721317924</v>
      </c>
      <c r="DX67" s="20">
        <v>10147.866510048789</v>
      </c>
    </row>
    <row r="68" spans="2:130" ht="14.5" x14ac:dyDescent="0.35">
      <c r="C68" s="45"/>
      <c r="D68" s="45"/>
      <c r="E68" s="45"/>
      <c r="F68" s="45"/>
      <c r="G68" s="45"/>
      <c r="H68" s="45"/>
      <c r="I68" s="45"/>
      <c r="J68" s="45"/>
      <c r="O68" s="295" t="s">
        <v>24</v>
      </c>
      <c r="P68" s="15"/>
      <c r="Q68" s="7"/>
      <c r="R68" s="7"/>
      <c r="S68" s="7"/>
      <c r="T68" s="7"/>
      <c r="U68" s="7"/>
      <c r="V68" s="7"/>
      <c r="W68" s="7"/>
      <c r="X68" s="7"/>
      <c r="Y68" s="7"/>
      <c r="Z68" s="4"/>
      <c r="AA68" s="4"/>
      <c r="AB68" s="158"/>
      <c r="AC68" s="123"/>
      <c r="AD68" s="123"/>
      <c r="AE68" s="123"/>
      <c r="AF68" s="123"/>
      <c r="AG68" s="123"/>
      <c r="AH68" s="123"/>
      <c r="AI68" s="123"/>
      <c r="AJ68" s="123"/>
      <c r="AK68" s="4"/>
      <c r="CA68" t="s">
        <v>33</v>
      </c>
      <c r="CB68" s="43">
        <v>849229853</v>
      </c>
      <c r="CC68" s="43">
        <v>1063566547</v>
      </c>
      <c r="CD68" s="43">
        <v>1372451320</v>
      </c>
      <c r="CE68" s="43">
        <v>1445914846</v>
      </c>
      <c r="CF68" s="43">
        <v>1156058653</v>
      </c>
      <c r="CG68" s="43">
        <v>900363528</v>
      </c>
      <c r="CH68" s="43">
        <v>837159184</v>
      </c>
      <c r="CL68" t="s">
        <v>33</v>
      </c>
      <c r="CM68" s="43">
        <v>616534565.60039997</v>
      </c>
      <c r="CN68" s="43">
        <v>621003419.78059995</v>
      </c>
      <c r="CO68" s="43">
        <v>656971283.38569999</v>
      </c>
      <c r="CP68" s="43">
        <v>646272651.48329997</v>
      </c>
      <c r="CQ68" s="43">
        <v>615981334.59430003</v>
      </c>
      <c r="CR68" s="43">
        <v>577077250.67460001</v>
      </c>
      <c r="CS68" s="43">
        <v>787949883.91209996</v>
      </c>
      <c r="CX68" s="295"/>
      <c r="CY68" s="16" t="s">
        <v>26</v>
      </c>
      <c r="CZ68" s="20">
        <v>22338.840952659717</v>
      </c>
      <c r="DA68" s="20">
        <v>20382.980401475455</v>
      </c>
      <c r="DB68" s="20">
        <v>32953.904164207008</v>
      </c>
      <c r="DC68" s="20">
        <v>23500.247497740351</v>
      </c>
      <c r="DD68" s="20">
        <v>40293.609086971141</v>
      </c>
      <c r="DE68" s="20">
        <v>41000.534789952151</v>
      </c>
      <c r="DF68" s="20">
        <v>39665.300517775315</v>
      </c>
      <c r="DG68" s="20">
        <v>50592.172457307752</v>
      </c>
      <c r="DH68" s="20">
        <v>48111.888839753803</v>
      </c>
      <c r="DI68" s="20">
        <v>52046.073170238742</v>
      </c>
      <c r="DJ68" s="20">
        <v>47917.124744080225</v>
      </c>
      <c r="DK68" s="20">
        <v>31542.387518483061</v>
      </c>
      <c r="DL68" s="20">
        <v>43557.154949803051</v>
      </c>
      <c r="DM68" s="20">
        <v>40956.195027623748</v>
      </c>
      <c r="DN68" s="20">
        <v>34081.150442443461</v>
      </c>
      <c r="DO68" s="20">
        <v>5569.4805559214219</v>
      </c>
      <c r="DP68" s="20">
        <v>-23801.130148762259</v>
      </c>
      <c r="DQ68" s="20">
        <v>4425.0020023903071</v>
      </c>
      <c r="DR68" s="20">
        <v>5427.3573983012948</v>
      </c>
      <c r="DS68" s="20">
        <v>6149.5954103370386</v>
      </c>
      <c r="DT68" s="20">
        <v>6063.694935624073</v>
      </c>
      <c r="DU68" s="20">
        <v>6340.9099918320171</v>
      </c>
      <c r="DV68" s="20">
        <v>5452.5804092461303</v>
      </c>
      <c r="DW68" s="20">
        <v>5374.9963437301585</v>
      </c>
      <c r="DX68" s="20">
        <v>4968.6713975309985</v>
      </c>
    </row>
    <row r="69" spans="2:130" ht="14.5" x14ac:dyDescent="0.35">
      <c r="B69" s="36" t="s">
        <v>39</v>
      </c>
      <c r="C69" s="45"/>
      <c r="D69" s="45"/>
      <c r="E69" s="45"/>
      <c r="F69" s="45"/>
      <c r="G69" s="45"/>
      <c r="H69" s="45"/>
      <c r="I69" s="45"/>
      <c r="J69" s="45"/>
      <c r="O69" s="295"/>
      <c r="P69" s="15" t="s">
        <v>28</v>
      </c>
      <c r="Q69" s="20">
        <v>4714.4220035550234</v>
      </c>
      <c r="R69" s="20">
        <v>4933.2233077077817</v>
      </c>
      <c r="S69" s="20">
        <v>4340.5509347173938</v>
      </c>
      <c r="T69" s="20">
        <v>11799.946486826884</v>
      </c>
      <c r="U69" s="20">
        <v>38257.943252341713</v>
      </c>
      <c r="V69" s="20">
        <v>40690.592006909494</v>
      </c>
      <c r="W69" s="20">
        <v>41885.585703975645</v>
      </c>
      <c r="X69" s="20">
        <v>26780.761635291285</v>
      </c>
      <c r="Y69" s="20">
        <v>10597.262650374174</v>
      </c>
      <c r="Z69" s="2"/>
      <c r="AA69" s="2"/>
      <c r="AB69" s="158"/>
      <c r="AC69" s="123"/>
      <c r="AD69" s="123"/>
      <c r="AE69" s="123"/>
      <c r="AF69" s="123"/>
      <c r="AG69" s="123"/>
      <c r="AH69" s="123"/>
      <c r="AI69" s="123"/>
      <c r="AJ69" s="123"/>
      <c r="AK69" s="2"/>
      <c r="CA69" t="s">
        <v>34</v>
      </c>
      <c r="CB69" s="43">
        <v>219607166</v>
      </c>
      <c r="CC69" s="43">
        <v>250466096</v>
      </c>
      <c r="CD69" s="43">
        <v>295383726</v>
      </c>
      <c r="CE69" s="43">
        <v>301077290</v>
      </c>
      <c r="CF69" s="43">
        <v>261058604</v>
      </c>
      <c r="CG69" s="43">
        <v>230949228</v>
      </c>
      <c r="CH69" s="43">
        <v>223998788</v>
      </c>
      <c r="CL69" t="s">
        <v>34</v>
      </c>
      <c r="CM69" s="43">
        <v>219607159</v>
      </c>
      <c r="CN69" s="43">
        <v>250528302</v>
      </c>
      <c r="CO69" s="43">
        <v>295412831</v>
      </c>
      <c r="CP69" s="43">
        <v>301068791</v>
      </c>
      <c r="CQ69" s="43">
        <v>261058604</v>
      </c>
      <c r="CR69" s="43">
        <v>230949228</v>
      </c>
      <c r="CS69" s="43">
        <v>223998788</v>
      </c>
      <c r="CX69" s="295"/>
      <c r="CY69" s="16" t="s">
        <v>51</v>
      </c>
      <c r="CZ69" s="20">
        <v>2985.57</v>
      </c>
      <c r="DA69" s="20">
        <v>2730.44</v>
      </c>
      <c r="DB69" s="20">
        <v>3897.15</v>
      </c>
      <c r="DC69" s="20">
        <v>2784.02</v>
      </c>
      <c r="DD69" s="20">
        <v>4719.3</v>
      </c>
      <c r="DE69" s="20">
        <v>4794.6000000000004</v>
      </c>
      <c r="DF69" s="20">
        <v>4627.3500000000004</v>
      </c>
      <c r="DG69" s="20">
        <v>5905.37</v>
      </c>
      <c r="DH69" s="20">
        <v>5621.67</v>
      </c>
      <c r="DI69" s="20">
        <v>6078.73</v>
      </c>
      <c r="DJ69" s="20">
        <v>5571.58</v>
      </c>
      <c r="DK69" s="20">
        <v>3698.89</v>
      </c>
      <c r="DL69" s="20">
        <v>5186.1400000000003</v>
      </c>
      <c r="DM69" s="20">
        <v>4832.3100000000004</v>
      </c>
      <c r="DN69" s="20">
        <v>75442.73</v>
      </c>
      <c r="DO69" s="20">
        <v>13631.28</v>
      </c>
      <c r="DP69" s="20">
        <v>-48097.27</v>
      </c>
      <c r="DQ69" s="20">
        <v>10628.22</v>
      </c>
      <c r="DR69" s="20">
        <v>12955.95</v>
      </c>
      <c r="DS69" s="20">
        <v>14863.58</v>
      </c>
      <c r="DT69" s="20">
        <v>14696.75</v>
      </c>
      <c r="DU69" s="20">
        <v>15321.62</v>
      </c>
      <c r="DV69" s="20">
        <v>13162.71</v>
      </c>
      <c r="DW69" s="20">
        <v>13147.52</v>
      </c>
      <c r="DX69" s="20">
        <v>12907.03</v>
      </c>
    </row>
    <row r="70" spans="2:130" ht="14.5" x14ac:dyDescent="0.35">
      <c r="B70" s="38" t="s">
        <v>33</v>
      </c>
      <c r="C70" s="45">
        <v>0</v>
      </c>
      <c r="D70" s="45">
        <v>3542.7066619947968</v>
      </c>
      <c r="E70" s="45">
        <v>26593.748856903429</v>
      </c>
      <c r="F70" s="45">
        <v>243363.92907678595</v>
      </c>
      <c r="G70" s="45">
        <v>441129.8099540461</v>
      </c>
      <c r="H70" s="45">
        <v>537485.07750592032</v>
      </c>
      <c r="I70" s="45">
        <v>373819.34593685856</v>
      </c>
      <c r="J70" s="45">
        <v>137025.9400139912</v>
      </c>
      <c r="O70" s="295"/>
      <c r="P70" s="16" t="s">
        <v>26</v>
      </c>
      <c r="Q70" s="20">
        <v>10792.766596240668</v>
      </c>
      <c r="R70" s="20">
        <v>19312.38401960209</v>
      </c>
      <c r="S70" s="20">
        <v>21254.31297935671</v>
      </c>
      <c r="T70" s="20">
        <v>21637.663415217026</v>
      </c>
      <c r="U70" s="20">
        <v>16834.533975023267</v>
      </c>
      <c r="V70" s="20">
        <v>24355.538593432568</v>
      </c>
      <c r="W70" s="20">
        <v>25113.656296491379</v>
      </c>
      <c r="X70" s="20">
        <v>25507.793919774442</v>
      </c>
      <c r="Y70" s="20">
        <v>22463.576853042847</v>
      </c>
      <c r="Z70" s="4"/>
      <c r="AA70" s="4"/>
      <c r="AB70" s="158"/>
      <c r="AC70" s="123"/>
      <c r="AD70" s="123"/>
      <c r="AE70" s="123"/>
      <c r="AF70" s="123"/>
      <c r="AG70" s="123"/>
      <c r="AH70" s="123"/>
      <c r="AI70" s="123"/>
      <c r="AJ70" s="123"/>
      <c r="AK70" s="4"/>
      <c r="CA70" t="s">
        <v>35</v>
      </c>
      <c r="CB70" s="43">
        <v>505304455</v>
      </c>
      <c r="CC70" s="43">
        <v>555282313.60000002</v>
      </c>
      <c r="CD70" s="43">
        <v>590675076</v>
      </c>
      <c r="CE70" s="43">
        <v>582248455</v>
      </c>
      <c r="CF70" s="43">
        <v>534070902</v>
      </c>
      <c r="CG70" s="43">
        <v>506459043</v>
      </c>
      <c r="CH70" s="43">
        <v>516003997</v>
      </c>
      <c r="CL70" t="s">
        <v>35</v>
      </c>
      <c r="CM70" s="43">
        <v>505304455</v>
      </c>
      <c r="CN70" s="43">
        <v>552284069</v>
      </c>
      <c r="CO70" s="43">
        <v>590858313</v>
      </c>
      <c r="CP70" s="43">
        <v>582248455</v>
      </c>
      <c r="CQ70" s="43">
        <v>534070902</v>
      </c>
      <c r="CR70" s="43">
        <v>506459043</v>
      </c>
      <c r="CS70" s="43">
        <v>516003997</v>
      </c>
      <c r="CX70" s="295"/>
      <c r="CY70" s="16" t="s">
        <v>52</v>
      </c>
      <c r="CZ70" s="7">
        <v>25324.410952659717</v>
      </c>
      <c r="DA70" s="7">
        <v>23113.420401475454</v>
      </c>
      <c r="DB70" s="7">
        <v>36851.054164207009</v>
      </c>
      <c r="DC70" s="7">
        <v>26284.267497740351</v>
      </c>
      <c r="DD70" s="7">
        <v>45012.909086971144</v>
      </c>
      <c r="DE70" s="7">
        <v>45795.13478995215</v>
      </c>
      <c r="DF70" s="7">
        <v>44292.650517775313</v>
      </c>
      <c r="DG70" s="7">
        <v>56497.542457307754</v>
      </c>
      <c r="DH70" s="7">
        <v>53733.558839753801</v>
      </c>
      <c r="DI70" s="7">
        <v>58124.803170238738</v>
      </c>
      <c r="DJ70" s="7">
        <v>53488.704744080227</v>
      </c>
      <c r="DK70" s="7">
        <v>35241.277518483061</v>
      </c>
      <c r="DL70" s="7">
        <v>48743.29494980305</v>
      </c>
      <c r="DM70" s="7">
        <v>45788.505027623745</v>
      </c>
      <c r="DN70" s="7">
        <v>109523.88044244345</v>
      </c>
      <c r="DO70" s="7">
        <v>19200.760555921421</v>
      </c>
      <c r="DP70" s="7">
        <v>-71898.400148762259</v>
      </c>
      <c r="DQ70" s="7">
        <v>15053.222002390306</v>
      </c>
      <c r="DR70" s="7">
        <v>18383.307398301295</v>
      </c>
      <c r="DS70" s="7">
        <v>21013.17541033704</v>
      </c>
      <c r="DT70" s="7">
        <v>20760.444935624073</v>
      </c>
      <c r="DU70" s="7">
        <v>21662.529991832016</v>
      </c>
      <c r="DV70" s="7">
        <v>18615.290409246129</v>
      </c>
      <c r="DW70" s="7">
        <v>18522.51634373016</v>
      </c>
      <c r="DX70" s="7">
        <v>17875.701397531</v>
      </c>
    </row>
    <row r="71" spans="2:130" ht="14.5" x14ac:dyDescent="0.35">
      <c r="B71" s="38" t="s">
        <v>34</v>
      </c>
      <c r="C71" s="45">
        <v>0.34412602678174997</v>
      </c>
      <c r="D71" s="45">
        <v>593.85341007321881</v>
      </c>
      <c r="E71" s="45">
        <v>8368.5225960071712</v>
      </c>
      <c r="F71" s="45">
        <v>23641.814181406706</v>
      </c>
      <c r="G71" s="45">
        <v>47663.861231335664</v>
      </c>
      <c r="H71" s="45">
        <v>53281.675633138075</v>
      </c>
      <c r="I71" s="45">
        <v>71676.428272669378</v>
      </c>
      <c r="J71" s="45">
        <v>61749.996111268818</v>
      </c>
      <c r="O71" s="295"/>
      <c r="P71" s="16" t="s">
        <v>51</v>
      </c>
      <c r="Q71" s="20">
        <v>1504.68</v>
      </c>
      <c r="R71" s="20">
        <v>2591.88</v>
      </c>
      <c r="S71" s="20">
        <v>2838.35</v>
      </c>
      <c r="T71" s="20">
        <v>2881.77</v>
      </c>
      <c r="U71" s="20">
        <v>2250.5100000000002</v>
      </c>
      <c r="V71" s="20">
        <v>3239.4</v>
      </c>
      <c r="W71" s="20">
        <v>3336.64</v>
      </c>
      <c r="X71" s="20">
        <v>3384.12</v>
      </c>
      <c r="Y71" s="20">
        <v>2980.87</v>
      </c>
      <c r="Z71" s="4"/>
      <c r="AA71" s="4"/>
      <c r="AB71" s="158"/>
      <c r="AC71" s="123"/>
      <c r="AD71" s="123"/>
      <c r="AE71" s="123"/>
      <c r="AF71" s="123"/>
      <c r="AG71" s="123"/>
      <c r="AH71" s="123"/>
      <c r="AI71" s="123"/>
      <c r="AJ71" s="123"/>
      <c r="AK71" s="4"/>
      <c r="CA71" t="s">
        <v>36</v>
      </c>
      <c r="CB71" s="43">
        <v>200697530</v>
      </c>
      <c r="CC71" s="43">
        <v>269908616.5</v>
      </c>
      <c r="CD71" s="43">
        <v>254759231</v>
      </c>
      <c r="CE71" s="43">
        <v>236605471</v>
      </c>
      <c r="CF71" s="43">
        <v>220600472</v>
      </c>
      <c r="CG71" s="43">
        <v>227017145</v>
      </c>
      <c r="CH71" s="43">
        <v>225997805</v>
      </c>
      <c r="CL71" t="s">
        <v>36</v>
      </c>
      <c r="CM71" s="43">
        <v>200697530</v>
      </c>
      <c r="CN71" s="43">
        <v>263803028</v>
      </c>
      <c r="CO71" s="43">
        <v>254759231</v>
      </c>
      <c r="CP71" s="43">
        <v>236605471</v>
      </c>
      <c r="CQ71" s="43">
        <v>220600472</v>
      </c>
      <c r="CR71" s="43">
        <v>227017145</v>
      </c>
      <c r="CS71" s="43">
        <v>225997805</v>
      </c>
      <c r="CX71" s="295"/>
      <c r="CY71" s="16" t="s">
        <v>13</v>
      </c>
      <c r="CZ71" s="7">
        <v>-12853.165395394753</v>
      </c>
      <c r="DA71" s="7">
        <v>-10152.463913657313</v>
      </c>
      <c r="DB71" s="7">
        <v>-25671.045600950827</v>
      </c>
      <c r="DC71" s="7">
        <v>-15560.543247539965</v>
      </c>
      <c r="DD71" s="7">
        <v>-32826.324288206539</v>
      </c>
      <c r="DE71" s="7">
        <v>-24513.98031437075</v>
      </c>
      <c r="DF71" s="7">
        <v>22319.5576163652</v>
      </c>
      <c r="DG71" s="7">
        <v>16910.644843513051</v>
      </c>
      <c r="DH71" s="7">
        <v>19448.436516194408</v>
      </c>
      <c r="DI71" s="7">
        <v>-13442.557416235584</v>
      </c>
      <c r="DJ71" s="7">
        <v>-34040.802598257753</v>
      </c>
      <c r="DK71" s="7">
        <v>-19115.536054840188</v>
      </c>
      <c r="DL71" s="7">
        <v>-29679.93398037623</v>
      </c>
      <c r="DM71" s="7">
        <v>-26963.097302028938</v>
      </c>
      <c r="DN71" s="7">
        <v>-94481.600095560469</v>
      </c>
      <c r="DO71" s="7">
        <v>-13828.211367771266</v>
      </c>
      <c r="DP71" s="7">
        <v>77659.575469534422</v>
      </c>
      <c r="DQ71" s="7">
        <v>-7352.0554636912066</v>
      </c>
      <c r="DR71" s="7">
        <v>2433.3885178160272</v>
      </c>
      <c r="DS71" s="7">
        <v>8308.2755623246012</v>
      </c>
      <c r="DT71" s="7">
        <v>8296.5970852261235</v>
      </c>
      <c r="DU71" s="7">
        <v>976.5893087457589</v>
      </c>
      <c r="DV71" s="125">
        <v>-120.35076748674328</v>
      </c>
      <c r="DW71" s="7">
        <v>-10119.576771598367</v>
      </c>
      <c r="DX71" s="7">
        <v>-7727.8348874822113</v>
      </c>
    </row>
    <row r="72" spans="2:130" ht="14.5" x14ac:dyDescent="0.35">
      <c r="B72" s="38" t="s">
        <v>35</v>
      </c>
      <c r="C72" s="45">
        <v>0.38250960519337501</v>
      </c>
      <c r="D72" s="45">
        <v>592.84700439506275</v>
      </c>
      <c r="E72" s="45">
        <v>3788.6582603776305</v>
      </c>
      <c r="F72" s="45">
        <v>18535.810544392894</v>
      </c>
      <c r="G72" s="45">
        <v>43757.113824202133</v>
      </c>
      <c r="H72" s="45">
        <v>58774.468786924044</v>
      </c>
      <c r="I72" s="45">
        <v>83102.627859122615</v>
      </c>
      <c r="J72" s="45">
        <v>59438.654651636796</v>
      </c>
      <c r="O72" s="295"/>
      <c r="P72" s="16" t="s">
        <v>52</v>
      </c>
      <c r="Q72" s="7">
        <v>12297.446596240668</v>
      </c>
      <c r="R72" s="7">
        <v>21904.264019602091</v>
      </c>
      <c r="S72" s="7">
        <v>24092.662979356708</v>
      </c>
      <c r="T72" s="7">
        <v>24519.433415217027</v>
      </c>
      <c r="U72" s="7">
        <v>19085.043975023269</v>
      </c>
      <c r="V72" s="7">
        <v>27594.938593432569</v>
      </c>
      <c r="W72" s="7">
        <v>28450.296296491379</v>
      </c>
      <c r="X72" s="7">
        <v>28891.913919774441</v>
      </c>
      <c r="Y72" s="7">
        <v>25444.446853042846</v>
      </c>
      <c r="Z72" s="4"/>
      <c r="AA72" s="4"/>
      <c r="AB72" s="158"/>
      <c r="AC72" s="123"/>
      <c r="AD72" s="123"/>
      <c r="AE72" s="123"/>
      <c r="AF72" s="123"/>
      <c r="AG72" s="123"/>
      <c r="AH72" s="123"/>
      <c r="AI72" s="123"/>
      <c r="AJ72" s="123"/>
      <c r="AK72" s="4"/>
      <c r="CA72" t="s">
        <v>37</v>
      </c>
      <c r="CB72" s="43">
        <v>69778498</v>
      </c>
      <c r="CC72" s="43">
        <v>120928612.40000001</v>
      </c>
      <c r="CD72" s="43">
        <v>91160220</v>
      </c>
      <c r="CE72" s="43">
        <v>84926008</v>
      </c>
      <c r="CF72" s="43">
        <v>81012090</v>
      </c>
      <c r="CG72" s="43">
        <v>85726323</v>
      </c>
      <c r="CH72" s="43">
        <v>71350428</v>
      </c>
      <c r="CL72" t="s">
        <v>37</v>
      </c>
      <c r="CM72" s="43">
        <v>69778498</v>
      </c>
      <c r="CN72" s="43">
        <v>110311543</v>
      </c>
      <c r="CO72" s="43">
        <v>91160220</v>
      </c>
      <c r="CP72" s="43">
        <v>84926008</v>
      </c>
      <c r="CQ72" s="43">
        <v>81012090</v>
      </c>
      <c r="CR72" s="43">
        <v>85726323</v>
      </c>
      <c r="CS72" s="43">
        <v>71350428</v>
      </c>
      <c r="CX72" s="295"/>
      <c r="CY72" s="17" t="s">
        <v>8</v>
      </c>
      <c r="CZ72" s="7">
        <v>-10.210000000000001</v>
      </c>
      <c r="DA72" s="7">
        <v>-11.8</v>
      </c>
      <c r="DB72" s="7">
        <v>-17.510000000000002</v>
      </c>
      <c r="DC72" s="7">
        <v>-18.39</v>
      </c>
      <c r="DD72" s="7">
        <v>-24.65</v>
      </c>
      <c r="DE72" s="7">
        <v>-28.25</v>
      </c>
      <c r="DF72" s="7">
        <v>-20.87</v>
      </c>
      <c r="DG72" s="7">
        <v>-11.79</v>
      </c>
      <c r="DH72" s="7">
        <v>-13.05</v>
      </c>
      <c r="DI72" s="7">
        <v>-13.48</v>
      </c>
      <c r="DJ72" s="7">
        <v>-14.03</v>
      </c>
      <c r="DK72" s="7">
        <v>-16.3</v>
      </c>
      <c r="DL72" s="7">
        <v>-33.03</v>
      </c>
      <c r="DM72" s="7">
        <v>-34.06</v>
      </c>
      <c r="DN72" s="7">
        <v>-47.68</v>
      </c>
      <c r="DO72" s="7">
        <v>-111.07</v>
      </c>
      <c r="DP72" s="7">
        <v>-82.15</v>
      </c>
      <c r="DQ72" s="7">
        <v>-127.42</v>
      </c>
      <c r="DR72" s="7">
        <v>-180.45</v>
      </c>
      <c r="DS72" s="7">
        <v>-210.37</v>
      </c>
      <c r="DT72" s="7">
        <v>-213.59</v>
      </c>
      <c r="DU72" s="7">
        <v>-198.63</v>
      </c>
      <c r="DV72" s="7">
        <v>-205.41</v>
      </c>
      <c r="DW72" s="7">
        <v>-243.63</v>
      </c>
      <c r="DX72" s="7">
        <v>-243.48</v>
      </c>
      <c r="DY72" s="208">
        <f>SUM('MEEIA 3 calcs'!AA72:AY72)</f>
        <v>-2135.6999999999998</v>
      </c>
      <c r="DZ72" s="223">
        <f>SUM(CZ72:DX72)-DY72</f>
        <v>4.4000000000000909</v>
      </c>
    </row>
    <row r="73" spans="2:130" ht="14.5" x14ac:dyDescent="0.35">
      <c r="B73" s="38" t="s">
        <v>35</v>
      </c>
      <c r="C73" s="45">
        <v>0</v>
      </c>
      <c r="D73" s="45">
        <v>10.498979963866001</v>
      </c>
      <c r="E73" s="45">
        <v>1076.2976856366847</v>
      </c>
      <c r="F73" s="45">
        <v>8208.8465748072213</v>
      </c>
      <c r="G73" s="45">
        <v>17844.087336984448</v>
      </c>
      <c r="H73" s="45">
        <v>19693.510444666666</v>
      </c>
      <c r="I73" s="45">
        <v>21979.473223835281</v>
      </c>
      <c r="J73" s="45">
        <v>14165.40710660777</v>
      </c>
      <c r="O73" s="295"/>
      <c r="P73" s="16" t="s">
        <v>13</v>
      </c>
      <c r="Q73" s="7">
        <v>-7583.0245926856451</v>
      </c>
      <c r="R73" s="7">
        <v>-16971.040711894311</v>
      </c>
      <c r="S73" s="7">
        <v>-19752.112044639314</v>
      </c>
      <c r="T73" s="7">
        <v>-12719.486928390143</v>
      </c>
      <c r="U73" s="7">
        <v>19172.899277318444</v>
      </c>
      <c r="V73" s="7">
        <v>13095.653413476924</v>
      </c>
      <c r="W73" s="7">
        <v>13435.289407484266</v>
      </c>
      <c r="X73" s="7">
        <v>-2111.1522844831561</v>
      </c>
      <c r="Y73" s="7">
        <v>-14847.184202668672</v>
      </c>
      <c r="Z73" s="103" t="s">
        <v>84</v>
      </c>
      <c r="AA73" s="103" t="s">
        <v>87</v>
      </c>
      <c r="AB73" s="158"/>
      <c r="AC73" s="123"/>
      <c r="AD73" s="123"/>
      <c r="AE73" s="123"/>
      <c r="AF73" s="123"/>
      <c r="AG73" s="123"/>
      <c r="AH73" s="123"/>
      <c r="AI73" s="123"/>
      <c r="AJ73" s="123"/>
      <c r="AK73" s="134"/>
      <c r="BZ73" s="33"/>
      <c r="CA73" s="33" t="s">
        <v>31</v>
      </c>
      <c r="CB73" s="34">
        <v>1844617502</v>
      </c>
      <c r="CC73" s="34">
        <v>2260152185.5</v>
      </c>
      <c r="CD73" s="34">
        <v>2604429573</v>
      </c>
      <c r="CE73" s="34">
        <v>2650772070</v>
      </c>
      <c r="CF73" s="34">
        <v>2252800721</v>
      </c>
      <c r="CG73" s="34">
        <v>1950515267</v>
      </c>
      <c r="CH73" s="34">
        <v>1874510202</v>
      </c>
      <c r="CK73" s="33"/>
      <c r="CL73" s="33" t="s">
        <v>31</v>
      </c>
      <c r="CM73" s="34">
        <v>1611922207.6004</v>
      </c>
      <c r="CN73" s="34">
        <v>1797930361.7806001</v>
      </c>
      <c r="CO73" s="34">
        <v>1889161878.3857</v>
      </c>
      <c r="CP73" s="34">
        <v>1851121376.4833</v>
      </c>
      <c r="CQ73" s="34">
        <v>1712723402.5943</v>
      </c>
      <c r="CR73" s="34">
        <v>1627228989.6746001</v>
      </c>
      <c r="CS73" s="34">
        <v>1825300901.9120998</v>
      </c>
      <c r="CX73" s="295"/>
      <c r="CY73" s="16" t="s">
        <v>14</v>
      </c>
      <c r="CZ73" s="7">
        <v>-12863.375395394753</v>
      </c>
      <c r="DA73" s="7">
        <v>-10164.263913657313</v>
      </c>
      <c r="DB73" s="7">
        <v>-25688.555600950825</v>
      </c>
      <c r="DC73" s="7">
        <v>-15578.933247539964</v>
      </c>
      <c r="DD73" s="7">
        <v>-32850.97428820654</v>
      </c>
      <c r="DE73" s="7">
        <v>-24542.23031437075</v>
      </c>
      <c r="DF73" s="7">
        <v>22298.687616365201</v>
      </c>
      <c r="DG73" s="7">
        <v>16898.854843513051</v>
      </c>
      <c r="DH73" s="7">
        <v>19435.386516194409</v>
      </c>
      <c r="DI73" s="7">
        <v>-13456.037416235584</v>
      </c>
      <c r="DJ73" s="7">
        <v>-34054.832598257752</v>
      </c>
      <c r="DK73" s="7">
        <v>-19131.836054840187</v>
      </c>
      <c r="DL73" s="7">
        <v>-29712.963980376229</v>
      </c>
      <c r="DM73" s="7">
        <v>-26997.15730202894</v>
      </c>
      <c r="DN73" s="7">
        <v>-94529.280095560462</v>
      </c>
      <c r="DO73" s="7">
        <v>-13939.281367771266</v>
      </c>
      <c r="DP73" s="7">
        <v>77577.425469534428</v>
      </c>
      <c r="DQ73" s="7">
        <v>-7479.4754636912066</v>
      </c>
      <c r="DR73" s="7">
        <v>2252.9385178160273</v>
      </c>
      <c r="DS73" s="7">
        <v>8097.9055623246013</v>
      </c>
      <c r="DT73" s="7">
        <v>8083.0070852261233</v>
      </c>
      <c r="DU73" s="7">
        <v>777.9593087457589</v>
      </c>
      <c r="DV73" s="7">
        <v>-325.76076748674325</v>
      </c>
      <c r="DW73" s="7">
        <v>-10363.206771598367</v>
      </c>
      <c r="DX73" s="7">
        <v>-7971.3148874822109</v>
      </c>
    </row>
    <row r="74" spans="2:130" ht="14.5" x14ac:dyDescent="0.35">
      <c r="B74" s="38" t="s">
        <v>35</v>
      </c>
      <c r="C74" s="45">
        <v>0</v>
      </c>
      <c r="D74" s="45">
        <v>0</v>
      </c>
      <c r="E74" s="45">
        <v>178.04544936482247</v>
      </c>
      <c r="F74" s="45">
        <v>661.15950808601849</v>
      </c>
      <c r="G74" s="45">
        <v>877.99265710747466</v>
      </c>
      <c r="H74" s="45">
        <v>909.22642550037904</v>
      </c>
      <c r="I74" s="45">
        <v>1261.0041997151543</v>
      </c>
      <c r="J74" s="45">
        <v>997.60306748635742</v>
      </c>
      <c r="O74" s="295"/>
      <c r="P74" s="17" t="s">
        <v>8</v>
      </c>
      <c r="Q74" s="7">
        <v>-63.9</v>
      </c>
      <c r="R74" s="7">
        <v>-89.64</v>
      </c>
      <c r="S74" s="7">
        <v>-57.84</v>
      </c>
      <c r="T74" s="7">
        <v>-9.02</v>
      </c>
      <c r="U74" s="7">
        <v>-6.54</v>
      </c>
      <c r="V74" s="7">
        <v>-7.44</v>
      </c>
      <c r="W74" s="7">
        <v>-3.34</v>
      </c>
      <c r="X74" s="7">
        <v>-2.9</v>
      </c>
      <c r="Y74" s="7">
        <v>-6.66</v>
      </c>
      <c r="Z74" s="104">
        <v>-258.16000000000003</v>
      </c>
      <c r="AA74" s="112">
        <v>10.880000000000024</v>
      </c>
      <c r="AB74" s="158"/>
      <c r="AC74" s="123"/>
      <c r="AD74" s="123"/>
      <c r="AE74" s="123"/>
      <c r="AF74" s="123"/>
      <c r="AG74" s="123"/>
      <c r="AH74" s="123"/>
      <c r="AI74" s="123"/>
      <c r="AJ74" s="123"/>
      <c r="AK74" s="135"/>
      <c r="CX74" s="295"/>
      <c r="CY74" s="18" t="s">
        <v>19</v>
      </c>
      <c r="CZ74" s="7">
        <v>-61261.755198797422</v>
      </c>
      <c r="DA74" s="7">
        <v>-68695.57911245474</v>
      </c>
      <c r="DB74" s="7">
        <v>-90486.98471340556</v>
      </c>
      <c r="DC74" s="7">
        <v>-103281.89796094553</v>
      </c>
      <c r="DD74" s="7">
        <v>-131413.57224915206</v>
      </c>
      <c r="DE74" s="7">
        <v>-151161.20256352279</v>
      </c>
      <c r="DF74" s="7">
        <v>-124235.16494715758</v>
      </c>
      <c r="DG74" s="7">
        <v>-101430.94010364453</v>
      </c>
      <c r="DH74" s="7">
        <v>-76373.883587450124</v>
      </c>
      <c r="DI74" s="7">
        <v>-83751.191003685701</v>
      </c>
      <c r="DJ74" s="7">
        <v>-112234.44360194345</v>
      </c>
      <c r="DK74" s="7">
        <v>-127667.38965678363</v>
      </c>
      <c r="DL74" s="7">
        <v>-152194.21363715988</v>
      </c>
      <c r="DM74" s="7">
        <v>-174359.06093918881</v>
      </c>
      <c r="DN74" s="7">
        <v>-193445.61103474928</v>
      </c>
      <c r="DO74" s="7">
        <v>-193753.61240252055</v>
      </c>
      <c r="DP74" s="7">
        <v>-164273.45693298613</v>
      </c>
      <c r="DQ74" s="7">
        <v>-161124.71239667732</v>
      </c>
      <c r="DR74" s="7">
        <v>-145915.82387886129</v>
      </c>
      <c r="DS74" s="7">
        <v>-122954.3383165367</v>
      </c>
      <c r="DT74" s="7">
        <v>-100174.58123131057</v>
      </c>
      <c r="DU74" s="7">
        <v>-84075.001922564814</v>
      </c>
      <c r="DV74" s="7">
        <v>-71238.052690051554</v>
      </c>
      <c r="DW74" s="7">
        <v>-68453.739461649922</v>
      </c>
      <c r="DX74" s="7">
        <v>-63518.024349132131</v>
      </c>
    </row>
    <row r="75" spans="2:130" ht="14.5" x14ac:dyDescent="0.35">
      <c r="B75" s="38" t="s">
        <v>35</v>
      </c>
      <c r="C75" s="45">
        <v>0</v>
      </c>
      <c r="D75" s="45">
        <v>0</v>
      </c>
      <c r="E75" s="45">
        <v>0</v>
      </c>
      <c r="F75" s="45">
        <v>0</v>
      </c>
      <c r="G75" s="45">
        <v>0</v>
      </c>
      <c r="H75" s="45">
        <v>1252.115980693439</v>
      </c>
      <c r="I75" s="45">
        <v>2448.7910418683878</v>
      </c>
      <c r="J75" s="45">
        <v>1841.3720541763271</v>
      </c>
      <c r="O75" s="295"/>
      <c r="P75" s="16" t="s">
        <v>14</v>
      </c>
      <c r="Q75" s="7">
        <v>-7646.9245926856447</v>
      </c>
      <c r="R75" s="7">
        <v>-17060.680711894311</v>
      </c>
      <c r="S75" s="7">
        <v>-19809.952044639314</v>
      </c>
      <c r="T75" s="7">
        <v>-12728.506928390143</v>
      </c>
      <c r="U75" s="7">
        <v>19166.359277318443</v>
      </c>
      <c r="V75" s="7">
        <v>13088.213413476924</v>
      </c>
      <c r="W75" s="7">
        <v>13431.949407484266</v>
      </c>
      <c r="X75" s="7">
        <v>-2114.0522844831562</v>
      </c>
      <c r="Y75" s="7">
        <v>-14853.844202668672</v>
      </c>
      <c r="Z75" s="4"/>
      <c r="AA75" s="4"/>
      <c r="AB75" s="158"/>
      <c r="AC75" s="123"/>
      <c r="AD75" s="123"/>
      <c r="AE75" s="123"/>
      <c r="AF75" s="123"/>
      <c r="AG75" s="123"/>
      <c r="AH75" s="123"/>
      <c r="AI75" s="123"/>
      <c r="AJ75" s="123"/>
      <c r="AK75" s="4"/>
      <c r="CX75" s="40"/>
      <c r="CY75" s="11"/>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row>
    <row r="76" spans="2:130" ht="15" customHeight="1" x14ac:dyDescent="0.35">
      <c r="B76" s="35" t="s">
        <v>31</v>
      </c>
      <c r="C76" s="44">
        <f>SUM(C70:C75)</f>
        <v>0.72663563197512504</v>
      </c>
      <c r="D76" s="44">
        <f t="shared" ref="D76:J76" si="45">SUM(D70:D75)</f>
        <v>4739.9060564269448</v>
      </c>
      <c r="E76" s="44">
        <f t="shared" si="45"/>
        <v>40005.272848289744</v>
      </c>
      <c r="F76" s="44">
        <f t="shared" si="45"/>
        <v>294411.55988547887</v>
      </c>
      <c r="G76" s="44">
        <f t="shared" si="45"/>
        <v>551272.8650036758</v>
      </c>
      <c r="H76" s="44">
        <f t="shared" si="45"/>
        <v>671396.07477684284</v>
      </c>
      <c r="I76" s="44">
        <f t="shared" si="45"/>
        <v>554287.6705340693</v>
      </c>
      <c r="J76" s="44">
        <f t="shared" si="45"/>
        <v>275218.97300516727</v>
      </c>
      <c r="O76" s="295"/>
      <c r="P76" s="18" t="s">
        <v>19</v>
      </c>
      <c r="Q76" s="7">
        <v>-42579.034760106762</v>
      </c>
      <c r="R76" s="7">
        <v>-57047.835472001068</v>
      </c>
      <c r="S76" s="7">
        <v>-74019.437516640377</v>
      </c>
      <c r="T76" s="7">
        <v>-83866.174445030512</v>
      </c>
      <c r="U76" s="7">
        <v>-62449.305167712067</v>
      </c>
      <c r="V76" s="7">
        <v>-46121.691754235144</v>
      </c>
      <c r="W76" s="7">
        <v>-29353.102346750878</v>
      </c>
      <c r="X76" s="7">
        <v>-28083.034631234033</v>
      </c>
      <c r="Y76" s="7">
        <v>-39956.008833902706</v>
      </c>
      <c r="Z76" s="4"/>
      <c r="AA76" s="4"/>
      <c r="AB76" s="158"/>
      <c r="AC76" s="123"/>
      <c r="AD76" s="123"/>
      <c r="AE76" s="123"/>
      <c r="AF76" s="123"/>
      <c r="AG76" s="123"/>
      <c r="AH76" s="123"/>
      <c r="AI76" s="123"/>
      <c r="AJ76" s="123"/>
      <c r="AK76" s="4"/>
      <c r="CX76" s="296" t="s">
        <v>65</v>
      </c>
      <c r="CY76" s="84"/>
      <c r="CZ76" s="152"/>
      <c r="DA76" s="152"/>
      <c r="DB76" s="151">
        <v>-50000</v>
      </c>
      <c r="DC76" s="29"/>
      <c r="DD76" s="29"/>
      <c r="DE76" s="29"/>
      <c r="DF76" s="174"/>
      <c r="DG76" s="29"/>
      <c r="DH76" s="29"/>
      <c r="DI76" s="29"/>
      <c r="DJ76" s="151">
        <v>-153732.06</v>
      </c>
      <c r="DK76" s="151">
        <v>-31.022527238338242</v>
      </c>
      <c r="DL76" s="29"/>
      <c r="DM76" s="29"/>
      <c r="DN76" s="210">
        <v>13638.67728098213</v>
      </c>
      <c r="DO76" s="29"/>
      <c r="DP76" s="29"/>
      <c r="DQ76" s="29"/>
      <c r="DR76" s="29"/>
      <c r="DS76" s="29"/>
      <c r="DT76" s="29"/>
      <c r="DU76" s="29"/>
      <c r="DV76" s="29"/>
      <c r="DW76" s="29"/>
      <c r="DX76" s="29"/>
    </row>
    <row r="77" spans="2:130" ht="14.5" x14ac:dyDescent="0.35">
      <c r="B77" s="35"/>
      <c r="O77" s="40"/>
      <c r="P77" s="11"/>
      <c r="Q77" s="145"/>
      <c r="R77" s="145"/>
      <c r="S77" s="145"/>
      <c r="T77" s="145"/>
      <c r="U77" s="145"/>
      <c r="V77" s="145"/>
      <c r="W77" s="145"/>
      <c r="X77" s="145"/>
      <c r="Y77" s="145"/>
      <c r="Z77" s="4"/>
      <c r="AA77" s="4"/>
      <c r="AB77" s="158"/>
      <c r="AC77" s="123"/>
      <c r="AD77" s="123"/>
      <c r="AE77" s="123"/>
      <c r="AF77" s="123"/>
      <c r="AG77" s="123"/>
      <c r="AH77" s="123"/>
      <c r="AI77" s="123"/>
      <c r="AJ77" s="123"/>
      <c r="AK77" s="4"/>
      <c r="CX77" s="296"/>
      <c r="CY77" s="84" t="s">
        <v>66</v>
      </c>
      <c r="CZ77" s="22"/>
      <c r="DA77" s="22">
        <v>0</v>
      </c>
      <c r="DB77" s="22">
        <v>0</v>
      </c>
      <c r="DC77" s="22">
        <v>0</v>
      </c>
      <c r="DD77" s="22">
        <v>0</v>
      </c>
      <c r="DE77" s="22">
        <v>0</v>
      </c>
      <c r="DF77" s="22">
        <v>0</v>
      </c>
      <c r="DG77" s="22">
        <v>0</v>
      </c>
      <c r="DH77" s="22">
        <v>0</v>
      </c>
      <c r="DI77" s="22">
        <v>0</v>
      </c>
      <c r="DJ77" s="22">
        <v>0</v>
      </c>
      <c r="DK77" s="22">
        <v>0</v>
      </c>
      <c r="DL77" s="22">
        <v>0</v>
      </c>
      <c r="DM77" s="22">
        <v>0</v>
      </c>
      <c r="DN77" s="22">
        <v>-7656.73</v>
      </c>
      <c r="DO77" s="22">
        <v>-17111.14</v>
      </c>
      <c r="DP77" s="22">
        <v>-14510.33</v>
      </c>
      <c r="DQ77" s="22">
        <v>-14291.36</v>
      </c>
      <c r="DR77" s="22">
        <v>-17612.43</v>
      </c>
      <c r="DS77" s="22">
        <v>-22392.62</v>
      </c>
      <c r="DT77" s="22">
        <v>-21403.22</v>
      </c>
      <c r="DU77" s="22">
        <v>-19009.3</v>
      </c>
      <c r="DV77" s="22">
        <v>-14623.32</v>
      </c>
      <c r="DW77" s="22">
        <v>-13738.07</v>
      </c>
      <c r="DX77" s="22">
        <v>-18464.63</v>
      </c>
    </row>
    <row r="78" spans="2:130" ht="14.5" x14ac:dyDescent="0.35">
      <c r="B78" s="27" t="s">
        <v>32</v>
      </c>
      <c r="O78" s="144"/>
      <c r="P78" s="137"/>
      <c r="Q78" s="29"/>
      <c r="R78" s="29"/>
      <c r="S78" s="29"/>
      <c r="T78" s="29"/>
      <c r="U78" s="29"/>
      <c r="V78" s="107"/>
      <c r="W78" s="29"/>
      <c r="X78" s="29"/>
      <c r="Y78" s="29"/>
      <c r="Z78" s="123"/>
      <c r="AA78" s="29"/>
      <c r="AB78" s="156"/>
      <c r="AC78" s="29"/>
      <c r="AD78" s="29"/>
      <c r="AE78" s="29"/>
      <c r="AF78" s="29"/>
      <c r="AG78" s="29"/>
      <c r="AH78" s="29"/>
      <c r="AI78" s="29"/>
      <c r="AJ78" s="29"/>
      <c r="CX78" s="296"/>
      <c r="CY78" s="84" t="s">
        <v>67</v>
      </c>
      <c r="CZ78" s="8"/>
      <c r="DA78" s="8">
        <v>0</v>
      </c>
      <c r="DB78" s="8">
        <v>-50000</v>
      </c>
      <c r="DC78" s="8">
        <v>0</v>
      </c>
      <c r="DD78" s="8">
        <v>0</v>
      </c>
      <c r="DE78" s="8">
        <v>0</v>
      </c>
      <c r="DF78" s="8">
        <v>0</v>
      </c>
      <c r="DG78" s="8">
        <v>0</v>
      </c>
      <c r="DH78" s="8">
        <v>0</v>
      </c>
      <c r="DI78" s="8">
        <v>0</v>
      </c>
      <c r="DJ78" s="8">
        <v>-153732.06</v>
      </c>
      <c r="DK78" s="113">
        <v>1793.31</v>
      </c>
      <c r="DL78" s="8">
        <v>0</v>
      </c>
      <c r="DM78" s="8">
        <v>0</v>
      </c>
      <c r="DN78" s="8">
        <v>7656.73</v>
      </c>
      <c r="DO78" s="8">
        <v>17111.14</v>
      </c>
      <c r="DP78" s="8">
        <v>14510.33</v>
      </c>
      <c r="DQ78" s="8">
        <v>14291.36</v>
      </c>
      <c r="DR78" s="8">
        <v>17612.43</v>
      </c>
      <c r="DS78" s="8">
        <v>22392.62</v>
      </c>
      <c r="DT78" s="8">
        <v>21403.22</v>
      </c>
      <c r="DU78" s="8">
        <v>19009.3</v>
      </c>
      <c r="DV78" s="8">
        <v>14623.32</v>
      </c>
      <c r="DW78" s="8">
        <v>13738.07</v>
      </c>
      <c r="DX78" s="8">
        <v>18464.63</v>
      </c>
    </row>
    <row r="79" spans="2:130" ht="14.5" x14ac:dyDescent="0.35">
      <c r="B79" t="s">
        <v>33</v>
      </c>
      <c r="C79" s="43">
        <v>1268128455</v>
      </c>
      <c r="D79" s="43">
        <v>872933544</v>
      </c>
      <c r="E79" s="43">
        <v>738196558</v>
      </c>
      <c r="F79" s="43">
        <v>978975302</v>
      </c>
      <c r="G79" s="43">
        <v>1243909773</v>
      </c>
      <c r="H79" s="43">
        <v>1310015315</v>
      </c>
      <c r="I79" s="43">
        <v>1208033233</v>
      </c>
      <c r="J79" s="109">
        <v>993546162</v>
      </c>
      <c r="O79" s="144"/>
      <c r="P79" s="137"/>
      <c r="Q79" s="123"/>
      <c r="R79" s="123"/>
      <c r="S79" s="123"/>
      <c r="T79" s="123"/>
      <c r="U79" s="123"/>
      <c r="V79" s="123"/>
      <c r="W79" s="132"/>
      <c r="X79" s="123"/>
      <c r="Y79" s="123"/>
      <c r="Z79" s="132"/>
      <c r="AA79" s="123"/>
      <c r="AB79" s="158"/>
      <c r="AC79" s="123"/>
      <c r="AD79" s="123"/>
      <c r="AE79" s="123"/>
      <c r="AF79" s="123"/>
      <c r="AG79" s="123"/>
      <c r="AH79" s="123"/>
      <c r="AI79" s="123"/>
      <c r="AJ79" s="123"/>
      <c r="AK79" s="3"/>
      <c r="CX79" s="296"/>
      <c r="CY79" s="85" t="s">
        <v>8</v>
      </c>
      <c r="CZ79" s="8" t="s">
        <v>129</v>
      </c>
      <c r="DA79" s="8">
        <v>0</v>
      </c>
      <c r="DB79" s="8">
        <v>-9.6757083333333345</v>
      </c>
      <c r="DC79" s="8">
        <v>-8.9048062060853468</v>
      </c>
      <c r="DD79" s="8">
        <v>-9.38361075097888</v>
      </c>
      <c r="DE79" s="8">
        <v>-9.3498929752559405</v>
      </c>
      <c r="DF79" s="8">
        <v>-8.4087289230078603</v>
      </c>
      <c r="DG79" s="8">
        <v>-5.8198588030395255</v>
      </c>
      <c r="DH79" s="8">
        <v>-8.55460111412191</v>
      </c>
      <c r="DI79" s="8">
        <v>-8.0610523030172327</v>
      </c>
      <c r="DJ79" s="8">
        <v>-25.475027282426108</v>
      </c>
      <c r="DK79" s="113">
        <v>-1850.1308041894602</v>
      </c>
      <c r="DL79" s="8">
        <v>-44.253379291805963</v>
      </c>
      <c r="DM79" s="8">
        <v>-39.842192194484952</v>
      </c>
      <c r="DN79" s="8">
        <v>-45.035910461108607</v>
      </c>
      <c r="DO79" s="8">
        <v>-94.987772278237017</v>
      </c>
      <c r="DP79" s="8">
        <v>-75.647290480831003</v>
      </c>
      <c r="DQ79" s="8">
        <v>-108.40411153673763</v>
      </c>
      <c r="DR79" s="8">
        <v>-147.93036414362186</v>
      </c>
      <c r="DS79" s="8">
        <v>-166.63529957939139</v>
      </c>
      <c r="DT79" s="8">
        <v>-162.36603398091862</v>
      </c>
      <c r="DU79" s="8">
        <v>-135.31637544471974</v>
      </c>
      <c r="DV79" s="8">
        <v>-123.34485306500206</v>
      </c>
      <c r="DW79" s="8">
        <v>-103.72028699292817</v>
      </c>
      <c r="DX79" s="8">
        <v>-41.089627469559161</v>
      </c>
    </row>
    <row r="80" spans="2:130" ht="14.5" x14ac:dyDescent="0.35">
      <c r="B80" t="s">
        <v>34</v>
      </c>
      <c r="C80" s="43">
        <v>290178959</v>
      </c>
      <c r="D80" s="43">
        <v>235096003</v>
      </c>
      <c r="E80" s="43">
        <v>221772499</v>
      </c>
      <c r="F80" s="43">
        <v>258735845</v>
      </c>
      <c r="G80" s="43">
        <v>295975497</v>
      </c>
      <c r="H80" s="43">
        <v>304175879</v>
      </c>
      <c r="I80" s="43">
        <v>293549572</v>
      </c>
      <c r="J80" s="109">
        <v>264736629</v>
      </c>
      <c r="O80" s="144"/>
      <c r="P80" s="137"/>
      <c r="Q80" s="123"/>
      <c r="R80" s="123"/>
      <c r="S80" s="123"/>
      <c r="T80" s="123"/>
      <c r="U80" s="123"/>
      <c r="V80" s="123"/>
      <c r="W80" s="123"/>
      <c r="X80" s="123"/>
      <c r="Y80" s="123"/>
      <c r="Z80" s="123"/>
      <c r="AA80" s="123"/>
      <c r="AB80" s="158"/>
      <c r="AC80" s="123"/>
      <c r="AD80" s="123"/>
      <c r="AE80" s="123"/>
      <c r="AF80" s="123"/>
      <c r="AG80" s="123"/>
      <c r="AH80" s="123"/>
      <c r="AI80" s="123"/>
      <c r="AJ80" s="123"/>
      <c r="AK80" s="3"/>
      <c r="CX80" s="296"/>
      <c r="CY80" s="85" t="s">
        <v>6</v>
      </c>
      <c r="CZ80" s="8" t="s">
        <v>129</v>
      </c>
      <c r="DA80" s="8">
        <v>0</v>
      </c>
      <c r="DB80" s="8">
        <v>-9.6757083333333345</v>
      </c>
      <c r="DC80" s="8">
        <v>-18.580514539418679</v>
      </c>
      <c r="DD80" s="8">
        <v>-27.964125290397561</v>
      </c>
      <c r="DE80" s="8">
        <v>-37.314018265653502</v>
      </c>
      <c r="DF80" s="8">
        <v>-45.722747188661359</v>
      </c>
      <c r="DG80" s="8">
        <v>-51.542605991700881</v>
      </c>
      <c r="DH80" s="8">
        <v>-60.09720710582279</v>
      </c>
      <c r="DI80" s="8">
        <v>-68.158259408840024</v>
      </c>
      <c r="DJ80" s="8">
        <v>-93.633286691266136</v>
      </c>
      <c r="DK80" s="8">
        <v>-1943.7640908807264</v>
      </c>
      <c r="DL80" s="8">
        <v>-1988.0174701725323</v>
      </c>
      <c r="DM80" s="8">
        <v>-2027.8596623670173</v>
      </c>
      <c r="DN80" s="8">
        <v>-2072.8955728281258</v>
      </c>
      <c r="DO80" s="8">
        <v>-2167.8833451063629</v>
      </c>
      <c r="DP80" s="8">
        <v>-2243.530635587194</v>
      </c>
      <c r="DQ80" s="8">
        <v>-2351.9347471239316</v>
      </c>
      <c r="DR80" s="8">
        <v>-2499.8651112675534</v>
      </c>
      <c r="DS80" s="8">
        <v>-2666.5004108469448</v>
      </c>
      <c r="DT80" s="8">
        <v>-2828.8664448278632</v>
      </c>
      <c r="DU80" s="8">
        <v>-2964.1828202725828</v>
      </c>
      <c r="DV80" s="8">
        <v>-3087.5276733375849</v>
      </c>
      <c r="DW80" s="8">
        <v>-3191.2479603305133</v>
      </c>
      <c r="DX80" s="8">
        <v>-3232.3375878000725</v>
      </c>
      <c r="DY80" s="45">
        <f>'MEEIA 3 calcs'!AY80</f>
        <v>-3232.3346728124429</v>
      </c>
      <c r="DZ80" s="223">
        <f>DX80-DY80</f>
        <v>-2.9149876295377908E-3</v>
      </c>
    </row>
    <row r="81" spans="2:164" ht="14.5" x14ac:dyDescent="0.35">
      <c r="B81" t="s">
        <v>35</v>
      </c>
      <c r="C81" s="43">
        <v>599641261</v>
      </c>
      <c r="D81" s="43">
        <v>546450417</v>
      </c>
      <c r="E81" s="43">
        <v>548775486</v>
      </c>
      <c r="F81" s="43">
        <v>609609142</v>
      </c>
      <c r="G81" s="43">
        <v>656813642</v>
      </c>
      <c r="H81" s="43">
        <v>671886437</v>
      </c>
      <c r="I81" s="43">
        <v>678219627</v>
      </c>
      <c r="J81" s="109">
        <v>622550219</v>
      </c>
      <c r="O81" s="55"/>
      <c r="P81" s="138"/>
      <c r="Q81" s="123"/>
      <c r="R81" s="123"/>
      <c r="S81" s="123"/>
      <c r="T81" s="123"/>
      <c r="U81" s="123"/>
      <c r="V81" s="123"/>
      <c r="W81" s="123"/>
      <c r="X81" s="123"/>
      <c r="Y81" s="123"/>
      <c r="Z81" s="123"/>
      <c r="AA81" s="123"/>
      <c r="AB81" s="158"/>
      <c r="AC81" s="123"/>
      <c r="AD81" s="123"/>
      <c r="AE81" s="123"/>
      <c r="AF81" s="123"/>
      <c r="AG81" s="123"/>
      <c r="AH81" s="123"/>
      <c r="AI81" s="123"/>
      <c r="AJ81" s="123"/>
      <c r="AK81" s="3"/>
      <c r="CX81" s="296"/>
      <c r="CY81" s="84" t="s">
        <v>69</v>
      </c>
      <c r="CZ81" s="8" t="s">
        <v>129</v>
      </c>
      <c r="DA81" s="8">
        <v>0</v>
      </c>
      <c r="DB81" s="8">
        <v>-50009.675708333336</v>
      </c>
      <c r="DC81" s="8">
        <v>-8.9048062060853468</v>
      </c>
      <c r="DD81" s="8">
        <v>-9.38361075097888</v>
      </c>
      <c r="DE81" s="8">
        <v>-9.3498929752559405</v>
      </c>
      <c r="DF81" s="8">
        <v>-8.4087289230078603</v>
      </c>
      <c r="DG81" s="8">
        <v>-5.8198588030395255</v>
      </c>
      <c r="DH81" s="8">
        <v>-8.55460111412191</v>
      </c>
      <c r="DI81" s="8">
        <v>-8.0610523030172327</v>
      </c>
      <c r="DJ81" s="8">
        <v>-153757.53502728243</v>
      </c>
      <c r="DK81" s="8">
        <v>-56.820804189460205</v>
      </c>
      <c r="DL81" s="8">
        <v>-44.253379291805963</v>
      </c>
      <c r="DM81" s="8">
        <v>-39.842192194484952</v>
      </c>
      <c r="DN81" s="8">
        <v>7611.6940895388907</v>
      </c>
      <c r="DO81" s="8">
        <v>17016.152227721763</v>
      </c>
      <c r="DP81" s="8">
        <v>14434.682709519169</v>
      </c>
      <c r="DQ81" s="8">
        <v>14182.955888463262</v>
      </c>
      <c r="DR81" s="8">
        <v>17464.499635856377</v>
      </c>
      <c r="DS81" s="8">
        <v>22225.984700420606</v>
      </c>
      <c r="DT81" s="8">
        <v>21240.853966019084</v>
      </c>
      <c r="DU81" s="8">
        <v>18873.98362455528</v>
      </c>
      <c r="DV81" s="8">
        <v>14499.975146934998</v>
      </c>
      <c r="DW81" s="8">
        <v>13634.349713007072</v>
      </c>
      <c r="DX81" s="8">
        <v>18423.540372530442</v>
      </c>
    </row>
    <row r="82" spans="2:164" ht="14.5" x14ac:dyDescent="0.35">
      <c r="B82" t="s">
        <v>36</v>
      </c>
      <c r="C82" s="43">
        <v>242499726</v>
      </c>
      <c r="D82" s="43">
        <v>232539680</v>
      </c>
      <c r="E82" s="43">
        <v>229224298</v>
      </c>
      <c r="F82" s="43">
        <v>266349220</v>
      </c>
      <c r="G82" s="43">
        <v>267674678</v>
      </c>
      <c r="H82" s="43">
        <v>281003685</v>
      </c>
      <c r="I82" s="43">
        <v>279302255</v>
      </c>
      <c r="J82" s="109">
        <v>258807768</v>
      </c>
      <c r="O82" s="144"/>
      <c r="P82" s="138"/>
      <c r="Q82" s="123"/>
      <c r="R82" s="123"/>
      <c r="S82" s="123"/>
      <c r="T82" s="123"/>
      <c r="U82" s="123"/>
      <c r="V82" s="123"/>
      <c r="W82" s="123"/>
      <c r="X82" s="123"/>
      <c r="Y82" s="123"/>
      <c r="Z82" s="123"/>
      <c r="AA82" s="123"/>
      <c r="AB82" s="158"/>
      <c r="AC82" s="123"/>
      <c r="AD82" s="123"/>
      <c r="AE82" s="123"/>
      <c r="AF82" s="123"/>
      <c r="AG82" s="123"/>
      <c r="AH82" s="123"/>
      <c r="AI82" s="123"/>
      <c r="AJ82" s="123"/>
      <c r="AK82" s="3"/>
      <c r="CX82" s="296"/>
      <c r="CY82" s="86" t="s">
        <v>70</v>
      </c>
      <c r="CZ82" s="8">
        <v>0</v>
      </c>
      <c r="DA82" s="8">
        <v>0</v>
      </c>
      <c r="DB82" s="8">
        <v>-50009.675708333336</v>
      </c>
      <c r="DC82" s="8">
        <v>-50018.580514539419</v>
      </c>
      <c r="DD82" s="8">
        <v>-50027.964125290397</v>
      </c>
      <c r="DE82" s="8">
        <v>-50037.31401826565</v>
      </c>
      <c r="DF82" s="8">
        <v>-50045.722747188658</v>
      </c>
      <c r="DG82" s="8">
        <v>-50051.542605991701</v>
      </c>
      <c r="DH82" s="8">
        <v>-50060.09720710582</v>
      </c>
      <c r="DI82" s="8">
        <v>-50068.15825940884</v>
      </c>
      <c r="DJ82" s="8">
        <v>-203825.69328669127</v>
      </c>
      <c r="DK82" s="8">
        <v>-203882.51409088072</v>
      </c>
      <c r="DL82" s="8">
        <v>-203926.76747017252</v>
      </c>
      <c r="DM82" s="8">
        <v>-203966.609662367</v>
      </c>
      <c r="DN82" s="8">
        <v>-182716.23829184598</v>
      </c>
      <c r="DO82" s="8">
        <v>-165700.08606412422</v>
      </c>
      <c r="DP82" s="8">
        <v>-151265.40335460505</v>
      </c>
      <c r="DQ82" s="8">
        <v>-137082.44746614178</v>
      </c>
      <c r="DR82" s="8">
        <v>-119617.9478302854</v>
      </c>
      <c r="DS82" s="8">
        <v>-97391.963129864787</v>
      </c>
      <c r="DT82" s="8">
        <v>-76151.1091638457</v>
      </c>
      <c r="DU82" s="8">
        <v>-57277.12553929042</v>
      </c>
      <c r="DV82" s="8">
        <v>-42777.150392355426</v>
      </c>
      <c r="DW82" s="8">
        <v>-29142.800679348355</v>
      </c>
      <c r="DX82" s="8">
        <v>-10719.260306817912</v>
      </c>
    </row>
    <row r="83" spans="2:164" ht="14.5" x14ac:dyDescent="0.35">
      <c r="B83" t="s">
        <v>37</v>
      </c>
      <c r="C83" s="43">
        <v>99309923</v>
      </c>
      <c r="D83" s="43">
        <v>98876748</v>
      </c>
      <c r="E83" s="43">
        <v>96480454</v>
      </c>
      <c r="F83" s="43">
        <v>121526151</v>
      </c>
      <c r="G83" s="43">
        <v>113123855</v>
      </c>
      <c r="H83" s="43">
        <v>125262874</v>
      </c>
      <c r="I83" s="43">
        <v>126945040</v>
      </c>
      <c r="J83" s="109">
        <v>119752379</v>
      </c>
      <c r="O83" s="144"/>
      <c r="P83" s="137"/>
      <c r="Q83" s="123"/>
      <c r="R83" s="123"/>
      <c r="S83" s="123"/>
      <c r="T83" s="123"/>
      <c r="U83" s="123"/>
      <c r="V83" s="123"/>
      <c r="W83" s="123"/>
      <c r="X83" s="123"/>
      <c r="Y83" s="123"/>
      <c r="Z83" s="123"/>
      <c r="AA83" s="123"/>
      <c r="AB83" s="158"/>
      <c r="AC83" s="123"/>
      <c r="AD83" s="123"/>
      <c r="AE83" s="123"/>
      <c r="AF83" s="123"/>
      <c r="AG83" s="123"/>
      <c r="AH83" s="123"/>
      <c r="AI83" s="123"/>
      <c r="AJ83" s="123"/>
      <c r="AK83" s="3"/>
      <c r="CX83" s="40"/>
      <c r="CY83" s="11"/>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row>
    <row r="84" spans="2:164" s="1" customFormat="1" ht="14.5" x14ac:dyDescent="0.35">
      <c r="B84" s="33" t="s">
        <v>31</v>
      </c>
      <c r="C84" s="34">
        <f>SUM(C79:C83)</f>
        <v>2499758324</v>
      </c>
      <c r="D84" s="34">
        <f t="shared" ref="D84:J84" si="46">SUM(D79:D83)</f>
        <v>1985896392</v>
      </c>
      <c r="E84" s="34">
        <f t="shared" si="46"/>
        <v>1834449295</v>
      </c>
      <c r="F84" s="34">
        <f t="shared" si="46"/>
        <v>2235195660</v>
      </c>
      <c r="G84" s="34">
        <f t="shared" si="46"/>
        <v>2577497445</v>
      </c>
      <c r="H84" s="34">
        <f t="shared" si="46"/>
        <v>2692344190</v>
      </c>
      <c r="I84" s="34">
        <f t="shared" si="46"/>
        <v>2586049727</v>
      </c>
      <c r="J84" s="34">
        <f t="shared" si="46"/>
        <v>2259393157</v>
      </c>
      <c r="K84"/>
      <c r="L84"/>
      <c r="M84" s="148"/>
      <c r="N84" s="148"/>
      <c r="O84" s="55"/>
      <c r="P84" s="92"/>
      <c r="Q84" s="123"/>
      <c r="R84" s="123"/>
      <c r="S84" s="123"/>
      <c r="T84" s="123"/>
      <c r="U84" s="123"/>
      <c r="V84" s="123"/>
      <c r="W84" s="123"/>
      <c r="X84" s="123"/>
      <c r="Y84" s="123"/>
      <c r="Z84" s="123"/>
      <c r="AA84" s="123"/>
      <c r="AB84" s="158"/>
      <c r="AC84" s="123"/>
      <c r="AD84" s="123"/>
      <c r="AE84" s="123"/>
      <c r="AF84" s="123"/>
      <c r="AG84" s="123"/>
      <c r="AH84" s="123"/>
      <c r="AI84" s="123"/>
      <c r="AJ84" s="123"/>
      <c r="AK84" s="3"/>
      <c r="BF84" s="182"/>
      <c r="BY84" s="182"/>
      <c r="CW84" s="182"/>
      <c r="CX84" s="122"/>
      <c r="CY84" s="52"/>
      <c r="CZ84" s="7"/>
      <c r="DA84" s="7"/>
      <c r="DB84" s="7"/>
      <c r="DC84" s="7"/>
      <c r="DD84" s="7"/>
      <c r="DE84" s="7"/>
      <c r="DF84" s="7"/>
      <c r="DG84" s="7"/>
      <c r="DH84" s="7"/>
      <c r="DI84" s="113">
        <v>9481708.5997034572</v>
      </c>
      <c r="DJ84" s="7"/>
      <c r="DK84" s="7"/>
      <c r="DL84" s="7"/>
      <c r="DM84" s="7"/>
      <c r="DN84" s="210">
        <v>-172092.00566277982</v>
      </c>
      <c r="DO84" s="7"/>
      <c r="DP84" s="7"/>
      <c r="DQ84" s="7"/>
      <c r="DR84" s="7"/>
      <c r="DS84" s="7"/>
      <c r="DT84" s="113">
        <v>11747686.43</v>
      </c>
      <c r="DU84" s="7"/>
      <c r="DV84" s="113">
        <v>-197.32</v>
      </c>
      <c r="DW84" s="7"/>
      <c r="DX84" s="113">
        <v>10734309.9</v>
      </c>
      <c r="DY84" s="222"/>
      <c r="DZ84" s="222"/>
      <c r="EA84" s="182"/>
      <c r="FH84" s="182"/>
    </row>
    <row r="85" spans="2:164" s="1" customFormat="1" ht="15" customHeight="1" x14ac:dyDescent="0.35">
      <c r="B85"/>
      <c r="C85"/>
      <c r="D85"/>
      <c r="E85"/>
      <c r="F85"/>
      <c r="G85"/>
      <c r="H85"/>
      <c r="I85"/>
      <c r="J85"/>
      <c r="K85"/>
      <c r="L85"/>
      <c r="M85" s="148"/>
      <c r="N85" s="148"/>
      <c r="O85" s="146"/>
      <c r="P85" s="92"/>
      <c r="Q85" s="123"/>
      <c r="R85" s="123"/>
      <c r="S85" s="123"/>
      <c r="T85" s="123"/>
      <c r="U85" s="123"/>
      <c r="V85" s="123"/>
      <c r="W85" s="123"/>
      <c r="X85" s="123"/>
      <c r="Y85" s="123"/>
      <c r="Z85" s="123"/>
      <c r="AA85" s="123"/>
      <c r="AB85" s="158"/>
      <c r="AC85" s="123"/>
      <c r="AD85" s="123"/>
      <c r="AE85" s="123"/>
      <c r="AF85" s="123"/>
      <c r="AG85" s="123"/>
      <c r="AH85" s="123"/>
      <c r="AI85" s="123"/>
      <c r="AJ85" s="123"/>
      <c r="AK85" s="4"/>
      <c r="BF85" s="182"/>
      <c r="BY85" s="182"/>
      <c r="CW85" s="182"/>
      <c r="CX85" s="297" t="s">
        <v>81</v>
      </c>
      <c r="CY85" s="52" t="s">
        <v>72</v>
      </c>
      <c r="CZ85" s="60"/>
      <c r="DA85" s="60"/>
      <c r="DB85" s="118">
        <v>519948.38999999996</v>
      </c>
      <c r="DC85" s="60">
        <v>519948.38999999996</v>
      </c>
      <c r="DD85" s="60">
        <v>519948.38999999996</v>
      </c>
      <c r="DE85" s="60">
        <v>519948.38999999996</v>
      </c>
      <c r="DF85" s="60">
        <v>519948.38999999996</v>
      </c>
      <c r="DG85" s="60">
        <v>519948.38999999996</v>
      </c>
      <c r="DH85" s="60">
        <v>519948.38999999996</v>
      </c>
      <c r="DI85" s="60">
        <v>519948.38999999996</v>
      </c>
      <c r="DJ85" s="60">
        <v>519948.38999999996</v>
      </c>
      <c r="DK85" s="60">
        <v>519948.38999999996</v>
      </c>
      <c r="DL85" s="60">
        <v>519948.38999999996</v>
      </c>
      <c r="DM85" s="60">
        <v>519948.38999999996</v>
      </c>
      <c r="DN85" s="60">
        <v>788489.91666666663</v>
      </c>
      <c r="DO85" s="60">
        <v>788489.91666666663</v>
      </c>
      <c r="DP85" s="60">
        <v>788489.91666666663</v>
      </c>
      <c r="DQ85" s="60">
        <v>788489.91666666663</v>
      </c>
      <c r="DR85" s="60">
        <v>788489.91666666663</v>
      </c>
      <c r="DS85" s="60">
        <v>788489.91666666663</v>
      </c>
      <c r="DT85" s="60">
        <v>788489.91666666663</v>
      </c>
      <c r="DU85" s="60">
        <v>788489.91666666663</v>
      </c>
      <c r="DV85" s="60">
        <v>788489.91666666663</v>
      </c>
      <c r="DW85" s="60">
        <v>788489.91666666663</v>
      </c>
      <c r="DX85" s="60">
        <v>788489.91666666663</v>
      </c>
      <c r="DY85" s="222"/>
      <c r="DZ85" s="222"/>
      <c r="EA85" s="182"/>
      <c r="FH85" s="182"/>
    </row>
    <row r="86" spans="2:164" s="1" customFormat="1" ht="14.5" x14ac:dyDescent="0.35">
      <c r="B86" s="27" t="s">
        <v>40</v>
      </c>
      <c r="C86"/>
      <c r="D86"/>
      <c r="E86"/>
      <c r="F86"/>
      <c r="G86"/>
      <c r="H86"/>
      <c r="I86"/>
      <c r="J86"/>
      <c r="K86"/>
      <c r="L86"/>
      <c r="M86" s="148"/>
      <c r="N86" s="148"/>
      <c r="O86" s="146"/>
      <c r="P86" s="137"/>
      <c r="Q86" s="29"/>
      <c r="R86" s="29"/>
      <c r="S86" s="29"/>
      <c r="T86" s="123"/>
      <c r="U86" s="123"/>
      <c r="V86" s="123"/>
      <c r="W86" s="123"/>
      <c r="X86" s="123"/>
      <c r="Y86" s="123"/>
      <c r="Z86" s="123"/>
      <c r="AA86" s="123"/>
      <c r="AB86" s="158"/>
      <c r="AC86" s="123"/>
      <c r="AD86" s="123"/>
      <c r="AE86" s="123"/>
      <c r="AF86" s="123"/>
      <c r="AG86" s="123"/>
      <c r="AH86" s="136"/>
      <c r="AI86" s="123"/>
      <c r="AJ86" s="123"/>
      <c r="AK86" s="4"/>
      <c r="BF86" s="182"/>
      <c r="BY86" s="182"/>
      <c r="CW86" s="182"/>
      <c r="CX86" s="297"/>
      <c r="CY86" s="52" t="s">
        <v>73</v>
      </c>
      <c r="CZ86" s="22">
        <v>0</v>
      </c>
      <c r="DA86" s="22">
        <v>0</v>
      </c>
      <c r="DB86" s="22">
        <v>285104.73</v>
      </c>
      <c r="DC86" s="22">
        <v>522237.53</v>
      </c>
      <c r="DD86" s="22">
        <v>417802.47</v>
      </c>
      <c r="DE86" s="22">
        <v>410351.7</v>
      </c>
      <c r="DF86" s="22">
        <v>482532.64</v>
      </c>
      <c r="DG86" s="22">
        <v>608996.41</v>
      </c>
      <c r="DH86" s="22">
        <v>606777.69999999995</v>
      </c>
      <c r="DI86" s="22">
        <v>608116.79</v>
      </c>
      <c r="DJ86" s="22">
        <v>477518.56</v>
      </c>
      <c r="DK86" s="22">
        <v>427851.21</v>
      </c>
      <c r="DL86" s="22">
        <v>515247.16</v>
      </c>
      <c r="DM86" s="22">
        <v>600539.75</v>
      </c>
      <c r="DN86" s="22">
        <v>2037727.16</v>
      </c>
      <c r="DO86" s="22">
        <v>795668.03</v>
      </c>
      <c r="DP86" s="22">
        <v>562116.91</v>
      </c>
      <c r="DQ86" s="22">
        <v>655732.05000000005</v>
      </c>
      <c r="DR86" s="22">
        <v>784339.36</v>
      </c>
      <c r="DS86" s="22">
        <v>965777.55</v>
      </c>
      <c r="DT86" s="22">
        <v>941053.79</v>
      </c>
      <c r="DU86" s="22">
        <v>844973.28</v>
      </c>
      <c r="DV86" s="22">
        <v>672120.46</v>
      </c>
      <c r="DW86" s="22">
        <v>651071.71</v>
      </c>
      <c r="DX86" s="22">
        <v>829595.91</v>
      </c>
      <c r="DY86" s="222"/>
      <c r="DZ86" s="222"/>
      <c r="EA86" s="182"/>
      <c r="FH86" s="182"/>
    </row>
    <row r="87" spans="2:164" s="1" customFormat="1" ht="14.5" x14ac:dyDescent="0.35">
      <c r="B87" t="s">
        <v>33</v>
      </c>
      <c r="C87" s="45">
        <f t="shared" ref="C87:J87" si="47">C70+(C$75*(C79/C$84))</f>
        <v>0</v>
      </c>
      <c r="D87" s="45">
        <f t="shared" si="47"/>
        <v>3542.7066619947968</v>
      </c>
      <c r="E87" s="45">
        <f t="shared" si="47"/>
        <v>26593.748856903429</v>
      </c>
      <c r="F87" s="45">
        <f t="shared" si="47"/>
        <v>243363.92907678595</v>
      </c>
      <c r="G87" s="45">
        <f t="shared" si="47"/>
        <v>441129.8099540461</v>
      </c>
      <c r="H87" s="45">
        <f t="shared" si="47"/>
        <v>538094.32023088727</v>
      </c>
      <c r="I87" s="45">
        <f t="shared" si="47"/>
        <v>374963.26089269412</v>
      </c>
      <c r="J87" s="45">
        <f t="shared" si="47"/>
        <v>137835.66546242539</v>
      </c>
      <c r="K87"/>
      <c r="L87"/>
      <c r="M87" s="148"/>
      <c r="N87" s="148"/>
      <c r="O87" s="144"/>
      <c r="P87" s="137"/>
      <c r="Q87" s="132"/>
      <c r="R87" s="132"/>
      <c r="S87" s="132"/>
      <c r="T87" s="132"/>
      <c r="U87" s="132"/>
      <c r="V87" s="132"/>
      <c r="W87" s="132"/>
      <c r="X87" s="132"/>
      <c r="Y87" s="132"/>
      <c r="Z87" s="132"/>
      <c r="AA87" s="132"/>
      <c r="AB87" s="157"/>
      <c r="AC87" s="132"/>
      <c r="AD87" s="132"/>
      <c r="AE87" s="132"/>
      <c r="AF87" s="132"/>
      <c r="AG87" s="132"/>
      <c r="AH87" s="132"/>
      <c r="AI87" s="132"/>
      <c r="AJ87" s="132"/>
      <c r="AK87"/>
      <c r="BF87" s="182"/>
      <c r="BY87" s="182"/>
      <c r="CW87" s="182"/>
      <c r="CX87" s="297"/>
      <c r="CY87" s="52" t="s">
        <v>74</v>
      </c>
      <c r="CZ87" s="8" t="s">
        <v>129</v>
      </c>
      <c r="DA87" s="8" t="s">
        <v>129</v>
      </c>
      <c r="DB87" s="7">
        <v>234843.65999999997</v>
      </c>
      <c r="DC87" s="7">
        <v>-2289.1400000000722</v>
      </c>
      <c r="DD87" s="7">
        <v>102145.91999999998</v>
      </c>
      <c r="DE87" s="7">
        <v>109596.68999999994</v>
      </c>
      <c r="DF87" s="7">
        <v>37415.749999999942</v>
      </c>
      <c r="DG87" s="7">
        <v>-89048.020000000077</v>
      </c>
      <c r="DH87" s="7">
        <v>-86829.31</v>
      </c>
      <c r="DI87" s="7">
        <v>-88168.400000000081</v>
      </c>
      <c r="DJ87" s="7">
        <v>42429.829999999958</v>
      </c>
      <c r="DK87" s="7">
        <v>92097.179999999935</v>
      </c>
      <c r="DL87" s="7">
        <v>4701.2299999999814</v>
      </c>
      <c r="DM87" s="7">
        <v>-80591.360000000044</v>
      </c>
      <c r="DN87" s="7">
        <v>-1249237.2433333332</v>
      </c>
      <c r="DO87" s="7">
        <v>-7178.1133333334001</v>
      </c>
      <c r="DP87" s="7">
        <v>226373.0066666666</v>
      </c>
      <c r="DQ87" s="7">
        <v>132757.86666666658</v>
      </c>
      <c r="DR87" s="7">
        <v>4150.5566666666418</v>
      </c>
      <c r="DS87" s="7">
        <v>-177287.63333333342</v>
      </c>
      <c r="DT87" s="7">
        <v>-152563.87333333341</v>
      </c>
      <c r="DU87" s="7">
        <v>-56483.3633333334</v>
      </c>
      <c r="DV87" s="7">
        <v>116369.45666666667</v>
      </c>
      <c r="DW87" s="7">
        <v>137418.20666666667</v>
      </c>
      <c r="DX87" s="7">
        <v>-41105.993333333405</v>
      </c>
      <c r="DY87" s="222"/>
      <c r="DZ87" s="222"/>
      <c r="EA87" s="182"/>
      <c r="FH87" s="182"/>
    </row>
    <row r="88" spans="2:164" s="1" customFormat="1" ht="14.5" x14ac:dyDescent="0.35">
      <c r="B88" t="s">
        <v>34</v>
      </c>
      <c r="C88" s="45">
        <f t="shared" ref="C88:J91" si="48">C71+(C$75*(C80/C$84))</f>
        <v>0.34412602678174997</v>
      </c>
      <c r="D88" s="45">
        <f t="shared" si="48"/>
        <v>593.85341007321881</v>
      </c>
      <c r="E88" s="45">
        <f t="shared" si="48"/>
        <v>8368.5225960071712</v>
      </c>
      <c r="F88" s="45">
        <f t="shared" si="48"/>
        <v>23641.814181406706</v>
      </c>
      <c r="G88" s="45">
        <f t="shared" si="48"/>
        <v>47663.861231335664</v>
      </c>
      <c r="H88" s="45">
        <f t="shared" si="48"/>
        <v>53423.137293371561</v>
      </c>
      <c r="I88" s="45">
        <f t="shared" si="48"/>
        <v>71954.397236201956</v>
      </c>
      <c r="J88" s="45">
        <f t="shared" si="48"/>
        <v>61965.752554031846</v>
      </c>
      <c r="K88"/>
      <c r="L88"/>
      <c r="M88" s="148"/>
      <c r="N88" s="148"/>
      <c r="O88" s="144"/>
      <c r="P88" s="137"/>
      <c r="Q88" s="123"/>
      <c r="R88" s="123"/>
      <c r="S88" s="123"/>
      <c r="T88" s="123"/>
      <c r="U88" s="123"/>
      <c r="V88" s="123"/>
      <c r="W88" s="123"/>
      <c r="X88" s="123"/>
      <c r="Y88" s="123"/>
      <c r="Z88" s="123"/>
      <c r="AA88" s="123"/>
      <c r="AB88" s="158"/>
      <c r="AC88" s="123"/>
      <c r="AD88" s="123"/>
      <c r="AE88" s="123"/>
      <c r="AF88" s="123"/>
      <c r="AG88" s="123"/>
      <c r="AH88" s="123"/>
      <c r="AI88" s="123"/>
      <c r="AJ88" s="123"/>
      <c r="AK88"/>
      <c r="BF88" s="182"/>
      <c r="BY88" s="182"/>
      <c r="CW88" s="182"/>
      <c r="CX88" s="297"/>
      <c r="CY88" s="52" t="s">
        <v>4</v>
      </c>
      <c r="CZ88" s="61" t="s">
        <v>129</v>
      </c>
      <c r="DA88" s="61" t="s">
        <v>129</v>
      </c>
      <c r="DB88" s="61">
        <v>2.3221700000000001E-3</v>
      </c>
      <c r="DC88" s="61">
        <v>2.1367399999999998E-3</v>
      </c>
      <c r="DD88" s="61">
        <v>2.2512299999999999E-3</v>
      </c>
      <c r="DE88" s="61">
        <v>2.2427200000000001E-3</v>
      </c>
      <c r="DF88" s="61">
        <v>2.01659E-3</v>
      </c>
      <c r="DG88" s="61">
        <v>1.3954900000000001E-3</v>
      </c>
      <c r="DH88" s="61">
        <v>2.0509899999999999E-3</v>
      </c>
      <c r="DI88" s="61">
        <v>1.9323299999999999E-3</v>
      </c>
      <c r="DJ88" s="61">
        <v>1.5E-3</v>
      </c>
      <c r="DK88" s="61">
        <v>1.5320900000000001E-3</v>
      </c>
      <c r="DL88" s="61">
        <v>2.6046400000000001E-3</v>
      </c>
      <c r="DM88" s="61">
        <v>2.3444999999999998E-3</v>
      </c>
      <c r="DN88" s="61">
        <v>2.9584899999999998E-3</v>
      </c>
      <c r="DO88" s="61">
        <v>6.8829599999999996E-3</v>
      </c>
      <c r="DP88" s="61">
        <v>6.0041599999999997E-3</v>
      </c>
      <c r="DQ88" s="61">
        <v>9.4970499999999999E-3</v>
      </c>
      <c r="DR88" s="61">
        <v>1.4858659999999999E-2</v>
      </c>
      <c r="DS88" s="61">
        <v>2.0566899999999999E-2</v>
      </c>
      <c r="DT88" s="61">
        <v>2.564054E-2</v>
      </c>
      <c r="DU88" s="61">
        <v>2.8416960000000002E-2</v>
      </c>
      <c r="DV88" s="61">
        <v>3.4701200000000001E-2</v>
      </c>
      <c r="DW88" s="61">
        <v>4.286098E-2</v>
      </c>
      <c r="DX88" s="61">
        <v>4.617603E-2</v>
      </c>
      <c r="DY88" s="222"/>
      <c r="DZ88" s="222"/>
      <c r="EA88" s="182"/>
      <c r="FH88" s="182"/>
    </row>
    <row r="89" spans="2:164" s="1" customFormat="1" ht="14.5" x14ac:dyDescent="0.35">
      <c r="B89" t="s">
        <v>35</v>
      </c>
      <c r="C89" s="45">
        <f>C72+(C$75*(C81/C$84))</f>
        <v>0.38250960519337501</v>
      </c>
      <c r="D89" s="45">
        <f t="shared" si="48"/>
        <v>592.84700439506275</v>
      </c>
      <c r="E89" s="45">
        <f t="shared" si="48"/>
        <v>3788.6582603776305</v>
      </c>
      <c r="F89" s="45">
        <f t="shared" si="48"/>
        <v>18535.810544392894</v>
      </c>
      <c r="G89" s="45">
        <f>G72+(G$75*(G81/G$84))</f>
        <v>43757.113824202133</v>
      </c>
      <c r="H89" s="45">
        <f t="shared" si="48"/>
        <v>59086.939884825857</v>
      </c>
      <c r="I89" s="45">
        <f t="shared" si="48"/>
        <v>83744.849905232913</v>
      </c>
      <c r="J89" s="45">
        <f t="shared" si="48"/>
        <v>59946.023885732408</v>
      </c>
      <c r="K89"/>
      <c r="L89"/>
      <c r="M89" s="148"/>
      <c r="N89" s="148"/>
      <c r="O89" s="144"/>
      <c r="P89" s="137"/>
      <c r="Q89" s="123"/>
      <c r="R89" s="123"/>
      <c r="S89" s="123"/>
      <c r="T89" s="123"/>
      <c r="U89" s="123"/>
      <c r="V89" s="123"/>
      <c r="W89" s="123"/>
      <c r="X89" s="123"/>
      <c r="Y89" s="123"/>
      <c r="Z89" s="123"/>
      <c r="AA89" s="123"/>
      <c r="AB89" s="158"/>
      <c r="AC89" s="123"/>
      <c r="AD89" s="123"/>
      <c r="AE89" s="123"/>
      <c r="AF89" s="123"/>
      <c r="AG89" s="123"/>
      <c r="AH89" s="123"/>
      <c r="AI89" s="123"/>
      <c r="AJ89" s="123"/>
      <c r="AK89"/>
      <c r="BF89" s="182"/>
      <c r="BY89" s="182"/>
      <c r="CW89" s="182"/>
      <c r="CX89" s="297"/>
      <c r="CY89" s="52" t="s">
        <v>49</v>
      </c>
      <c r="CZ89" s="8"/>
      <c r="DA89" s="8"/>
      <c r="DB89" s="8">
        <v>45.445575161850002</v>
      </c>
      <c r="DC89" s="8">
        <v>41.417137536922588</v>
      </c>
      <c r="DD89" s="8">
        <v>62.806934957159051</v>
      </c>
      <c r="DE89" s="8">
        <v>83.064143875482543</v>
      </c>
      <c r="DF89" s="8">
        <v>80.99055877632199</v>
      </c>
      <c r="DG89" s="8">
        <v>45.699807056250876</v>
      </c>
      <c r="DH89" s="8">
        <v>52.333569170584276</v>
      </c>
      <c r="DI89" s="8">
        <v>35.116701313934492</v>
      </c>
      <c r="DJ89" s="8">
        <v>32.567981803481018</v>
      </c>
      <c r="DK89" s="8">
        <v>45.027308292983584</v>
      </c>
      <c r="DL89" s="8">
        <v>77.579171951312262</v>
      </c>
      <c r="DM89" s="8">
        <v>54.100525163113389</v>
      </c>
      <c r="DN89" s="8">
        <v>-277.20628046448553</v>
      </c>
      <c r="DO89" s="8">
        <v>-649.19972718297527</v>
      </c>
      <c r="DP89" s="8">
        <v>-453.37129213395292</v>
      </c>
      <c r="DQ89" s="8">
        <v>-612.40923602319651</v>
      </c>
      <c r="DR89" s="8">
        <v>-953.76711086387024</v>
      </c>
      <c r="DS89" s="8">
        <v>-1625.66451086953</v>
      </c>
      <c r="DT89" s="8">
        <v>-2356.1575967605281</v>
      </c>
      <c r="DU89" s="8">
        <v>-2750.6247615729239</v>
      </c>
      <c r="DV89" s="8">
        <v>-3030.3497534615949</v>
      </c>
      <c r="DW89" s="8">
        <v>-3262.918801641827</v>
      </c>
      <c r="DX89" s="8">
        <v>-3686.0184671585507</v>
      </c>
      <c r="DY89" s="88"/>
      <c r="DZ89" s="222"/>
      <c r="EA89" s="182"/>
      <c r="FH89" s="182"/>
    </row>
    <row r="90" spans="2:164" s="1" customFormat="1" ht="14.5" x14ac:dyDescent="0.35">
      <c r="B90" t="s">
        <v>36</v>
      </c>
      <c r="C90" s="45">
        <f t="shared" si="48"/>
        <v>0</v>
      </c>
      <c r="D90" s="45">
        <f t="shared" si="48"/>
        <v>10.498979963866001</v>
      </c>
      <c r="E90" s="45">
        <f t="shared" si="48"/>
        <v>1076.2976856366847</v>
      </c>
      <c r="F90" s="45">
        <f t="shared" si="48"/>
        <v>8208.8465748072213</v>
      </c>
      <c r="G90" s="45">
        <f t="shared" si="48"/>
        <v>17844.087336984448</v>
      </c>
      <c r="H90" s="45">
        <f t="shared" si="48"/>
        <v>19824.195520493558</v>
      </c>
      <c r="I90" s="45">
        <f t="shared" si="48"/>
        <v>22243.951069283008</v>
      </c>
      <c r="J90" s="45">
        <f t="shared" si="48"/>
        <v>14376.331615218623</v>
      </c>
      <c r="K90"/>
      <c r="L90"/>
      <c r="M90" s="148"/>
      <c r="N90" s="148"/>
      <c r="O90" s="144"/>
      <c r="P90" s="138"/>
      <c r="Q90" s="153"/>
      <c r="R90" s="153"/>
      <c r="S90" s="153"/>
      <c r="T90" s="180"/>
      <c r="U90" s="181"/>
      <c r="V90" s="147"/>
      <c r="W90" s="133"/>
      <c r="X90" s="133"/>
      <c r="Y90" s="133"/>
      <c r="Z90" s="133"/>
      <c r="AA90" s="133"/>
      <c r="AB90" s="159"/>
      <c r="AC90" s="133"/>
      <c r="AD90" s="133"/>
      <c r="AE90" s="133"/>
      <c r="AF90" s="133"/>
      <c r="AG90" s="133"/>
      <c r="AH90" s="133"/>
      <c r="AI90" s="133"/>
      <c r="AJ90" s="133"/>
      <c r="AK90"/>
      <c r="BF90" s="182"/>
      <c r="BY90" s="182"/>
      <c r="CW90" s="182"/>
      <c r="CX90" s="297"/>
      <c r="CY90" s="53" t="s">
        <v>6</v>
      </c>
      <c r="CZ90" s="8"/>
      <c r="DA90" s="8"/>
      <c r="DB90" s="8">
        <v>45.445575161850002</v>
      </c>
      <c r="DC90" s="8">
        <v>86.862712698772583</v>
      </c>
      <c r="DD90" s="8">
        <v>149.66964765593164</v>
      </c>
      <c r="DE90" s="8">
        <v>232.73379153141417</v>
      </c>
      <c r="DF90" s="8">
        <v>313.72435030773613</v>
      </c>
      <c r="DG90" s="8">
        <v>359.42415736398698</v>
      </c>
      <c r="DH90" s="8">
        <v>411.75772653457125</v>
      </c>
      <c r="DI90" s="8">
        <v>446.87442784850572</v>
      </c>
      <c r="DJ90" s="8">
        <v>479.44240965198674</v>
      </c>
      <c r="DK90" s="8">
        <v>524.46971794497028</v>
      </c>
      <c r="DL90" s="8">
        <v>602.0488898962825</v>
      </c>
      <c r="DM90" s="8">
        <v>656.14941505939589</v>
      </c>
      <c r="DN90" s="8">
        <v>378.94313459491036</v>
      </c>
      <c r="DO90" s="8">
        <v>-270.2565925880649</v>
      </c>
      <c r="DP90" s="8">
        <v>-723.62788472201782</v>
      </c>
      <c r="DQ90" s="8">
        <v>-1336.0371207452145</v>
      </c>
      <c r="DR90" s="8">
        <v>-2289.8042316090846</v>
      </c>
      <c r="DS90" s="8">
        <v>-3915.4687424786143</v>
      </c>
      <c r="DT90" s="8">
        <v>-6271.6263392391429</v>
      </c>
      <c r="DU90" s="8">
        <v>-9022.2511008120673</v>
      </c>
      <c r="DV90" s="8">
        <v>-12052.600854273662</v>
      </c>
      <c r="DW90" s="8">
        <v>-15315.519655915488</v>
      </c>
      <c r="DX90" s="8">
        <v>-19001.538123074039</v>
      </c>
      <c r="DY90" s="88">
        <f>'MEEIA 3 calcs'!AY90</f>
        <v>-19001.538123074039</v>
      </c>
      <c r="DZ90" s="224">
        <f>DX90-DY90</f>
        <v>0</v>
      </c>
      <c r="EA90" s="182"/>
      <c r="FH90" s="182"/>
    </row>
    <row r="91" spans="2:164" s="1" customFormat="1" ht="14.5" x14ac:dyDescent="0.35">
      <c r="B91" t="s">
        <v>37</v>
      </c>
      <c r="C91" s="45">
        <f t="shared" si="48"/>
        <v>0</v>
      </c>
      <c r="D91" s="45">
        <f t="shared" si="48"/>
        <v>0</v>
      </c>
      <c r="E91" s="45">
        <f t="shared" si="48"/>
        <v>178.04544936482247</v>
      </c>
      <c r="F91" s="45">
        <f t="shared" si="48"/>
        <v>661.15950808601849</v>
      </c>
      <c r="G91" s="45">
        <f t="shared" si="48"/>
        <v>877.99265710747466</v>
      </c>
      <c r="H91" s="45">
        <f t="shared" si="48"/>
        <v>967.48184726463296</v>
      </c>
      <c r="I91" s="45">
        <f t="shared" si="48"/>
        <v>1381.2114306574015</v>
      </c>
      <c r="J91" s="45">
        <f t="shared" si="48"/>
        <v>1095.1994877590121</v>
      </c>
      <c r="K91"/>
      <c r="L91"/>
      <c r="M91" s="148"/>
      <c r="N91" s="148"/>
      <c r="O91" s="144"/>
      <c r="P91" s="138"/>
      <c r="Q91" s="123"/>
      <c r="R91" s="123"/>
      <c r="S91" s="123"/>
      <c r="T91" s="123"/>
      <c r="U91" s="123"/>
      <c r="V91" s="123"/>
      <c r="W91" s="123"/>
      <c r="X91" s="123"/>
      <c r="Y91" s="123"/>
      <c r="Z91" s="123"/>
      <c r="AA91" s="123"/>
      <c r="AB91" s="158"/>
      <c r="AC91" s="123"/>
      <c r="AD91" s="123"/>
      <c r="AE91" s="123"/>
      <c r="AF91" s="123"/>
      <c r="AG91" s="123"/>
      <c r="AH91" s="123"/>
      <c r="AI91" s="123"/>
      <c r="AJ91" s="123"/>
      <c r="AK91"/>
      <c r="BF91" s="182"/>
      <c r="BY91" s="182"/>
      <c r="CW91" s="182"/>
      <c r="CX91" s="297"/>
      <c r="CY91" s="70" t="s">
        <v>75</v>
      </c>
      <c r="CZ91" s="8"/>
      <c r="DA91" s="8"/>
      <c r="DB91" s="8">
        <v>234889.10557516181</v>
      </c>
      <c r="DC91" s="8">
        <v>-2247.7228624631498</v>
      </c>
      <c r="DD91" s="8">
        <v>102208.72693495714</v>
      </c>
      <c r="DE91" s="8">
        <v>109679.75414387543</v>
      </c>
      <c r="DF91" s="8">
        <v>37496.740558776262</v>
      </c>
      <c r="DG91" s="8">
        <v>-89002.320192943822</v>
      </c>
      <c r="DH91" s="8">
        <v>-86776.976430829411</v>
      </c>
      <c r="DI91" s="8">
        <v>-88133.283298686147</v>
      </c>
      <c r="DJ91" s="8">
        <v>42462.397981803442</v>
      </c>
      <c r="DK91" s="8">
        <v>92142.207308292913</v>
      </c>
      <c r="DL91" s="8">
        <v>4778.809171951294</v>
      </c>
      <c r="DM91" s="8">
        <v>-80537.25947483693</v>
      </c>
      <c r="DN91" s="8">
        <v>-1249514.4496137977</v>
      </c>
      <c r="DO91" s="8">
        <v>-7827.3130605163751</v>
      </c>
      <c r="DP91" s="8">
        <v>225919.63537453263</v>
      </c>
      <c r="DQ91" s="8">
        <v>132145.45743064338</v>
      </c>
      <c r="DR91" s="8">
        <v>3196.7895558027717</v>
      </c>
      <c r="DS91" s="8">
        <v>-178913.29784420296</v>
      </c>
      <c r="DT91" s="8">
        <v>-154920.03093009393</v>
      </c>
      <c r="DU91" s="8">
        <v>-59233.988094906323</v>
      </c>
      <c r="DV91" s="8">
        <v>113339.10691320508</v>
      </c>
      <c r="DW91" s="8">
        <v>134155.28786502485</v>
      </c>
      <c r="DX91" s="8">
        <v>-44792.011800491957</v>
      </c>
      <c r="DY91" s="222"/>
      <c r="DZ91" s="222"/>
      <c r="EA91" s="182"/>
      <c r="FH91" s="182"/>
    </row>
    <row r="92" spans="2:164" s="1" customFormat="1" ht="14.5" x14ac:dyDescent="0.35">
      <c r="B92" s="33" t="s">
        <v>31</v>
      </c>
      <c r="C92" s="44">
        <f>SUM(C87:C91)</f>
        <v>0.72663563197512504</v>
      </c>
      <c r="D92" s="44">
        <f t="shared" ref="D92:J92" si="49">SUM(D87:D91)</f>
        <v>4739.9060564269448</v>
      </c>
      <c r="E92" s="44">
        <f t="shared" si="49"/>
        <v>40005.272848289744</v>
      </c>
      <c r="F92" s="44">
        <f t="shared" si="49"/>
        <v>294411.55988547887</v>
      </c>
      <c r="G92" s="44">
        <f t="shared" si="49"/>
        <v>551272.8650036758</v>
      </c>
      <c r="H92" s="44">
        <f t="shared" si="49"/>
        <v>671396.07477684296</v>
      </c>
      <c r="I92" s="44">
        <f t="shared" si="49"/>
        <v>554287.67053406942</v>
      </c>
      <c r="J92" s="44">
        <f t="shared" si="49"/>
        <v>275218.97300516727</v>
      </c>
      <c r="K92"/>
      <c r="L92"/>
      <c r="M92" s="148"/>
      <c r="N92" s="148"/>
      <c r="O92" s="144"/>
      <c r="P92" s="137"/>
      <c r="Q92" s="123"/>
      <c r="R92" s="123"/>
      <c r="S92" s="123"/>
      <c r="T92" s="123"/>
      <c r="U92" s="123"/>
      <c r="V92" s="123"/>
      <c r="W92" s="123"/>
      <c r="X92" s="123"/>
      <c r="Y92" s="123"/>
      <c r="Z92" s="123"/>
      <c r="AA92" s="123"/>
      <c r="AB92" s="158"/>
      <c r="AC92" s="123"/>
      <c r="AD92" s="123"/>
      <c r="AE92" s="123"/>
      <c r="AF92" s="123"/>
      <c r="AG92" s="123"/>
      <c r="AH92" s="123"/>
      <c r="AI92" s="123"/>
      <c r="AJ92" s="123"/>
      <c r="AK92"/>
      <c r="BF92" s="182"/>
      <c r="BY92" s="182"/>
      <c r="CW92" s="182"/>
      <c r="CX92" s="297"/>
      <c r="CY92" s="52" t="s">
        <v>76</v>
      </c>
      <c r="CZ92" s="8"/>
      <c r="DA92" s="8"/>
      <c r="DB92" s="8">
        <v>234889.10557516181</v>
      </c>
      <c r="DC92" s="8">
        <v>232641.38271269866</v>
      </c>
      <c r="DD92" s="8">
        <v>334850.1096476558</v>
      </c>
      <c r="DE92" s="8">
        <v>444529.86379153124</v>
      </c>
      <c r="DF92" s="8">
        <v>482026.60435030749</v>
      </c>
      <c r="DG92" s="8">
        <v>393024.2841573637</v>
      </c>
      <c r="DH92" s="8">
        <v>306247.30772653432</v>
      </c>
      <c r="DI92" s="8">
        <v>218114.02442784817</v>
      </c>
      <c r="DJ92" s="8">
        <v>260576.42240965163</v>
      </c>
      <c r="DK92" s="8">
        <v>352718.62971794454</v>
      </c>
      <c r="DL92" s="8">
        <v>357497.43888989586</v>
      </c>
      <c r="DM92" s="8">
        <v>276960.17941505893</v>
      </c>
      <c r="DN92" s="8">
        <v>-1124660.0385948638</v>
      </c>
      <c r="DO92" s="8">
        <v>-1132487.3516553803</v>
      </c>
      <c r="DP92" s="8">
        <v>-906567.71628084767</v>
      </c>
      <c r="DQ92" s="8">
        <v>-774422.25885020429</v>
      </c>
      <c r="DR92" s="8">
        <v>-771225.46929440147</v>
      </c>
      <c r="DS92" s="8">
        <v>-950138.76713860442</v>
      </c>
      <c r="DT92" s="8">
        <v>-1105058.7980686983</v>
      </c>
      <c r="DU92" s="8">
        <v>-1164292.7861636046</v>
      </c>
      <c r="DV92" s="8">
        <v>-1050953.6792503996</v>
      </c>
      <c r="DW92" s="8">
        <v>-916798.39138537471</v>
      </c>
      <c r="DX92" s="8">
        <v>-961590.40318586666</v>
      </c>
      <c r="DY92" s="222"/>
      <c r="DZ92" s="222"/>
      <c r="EA92" s="182"/>
      <c r="FH92" s="182"/>
    </row>
    <row r="93" spans="2:164" s="1" customFormat="1" ht="14.5" x14ac:dyDescent="0.35">
      <c r="C93"/>
      <c r="D93"/>
      <c r="E93"/>
      <c r="F93"/>
      <c r="G93"/>
      <c r="H93"/>
      <c r="I93"/>
      <c r="J93"/>
      <c r="K93"/>
      <c r="L93"/>
      <c r="M93" s="148"/>
      <c r="N93" s="148"/>
      <c r="O93" s="144"/>
      <c r="P93" s="92"/>
      <c r="Q93" s="123"/>
      <c r="R93" s="123"/>
      <c r="S93" s="123"/>
      <c r="T93" s="123"/>
      <c r="U93" s="123"/>
      <c r="V93" s="123"/>
      <c r="W93" s="123"/>
      <c r="X93" s="123"/>
      <c r="Y93" s="123"/>
      <c r="Z93" s="123"/>
      <c r="AA93" s="123"/>
      <c r="AB93" s="158"/>
      <c r="AC93" s="123"/>
      <c r="AD93" s="123"/>
      <c r="AE93" s="123"/>
      <c r="AF93" s="123"/>
      <c r="AG93" s="123"/>
      <c r="AH93" s="123"/>
      <c r="AI93" s="123"/>
      <c r="AJ93" s="123"/>
      <c r="AK93"/>
      <c r="BF93" s="182"/>
      <c r="BY93" s="182"/>
      <c r="CW93" s="182"/>
      <c r="CX93" s="297"/>
      <c r="CY93" s="54" t="s">
        <v>77</v>
      </c>
      <c r="CZ93" s="8">
        <v>6239381</v>
      </c>
      <c r="DA93" s="8">
        <v>6239381</v>
      </c>
      <c r="DB93" s="8">
        <v>5954321.7155751614</v>
      </c>
      <c r="DC93" s="8">
        <v>5432125.6027126983</v>
      </c>
      <c r="DD93" s="8">
        <v>5014385.9396476559</v>
      </c>
      <c r="DE93" s="8">
        <v>4604117.3037915314</v>
      </c>
      <c r="DF93" s="8">
        <v>4121665.6543503078</v>
      </c>
      <c r="DG93" s="8">
        <v>3512714.9441573638</v>
      </c>
      <c r="DH93" s="8">
        <v>2905989.5777265341</v>
      </c>
      <c r="DI93" s="8">
        <v>11779616.504131306</v>
      </c>
      <c r="DJ93" s="8">
        <v>11302130.512113109</v>
      </c>
      <c r="DK93" s="8">
        <v>10874324.329421401</v>
      </c>
      <c r="DL93" s="8">
        <v>10359154.748593353</v>
      </c>
      <c r="DM93" s="8">
        <v>9758669.0991185158</v>
      </c>
      <c r="DN93" s="8">
        <v>7548572.7271752711</v>
      </c>
      <c r="DO93" s="8">
        <v>6752255.4974480877</v>
      </c>
      <c r="DP93" s="8">
        <v>6189685.2161559537</v>
      </c>
      <c r="DQ93" s="8">
        <v>5533340.7569199307</v>
      </c>
      <c r="DR93" s="8">
        <v>4748047.6298090667</v>
      </c>
      <c r="DS93" s="8">
        <v>3780644.4152981974</v>
      </c>
      <c r="DT93" s="8">
        <v>14584920.897701437</v>
      </c>
      <c r="DU93" s="8">
        <v>13737196.992939865</v>
      </c>
      <c r="DV93" s="8">
        <v>13061848.863186404</v>
      </c>
      <c r="DW93" s="8">
        <v>12407514.234384762</v>
      </c>
      <c r="DX93" s="8">
        <v>22308542.205917604</v>
      </c>
      <c r="DY93" s="222"/>
      <c r="DZ93" s="222"/>
      <c r="EA93" s="182"/>
      <c r="FH93" s="182"/>
    </row>
    <row r="94" spans="2:164" s="1" customFormat="1" ht="14.5" x14ac:dyDescent="0.35">
      <c r="C94"/>
      <c r="D94"/>
      <c r="E94"/>
      <c r="F94"/>
      <c r="G94"/>
      <c r="H94"/>
      <c r="I94"/>
      <c r="J94"/>
      <c r="K94"/>
      <c r="L94"/>
      <c r="M94" s="148"/>
      <c r="N94" s="148"/>
      <c r="O94" s="144"/>
      <c r="P94" s="137"/>
      <c r="Q94" s="123"/>
      <c r="R94" s="123"/>
      <c r="S94" s="123"/>
      <c r="T94" s="123"/>
      <c r="U94" s="123"/>
      <c r="V94" s="123"/>
      <c r="W94" s="123"/>
      <c r="X94" s="123"/>
      <c r="Y94" s="123"/>
      <c r="Z94" s="123"/>
      <c r="AA94" s="123"/>
      <c r="AB94" s="158"/>
      <c r="AC94" s="123"/>
      <c r="AD94" s="123"/>
      <c r="AE94" s="123"/>
      <c r="AF94" s="123"/>
      <c r="AG94" s="123"/>
      <c r="AH94" s="123"/>
      <c r="AI94" s="123"/>
      <c r="AJ94" s="123"/>
      <c r="AK94"/>
      <c r="BF94" s="182"/>
      <c r="BY94" s="182"/>
      <c r="CW94" s="182"/>
      <c r="CX94" s="40"/>
      <c r="CY94" s="11"/>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222"/>
      <c r="DZ94" s="222"/>
      <c r="EA94" s="182"/>
      <c r="FH94" s="182"/>
    </row>
    <row r="95" spans="2:164" s="1" customFormat="1" ht="14.5" x14ac:dyDescent="0.35">
      <c r="C95"/>
      <c r="D95"/>
      <c r="E95"/>
      <c r="F95"/>
      <c r="G95"/>
      <c r="H95"/>
      <c r="I95"/>
      <c r="J95"/>
      <c r="K95"/>
      <c r="L95"/>
      <c r="M95" s="148"/>
      <c r="N95" s="148"/>
      <c r="O95" s="144"/>
      <c r="P95" s="92"/>
      <c r="Q95" s="123"/>
      <c r="R95" s="123"/>
      <c r="S95" s="123"/>
      <c r="T95" s="123"/>
      <c r="U95" s="123"/>
      <c r="V95" s="123"/>
      <c r="W95" s="123"/>
      <c r="X95" s="123"/>
      <c r="Y95" s="123"/>
      <c r="Z95" s="123"/>
      <c r="AA95" s="123"/>
      <c r="AB95" s="158"/>
      <c r="AC95" s="123"/>
      <c r="AD95" s="123"/>
      <c r="AE95" s="123"/>
      <c r="AF95" s="123"/>
      <c r="AG95" s="123"/>
      <c r="AH95" s="123"/>
      <c r="AI95" s="123"/>
      <c r="AJ95" s="123"/>
      <c r="AK95"/>
      <c r="BF95" s="182"/>
      <c r="BY95" s="182"/>
      <c r="CW95" s="182"/>
      <c r="DY95" s="222"/>
      <c r="DZ95" s="222"/>
      <c r="EA95" s="182"/>
      <c r="FH95" s="182"/>
    </row>
    <row r="96" spans="2:164" s="1" customFormat="1" ht="14.5" x14ac:dyDescent="0.35">
      <c r="C96"/>
      <c r="D96"/>
      <c r="E96"/>
      <c r="F96"/>
      <c r="G96"/>
      <c r="H96"/>
      <c r="I96"/>
      <c r="J96"/>
      <c r="K96"/>
      <c r="L96"/>
      <c r="M96" s="148"/>
      <c r="N96" s="148"/>
      <c r="O96" s="146"/>
      <c r="P96" s="92"/>
      <c r="Q96" s="123"/>
      <c r="R96" s="123"/>
      <c r="S96" s="123"/>
      <c r="T96" s="123"/>
      <c r="U96" s="123"/>
      <c r="V96" s="123"/>
      <c r="W96" s="123"/>
      <c r="X96" s="123"/>
      <c r="Y96" s="123"/>
      <c r="Z96" s="123"/>
      <c r="AA96" s="123"/>
      <c r="AB96" s="158"/>
      <c r="AC96" s="123"/>
      <c r="AD96" s="123"/>
      <c r="AE96" s="123"/>
      <c r="AF96" s="123"/>
      <c r="AG96" s="123"/>
      <c r="AH96" s="123"/>
      <c r="AI96" s="123"/>
      <c r="AJ96" s="123"/>
      <c r="AK96" s="4"/>
      <c r="BF96" s="182"/>
      <c r="BY96" s="182"/>
      <c r="CW96" s="182"/>
      <c r="DY96" s="222"/>
      <c r="DZ96" s="222"/>
      <c r="EA96" s="182"/>
      <c r="FH96" s="182"/>
    </row>
    <row r="97" spans="3:164" s="1" customFormat="1" ht="14.5" x14ac:dyDescent="0.35">
      <c r="C97"/>
      <c r="D97"/>
      <c r="E97"/>
      <c r="F97"/>
      <c r="G97"/>
      <c r="H97"/>
      <c r="I97"/>
      <c r="J97"/>
      <c r="K97"/>
      <c r="L97"/>
      <c r="M97" s="148"/>
      <c r="N97" s="148"/>
      <c r="O97"/>
      <c r="P97"/>
      <c r="AB97" s="155"/>
      <c r="BF97" s="182"/>
      <c r="BY97" s="182"/>
      <c r="CW97" s="182"/>
      <c r="DY97" s="222"/>
      <c r="DZ97" s="222"/>
      <c r="EA97" s="182"/>
      <c r="FH97" s="182"/>
    </row>
    <row r="98" spans="3:164" s="1" customFormat="1" ht="14.5" x14ac:dyDescent="0.35">
      <c r="C98"/>
      <c r="D98"/>
      <c r="E98"/>
      <c r="F98"/>
      <c r="G98"/>
      <c r="H98"/>
      <c r="I98"/>
      <c r="J98"/>
      <c r="K98"/>
      <c r="L98"/>
      <c r="M98" s="148"/>
      <c r="N98" s="148"/>
      <c r="O98"/>
      <c r="P98"/>
      <c r="AB98" s="155"/>
      <c r="BF98" s="182"/>
      <c r="BY98" s="182"/>
      <c r="CW98" s="182"/>
      <c r="DY98" s="222"/>
      <c r="DZ98" s="222"/>
      <c r="EA98" s="182"/>
      <c r="FH98" s="182"/>
    </row>
    <row r="99" spans="3:164" s="1" customFormat="1" ht="14.5" x14ac:dyDescent="0.35">
      <c r="C99"/>
      <c r="D99"/>
      <c r="E99"/>
      <c r="F99"/>
      <c r="G99"/>
      <c r="H99"/>
      <c r="I99"/>
      <c r="J99"/>
      <c r="K99"/>
      <c r="L99"/>
      <c r="M99" s="148"/>
      <c r="N99" s="148"/>
      <c r="O99"/>
      <c r="P99"/>
      <c r="AB99" s="155"/>
      <c r="BF99" s="182"/>
      <c r="BY99" s="182"/>
      <c r="CW99" s="182"/>
      <c r="DY99" s="222"/>
      <c r="DZ99" s="222"/>
      <c r="EA99" s="182"/>
      <c r="FH99" s="182"/>
    </row>
    <row r="100" spans="3:164" s="1" customFormat="1" ht="14.5" x14ac:dyDescent="0.35">
      <c r="C100"/>
      <c r="D100"/>
      <c r="E100"/>
      <c r="F100"/>
      <c r="G100"/>
      <c r="H100"/>
      <c r="I100"/>
      <c r="J100"/>
      <c r="K100"/>
      <c r="L100"/>
      <c r="M100" s="148"/>
      <c r="N100" s="148"/>
      <c r="O100"/>
      <c r="P100"/>
      <c r="AB100" s="155"/>
      <c r="BF100" s="182"/>
      <c r="BY100" s="182"/>
      <c r="CW100" s="182"/>
      <c r="DY100" s="222"/>
      <c r="DZ100" s="222"/>
      <c r="EA100" s="182"/>
      <c r="FH100" s="182"/>
    </row>
    <row r="101" spans="3:164" s="1" customFormat="1" ht="14.5" x14ac:dyDescent="0.35">
      <c r="C101"/>
      <c r="D101"/>
      <c r="E101"/>
      <c r="F101"/>
      <c r="G101"/>
      <c r="H101"/>
      <c r="I101"/>
      <c r="J101"/>
      <c r="K101"/>
      <c r="L101"/>
      <c r="M101" s="148"/>
      <c r="N101" s="148"/>
      <c r="O101"/>
      <c r="P101"/>
      <c r="AB101" s="155"/>
      <c r="BF101" s="182"/>
      <c r="BY101" s="182"/>
      <c r="CW101" s="182"/>
      <c r="DY101" s="222"/>
      <c r="DZ101" s="222"/>
      <c r="EA101" s="182"/>
      <c r="FH101" s="182"/>
    </row>
    <row r="102" spans="3:164" s="1" customFormat="1" ht="14.5" x14ac:dyDescent="0.35">
      <c r="C102"/>
      <c r="D102"/>
      <c r="E102"/>
      <c r="F102"/>
      <c r="G102"/>
      <c r="H102"/>
      <c r="I102"/>
      <c r="J102"/>
      <c r="K102"/>
      <c r="L102"/>
      <c r="M102" s="148"/>
      <c r="N102" s="148"/>
      <c r="O102"/>
      <c r="P102"/>
      <c r="AB102" s="155"/>
      <c r="BF102" s="182"/>
      <c r="BY102" s="182"/>
      <c r="CW102" s="182"/>
      <c r="DY102" s="222"/>
      <c r="DZ102" s="222"/>
      <c r="EA102" s="182"/>
      <c r="FH102" s="182"/>
    </row>
    <row r="103" spans="3:164" s="1" customFormat="1" ht="14.5" x14ac:dyDescent="0.35">
      <c r="C103"/>
      <c r="D103"/>
      <c r="E103"/>
      <c r="F103"/>
      <c r="G103"/>
      <c r="H103"/>
      <c r="I103"/>
      <c r="J103"/>
      <c r="K103"/>
      <c r="L103"/>
      <c r="M103" s="148"/>
      <c r="N103" s="148"/>
      <c r="O103"/>
      <c r="P103"/>
      <c r="AB103" s="155"/>
      <c r="BF103" s="182"/>
      <c r="BY103" s="182"/>
      <c r="CW103" s="182"/>
      <c r="DY103" s="222"/>
      <c r="DZ103" s="222"/>
      <c r="EA103" s="182"/>
      <c r="FH103" s="182"/>
    </row>
    <row r="104" spans="3:164" s="1" customFormat="1" ht="14.5" x14ac:dyDescent="0.35">
      <c r="C104"/>
      <c r="D104"/>
      <c r="E104"/>
      <c r="F104"/>
      <c r="G104"/>
      <c r="H104"/>
      <c r="I104"/>
      <c r="J104"/>
      <c r="K104"/>
      <c r="L104"/>
      <c r="M104" s="148"/>
      <c r="N104" s="148"/>
      <c r="O104"/>
      <c r="P104"/>
      <c r="AB104" s="155"/>
      <c r="BF104" s="182"/>
      <c r="BY104" s="182"/>
      <c r="CW104" s="182"/>
      <c r="DY104" s="222"/>
      <c r="DZ104" s="222"/>
      <c r="EA104" s="182"/>
      <c r="FH104" s="182"/>
    </row>
    <row r="105" spans="3:164" s="1" customFormat="1" ht="14.5" x14ac:dyDescent="0.35">
      <c r="C105"/>
      <c r="D105"/>
      <c r="E105"/>
      <c r="F105"/>
      <c r="G105"/>
      <c r="H105"/>
      <c r="I105"/>
      <c r="J105"/>
      <c r="K105"/>
      <c r="L105"/>
      <c r="M105" s="148"/>
      <c r="N105" s="148"/>
      <c r="O105"/>
      <c r="P105"/>
      <c r="AB105" s="155"/>
      <c r="BF105" s="182"/>
      <c r="BY105" s="182"/>
      <c r="CW105" s="182"/>
      <c r="DY105" s="222"/>
      <c r="DZ105" s="222"/>
      <c r="EA105" s="182"/>
      <c r="FH105" s="182"/>
    </row>
    <row r="106" spans="3:164" s="1" customFormat="1" ht="14.5" x14ac:dyDescent="0.35">
      <c r="C106"/>
      <c r="D106"/>
      <c r="E106"/>
      <c r="F106"/>
      <c r="G106"/>
      <c r="H106"/>
      <c r="I106"/>
      <c r="J106"/>
      <c r="K106"/>
      <c r="L106"/>
      <c r="M106" s="148"/>
      <c r="N106" s="148"/>
      <c r="O106"/>
      <c r="P106"/>
      <c r="AB106" s="155"/>
      <c r="BF106" s="182"/>
      <c r="BY106" s="182"/>
      <c r="CW106" s="182"/>
      <c r="DY106" s="222"/>
      <c r="DZ106" s="222"/>
      <c r="EA106" s="182"/>
      <c r="FH106" s="182"/>
    </row>
    <row r="107" spans="3:164" s="1" customFormat="1" ht="14.5" x14ac:dyDescent="0.35">
      <c r="C107"/>
      <c r="D107"/>
      <c r="E107"/>
      <c r="F107"/>
      <c r="G107"/>
      <c r="H107"/>
      <c r="I107"/>
      <c r="J107"/>
      <c r="K107"/>
      <c r="L107"/>
      <c r="M107" s="148"/>
      <c r="N107" s="148"/>
      <c r="O107"/>
      <c r="P107"/>
      <c r="AB107" s="155"/>
      <c r="BF107" s="182"/>
      <c r="BY107" s="182"/>
      <c r="CW107" s="182"/>
      <c r="DY107" s="222"/>
      <c r="DZ107" s="222"/>
      <c r="EA107" s="182"/>
      <c r="FH107" s="182"/>
    </row>
    <row r="108" spans="3:164" s="1" customFormat="1" ht="14.5" x14ac:dyDescent="0.35">
      <c r="C108"/>
      <c r="D108"/>
      <c r="E108"/>
      <c r="F108"/>
      <c r="G108"/>
      <c r="H108"/>
      <c r="I108"/>
      <c r="J108"/>
      <c r="K108"/>
      <c r="L108"/>
      <c r="M108" s="148"/>
      <c r="N108" s="148"/>
      <c r="O108"/>
      <c r="P108"/>
      <c r="AB108" s="155"/>
      <c r="BF108" s="182"/>
      <c r="BY108" s="182"/>
      <c r="CW108" s="182"/>
      <c r="DY108" s="222"/>
      <c r="DZ108" s="222"/>
      <c r="EA108" s="182"/>
      <c r="FH108" s="182"/>
    </row>
    <row r="109" spans="3:164" s="1" customFormat="1" ht="14.5" x14ac:dyDescent="0.35">
      <c r="C109"/>
      <c r="D109"/>
      <c r="E109"/>
      <c r="F109"/>
      <c r="G109"/>
      <c r="H109"/>
      <c r="I109"/>
      <c r="J109"/>
      <c r="K109"/>
      <c r="L109"/>
      <c r="M109" s="148"/>
      <c r="N109" s="148"/>
      <c r="O109"/>
      <c r="P109"/>
      <c r="AB109" s="155"/>
      <c r="BF109" s="182"/>
      <c r="BY109" s="182"/>
      <c r="CW109" s="182"/>
      <c r="DY109" s="222"/>
      <c r="DZ109" s="222"/>
      <c r="EA109" s="182"/>
      <c r="FH109" s="182"/>
    </row>
    <row r="110" spans="3:164" s="1" customFormat="1" ht="14.5" x14ac:dyDescent="0.35">
      <c r="C110"/>
      <c r="D110"/>
      <c r="E110"/>
      <c r="F110"/>
      <c r="G110"/>
      <c r="H110"/>
      <c r="I110"/>
      <c r="J110"/>
      <c r="K110"/>
      <c r="L110"/>
      <c r="M110" s="148"/>
      <c r="N110" s="148"/>
      <c r="O110"/>
      <c r="P110"/>
      <c r="AB110" s="155"/>
      <c r="BF110" s="182"/>
      <c r="BY110" s="182"/>
      <c r="CW110" s="182"/>
      <c r="DY110" s="222"/>
      <c r="DZ110" s="222"/>
      <c r="EA110" s="182"/>
      <c r="FH110" s="182"/>
    </row>
    <row r="111" spans="3:164" s="1" customFormat="1" ht="14.5" x14ac:dyDescent="0.35">
      <c r="C111"/>
      <c r="D111"/>
      <c r="E111"/>
      <c r="F111"/>
      <c r="G111"/>
      <c r="H111"/>
      <c r="I111"/>
      <c r="J111"/>
      <c r="K111"/>
      <c r="L111"/>
      <c r="M111" s="148"/>
      <c r="N111" s="148"/>
      <c r="O111"/>
      <c r="P111"/>
      <c r="AB111" s="155"/>
      <c r="BF111" s="182"/>
      <c r="BY111" s="182"/>
      <c r="CW111" s="182"/>
      <c r="DY111" s="222"/>
      <c r="DZ111" s="222"/>
      <c r="EA111" s="182"/>
      <c r="FH111" s="182"/>
    </row>
    <row r="112" spans="3:164" s="1" customFormat="1" ht="14.5" x14ac:dyDescent="0.35">
      <c r="C112"/>
      <c r="D112"/>
      <c r="E112"/>
      <c r="F112"/>
      <c r="G112"/>
      <c r="H112"/>
      <c r="I112"/>
      <c r="J112"/>
      <c r="K112"/>
      <c r="L112"/>
      <c r="M112" s="148"/>
      <c r="N112" s="148"/>
      <c r="O112"/>
      <c r="P112"/>
      <c r="AB112" s="155"/>
      <c r="BF112" s="182"/>
      <c r="BY112" s="182"/>
      <c r="CW112" s="182"/>
      <c r="DY112" s="222"/>
      <c r="DZ112" s="222"/>
      <c r="EA112" s="182"/>
      <c r="FH112" s="182"/>
    </row>
    <row r="113" spans="3:164" s="1" customFormat="1" ht="14.5" x14ac:dyDescent="0.35">
      <c r="C113"/>
      <c r="D113"/>
      <c r="E113"/>
      <c r="F113"/>
      <c r="G113"/>
      <c r="H113"/>
      <c r="I113"/>
      <c r="J113"/>
      <c r="K113"/>
      <c r="L113"/>
      <c r="M113" s="148"/>
      <c r="N113" s="148"/>
      <c r="O113"/>
      <c r="P113"/>
      <c r="AB113" s="155"/>
      <c r="BF113" s="182"/>
      <c r="BY113" s="182"/>
      <c r="CW113" s="182"/>
      <c r="DY113" s="222"/>
      <c r="DZ113" s="222"/>
      <c r="EA113" s="182"/>
      <c r="FH113" s="182"/>
    </row>
    <row r="114" spans="3:164" s="1" customFormat="1" ht="14.5" x14ac:dyDescent="0.35">
      <c r="C114"/>
      <c r="D114"/>
      <c r="E114"/>
      <c r="F114"/>
      <c r="G114"/>
      <c r="H114"/>
      <c r="I114"/>
      <c r="J114"/>
      <c r="K114"/>
      <c r="L114"/>
      <c r="M114" s="148"/>
      <c r="N114" s="148"/>
      <c r="O114"/>
      <c r="P114"/>
      <c r="AB114" s="155"/>
      <c r="BF114" s="182"/>
      <c r="BY114" s="182"/>
      <c r="CW114" s="182"/>
      <c r="DY114" s="222"/>
      <c r="DZ114" s="222"/>
      <c r="EA114" s="182"/>
      <c r="FH114" s="182"/>
    </row>
    <row r="115" spans="3:164" s="1" customFormat="1" ht="14.5" x14ac:dyDescent="0.35">
      <c r="C115"/>
      <c r="D115"/>
      <c r="E115"/>
      <c r="F115"/>
      <c r="G115"/>
      <c r="H115"/>
      <c r="I115"/>
      <c r="J115"/>
      <c r="K115"/>
      <c r="L115"/>
      <c r="M115" s="148"/>
      <c r="N115" s="148"/>
      <c r="O115"/>
      <c r="P115"/>
      <c r="AB115" s="155"/>
      <c r="BF115" s="182"/>
      <c r="BY115" s="182"/>
      <c r="CW115" s="182"/>
      <c r="DY115" s="222"/>
      <c r="DZ115" s="222"/>
      <c r="EA115" s="182"/>
      <c r="FH115" s="182"/>
    </row>
    <row r="116" spans="3:164" s="1" customFormat="1" ht="14.5" x14ac:dyDescent="0.35">
      <c r="C116"/>
      <c r="D116"/>
      <c r="E116"/>
      <c r="F116"/>
      <c r="G116"/>
      <c r="H116"/>
      <c r="I116"/>
      <c r="J116"/>
      <c r="K116"/>
      <c r="L116"/>
      <c r="M116" s="148"/>
      <c r="N116" s="148"/>
      <c r="O116"/>
      <c r="P116"/>
      <c r="AB116" s="155"/>
      <c r="BF116" s="182"/>
      <c r="BY116" s="182"/>
      <c r="CW116" s="182"/>
      <c r="DY116" s="222"/>
      <c r="DZ116" s="222"/>
      <c r="EA116" s="182"/>
      <c r="FH116" s="182"/>
    </row>
    <row r="117" spans="3:164" s="1" customFormat="1" ht="14.5" x14ac:dyDescent="0.35">
      <c r="C117"/>
      <c r="D117"/>
      <c r="E117"/>
      <c r="F117"/>
      <c r="G117"/>
      <c r="H117"/>
      <c r="I117"/>
      <c r="J117"/>
      <c r="K117"/>
      <c r="L117"/>
      <c r="M117" s="148"/>
      <c r="N117" s="148"/>
      <c r="O117"/>
      <c r="P117"/>
      <c r="AB117" s="155"/>
      <c r="BF117" s="182"/>
      <c r="BY117" s="182"/>
      <c r="CW117" s="182"/>
      <c r="DY117" s="222"/>
      <c r="DZ117" s="222"/>
      <c r="EA117" s="182"/>
      <c r="FH117" s="182"/>
    </row>
    <row r="118" spans="3:164" s="1" customFormat="1" ht="14.5" x14ac:dyDescent="0.35">
      <c r="C118"/>
      <c r="D118"/>
      <c r="E118"/>
      <c r="F118"/>
      <c r="G118"/>
      <c r="H118"/>
      <c r="I118"/>
      <c r="J118"/>
      <c r="K118"/>
      <c r="L118"/>
      <c r="M118" s="148"/>
      <c r="N118" s="148"/>
      <c r="O118"/>
      <c r="P118"/>
      <c r="AB118" s="155"/>
      <c r="BF118" s="182"/>
      <c r="BY118" s="182"/>
      <c r="CW118" s="182"/>
      <c r="DY118" s="222"/>
      <c r="DZ118" s="222"/>
      <c r="EA118" s="182"/>
      <c r="FH118" s="182"/>
    </row>
    <row r="119" spans="3:164" s="1" customFormat="1" ht="14.5" x14ac:dyDescent="0.35">
      <c r="C119"/>
      <c r="D119"/>
      <c r="E119"/>
      <c r="F119"/>
      <c r="G119"/>
      <c r="H119"/>
      <c r="I119"/>
      <c r="J119"/>
      <c r="K119"/>
      <c r="L119"/>
      <c r="M119" s="148"/>
      <c r="N119" s="148"/>
      <c r="O119"/>
      <c r="P119"/>
      <c r="AB119" s="155"/>
      <c r="BF119" s="182"/>
      <c r="BY119" s="182"/>
      <c r="CW119" s="182"/>
      <c r="DY119" s="222"/>
      <c r="DZ119" s="222"/>
      <c r="EA119" s="182"/>
      <c r="FH119" s="182"/>
    </row>
    <row r="120" spans="3:164" s="1" customFormat="1" ht="14.5" x14ac:dyDescent="0.35">
      <c r="C120"/>
      <c r="D120"/>
      <c r="E120"/>
      <c r="F120"/>
      <c r="G120"/>
      <c r="H120"/>
      <c r="I120"/>
      <c r="J120"/>
      <c r="K120"/>
      <c r="L120"/>
      <c r="M120" s="148"/>
      <c r="N120" s="148"/>
      <c r="O120"/>
      <c r="P120"/>
      <c r="AB120" s="155"/>
      <c r="BF120" s="182"/>
      <c r="BY120" s="182"/>
      <c r="CW120" s="182"/>
      <c r="DY120" s="222"/>
      <c r="DZ120" s="222"/>
      <c r="EA120" s="182"/>
      <c r="FH120" s="182"/>
    </row>
    <row r="121" spans="3:164" s="1" customFormat="1" ht="14.5" x14ac:dyDescent="0.35">
      <c r="C121"/>
      <c r="D121"/>
      <c r="E121"/>
      <c r="F121"/>
      <c r="G121"/>
      <c r="H121"/>
      <c r="I121"/>
      <c r="J121"/>
      <c r="K121"/>
      <c r="L121"/>
      <c r="M121" s="148"/>
      <c r="N121" s="148"/>
      <c r="O121"/>
      <c r="P121"/>
      <c r="AB121" s="155"/>
      <c r="BF121" s="182"/>
      <c r="BY121" s="182"/>
      <c r="CW121" s="182"/>
      <c r="DY121" s="222"/>
      <c r="DZ121" s="222"/>
      <c r="EA121" s="182"/>
      <c r="FH121" s="182"/>
    </row>
    <row r="122" spans="3:164" s="1" customFormat="1" ht="14.5" x14ac:dyDescent="0.35">
      <c r="C122"/>
      <c r="D122"/>
      <c r="E122"/>
      <c r="F122"/>
      <c r="G122"/>
      <c r="H122"/>
      <c r="I122"/>
      <c r="J122"/>
      <c r="K122"/>
      <c r="L122"/>
      <c r="M122" s="148"/>
      <c r="N122" s="148"/>
      <c r="O122"/>
      <c r="P122"/>
      <c r="AB122" s="155"/>
      <c r="BF122" s="182"/>
      <c r="BY122" s="182"/>
      <c r="CW122" s="182"/>
      <c r="DY122" s="222"/>
      <c r="DZ122" s="222"/>
      <c r="EA122" s="182"/>
      <c r="FH122" s="182"/>
    </row>
    <row r="123" spans="3:164" s="1" customFormat="1" ht="14.5" x14ac:dyDescent="0.35">
      <c r="C123"/>
      <c r="D123"/>
      <c r="E123"/>
      <c r="F123"/>
      <c r="G123"/>
      <c r="H123"/>
      <c r="I123"/>
      <c r="J123"/>
      <c r="K123"/>
      <c r="L123"/>
      <c r="M123" s="148"/>
      <c r="N123" s="148"/>
      <c r="O123"/>
      <c r="P123"/>
      <c r="AB123" s="155"/>
      <c r="BF123" s="182"/>
      <c r="BY123" s="182"/>
      <c r="CW123" s="182"/>
      <c r="DY123" s="222"/>
      <c r="DZ123" s="222"/>
      <c r="EA123" s="182"/>
      <c r="FH123" s="182"/>
    </row>
    <row r="124" spans="3:164" s="1" customFormat="1" ht="14.5" x14ac:dyDescent="0.35">
      <c r="C124"/>
      <c r="D124"/>
      <c r="E124"/>
      <c r="F124"/>
      <c r="G124"/>
      <c r="H124"/>
      <c r="I124"/>
      <c r="J124"/>
      <c r="K124"/>
      <c r="L124"/>
      <c r="M124" s="148"/>
      <c r="N124" s="148"/>
      <c r="O124"/>
      <c r="P124"/>
      <c r="AB124" s="155"/>
      <c r="BF124" s="182"/>
      <c r="BY124" s="182"/>
      <c r="CW124" s="182"/>
      <c r="DY124" s="222"/>
      <c r="DZ124" s="222"/>
      <c r="EA124" s="182"/>
      <c r="FH124" s="182"/>
    </row>
    <row r="125" spans="3:164" s="1" customFormat="1" ht="15" customHeight="1" x14ac:dyDescent="0.35">
      <c r="C125"/>
      <c r="D125"/>
      <c r="E125"/>
      <c r="F125"/>
      <c r="G125"/>
      <c r="H125"/>
      <c r="I125"/>
      <c r="J125"/>
      <c r="K125"/>
      <c r="L125"/>
      <c r="M125" s="148"/>
      <c r="N125" s="148"/>
      <c r="O125"/>
      <c r="P125"/>
      <c r="AB125" s="155"/>
      <c r="BF125" s="182"/>
      <c r="BY125" s="182"/>
      <c r="CW125" s="182"/>
      <c r="DY125" s="222"/>
      <c r="DZ125" s="222"/>
      <c r="EA125" s="182"/>
      <c r="FH125" s="182"/>
    </row>
    <row r="126" spans="3:164" s="1" customFormat="1" ht="15" customHeight="1" x14ac:dyDescent="0.35">
      <c r="C126"/>
      <c r="D126"/>
      <c r="E126"/>
      <c r="F126"/>
      <c r="G126"/>
      <c r="H126"/>
      <c r="I126"/>
      <c r="J126"/>
      <c r="K126"/>
      <c r="L126"/>
      <c r="M126" s="148"/>
      <c r="N126" s="148"/>
      <c r="O126"/>
      <c r="P126"/>
      <c r="AB126" s="155"/>
      <c r="BF126" s="182"/>
      <c r="BY126" s="182"/>
      <c r="CW126" s="182"/>
      <c r="DY126" s="222"/>
      <c r="DZ126" s="222"/>
      <c r="EA126" s="182"/>
      <c r="FH126" s="182"/>
    </row>
    <row r="127" spans="3:164" s="1" customFormat="1" ht="15" customHeight="1" x14ac:dyDescent="0.35">
      <c r="C127"/>
      <c r="D127"/>
      <c r="E127"/>
      <c r="F127"/>
      <c r="G127"/>
      <c r="H127"/>
      <c r="I127"/>
      <c r="J127"/>
      <c r="K127"/>
      <c r="L127"/>
      <c r="M127" s="148"/>
      <c r="N127" s="148"/>
      <c r="O127"/>
      <c r="P127"/>
      <c r="AB127" s="155"/>
      <c r="BF127" s="182"/>
      <c r="BY127" s="182"/>
      <c r="CW127" s="182"/>
      <c r="DY127" s="222"/>
      <c r="DZ127" s="222"/>
      <c r="EA127" s="182"/>
      <c r="FH127" s="182"/>
    </row>
    <row r="128" spans="3:164" s="1" customFormat="1" ht="15" customHeight="1" x14ac:dyDescent="0.35">
      <c r="C128"/>
      <c r="D128"/>
      <c r="E128"/>
      <c r="F128"/>
      <c r="G128"/>
      <c r="H128"/>
      <c r="I128"/>
      <c r="J128"/>
      <c r="K128"/>
      <c r="L128"/>
      <c r="M128" s="148"/>
      <c r="N128" s="148"/>
      <c r="O128"/>
      <c r="P128"/>
      <c r="AB128" s="155"/>
      <c r="BF128" s="182"/>
      <c r="BY128" s="182"/>
      <c r="CW128" s="182"/>
      <c r="DY128" s="222"/>
      <c r="DZ128" s="222"/>
      <c r="EA128" s="182"/>
      <c r="FH128" s="182"/>
    </row>
    <row r="129" spans="3:164" s="1" customFormat="1" ht="15" customHeight="1" x14ac:dyDescent="0.35">
      <c r="C129"/>
      <c r="D129"/>
      <c r="E129"/>
      <c r="F129"/>
      <c r="G129"/>
      <c r="H129"/>
      <c r="I129"/>
      <c r="J129"/>
      <c r="K129"/>
      <c r="L129"/>
      <c r="M129" s="148"/>
      <c r="N129" s="148"/>
      <c r="O129"/>
      <c r="P129"/>
      <c r="AB129" s="155"/>
      <c r="BF129" s="182"/>
      <c r="BY129" s="182"/>
      <c r="CW129" s="182"/>
      <c r="DY129" s="222"/>
      <c r="DZ129" s="222"/>
      <c r="EA129" s="182"/>
      <c r="FH129" s="182"/>
    </row>
    <row r="130" spans="3:164" s="1" customFormat="1" ht="15" customHeight="1" x14ac:dyDescent="0.35">
      <c r="C130"/>
      <c r="D130"/>
      <c r="E130"/>
      <c r="F130"/>
      <c r="G130"/>
      <c r="H130"/>
      <c r="I130"/>
      <c r="J130"/>
      <c r="K130"/>
      <c r="L130"/>
      <c r="M130" s="148"/>
      <c r="N130" s="148"/>
      <c r="O130"/>
      <c r="P130"/>
      <c r="AB130" s="155"/>
      <c r="BF130" s="182"/>
      <c r="BY130" s="182"/>
      <c r="CW130" s="182"/>
      <c r="DY130" s="222"/>
      <c r="DZ130" s="222"/>
      <c r="EA130" s="182"/>
      <c r="FH130" s="182"/>
    </row>
    <row r="131" spans="3:164" s="1" customFormat="1" ht="15" customHeight="1" x14ac:dyDescent="0.35">
      <c r="C131"/>
      <c r="D131"/>
      <c r="E131"/>
      <c r="F131"/>
      <c r="G131"/>
      <c r="H131"/>
      <c r="I131"/>
      <c r="J131"/>
      <c r="K131"/>
      <c r="L131"/>
      <c r="M131" s="148"/>
      <c r="N131" s="148"/>
      <c r="O131"/>
      <c r="P131"/>
      <c r="AB131" s="155"/>
      <c r="BF131" s="182"/>
      <c r="BY131" s="182"/>
      <c r="CW131" s="182"/>
      <c r="DY131" s="222"/>
      <c r="DZ131" s="222"/>
      <c r="EA131" s="182"/>
      <c r="FH131" s="182"/>
    </row>
    <row r="132" spans="3:164" s="1" customFormat="1" ht="15" customHeight="1" x14ac:dyDescent="0.35">
      <c r="C132"/>
      <c r="D132"/>
      <c r="E132"/>
      <c r="F132"/>
      <c r="G132"/>
      <c r="H132"/>
      <c r="I132"/>
      <c r="J132"/>
      <c r="K132"/>
      <c r="L132"/>
      <c r="M132" s="148"/>
      <c r="N132" s="148"/>
      <c r="O132"/>
      <c r="P132"/>
      <c r="AB132" s="155"/>
      <c r="BF132" s="182"/>
      <c r="BY132" s="182"/>
      <c r="CW132" s="182"/>
      <c r="DY132" s="222"/>
      <c r="DZ132" s="222"/>
      <c r="EA132" s="182"/>
      <c r="FH132" s="182"/>
    </row>
    <row r="133" spans="3:164" s="1" customFormat="1" ht="15" customHeight="1" x14ac:dyDescent="0.35">
      <c r="C133"/>
      <c r="D133"/>
      <c r="E133"/>
      <c r="F133"/>
      <c r="G133"/>
      <c r="H133"/>
      <c r="I133"/>
      <c r="J133"/>
      <c r="K133"/>
      <c r="L133"/>
      <c r="M133" s="148"/>
      <c r="N133" s="148"/>
      <c r="O133"/>
      <c r="P133"/>
      <c r="AB133" s="155"/>
      <c r="BF133" s="182"/>
      <c r="BY133" s="182"/>
      <c r="CW133" s="182"/>
      <c r="DY133" s="222"/>
      <c r="DZ133" s="222"/>
      <c r="EA133" s="182"/>
      <c r="FH133" s="182"/>
    </row>
    <row r="134" spans="3:164" s="1" customFormat="1" ht="15" customHeight="1" x14ac:dyDescent="0.35">
      <c r="C134"/>
      <c r="D134"/>
      <c r="E134"/>
      <c r="F134"/>
      <c r="G134"/>
      <c r="H134"/>
      <c r="I134"/>
      <c r="J134"/>
      <c r="K134"/>
      <c r="L134"/>
      <c r="M134" s="148"/>
      <c r="N134" s="148"/>
      <c r="O134"/>
      <c r="P134"/>
      <c r="AB134" s="155"/>
      <c r="BF134" s="182"/>
      <c r="BY134" s="182"/>
      <c r="CW134" s="182"/>
      <c r="DY134" s="222"/>
      <c r="DZ134" s="222"/>
      <c r="EA134" s="182"/>
      <c r="FH134" s="182"/>
    </row>
    <row r="135" spans="3:164" s="1" customFormat="1" ht="15" customHeight="1" x14ac:dyDescent="0.35">
      <c r="C135"/>
      <c r="D135"/>
      <c r="E135"/>
      <c r="F135"/>
      <c r="G135"/>
      <c r="H135"/>
      <c r="I135"/>
      <c r="J135"/>
      <c r="K135"/>
      <c r="L135"/>
      <c r="M135" s="148"/>
      <c r="N135" s="148"/>
      <c r="O135"/>
      <c r="P135"/>
      <c r="AB135" s="155"/>
      <c r="BF135" s="182"/>
      <c r="BY135" s="182"/>
      <c r="CW135" s="182"/>
      <c r="DY135" s="222"/>
      <c r="DZ135" s="222"/>
      <c r="EA135" s="182"/>
      <c r="FH135" s="182"/>
    </row>
    <row r="136" spans="3:164" s="1" customFormat="1" ht="15" customHeight="1" x14ac:dyDescent="0.35">
      <c r="C136"/>
      <c r="D136"/>
      <c r="E136"/>
      <c r="F136"/>
      <c r="G136"/>
      <c r="H136"/>
      <c r="I136"/>
      <c r="J136"/>
      <c r="K136"/>
      <c r="L136"/>
      <c r="M136" s="148"/>
      <c r="N136" s="148"/>
      <c r="O136"/>
      <c r="P136"/>
      <c r="AB136" s="155"/>
      <c r="BF136" s="182"/>
      <c r="BY136" s="182"/>
      <c r="CW136" s="182"/>
      <c r="DY136" s="222"/>
      <c r="DZ136" s="222"/>
      <c r="EA136" s="182"/>
      <c r="FH136" s="182"/>
    </row>
    <row r="137" spans="3:164" s="1" customFormat="1" ht="15" customHeight="1" x14ac:dyDescent="0.35">
      <c r="C137"/>
      <c r="D137"/>
      <c r="E137"/>
      <c r="F137"/>
      <c r="G137"/>
      <c r="H137"/>
      <c r="I137"/>
      <c r="J137"/>
      <c r="K137"/>
      <c r="L137"/>
      <c r="M137" s="148"/>
      <c r="N137" s="148"/>
      <c r="O137"/>
      <c r="P137"/>
      <c r="AB137" s="155"/>
      <c r="BF137" s="182"/>
      <c r="BY137" s="182"/>
      <c r="CW137" s="182"/>
      <c r="DY137" s="222"/>
      <c r="DZ137" s="222"/>
      <c r="EA137" s="182"/>
      <c r="FH137" s="182"/>
    </row>
    <row r="138" spans="3:164" s="1" customFormat="1" ht="15" customHeight="1" x14ac:dyDescent="0.35">
      <c r="C138"/>
      <c r="D138"/>
      <c r="E138"/>
      <c r="F138"/>
      <c r="G138"/>
      <c r="H138"/>
      <c r="I138"/>
      <c r="J138"/>
      <c r="K138"/>
      <c r="L138"/>
      <c r="M138" s="148"/>
      <c r="N138" s="148"/>
      <c r="O138"/>
      <c r="P138"/>
      <c r="AB138" s="155"/>
      <c r="BF138" s="182"/>
      <c r="BY138" s="182"/>
      <c r="CW138" s="182"/>
      <c r="DY138" s="222"/>
      <c r="DZ138" s="222"/>
      <c r="EA138" s="182"/>
      <c r="FH138" s="182"/>
    </row>
    <row r="139" spans="3:164" s="1" customFormat="1" ht="15" customHeight="1" x14ac:dyDescent="0.35">
      <c r="C139"/>
      <c r="D139"/>
      <c r="E139"/>
      <c r="F139"/>
      <c r="G139"/>
      <c r="H139"/>
      <c r="I139"/>
      <c r="J139"/>
      <c r="K139"/>
      <c r="L139"/>
      <c r="M139" s="148"/>
      <c r="N139" s="148"/>
      <c r="O139"/>
      <c r="P139"/>
      <c r="AB139" s="155"/>
      <c r="BF139" s="182"/>
      <c r="BY139" s="182"/>
      <c r="CW139" s="182"/>
      <c r="DY139" s="222"/>
      <c r="DZ139" s="222"/>
      <c r="EA139" s="182"/>
      <c r="FH139" s="182"/>
    </row>
    <row r="140" spans="3:164" s="1" customFormat="1" ht="15" customHeight="1" x14ac:dyDescent="0.35">
      <c r="C140"/>
      <c r="D140"/>
      <c r="E140"/>
      <c r="F140"/>
      <c r="G140"/>
      <c r="H140"/>
      <c r="I140"/>
      <c r="J140"/>
      <c r="K140"/>
      <c r="L140"/>
      <c r="M140" s="148"/>
      <c r="N140" s="148"/>
      <c r="O140"/>
      <c r="P140"/>
      <c r="AB140" s="155"/>
      <c r="BF140" s="182"/>
      <c r="BY140" s="182"/>
      <c r="CW140" s="182"/>
      <c r="DY140" s="222"/>
      <c r="DZ140" s="222"/>
      <c r="EA140" s="182"/>
      <c r="FH140" s="182"/>
    </row>
    <row r="141" spans="3:164" s="1" customFormat="1" ht="15" customHeight="1" x14ac:dyDescent="0.35">
      <c r="C141"/>
      <c r="D141"/>
      <c r="E141"/>
      <c r="F141"/>
      <c r="G141"/>
      <c r="H141"/>
      <c r="I141"/>
      <c r="J141"/>
      <c r="K141"/>
      <c r="L141"/>
      <c r="M141" s="148"/>
      <c r="N141" s="148"/>
      <c r="O141"/>
      <c r="P141"/>
      <c r="AB141" s="155"/>
      <c r="BF141" s="182"/>
      <c r="BY141" s="182"/>
      <c r="CW141" s="182"/>
      <c r="DY141" s="222"/>
      <c r="DZ141" s="222"/>
      <c r="EA141" s="182"/>
      <c r="FH141" s="182"/>
    </row>
    <row r="142" spans="3:164" s="1" customFormat="1" ht="15" customHeight="1" x14ac:dyDescent="0.35">
      <c r="C142"/>
      <c r="D142"/>
      <c r="E142"/>
      <c r="F142"/>
      <c r="G142"/>
      <c r="H142"/>
      <c r="I142"/>
      <c r="J142"/>
      <c r="K142"/>
      <c r="L142"/>
      <c r="M142" s="148"/>
      <c r="N142" s="148"/>
      <c r="O142"/>
      <c r="P142"/>
      <c r="AB142" s="155"/>
      <c r="BF142" s="182"/>
      <c r="BY142" s="182"/>
      <c r="CW142" s="182"/>
      <c r="DY142" s="222"/>
      <c r="DZ142" s="222"/>
      <c r="EA142" s="182"/>
      <c r="FH142" s="182"/>
    </row>
    <row r="143" spans="3:164" s="1" customFormat="1" ht="15" customHeight="1" x14ac:dyDescent="0.35">
      <c r="C143"/>
      <c r="D143"/>
      <c r="E143"/>
      <c r="F143"/>
      <c r="G143"/>
      <c r="H143"/>
      <c r="I143"/>
      <c r="J143"/>
      <c r="K143"/>
      <c r="L143"/>
      <c r="M143" s="148"/>
      <c r="N143" s="148"/>
      <c r="O143"/>
      <c r="P143"/>
      <c r="AB143" s="155"/>
      <c r="BF143" s="182"/>
      <c r="BY143" s="182"/>
      <c r="CW143" s="182"/>
      <c r="DY143" s="222"/>
      <c r="DZ143" s="222"/>
      <c r="EA143" s="182"/>
      <c r="FH143" s="182"/>
    </row>
    <row r="144" spans="3:164" s="1" customFormat="1" ht="15" customHeight="1" x14ac:dyDescent="0.35">
      <c r="C144"/>
      <c r="D144"/>
      <c r="E144"/>
      <c r="F144"/>
      <c r="G144"/>
      <c r="H144"/>
      <c r="I144"/>
      <c r="J144"/>
      <c r="K144"/>
      <c r="L144"/>
      <c r="M144" s="148"/>
      <c r="N144" s="148"/>
      <c r="O144"/>
      <c r="P144"/>
      <c r="AB144" s="155"/>
      <c r="BF144" s="182"/>
      <c r="BY144" s="182"/>
      <c r="CW144" s="182"/>
      <c r="DY144" s="222"/>
      <c r="DZ144" s="222"/>
      <c r="EA144" s="182"/>
      <c r="FH144" s="182"/>
    </row>
    <row r="145" spans="3:164" s="1" customFormat="1" ht="15" customHeight="1" x14ac:dyDescent="0.35">
      <c r="C145"/>
      <c r="D145"/>
      <c r="E145"/>
      <c r="F145"/>
      <c r="G145"/>
      <c r="H145"/>
      <c r="I145"/>
      <c r="J145"/>
      <c r="K145"/>
      <c r="L145"/>
      <c r="M145" s="148"/>
      <c r="N145" s="148"/>
      <c r="O145"/>
      <c r="P145"/>
      <c r="AB145" s="155"/>
      <c r="BF145" s="182"/>
      <c r="BY145" s="182"/>
      <c r="CW145" s="182"/>
      <c r="DY145" s="222"/>
      <c r="DZ145" s="222"/>
      <c r="EA145" s="182"/>
      <c r="FH145" s="182"/>
    </row>
    <row r="146" spans="3:164" s="1" customFormat="1" ht="15" customHeight="1" x14ac:dyDescent="0.35">
      <c r="C146"/>
      <c r="D146"/>
      <c r="E146"/>
      <c r="F146"/>
      <c r="G146"/>
      <c r="H146"/>
      <c r="I146"/>
      <c r="J146"/>
      <c r="K146"/>
      <c r="L146"/>
      <c r="M146" s="148"/>
      <c r="N146" s="148"/>
      <c r="O146"/>
      <c r="P146"/>
      <c r="AB146" s="155"/>
      <c r="BF146" s="182"/>
      <c r="BY146" s="182"/>
      <c r="CW146" s="182"/>
      <c r="DY146" s="222"/>
      <c r="DZ146" s="222"/>
      <c r="EA146" s="182"/>
      <c r="FH146" s="182"/>
    </row>
    <row r="147" spans="3:164" s="1" customFormat="1" ht="15" customHeight="1" x14ac:dyDescent="0.35">
      <c r="C147"/>
      <c r="D147"/>
      <c r="E147"/>
      <c r="F147"/>
      <c r="G147"/>
      <c r="H147"/>
      <c r="I147"/>
      <c r="J147"/>
      <c r="K147"/>
      <c r="L147"/>
      <c r="M147" s="148"/>
      <c r="N147" s="148"/>
      <c r="O147"/>
      <c r="P147"/>
      <c r="AB147" s="155"/>
      <c r="BF147" s="182"/>
      <c r="BY147" s="182"/>
      <c r="CW147" s="182"/>
      <c r="DY147" s="222"/>
      <c r="DZ147" s="222"/>
      <c r="EA147" s="182"/>
      <c r="FH147" s="182"/>
    </row>
    <row r="148" spans="3:164" s="1" customFormat="1" ht="15" customHeight="1" x14ac:dyDescent="0.35">
      <c r="C148"/>
      <c r="D148"/>
      <c r="E148"/>
      <c r="F148"/>
      <c r="G148"/>
      <c r="H148"/>
      <c r="I148"/>
      <c r="J148"/>
      <c r="K148"/>
      <c r="L148"/>
      <c r="M148" s="148"/>
      <c r="N148" s="148"/>
      <c r="O148"/>
      <c r="P148"/>
      <c r="AB148" s="155"/>
      <c r="BF148" s="182"/>
      <c r="BY148" s="182"/>
      <c r="CW148" s="182"/>
      <c r="DY148" s="222"/>
      <c r="DZ148" s="222"/>
      <c r="EA148" s="182"/>
      <c r="FH148" s="182"/>
    </row>
    <row r="149" spans="3:164" s="1" customFormat="1" ht="15" customHeight="1" x14ac:dyDescent="0.35">
      <c r="C149"/>
      <c r="D149"/>
      <c r="E149"/>
      <c r="F149"/>
      <c r="G149"/>
      <c r="H149"/>
      <c r="I149"/>
      <c r="J149"/>
      <c r="K149"/>
      <c r="L149"/>
      <c r="M149" s="148"/>
      <c r="N149" s="148"/>
      <c r="O149"/>
      <c r="P149"/>
      <c r="AB149" s="155"/>
      <c r="BF149" s="182"/>
      <c r="BY149" s="182"/>
      <c r="CW149" s="182"/>
      <c r="DY149" s="222"/>
      <c r="DZ149" s="222"/>
      <c r="EA149" s="182"/>
      <c r="FH149" s="182"/>
    </row>
    <row r="150" spans="3:164" s="1" customFormat="1" ht="15" customHeight="1" x14ac:dyDescent="0.35">
      <c r="C150"/>
      <c r="D150"/>
      <c r="E150"/>
      <c r="F150"/>
      <c r="G150"/>
      <c r="H150"/>
      <c r="I150"/>
      <c r="J150"/>
      <c r="K150"/>
      <c r="L150"/>
      <c r="M150" s="148"/>
      <c r="N150" s="148"/>
      <c r="O150"/>
      <c r="P150"/>
      <c r="AB150" s="155"/>
      <c r="BF150" s="182"/>
      <c r="BY150" s="182"/>
      <c r="CW150" s="182"/>
      <c r="DY150" s="222"/>
      <c r="DZ150" s="222"/>
      <c r="EA150" s="182"/>
      <c r="FH150" s="182"/>
    </row>
    <row r="151" spans="3:164" s="1" customFormat="1" ht="15" customHeight="1" x14ac:dyDescent="0.35">
      <c r="C151"/>
      <c r="D151"/>
      <c r="E151"/>
      <c r="F151"/>
      <c r="G151"/>
      <c r="H151"/>
      <c r="I151"/>
      <c r="J151"/>
      <c r="K151"/>
      <c r="L151"/>
      <c r="M151" s="148"/>
      <c r="N151" s="148"/>
      <c r="O151"/>
      <c r="P151"/>
      <c r="AB151" s="155"/>
      <c r="BF151" s="182"/>
      <c r="BY151" s="182"/>
      <c r="CW151" s="182"/>
      <c r="DY151" s="222"/>
      <c r="DZ151" s="222"/>
      <c r="EA151" s="182"/>
      <c r="FH151" s="182"/>
    </row>
    <row r="152" spans="3:164" s="1" customFormat="1" ht="15" customHeight="1" x14ac:dyDescent="0.35">
      <c r="C152"/>
      <c r="D152"/>
      <c r="E152"/>
      <c r="F152"/>
      <c r="G152"/>
      <c r="H152"/>
      <c r="I152"/>
      <c r="J152"/>
      <c r="K152"/>
      <c r="L152"/>
      <c r="M152" s="148"/>
      <c r="N152" s="148"/>
      <c r="O152"/>
      <c r="P152"/>
      <c r="AB152" s="155"/>
      <c r="BF152" s="182"/>
      <c r="BY152" s="182"/>
      <c r="CW152" s="182"/>
      <c r="DY152" s="222"/>
      <c r="DZ152" s="222"/>
      <c r="EA152" s="182"/>
      <c r="FH152" s="182"/>
    </row>
    <row r="153" spans="3:164" s="1" customFormat="1" ht="15" customHeight="1" x14ac:dyDescent="0.35">
      <c r="C153"/>
      <c r="D153"/>
      <c r="E153"/>
      <c r="F153"/>
      <c r="G153"/>
      <c r="H153"/>
      <c r="I153"/>
      <c r="J153"/>
      <c r="K153"/>
      <c r="L153"/>
      <c r="M153" s="148"/>
      <c r="N153" s="148"/>
      <c r="O153"/>
      <c r="P153"/>
      <c r="AB153" s="155"/>
      <c r="BF153" s="182"/>
      <c r="BY153" s="182"/>
      <c r="CW153" s="182"/>
      <c r="DY153" s="222"/>
      <c r="DZ153" s="222"/>
      <c r="EA153" s="182"/>
      <c r="FH153" s="182"/>
    </row>
    <row r="154" spans="3:164" s="1" customFormat="1" ht="15" customHeight="1" x14ac:dyDescent="0.35">
      <c r="C154"/>
      <c r="D154"/>
      <c r="E154"/>
      <c r="F154"/>
      <c r="G154"/>
      <c r="H154"/>
      <c r="I154"/>
      <c r="J154"/>
      <c r="K154"/>
      <c r="L154"/>
      <c r="M154" s="148"/>
      <c r="N154" s="148"/>
      <c r="O154"/>
      <c r="P154"/>
      <c r="AB154" s="155"/>
      <c r="BF154" s="182"/>
      <c r="BY154" s="182"/>
      <c r="CW154" s="182"/>
      <c r="DY154" s="222"/>
      <c r="DZ154" s="222"/>
      <c r="EA154" s="182"/>
      <c r="FH154" s="182"/>
    </row>
    <row r="155" spans="3:164" s="1" customFormat="1" ht="15" customHeight="1" x14ac:dyDescent="0.35">
      <c r="C155"/>
      <c r="D155"/>
      <c r="E155"/>
      <c r="F155"/>
      <c r="G155"/>
      <c r="H155"/>
      <c r="I155"/>
      <c r="J155"/>
      <c r="K155"/>
      <c r="L155"/>
      <c r="M155" s="148"/>
      <c r="N155" s="148"/>
      <c r="O155"/>
      <c r="P155"/>
      <c r="AB155" s="155"/>
      <c r="BF155" s="182"/>
      <c r="BY155" s="182"/>
      <c r="CW155" s="182"/>
      <c r="DY155" s="222"/>
      <c r="DZ155" s="222"/>
      <c r="EA155" s="182"/>
      <c r="FH155" s="182"/>
    </row>
    <row r="156" spans="3:164" s="1" customFormat="1" ht="15" customHeight="1" x14ac:dyDescent="0.35">
      <c r="C156"/>
      <c r="D156"/>
      <c r="E156"/>
      <c r="F156"/>
      <c r="G156"/>
      <c r="H156"/>
      <c r="I156"/>
      <c r="J156"/>
      <c r="K156"/>
      <c r="L156"/>
      <c r="M156" s="148"/>
      <c r="N156" s="148"/>
      <c r="O156"/>
      <c r="P156"/>
      <c r="AB156" s="155"/>
      <c r="BF156" s="182"/>
      <c r="BY156" s="182"/>
      <c r="CW156" s="182"/>
      <c r="DY156" s="222"/>
      <c r="DZ156" s="222"/>
      <c r="EA156" s="182"/>
      <c r="FH156" s="182"/>
    </row>
    <row r="157" spans="3:164" s="1" customFormat="1" ht="15" customHeight="1" x14ac:dyDescent="0.35">
      <c r="C157"/>
      <c r="D157"/>
      <c r="E157"/>
      <c r="F157"/>
      <c r="G157"/>
      <c r="H157"/>
      <c r="I157"/>
      <c r="J157"/>
      <c r="K157"/>
      <c r="L157"/>
      <c r="M157" s="148"/>
      <c r="N157" s="148"/>
      <c r="O157"/>
      <c r="P157"/>
      <c r="AB157" s="155"/>
      <c r="BF157" s="182"/>
      <c r="BY157" s="182"/>
      <c r="CW157" s="182"/>
      <c r="DY157" s="222"/>
      <c r="DZ157" s="222"/>
      <c r="EA157" s="182"/>
      <c r="FH157" s="182"/>
    </row>
    <row r="158" spans="3:164" s="1" customFormat="1" ht="15" customHeight="1" x14ac:dyDescent="0.35">
      <c r="C158"/>
      <c r="D158"/>
      <c r="E158"/>
      <c r="F158"/>
      <c r="G158"/>
      <c r="H158"/>
      <c r="I158"/>
      <c r="J158"/>
      <c r="K158"/>
      <c r="L158"/>
      <c r="M158" s="148"/>
      <c r="N158" s="148"/>
      <c r="O158"/>
      <c r="P158"/>
      <c r="AB158" s="155"/>
      <c r="BF158" s="182"/>
      <c r="BY158" s="182"/>
      <c r="CW158" s="182"/>
      <c r="DY158" s="222"/>
      <c r="DZ158" s="222"/>
      <c r="EA158" s="182"/>
      <c r="FH158" s="182"/>
    </row>
    <row r="159" spans="3:164" s="1" customFormat="1" ht="15" customHeight="1" x14ac:dyDescent="0.35">
      <c r="C159"/>
      <c r="D159"/>
      <c r="E159"/>
      <c r="F159"/>
      <c r="G159"/>
      <c r="H159"/>
      <c r="I159"/>
      <c r="J159"/>
      <c r="K159"/>
      <c r="L159"/>
      <c r="M159" s="148"/>
      <c r="N159" s="148"/>
      <c r="O159"/>
      <c r="P159"/>
      <c r="AB159" s="155"/>
      <c r="BF159" s="182"/>
      <c r="BY159" s="182"/>
      <c r="CW159" s="182"/>
      <c r="DY159" s="222"/>
      <c r="DZ159" s="222"/>
      <c r="EA159" s="182"/>
      <c r="FH159" s="182"/>
    </row>
    <row r="160" spans="3:164" s="1" customFormat="1" ht="15" customHeight="1" x14ac:dyDescent="0.35">
      <c r="C160"/>
      <c r="D160"/>
      <c r="E160"/>
      <c r="F160"/>
      <c r="G160"/>
      <c r="H160"/>
      <c r="I160"/>
      <c r="J160"/>
      <c r="K160"/>
      <c r="L160"/>
      <c r="M160" s="148"/>
      <c r="N160" s="148"/>
      <c r="O160"/>
      <c r="P160"/>
      <c r="AB160" s="155"/>
      <c r="BF160" s="182"/>
      <c r="BY160" s="182"/>
      <c r="CW160" s="182"/>
      <c r="DY160" s="222"/>
      <c r="DZ160" s="222"/>
      <c r="EA160" s="182"/>
      <c r="FH160" s="182"/>
    </row>
    <row r="161" spans="3:164" s="1" customFormat="1" ht="15" customHeight="1" x14ac:dyDescent="0.35">
      <c r="C161"/>
      <c r="D161"/>
      <c r="E161"/>
      <c r="F161"/>
      <c r="G161"/>
      <c r="H161"/>
      <c r="I161"/>
      <c r="J161"/>
      <c r="K161"/>
      <c r="L161"/>
      <c r="M161" s="148"/>
      <c r="N161" s="148"/>
      <c r="O161"/>
      <c r="P161"/>
      <c r="AB161" s="155"/>
      <c r="BF161" s="182"/>
      <c r="BY161" s="182"/>
      <c r="CW161" s="182"/>
      <c r="DY161" s="222"/>
      <c r="DZ161" s="222"/>
      <c r="EA161" s="182"/>
      <c r="FH161" s="182"/>
    </row>
    <row r="162" spans="3:164" s="1" customFormat="1" ht="15" customHeight="1" x14ac:dyDescent="0.35">
      <c r="C162"/>
      <c r="D162"/>
      <c r="E162"/>
      <c r="F162"/>
      <c r="G162"/>
      <c r="H162"/>
      <c r="I162"/>
      <c r="J162"/>
      <c r="K162"/>
      <c r="L162"/>
      <c r="M162" s="148"/>
      <c r="N162" s="148"/>
      <c r="O162"/>
      <c r="P162"/>
      <c r="AB162" s="155"/>
      <c r="BF162" s="182"/>
      <c r="BY162" s="182"/>
      <c r="CW162" s="182"/>
      <c r="DY162" s="222"/>
      <c r="DZ162" s="222"/>
      <c r="EA162" s="182"/>
      <c r="FH162" s="182"/>
    </row>
    <row r="163" spans="3:164" s="1" customFormat="1" ht="15" customHeight="1" x14ac:dyDescent="0.35">
      <c r="C163"/>
      <c r="D163"/>
      <c r="E163"/>
      <c r="F163"/>
      <c r="G163"/>
      <c r="H163"/>
      <c r="I163"/>
      <c r="J163"/>
      <c r="K163"/>
      <c r="L163"/>
      <c r="M163" s="148"/>
      <c r="N163" s="148"/>
      <c r="O163"/>
      <c r="P163"/>
      <c r="AB163" s="155"/>
      <c r="BF163" s="182"/>
      <c r="BY163" s="182"/>
      <c r="CW163" s="182"/>
      <c r="DY163" s="222"/>
      <c r="DZ163" s="222"/>
      <c r="EA163" s="182"/>
      <c r="FH163" s="182"/>
    </row>
    <row r="164" spans="3:164" s="1" customFormat="1" ht="15" customHeight="1" x14ac:dyDescent="0.35">
      <c r="C164"/>
      <c r="D164"/>
      <c r="E164"/>
      <c r="F164"/>
      <c r="G164"/>
      <c r="H164"/>
      <c r="I164"/>
      <c r="J164"/>
      <c r="K164"/>
      <c r="L164"/>
      <c r="M164" s="148"/>
      <c r="N164" s="148"/>
      <c r="O164"/>
      <c r="P164"/>
      <c r="AB164" s="155"/>
      <c r="BF164" s="182"/>
      <c r="BY164" s="182"/>
      <c r="CW164" s="182"/>
      <c r="DY164" s="222"/>
      <c r="DZ164" s="222"/>
      <c r="EA164" s="182"/>
      <c r="FH164" s="182"/>
    </row>
    <row r="165" spans="3:164" s="1" customFormat="1" ht="15" customHeight="1" x14ac:dyDescent="0.35">
      <c r="C165"/>
      <c r="D165"/>
      <c r="E165"/>
      <c r="F165"/>
      <c r="G165"/>
      <c r="H165"/>
      <c r="I165"/>
      <c r="J165"/>
      <c r="K165"/>
      <c r="L165"/>
      <c r="M165" s="148"/>
      <c r="N165" s="148"/>
      <c r="O165"/>
      <c r="P165"/>
      <c r="AB165" s="155"/>
      <c r="BF165" s="182"/>
      <c r="BY165" s="182"/>
      <c r="CW165" s="182"/>
      <c r="DY165" s="222"/>
      <c r="DZ165" s="222"/>
      <c r="EA165" s="182"/>
      <c r="FH165" s="182"/>
    </row>
    <row r="166" spans="3:164" s="1" customFormat="1" ht="15" customHeight="1" x14ac:dyDescent="0.35">
      <c r="C166"/>
      <c r="D166"/>
      <c r="E166"/>
      <c r="F166"/>
      <c r="G166"/>
      <c r="H166"/>
      <c r="I166"/>
      <c r="J166"/>
      <c r="K166"/>
      <c r="L166"/>
      <c r="M166" s="148"/>
      <c r="N166" s="148"/>
      <c r="O166"/>
      <c r="P166"/>
      <c r="AB166" s="155"/>
      <c r="BF166" s="182"/>
      <c r="BY166" s="182"/>
      <c r="CW166" s="182"/>
      <c r="DY166" s="222"/>
      <c r="DZ166" s="222"/>
      <c r="EA166" s="182"/>
      <c r="FH166" s="182"/>
    </row>
    <row r="167" spans="3:164" s="1" customFormat="1" ht="15" customHeight="1" x14ac:dyDescent="0.35">
      <c r="C167"/>
      <c r="D167"/>
      <c r="E167"/>
      <c r="F167"/>
      <c r="G167"/>
      <c r="H167"/>
      <c r="I167"/>
      <c r="J167"/>
      <c r="K167"/>
      <c r="L167"/>
      <c r="M167" s="148"/>
      <c r="N167" s="148"/>
      <c r="O167"/>
      <c r="P167"/>
      <c r="AB167" s="155"/>
      <c r="BF167" s="182"/>
      <c r="BY167" s="182"/>
      <c r="CW167" s="182"/>
      <c r="DY167" s="222"/>
      <c r="DZ167" s="222"/>
      <c r="EA167" s="182"/>
      <c r="FH167" s="182"/>
    </row>
    <row r="168" spans="3:164" s="1" customFormat="1" ht="15" customHeight="1" x14ac:dyDescent="0.35">
      <c r="C168"/>
      <c r="D168"/>
      <c r="E168"/>
      <c r="F168"/>
      <c r="G168"/>
      <c r="H168"/>
      <c r="I168"/>
      <c r="J168"/>
      <c r="K168"/>
      <c r="L168"/>
      <c r="M168" s="148"/>
      <c r="N168" s="148"/>
      <c r="O168"/>
      <c r="P168"/>
      <c r="AB168" s="155"/>
      <c r="BF168" s="182"/>
      <c r="BY168" s="182"/>
      <c r="CW168" s="182"/>
      <c r="DY168" s="222"/>
      <c r="DZ168" s="222"/>
      <c r="EA168" s="182"/>
      <c r="FH168" s="182"/>
    </row>
    <row r="169" spans="3:164" s="1" customFormat="1" ht="15" customHeight="1" x14ac:dyDescent="0.35">
      <c r="C169"/>
      <c r="D169"/>
      <c r="E169"/>
      <c r="F169"/>
      <c r="G169"/>
      <c r="H169"/>
      <c r="I169"/>
      <c r="J169"/>
      <c r="K169"/>
      <c r="L169"/>
      <c r="M169" s="148"/>
      <c r="N169" s="148"/>
      <c r="O169"/>
      <c r="P169"/>
      <c r="AB169" s="155"/>
      <c r="BF169" s="182"/>
      <c r="BY169" s="182"/>
      <c r="CW169" s="182"/>
      <c r="DY169" s="222"/>
      <c r="DZ169" s="222"/>
      <c r="EA169" s="182"/>
      <c r="FH169" s="182"/>
    </row>
    <row r="170" spans="3:164" s="1" customFormat="1" ht="15" customHeight="1" x14ac:dyDescent="0.35">
      <c r="C170"/>
      <c r="D170"/>
      <c r="E170"/>
      <c r="F170"/>
      <c r="G170"/>
      <c r="H170"/>
      <c r="I170"/>
      <c r="J170"/>
      <c r="K170"/>
      <c r="L170"/>
      <c r="M170" s="148"/>
      <c r="N170" s="148"/>
      <c r="O170"/>
      <c r="P170"/>
      <c r="AB170" s="155"/>
      <c r="BF170" s="182"/>
      <c r="BY170" s="182"/>
      <c r="CW170" s="182"/>
      <c r="DY170" s="222"/>
      <c r="DZ170" s="222"/>
      <c r="EA170" s="182"/>
      <c r="FH170" s="182"/>
    </row>
    <row r="171" spans="3:164" s="1" customFormat="1" ht="15" customHeight="1" x14ac:dyDescent="0.35">
      <c r="C171"/>
      <c r="D171"/>
      <c r="E171"/>
      <c r="F171"/>
      <c r="G171"/>
      <c r="H171"/>
      <c r="I171"/>
      <c r="J171"/>
      <c r="K171"/>
      <c r="L171"/>
      <c r="M171" s="148"/>
      <c r="N171" s="148"/>
      <c r="O171"/>
      <c r="P171"/>
      <c r="AB171" s="155"/>
      <c r="BF171" s="182"/>
      <c r="BY171" s="182"/>
      <c r="CW171" s="182"/>
      <c r="DY171" s="222"/>
      <c r="DZ171" s="222"/>
      <c r="EA171" s="182"/>
      <c r="FH171" s="182"/>
    </row>
    <row r="172" spans="3:164" s="1" customFormat="1" ht="15" customHeight="1" x14ac:dyDescent="0.35">
      <c r="C172"/>
      <c r="D172"/>
      <c r="E172"/>
      <c r="F172"/>
      <c r="G172"/>
      <c r="H172"/>
      <c r="I172"/>
      <c r="J172"/>
      <c r="K172"/>
      <c r="L172"/>
      <c r="M172" s="148"/>
      <c r="N172" s="148"/>
      <c r="O172"/>
      <c r="P172"/>
      <c r="AB172" s="155"/>
      <c r="BF172" s="182"/>
      <c r="BY172" s="182"/>
      <c r="CW172" s="182"/>
      <c r="DY172" s="222"/>
      <c r="DZ172" s="222"/>
      <c r="EA172" s="182"/>
      <c r="FH172" s="182"/>
    </row>
    <row r="173" spans="3:164" s="1" customFormat="1" ht="15" customHeight="1" x14ac:dyDescent="0.35">
      <c r="C173"/>
      <c r="D173"/>
      <c r="E173"/>
      <c r="F173"/>
      <c r="G173"/>
      <c r="H173"/>
      <c r="I173"/>
      <c r="J173"/>
      <c r="K173"/>
      <c r="L173"/>
      <c r="M173" s="148"/>
      <c r="N173" s="148"/>
      <c r="O173"/>
      <c r="P173"/>
      <c r="AB173" s="155"/>
      <c r="BF173" s="182"/>
      <c r="BY173" s="182"/>
      <c r="CW173" s="182"/>
      <c r="DY173" s="222"/>
      <c r="DZ173" s="222"/>
      <c r="EA173" s="182"/>
      <c r="FH173" s="182"/>
    </row>
    <row r="174" spans="3:164" s="1" customFormat="1" ht="15" customHeight="1" x14ac:dyDescent="0.35">
      <c r="C174"/>
      <c r="D174"/>
      <c r="E174"/>
      <c r="F174"/>
      <c r="G174"/>
      <c r="H174"/>
      <c r="I174"/>
      <c r="J174"/>
      <c r="K174"/>
      <c r="L174"/>
      <c r="M174" s="148"/>
      <c r="N174" s="148"/>
      <c r="O174"/>
      <c r="P174"/>
      <c r="AB174" s="155"/>
      <c r="BF174" s="182"/>
      <c r="BY174" s="182"/>
      <c r="CW174" s="182"/>
      <c r="DY174" s="222"/>
      <c r="DZ174" s="222"/>
      <c r="EA174" s="182"/>
      <c r="FH174" s="182"/>
    </row>
    <row r="175" spans="3:164" s="1" customFormat="1" ht="15" customHeight="1" x14ac:dyDescent="0.35">
      <c r="C175"/>
      <c r="D175"/>
      <c r="E175"/>
      <c r="F175"/>
      <c r="G175"/>
      <c r="H175"/>
      <c r="I175"/>
      <c r="J175"/>
      <c r="K175"/>
      <c r="L175"/>
      <c r="M175" s="148"/>
      <c r="N175" s="148"/>
      <c r="O175"/>
      <c r="P175"/>
      <c r="AB175" s="155"/>
      <c r="BF175" s="182"/>
      <c r="BY175" s="182"/>
      <c r="CW175" s="182"/>
      <c r="DY175" s="222"/>
      <c r="DZ175" s="222"/>
      <c r="EA175" s="182"/>
      <c r="FH175" s="182"/>
    </row>
    <row r="176" spans="3:164" s="1" customFormat="1" ht="15" customHeight="1" x14ac:dyDescent="0.35">
      <c r="C176"/>
      <c r="D176"/>
      <c r="E176"/>
      <c r="F176"/>
      <c r="G176"/>
      <c r="H176"/>
      <c r="I176"/>
      <c r="J176"/>
      <c r="K176"/>
      <c r="L176"/>
      <c r="M176" s="148"/>
      <c r="N176" s="148"/>
      <c r="O176"/>
      <c r="P176"/>
      <c r="AB176" s="155"/>
      <c r="BF176" s="182"/>
      <c r="BY176" s="182"/>
      <c r="CW176" s="182"/>
      <c r="DY176" s="222"/>
      <c r="DZ176" s="222"/>
      <c r="EA176" s="182"/>
      <c r="FH176" s="182"/>
    </row>
    <row r="177" spans="2:164" s="1" customFormat="1" ht="15" customHeight="1" x14ac:dyDescent="0.35">
      <c r="C177"/>
      <c r="D177"/>
      <c r="E177"/>
      <c r="F177"/>
      <c r="G177"/>
      <c r="H177"/>
      <c r="I177"/>
      <c r="J177"/>
      <c r="K177"/>
      <c r="L177"/>
      <c r="M177" s="148"/>
      <c r="N177" s="148"/>
      <c r="O177"/>
      <c r="P177"/>
      <c r="AB177" s="155"/>
      <c r="BF177" s="182"/>
      <c r="BY177" s="182"/>
      <c r="CW177" s="182"/>
      <c r="DY177" s="222"/>
      <c r="DZ177" s="222"/>
      <c r="EA177" s="182"/>
      <c r="FH177" s="182"/>
    </row>
    <row r="178" spans="2:164" s="1" customFormat="1" ht="15" customHeight="1" x14ac:dyDescent="0.35">
      <c r="C178"/>
      <c r="D178"/>
      <c r="E178"/>
      <c r="F178"/>
      <c r="G178"/>
      <c r="H178"/>
      <c r="I178"/>
      <c r="J178"/>
      <c r="K178"/>
      <c r="L178"/>
      <c r="M178" s="148"/>
      <c r="N178" s="148"/>
      <c r="O178"/>
      <c r="P178"/>
      <c r="AB178" s="155"/>
      <c r="BF178" s="182"/>
      <c r="BY178" s="182"/>
      <c r="CW178" s="182"/>
      <c r="DY178" s="222"/>
      <c r="DZ178" s="222"/>
      <c r="EA178" s="182"/>
      <c r="FH178" s="182"/>
    </row>
    <row r="179" spans="2:164" s="1" customFormat="1" ht="15" customHeight="1" x14ac:dyDescent="0.35">
      <c r="C179"/>
      <c r="D179"/>
      <c r="E179"/>
      <c r="F179"/>
      <c r="G179"/>
      <c r="H179"/>
      <c r="I179"/>
      <c r="J179"/>
      <c r="K179"/>
      <c r="L179"/>
      <c r="M179" s="148"/>
      <c r="N179" s="148"/>
      <c r="O179"/>
      <c r="P179"/>
      <c r="AB179" s="155"/>
      <c r="BF179" s="182"/>
      <c r="BY179" s="182"/>
      <c r="CW179" s="182"/>
      <c r="DY179" s="222"/>
      <c r="DZ179" s="222"/>
      <c r="EA179" s="182"/>
      <c r="FH179" s="182"/>
    </row>
    <row r="180" spans="2:164" s="1" customFormat="1" ht="15" customHeight="1" x14ac:dyDescent="0.35">
      <c r="C180"/>
      <c r="D180"/>
      <c r="E180"/>
      <c r="F180"/>
      <c r="G180"/>
      <c r="H180"/>
      <c r="I180"/>
      <c r="J180"/>
      <c r="K180"/>
      <c r="L180"/>
      <c r="M180" s="148"/>
      <c r="N180" s="148"/>
      <c r="O180"/>
      <c r="P180"/>
      <c r="AB180" s="155"/>
      <c r="BF180" s="182"/>
      <c r="BY180" s="182"/>
      <c r="CW180" s="182"/>
      <c r="DY180" s="222"/>
      <c r="DZ180" s="222"/>
      <c r="EA180" s="182"/>
      <c r="FH180" s="182"/>
    </row>
    <row r="181" spans="2:164" s="1" customFormat="1" ht="15" customHeight="1" x14ac:dyDescent="0.35">
      <c r="C181"/>
      <c r="D181"/>
      <c r="E181"/>
      <c r="F181"/>
      <c r="G181"/>
      <c r="H181"/>
      <c r="I181"/>
      <c r="J181"/>
      <c r="K181"/>
      <c r="L181"/>
      <c r="M181" s="148"/>
      <c r="N181" s="148"/>
      <c r="O181"/>
      <c r="P181"/>
      <c r="AB181" s="155"/>
      <c r="BF181" s="182"/>
      <c r="BY181" s="182"/>
      <c r="CW181" s="182"/>
      <c r="DY181" s="222"/>
      <c r="DZ181" s="222"/>
      <c r="EA181" s="182"/>
      <c r="FH181" s="182"/>
    </row>
    <row r="182" spans="2:164" s="1" customFormat="1" ht="15" customHeight="1" x14ac:dyDescent="0.35">
      <c r="C182"/>
      <c r="D182"/>
      <c r="E182"/>
      <c r="F182"/>
      <c r="G182"/>
      <c r="H182"/>
      <c r="I182"/>
      <c r="J182"/>
      <c r="K182"/>
      <c r="L182"/>
      <c r="M182" s="148"/>
      <c r="N182" s="148"/>
      <c r="O182"/>
      <c r="P182"/>
      <c r="AB182" s="155"/>
      <c r="BF182" s="182"/>
      <c r="BY182" s="182"/>
      <c r="CW182" s="182"/>
      <c r="DY182" s="222"/>
      <c r="DZ182" s="222"/>
      <c r="EA182" s="182"/>
      <c r="FH182" s="182"/>
    </row>
    <row r="183" spans="2:164" s="1" customFormat="1" ht="15" customHeight="1" x14ac:dyDescent="0.35">
      <c r="C183"/>
      <c r="D183"/>
      <c r="E183"/>
      <c r="F183"/>
      <c r="G183"/>
      <c r="H183"/>
      <c r="I183"/>
      <c r="J183"/>
      <c r="K183"/>
      <c r="L183"/>
      <c r="M183" s="148"/>
      <c r="N183" s="148"/>
      <c r="O183"/>
      <c r="P183"/>
      <c r="AB183" s="155"/>
      <c r="BF183" s="182"/>
      <c r="BY183" s="182"/>
      <c r="CW183" s="182"/>
      <c r="DY183" s="222"/>
      <c r="DZ183" s="222"/>
      <c r="EA183" s="182"/>
      <c r="FH183" s="182"/>
    </row>
    <row r="184" spans="2:164" s="1" customFormat="1" ht="15" customHeight="1" x14ac:dyDescent="0.35">
      <c r="C184"/>
      <c r="D184"/>
      <c r="E184"/>
      <c r="F184"/>
      <c r="G184"/>
      <c r="H184"/>
      <c r="I184"/>
      <c r="J184"/>
      <c r="K184"/>
      <c r="L184"/>
      <c r="M184" s="148"/>
      <c r="N184" s="148"/>
      <c r="O184"/>
      <c r="P184"/>
      <c r="AB184" s="155"/>
      <c r="BF184" s="182"/>
      <c r="BY184" s="182"/>
      <c r="CW184" s="182"/>
      <c r="DY184" s="222"/>
      <c r="DZ184" s="222"/>
      <c r="EA184" s="182"/>
      <c r="FH184" s="182"/>
    </row>
    <row r="185" spans="2:164" s="1" customFormat="1" ht="15" customHeight="1" x14ac:dyDescent="0.35">
      <c r="C185"/>
      <c r="D185"/>
      <c r="E185"/>
      <c r="F185"/>
      <c r="G185"/>
      <c r="H185"/>
      <c r="I185"/>
      <c r="J185"/>
      <c r="K185"/>
      <c r="L185"/>
      <c r="M185" s="148"/>
      <c r="N185" s="148"/>
      <c r="O185"/>
      <c r="P185"/>
      <c r="AB185" s="155"/>
      <c r="BF185" s="182"/>
      <c r="BY185" s="182"/>
      <c r="CW185" s="182"/>
      <c r="DY185" s="222"/>
      <c r="DZ185" s="222"/>
      <c r="EA185" s="182"/>
      <c r="FH185" s="182"/>
    </row>
    <row r="186" spans="2:164" s="1" customFormat="1" ht="15" customHeight="1" x14ac:dyDescent="0.35">
      <c r="C186"/>
      <c r="D186"/>
      <c r="E186"/>
      <c r="F186"/>
      <c r="G186"/>
      <c r="H186"/>
      <c r="I186"/>
      <c r="J186"/>
      <c r="K186"/>
      <c r="L186"/>
      <c r="M186" s="148"/>
      <c r="N186" s="148"/>
      <c r="O186"/>
      <c r="P186"/>
      <c r="AB186" s="155"/>
      <c r="BF186" s="182"/>
      <c r="BY186" s="182"/>
      <c r="CW186" s="182"/>
      <c r="DY186" s="222"/>
      <c r="DZ186" s="222"/>
      <c r="EA186" s="182"/>
      <c r="FH186" s="182"/>
    </row>
    <row r="187" spans="2:164" s="1" customFormat="1" ht="15" customHeight="1" x14ac:dyDescent="0.35">
      <c r="C187"/>
      <c r="D187"/>
      <c r="E187"/>
      <c r="F187"/>
      <c r="G187"/>
      <c r="H187"/>
      <c r="I187"/>
      <c r="J187"/>
      <c r="K187"/>
      <c r="L187"/>
      <c r="M187" s="148"/>
      <c r="N187" s="148"/>
      <c r="O187"/>
      <c r="P187"/>
      <c r="AB187" s="155"/>
      <c r="BF187" s="182"/>
      <c r="BY187" s="182"/>
      <c r="CW187" s="182"/>
      <c r="DY187" s="222"/>
      <c r="DZ187" s="222"/>
      <c r="EA187" s="182"/>
      <c r="FH187" s="182"/>
    </row>
    <row r="188" spans="2:164" s="1" customFormat="1" ht="15" customHeight="1" x14ac:dyDescent="0.35">
      <c r="C188"/>
      <c r="D188"/>
      <c r="E188"/>
      <c r="F188"/>
      <c r="G188"/>
      <c r="H188"/>
      <c r="I188"/>
      <c r="J188"/>
      <c r="K188"/>
      <c r="L188"/>
      <c r="M188" s="148"/>
      <c r="N188" s="148"/>
      <c r="O188"/>
      <c r="P188"/>
      <c r="AB188" s="155"/>
      <c r="BF188" s="182"/>
      <c r="BY188" s="182"/>
      <c r="CW188" s="182"/>
      <c r="DY188" s="222"/>
      <c r="DZ188" s="222"/>
      <c r="EA188" s="182"/>
      <c r="FH188" s="182"/>
    </row>
    <row r="189" spans="2:164" ht="15" customHeight="1" x14ac:dyDescent="0.35">
      <c r="B189" s="1"/>
    </row>
    <row r="190" spans="2:164" ht="15" customHeight="1" x14ac:dyDescent="0.35">
      <c r="B190" s="1"/>
    </row>
    <row r="191" spans="2:164" ht="15" customHeight="1" x14ac:dyDescent="0.35">
      <c r="B191" s="1"/>
    </row>
    <row r="192" spans="2:164" ht="15" customHeight="1" x14ac:dyDescent="0.35">
      <c r="B192" s="1"/>
    </row>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sheetData>
  <mergeCells count="39">
    <mergeCell ref="BG14:BG22"/>
    <mergeCell ref="BG32:BG38"/>
    <mergeCell ref="BM3:BS5"/>
    <mergeCell ref="BL3:BL5"/>
    <mergeCell ref="A46:A54"/>
    <mergeCell ref="AC5:AC13"/>
    <mergeCell ref="A6:A14"/>
    <mergeCell ref="A16:A24"/>
    <mergeCell ref="A26:A34"/>
    <mergeCell ref="A36:A44"/>
    <mergeCell ref="O58:O66"/>
    <mergeCell ref="O68:O76"/>
    <mergeCell ref="O17:O26"/>
    <mergeCell ref="O28:O36"/>
    <mergeCell ref="O38:O46"/>
    <mergeCell ref="O48:O56"/>
    <mergeCell ref="BZ55:BZ63"/>
    <mergeCell ref="CK4:CK13"/>
    <mergeCell ref="CK15:CK23"/>
    <mergeCell ref="CK25:CK33"/>
    <mergeCell ref="CK35:CK43"/>
    <mergeCell ref="CK45:CK53"/>
    <mergeCell ref="CK55:CK63"/>
    <mergeCell ref="BZ4:BZ13"/>
    <mergeCell ref="BZ15:BZ23"/>
    <mergeCell ref="BZ25:BZ33"/>
    <mergeCell ref="BZ35:BZ43"/>
    <mergeCell ref="BZ45:BZ53"/>
    <mergeCell ref="CX85:CX93"/>
    <mergeCell ref="CX5:CX13"/>
    <mergeCell ref="CX15:CX24"/>
    <mergeCell ref="CX26:CX34"/>
    <mergeCell ref="CX36:CX44"/>
    <mergeCell ref="CX46:CX54"/>
    <mergeCell ref="FI5:FI13"/>
    <mergeCell ref="EB5:EB13"/>
    <mergeCell ref="CX56:CX64"/>
    <mergeCell ref="CX66:CX74"/>
    <mergeCell ref="CX76:CX82"/>
  </mergeCells>
  <printOptions headings="1"/>
  <pageMargins left="0.2" right="0.2" top="0.5" bottom="0.5" header="0.3" footer="0.3"/>
  <pageSetup orientation="portrait" cellComments="asDisplayed" r:id="rId1"/>
  <headerFooter>
    <oddHeader>&amp;C&amp;A</oddHeader>
    <oddFooter>&amp;RSchedule JNG-D3</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BV74"/>
  <sheetViews>
    <sheetView workbookViewId="0">
      <pane xSplit="1" ySplit="3" topLeftCell="BC4" activePane="bottomRight" state="frozen"/>
      <selection activeCell="AL26" sqref="AL26"/>
      <selection pane="topRight" activeCell="AL26" sqref="AL26"/>
      <selection pane="bottomLeft" activeCell="AL26" sqref="AL26"/>
      <selection pane="bottomRight" activeCell="BI13" sqref="BI13"/>
    </sheetView>
  </sheetViews>
  <sheetFormatPr defaultRowHeight="14.5" x14ac:dyDescent="0.35"/>
  <cols>
    <col min="1" max="1" width="39.1796875" customWidth="1"/>
    <col min="2" max="3" width="11" customWidth="1"/>
    <col min="4" max="4" width="16" customWidth="1"/>
    <col min="5" max="18" width="14.1796875" customWidth="1"/>
    <col min="19" max="19" width="15" bestFit="1" customWidth="1"/>
    <col min="20" max="20" width="14.1796875" customWidth="1"/>
    <col min="21" max="21" width="15" customWidth="1"/>
    <col min="22" max="32" width="15.26953125" bestFit="1" customWidth="1"/>
    <col min="33" max="33" width="16" bestFit="1" customWidth="1"/>
    <col min="34" max="34" width="15.26953125" bestFit="1" customWidth="1"/>
    <col min="35" max="36" width="16" bestFit="1" customWidth="1"/>
    <col min="37" max="37" width="15.26953125" bestFit="1" customWidth="1"/>
    <col min="38" max="39" width="16" bestFit="1" customWidth="1"/>
    <col min="40" max="42" width="15.26953125" bestFit="1" customWidth="1"/>
    <col min="43" max="43" width="16" bestFit="1" customWidth="1"/>
    <col min="44" max="44" width="15.26953125" bestFit="1" customWidth="1"/>
    <col min="45" max="48" width="16" bestFit="1" customWidth="1"/>
    <col min="49" max="52" width="15.26953125" bestFit="1" customWidth="1"/>
    <col min="53" max="74" width="16" bestFit="1" customWidth="1"/>
  </cols>
  <sheetData>
    <row r="1" spans="1:74" x14ac:dyDescent="0.35">
      <c r="A1" s="33" t="s">
        <v>30</v>
      </c>
    </row>
    <row r="2" spans="1:74" x14ac:dyDescent="0.35">
      <c r="A2" s="25"/>
      <c r="BD2" s="47"/>
      <c r="BE2" s="47"/>
      <c r="BF2" s="47"/>
      <c r="BG2" s="47"/>
      <c r="BH2" s="47"/>
      <c r="BI2" s="47"/>
      <c r="BJ2" s="47"/>
      <c r="BK2" s="47"/>
      <c r="BL2" s="47"/>
      <c r="BM2" s="47"/>
      <c r="BN2" s="47"/>
      <c r="BO2" s="47"/>
      <c r="BP2" s="47"/>
      <c r="BQ2" s="47"/>
      <c r="BR2" s="47"/>
      <c r="BS2" s="47"/>
      <c r="BT2" s="47"/>
      <c r="BU2" s="47"/>
      <c r="BV2" s="47"/>
    </row>
    <row r="3" spans="1:74" x14ac:dyDescent="0.35">
      <c r="B3" s="10">
        <v>43466</v>
      </c>
      <c r="C3" s="10">
        <v>43497</v>
      </c>
      <c r="D3" s="10">
        <v>43525</v>
      </c>
      <c r="E3" s="10">
        <v>43556</v>
      </c>
      <c r="F3" s="10">
        <v>43586</v>
      </c>
      <c r="G3" s="10">
        <v>43617</v>
      </c>
      <c r="H3" s="10">
        <v>43647</v>
      </c>
      <c r="I3" s="10">
        <v>43678</v>
      </c>
      <c r="J3" s="10">
        <v>43709</v>
      </c>
      <c r="K3" s="10">
        <v>43739</v>
      </c>
      <c r="L3" s="10">
        <v>43770</v>
      </c>
      <c r="M3" s="10">
        <v>43800</v>
      </c>
      <c r="N3" s="10">
        <v>43831</v>
      </c>
      <c r="O3" s="10">
        <v>43862</v>
      </c>
      <c r="P3" s="10">
        <v>43891</v>
      </c>
      <c r="Q3" s="10">
        <v>43922</v>
      </c>
      <c r="R3" s="10">
        <v>43952</v>
      </c>
      <c r="S3" s="10">
        <v>43983</v>
      </c>
      <c r="T3" s="10">
        <v>44013</v>
      </c>
      <c r="U3" s="10">
        <v>44044</v>
      </c>
      <c r="V3" s="10">
        <v>44075</v>
      </c>
      <c r="W3" s="10">
        <v>44105</v>
      </c>
      <c r="X3" s="10">
        <v>44136</v>
      </c>
      <c r="Y3" s="10">
        <v>44166</v>
      </c>
      <c r="Z3" s="10">
        <v>44197</v>
      </c>
      <c r="AA3" s="10">
        <v>44228</v>
      </c>
      <c r="AB3" s="10">
        <v>44256</v>
      </c>
      <c r="AC3" s="10">
        <v>44287</v>
      </c>
      <c r="AD3" s="10">
        <v>44317</v>
      </c>
      <c r="AE3" s="10">
        <v>44348</v>
      </c>
      <c r="AF3" s="10">
        <v>44378</v>
      </c>
      <c r="AG3" s="10">
        <v>44409</v>
      </c>
      <c r="AH3" s="10">
        <v>44440</v>
      </c>
      <c r="AI3" s="10">
        <v>44470</v>
      </c>
      <c r="AJ3" s="10">
        <v>44501</v>
      </c>
      <c r="AK3" s="10">
        <v>44531</v>
      </c>
      <c r="AL3" s="10">
        <v>44562</v>
      </c>
      <c r="AM3" s="10">
        <v>44593</v>
      </c>
      <c r="AN3" s="10">
        <v>44621</v>
      </c>
      <c r="AO3" s="10">
        <v>44652</v>
      </c>
      <c r="AP3" s="10">
        <v>44682</v>
      </c>
      <c r="AQ3" s="10">
        <v>44713</v>
      </c>
      <c r="AR3" s="10">
        <v>44743</v>
      </c>
      <c r="AS3" s="10">
        <v>44774</v>
      </c>
      <c r="AT3" s="10">
        <v>44805</v>
      </c>
      <c r="AU3" s="10">
        <v>44835</v>
      </c>
      <c r="AV3" s="10">
        <v>44866</v>
      </c>
      <c r="AW3" s="10">
        <v>44896</v>
      </c>
      <c r="AX3" s="10">
        <v>44927</v>
      </c>
      <c r="AY3" s="10">
        <v>44958</v>
      </c>
      <c r="AZ3" s="10">
        <v>44986</v>
      </c>
      <c r="BA3" s="10">
        <v>45017</v>
      </c>
      <c r="BB3" s="10">
        <v>45047</v>
      </c>
      <c r="BC3" s="10">
        <v>45078</v>
      </c>
      <c r="BD3" s="10">
        <v>45108</v>
      </c>
      <c r="BE3" s="10">
        <v>45139</v>
      </c>
      <c r="BF3" s="10">
        <v>45170</v>
      </c>
      <c r="BG3" s="10">
        <v>45200</v>
      </c>
      <c r="BH3" s="10">
        <v>45231</v>
      </c>
      <c r="BI3" s="10">
        <v>45261</v>
      </c>
      <c r="BJ3" s="10">
        <v>45292</v>
      </c>
      <c r="BK3" s="10">
        <v>45323</v>
      </c>
      <c r="BL3" s="10">
        <v>45352</v>
      </c>
      <c r="BM3" s="10">
        <v>45383</v>
      </c>
      <c r="BN3" s="10">
        <v>45413</v>
      </c>
      <c r="BO3" s="10">
        <v>45444</v>
      </c>
      <c r="BP3" s="10">
        <v>45474</v>
      </c>
      <c r="BQ3" s="10">
        <v>45505</v>
      </c>
      <c r="BR3" s="10">
        <v>45536</v>
      </c>
      <c r="BS3" s="10">
        <v>45566</v>
      </c>
      <c r="BT3" s="10">
        <v>45597</v>
      </c>
      <c r="BU3" s="10">
        <v>45627</v>
      </c>
      <c r="BV3" s="10">
        <v>45658</v>
      </c>
    </row>
    <row r="4" spans="1:74" x14ac:dyDescent="0.35">
      <c r="A4" s="36" t="s">
        <v>38</v>
      </c>
      <c r="B4" s="32"/>
      <c r="C4" s="32"/>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row>
    <row r="5" spans="1:74" x14ac:dyDescent="0.35">
      <c r="A5" t="s">
        <v>33</v>
      </c>
      <c r="B5" s="37"/>
      <c r="C5" s="37"/>
      <c r="D5" s="41">
        <v>0</v>
      </c>
      <c r="E5" s="41">
        <v>3542.7066619947968</v>
      </c>
      <c r="F5" s="41">
        <v>30136.455518898227</v>
      </c>
      <c r="G5" s="41">
        <v>273500.38459568418</v>
      </c>
      <c r="H5" s="41">
        <v>714630.19454973028</v>
      </c>
      <c r="I5" s="41">
        <v>1252115.2720556506</v>
      </c>
      <c r="J5" s="41">
        <v>1625934.6179925092</v>
      </c>
      <c r="K5" s="41">
        <v>1762960.5580065004</v>
      </c>
      <c r="L5" s="41">
        <v>2036259.811498007</v>
      </c>
      <c r="M5" s="41">
        <v>2499434.2156662</v>
      </c>
      <c r="N5" s="41">
        <f>3024353.08836572+6554.1</f>
        <v>3030907.1883657202</v>
      </c>
      <c r="O5" s="41">
        <f>3505159.86672899+192583.941016507</f>
        <v>3697743.8077454967</v>
      </c>
      <c r="P5" s="41">
        <f>3914603.11678053+237854.1</f>
        <v>4152457.2167805303</v>
      </c>
      <c r="Q5" s="41">
        <f>4070172.11038659+291838.588071724</f>
        <v>4362010.6984583139</v>
      </c>
      <c r="R5" s="41">
        <f>4229610.15303022+367485.985727049</f>
        <v>4597096.1387572698</v>
      </c>
      <c r="S5" s="41">
        <f>4592560.83505275+739295.933491184</f>
        <v>5331856.7685439344</v>
      </c>
      <c r="T5" s="41">
        <f>4990515.09833128+1344897.95339866</f>
        <v>6335413.0517299399</v>
      </c>
      <c r="U5" s="41">
        <f>5418265.12134377+2113348.33467618</f>
        <v>7531613.4560199501</v>
      </c>
      <c r="V5" s="41">
        <f>5789061.85817861+2752702.49586261</f>
        <v>8541764.3540412206</v>
      </c>
      <c r="W5" s="41">
        <f>5952563.39140542+3033444.35764041</f>
        <v>8986007.7490458302</v>
      </c>
      <c r="X5" s="41">
        <f>6134018.54500076+3442711.84437844</f>
        <v>9576730.3893791996</v>
      </c>
      <c r="Y5" s="41">
        <f>6322661.25581799+3993133.58828793</f>
        <v>10315794.84410592</v>
      </c>
      <c r="Z5" s="41">
        <f>6984.86+4559187.38175189+6509848.95791205</f>
        <v>11076021.199663941</v>
      </c>
      <c r="AA5" s="41">
        <f>6677794.05853156+5094820.43416596+38291.8049859144</f>
        <v>11810906.297683435</v>
      </c>
      <c r="AB5" s="41">
        <f>6858524.1413342+5634008.99556086+108423.687063481</f>
        <v>12600956.823958542</v>
      </c>
      <c r="AC5" s="41">
        <f>7024584.84737362+6091540.15699686+197422.977619697</f>
        <v>13313547.981990177</v>
      </c>
      <c r="AD5" s="41">
        <f>7197760.72201452+6577186.55853686+326606.30736373</f>
        <v>14101553.587915111</v>
      </c>
      <c r="AE5" s="41">
        <f>7874415.13583633+7588257.96393303+811663.040210789</f>
        <v>16274336.13998015</v>
      </c>
      <c r="AF5" s="41">
        <f>8012134.15630774+9371259.89153676+1546655.20030572</f>
        <v>18930049.248150218</v>
      </c>
      <c r="AG5" s="41">
        <f>10852823.9399505+8439884.17932023+2402203.76938233</f>
        <v>21694911.888653059</v>
      </c>
      <c r="AH5" s="41">
        <f>8810680.91615507+11910809.4471491+3066829.20571084</f>
        <v>23788319.569015007</v>
      </c>
      <c r="AI5" s="41">
        <f>8974182.44938188+12349883.7615509+3324782.66781071</f>
        <v>24648848.878743492</v>
      </c>
      <c r="AJ5" s="42">
        <f>12861596.6003085+9155637.60297722+3613076.53428695</f>
        <v>25630310.73757267</v>
      </c>
      <c r="AK5" s="42">
        <f>9344280.31379445+13437972.9515877+4051260.68849144</f>
        <v>26833513.95387359</v>
      </c>
      <c r="AL5" s="42">
        <f>9531468.01588851+14011128.6257676+4661679.55294169+632.764547216621</f>
        <v>28204908.959145017</v>
      </c>
      <c r="AM5" s="42">
        <f>14520794.458196+9699413.11650802+5166009.79211778+5737.54224147814</f>
        <v>29391954.90906328</v>
      </c>
      <c r="AN5" s="42">
        <f>9699413.11650802+14520794.458196+5595900.41022824+18573.8326925126</f>
        <v>29834681.817624774</v>
      </c>
      <c r="AO5" s="42">
        <f>9699413.11650802+14520794.458196+5977459.732555+31754.7587333806</f>
        <v>30229422.065992404</v>
      </c>
      <c r="AP5" s="42">
        <f>9699413.11650802+14520794.458196+6395560.0926955+58082.0856497526</f>
        <v>30673849.753049273</v>
      </c>
      <c r="AQ5" s="42">
        <f>9699413.11650802+14520794.458196+7605739.92725045+259398.980000996</f>
        <v>32085346.481955465</v>
      </c>
      <c r="AR5" s="42">
        <f>9699413.11650802+14520794.458196+9039880.06402909+619576.334553113</f>
        <v>33879663.973286226</v>
      </c>
      <c r="AS5" s="42">
        <f>9699413.11650802+14520794.458196+1053741.44131795+10330774.9142283</f>
        <v>35604723.930250272</v>
      </c>
      <c r="AT5" s="42">
        <f>9699413.11650802+14520794.458196+11258398.7953183+1306770.70420712</f>
        <v>36785377.074229442</v>
      </c>
      <c r="AU5" s="42">
        <f>9699413.11650802+14520794.458196+11630977.3781916+1356995.49979424</f>
        <v>37208180.452689856</v>
      </c>
      <c r="AV5" s="42">
        <f>9699413.11650802+14520794.458196+12039294.9318788+1428599.68159395</f>
        <v>37688102.188176766</v>
      </c>
      <c r="AW5" s="42">
        <f>9699413.11650802+14520794.458196+12510998.0479923+1563007.30063131</f>
        <v>38294212.923327632</v>
      </c>
      <c r="AX5" s="42">
        <f>9699413.11650802+14520794.458196+12982130.6257778+376.243509130826+1734451.85338512</f>
        <v>38937166.297376066</v>
      </c>
      <c r="AY5" s="42">
        <f>9699413.11650802+14520794.458196+13393368.0246789+1872149.53036979+5134.30018548908</f>
        <v>39490859.429938197</v>
      </c>
      <c r="AZ5" s="42">
        <f>9699413.11650802+14520794.458196+13802495.2513428+1980168.66559029+17640.4690825657</f>
        <v>40020511.960719675</v>
      </c>
      <c r="BA5" s="42">
        <f>9699413.11650802+14520794.458196+14165900.9191705+2049935.60663934+30352.4986154635</f>
        <v>40466396.599129327</v>
      </c>
      <c r="BB5" s="42">
        <f>9699413.11650802+14520794.458196+14562720.4243106+2162617.44838752+55317.8814672892</f>
        <v>41000863.328869432</v>
      </c>
      <c r="BC5" s="42">
        <f>9699413.11650802+14520794.458196+15675777.5553598+2804317.01859943+235819.966019282</f>
        <v>42936122.114682525</v>
      </c>
      <c r="BD5" s="42">
        <f>9699413.11650802+14520794.458196+15675777.5553598+2725873.7948759+576663.327681544</f>
        <v>43198522.252621256</v>
      </c>
      <c r="BE5" s="42">
        <f>9699413.11650802+14520794.458196+15675777.5553598+2651356.30077458+994391.752556414</f>
        <v>43541733.183394812</v>
      </c>
      <c r="BF5" s="42">
        <f>9699413.11650802+14520794.458196+15675777.5553598+2601597.08584258+1240235.36012526</f>
        <v>43737817.576031655</v>
      </c>
      <c r="BG5" s="42">
        <f>9699413.11650802+14520794.458196+15675777.5553598+2600401.46650672+1288599.07305335</f>
        <v>43784985.669623889</v>
      </c>
      <c r="BH5" s="271">
        <f>BG5+BH14</f>
        <v>43862290.001823537</v>
      </c>
      <c r="BI5" s="271">
        <f t="shared" ref="BI5:BV5" si="0">BH5+BI14</f>
        <v>44019137.50480549</v>
      </c>
      <c r="BJ5" s="271">
        <f t="shared" si="0"/>
        <v>44199743.307769835</v>
      </c>
      <c r="BK5" s="271">
        <f t="shared" si="0"/>
        <v>44355141.337731794</v>
      </c>
      <c r="BL5" s="271">
        <f t="shared" si="0"/>
        <v>44483076.253527358</v>
      </c>
      <c r="BM5" s="271">
        <f t="shared" si="0"/>
        <v>44569960.732790515</v>
      </c>
      <c r="BN5" s="271">
        <f t="shared" si="0"/>
        <v>44700825.810172595</v>
      </c>
      <c r="BO5" s="271">
        <f t="shared" si="0"/>
        <v>45446258.430732034</v>
      </c>
      <c r="BP5" s="271">
        <f t="shared" si="0"/>
        <v>46513860.9904126</v>
      </c>
      <c r="BQ5" s="271">
        <f t="shared" si="0"/>
        <v>47589580.709603399</v>
      </c>
      <c r="BR5" s="271">
        <f t="shared" si="0"/>
        <v>48150211.961238541</v>
      </c>
      <c r="BS5" s="271">
        <f t="shared" si="0"/>
        <v>48260326.789517649</v>
      </c>
      <c r="BT5" s="271">
        <f t="shared" si="0"/>
        <v>48423868.785708055</v>
      </c>
      <c r="BU5" s="271">
        <f t="shared" si="0"/>
        <v>48708001.071625099</v>
      </c>
      <c r="BV5" s="271">
        <f t="shared" si="0"/>
        <v>49005366.150282748</v>
      </c>
    </row>
    <row r="6" spans="1:74" x14ac:dyDescent="0.35">
      <c r="A6" t="s">
        <v>34</v>
      </c>
      <c r="B6" s="37"/>
      <c r="C6" s="37"/>
      <c r="D6" s="41">
        <v>0.34412602678174997</v>
      </c>
      <c r="E6" s="41">
        <v>594.19753610000055</v>
      </c>
      <c r="F6" s="41">
        <v>8962.7201321071716</v>
      </c>
      <c r="G6" s="41">
        <v>32604.534313513876</v>
      </c>
      <c r="H6" s="41">
        <v>80268.39554484954</v>
      </c>
      <c r="I6" s="41">
        <v>133550.07117798761</v>
      </c>
      <c r="J6" s="41">
        <v>205226.49945065699</v>
      </c>
      <c r="K6" s="41">
        <v>266976.49556192581</v>
      </c>
      <c r="L6" s="41">
        <v>331278.27644167107</v>
      </c>
      <c r="M6" s="41">
        <v>412157.92982770345</v>
      </c>
      <c r="N6" s="41">
        <f>521623.159550585+1670.75143089162</f>
        <v>523293.91098147666</v>
      </c>
      <c r="O6" s="41">
        <f>603271.52828092+5976.78656574626</f>
        <v>609248.3148466663</v>
      </c>
      <c r="P6" s="41">
        <f>696199.317917802+14714.26</f>
        <v>710913.57791780203</v>
      </c>
      <c r="Q6" s="41">
        <f>723200.088718607+31418.0762713889</f>
        <v>754618.16498999589</v>
      </c>
      <c r="R6" s="41">
        <f>760016.621421969+66060.9194407934</f>
        <v>826077.54086276237</v>
      </c>
      <c r="S6" s="41">
        <f>804930.798867774+118900.240162753</f>
        <v>923831.039030527</v>
      </c>
      <c r="T6" s="41">
        <f>863286.796642103+201559.391010265</f>
        <v>1064846.1876523681</v>
      </c>
      <c r="U6" s="41">
        <f>893954.349070289+279384.341901059</f>
        <v>1173338.690971348</v>
      </c>
      <c r="V6" s="41">
        <f>925829.706887215+369147.536894573</f>
        <v>1294977.243781788</v>
      </c>
      <c r="W6" s="41">
        <f>949608.155526296+444877.201813712</f>
        <v>1394485.357340008</v>
      </c>
      <c r="X6" s="41">
        <f>969602.013839408+518731.625150986</f>
        <v>1488333.6389903941</v>
      </c>
      <c r="Y6" s="41">
        <f>990182.866694943+608329.824854209</f>
        <v>1598512.6915491521</v>
      </c>
      <c r="Z6" s="41">
        <f>0+776593.090757675+1011824.79610248</f>
        <v>1788417.886860155</v>
      </c>
      <c r="AA6" s="41">
        <f>1029034.80579473+894412.886148724+2123.67623167265</f>
        <v>1925571.3681751268</v>
      </c>
      <c r="AB6" s="41">
        <f>1048478.70553725+1021695.85675042+14720.0229147457</f>
        <v>2084894.5852024157</v>
      </c>
      <c r="AC6" s="41">
        <f>1067642.90338983+1141192.13644484+38669.3259791895</f>
        <v>2247504.3658138593</v>
      </c>
      <c r="AD6" s="41">
        <f>1092339.59759687+1294229.77021522+80015.0557464889</f>
        <v>2466584.4235585788</v>
      </c>
      <c r="AE6" s="41">
        <f>1507535.79045081+1122256.74477558+157730.002941148</f>
        <v>2787522.5381675377</v>
      </c>
      <c r="AF6" s="41">
        <f>1160368.10063368+1782072.99359045+278580.137918406</f>
        <v>3221021.232142536</v>
      </c>
      <c r="AG6" s="41">
        <f>2010411.61875989+1191035.65306186+394500.368310462</f>
        <v>3595947.6401322121</v>
      </c>
      <c r="AH6" s="41">
        <f>1222911.01087879+2193597.58661084+503852.755941809</f>
        <v>3920361.353431439</v>
      </c>
      <c r="AI6" s="41">
        <f>1246689.45951787+2322986.34341785+591339.197045792</f>
        <v>4161014.9999815118</v>
      </c>
      <c r="AJ6" s="42">
        <f>2438002.99350982+1266683.31783098+669149.789756822</f>
        <v>4373836.1010976229</v>
      </c>
      <c r="AK6" s="42">
        <f>1287264.17068652+2563126.31875897+761246.262553569</f>
        <v>4611636.7519990588</v>
      </c>
      <c r="AL6" s="42">
        <f>1308906.10009405+2693284.97400714+917775.9449877+0</f>
        <v>4919967.0190888904</v>
      </c>
      <c r="AM6" s="42">
        <f>2798291.22504549+1326116.1097863+1029761.45613839+1264.66094753981</f>
        <v>5155433.45191772</v>
      </c>
      <c r="AN6" s="42">
        <f>1326116.1097863+2798291.22504549+1120571.98756963+5885.2189218921</f>
        <v>5250864.5413233126</v>
      </c>
      <c r="AO6" s="42">
        <f>1326116.1097863+2798291.22504549+1221750.85239912+27935.8888811939</f>
        <v>5374094.0761121036</v>
      </c>
      <c r="AP6" s="42">
        <f>1326116.1097863+2798291.22504549+1357118.54572102+79710.1912231151</f>
        <v>5561236.0717759244</v>
      </c>
      <c r="AQ6" s="42">
        <f>1326116.1097863+2798291.22504549+1511441.5707505+176626.529760109</f>
        <v>5812475.4353423994</v>
      </c>
      <c r="AR6" s="42">
        <f>1326116.1097863+2798291.22504549+1707023.36628322+319999.721179796</f>
        <v>6151430.4222948067</v>
      </c>
      <c r="AS6" s="42">
        <f>1326116.1097863+2798291.22504549+454846.511296653+1849884.17316714</f>
        <v>6429138.0192955835</v>
      </c>
      <c r="AT6" s="42">
        <f>1326116.1097863+2798291.22504549+2003391.23629245+577270.594516963</f>
        <v>6705069.1656412026</v>
      </c>
      <c r="AU6" s="42">
        <f>1326116.1097863+2798291.22504549+2097895.00412851+651968.092678614</f>
        <v>6874270.4316389142</v>
      </c>
      <c r="AV6" s="42">
        <f>1326116.1097863+2798291.22504549+2185278.44427812+704886.269665586</f>
        <v>7014572.048775496</v>
      </c>
      <c r="AW6" s="42">
        <f>1326116.1097863+2798291.22504549+2272820.42281489+770355.542321734</f>
        <v>7167583.299968414</v>
      </c>
      <c r="AX6" s="42">
        <f>1326116.1097863+2798291.22504549+2363993.30117394+0+894012.498550058</f>
        <v>7382413.1345557878</v>
      </c>
      <c r="AY6" s="42">
        <f>1326116.1097863+2798291.22504549+2434131.84661504+977534.541146265+882.692513497488</f>
        <v>7536956.4151065927</v>
      </c>
      <c r="AZ6" s="42">
        <f>1326116.1097863+2798291.22504549+2514608.6270766+1068536.85899938+5957.88315551048</f>
        <v>7713510.7040632814</v>
      </c>
      <c r="BA6" s="42">
        <f>1326116.1097863+2798291.22504549+2604591.21473204+1164917.58698902+16781.3450459297</f>
        <v>7910697.4815987805</v>
      </c>
      <c r="BB6" s="42">
        <f>1326116.1097863+2798291.22504549+2725598.07512467+1294081.71585793+36405.5097137593</f>
        <v>8180492.6355281491</v>
      </c>
      <c r="BC6" s="42">
        <f>1326116.1097863+2798291.22504549+2863843.26613303+1471255.0156942+69900.5901385183</f>
        <v>8529406.2067975383</v>
      </c>
      <c r="BD6" s="42">
        <f>1326116.1097863+2798291.22504549+2863843.26613303+1538737.71319896+125168.680284274</f>
        <v>8652156.9944480546</v>
      </c>
      <c r="BE6" s="42">
        <f>1326116.1097863+2798291.22504549+2863843.26613303+1597451.0707789+174395.320550258</f>
        <v>8760096.9922939781</v>
      </c>
      <c r="BF6" s="42">
        <f>1326116.1097863+2798291.22504549+2863843.26613303+1642186.13815944+232228.023407007</f>
        <v>8862664.7625312675</v>
      </c>
      <c r="BG6" s="42">
        <f>1326116.1097863+2798291.22504549+2863843.26613303+1669487.5907063+281678.262182611</f>
        <v>8939416.4538537301</v>
      </c>
      <c r="BH6" s="271">
        <f t="shared" ref="BH6:BV10" si="1">BG6+BH15</f>
        <v>9014544.3533494771</v>
      </c>
      <c r="BI6" s="271">
        <f t="shared" si="1"/>
        <v>9111349.1064684875</v>
      </c>
      <c r="BJ6" s="271">
        <f t="shared" si="1"/>
        <v>9223896.8033656403</v>
      </c>
      <c r="BK6" s="271">
        <f t="shared" si="1"/>
        <v>9311356.3640649263</v>
      </c>
      <c r="BL6" s="271">
        <f t="shared" si="1"/>
        <v>9411502.7704604361</v>
      </c>
      <c r="BM6" s="271">
        <f t="shared" si="1"/>
        <v>9525166.0565428324</v>
      </c>
      <c r="BN6" s="271">
        <f t="shared" si="1"/>
        <v>9680848.7175150402</v>
      </c>
      <c r="BO6" s="271">
        <f t="shared" si="1"/>
        <v>9902935.949803073</v>
      </c>
      <c r="BP6" s="271">
        <f t="shared" si="1"/>
        <v>10200335.267943762</v>
      </c>
      <c r="BQ6" s="271">
        <f t="shared" si="1"/>
        <v>10460253.608982254</v>
      </c>
      <c r="BR6" s="271">
        <f t="shared" si="1"/>
        <v>10707390.794794632</v>
      </c>
      <c r="BS6" s="271">
        <f t="shared" si="1"/>
        <v>10882497.43894814</v>
      </c>
      <c r="BT6" s="271">
        <f t="shared" si="1"/>
        <v>11041058.523242164</v>
      </c>
      <c r="BU6" s="271">
        <f t="shared" si="1"/>
        <v>11226395.03878138</v>
      </c>
      <c r="BV6" s="271">
        <f t="shared" si="1"/>
        <v>11432238.614245534</v>
      </c>
    </row>
    <row r="7" spans="1:74" x14ac:dyDescent="0.35">
      <c r="A7" t="s">
        <v>35</v>
      </c>
      <c r="B7" s="37"/>
      <c r="C7" s="37"/>
      <c r="D7" s="41">
        <v>0.36790548240712501</v>
      </c>
      <c r="E7" s="41">
        <v>549.75215057062348</v>
      </c>
      <c r="F7" s="41">
        <v>4372.2897437101055</v>
      </c>
      <c r="G7" s="41">
        <v>21153.622105764334</v>
      </c>
      <c r="H7" s="41">
        <v>61231.340486306894</v>
      </c>
      <c r="I7" s="41">
        <v>115000.17366148013</v>
      </c>
      <c r="J7" s="41">
        <v>193945.10714767221</v>
      </c>
      <c r="K7" s="41">
        <v>249871.45813878858</v>
      </c>
      <c r="L7" s="41">
        <v>333751.90722352377</v>
      </c>
      <c r="M7" s="41">
        <v>433032.97939606744</v>
      </c>
      <c r="N7" s="41">
        <f>579533.27131616+1779.61011819965</f>
        <v>581312.88143435959</v>
      </c>
      <c r="O7" s="41">
        <f>692712.313764346+6993.22536134082</f>
        <v>699705.53912568674</v>
      </c>
      <c r="P7" s="41">
        <f>802057.022470645+16835.3</f>
        <v>818892.32247064507</v>
      </c>
      <c r="Q7" s="41">
        <f>830485.556909839+33972.3172811836</f>
        <v>864457.87419102259</v>
      </c>
      <c r="R7" s="41">
        <f>873501.622596128+72093.2191642493</f>
        <v>945594.84176037728</v>
      </c>
      <c r="S7" s="41">
        <f>959608.626292992+169282.073851875</f>
        <v>1128890.7001448669</v>
      </c>
      <c r="T7" s="41">
        <f>1063968.34972717+322181.463908298</f>
        <v>1386149.813635468</v>
      </c>
      <c r="U7" s="41">
        <f>1132109.73254343+490797.70403803</f>
        <v>1622907.4365814601</v>
      </c>
      <c r="V7" s="41">
        <f>1180839.16663709+658085.33680828</f>
        <v>1838924.5034453701</v>
      </c>
      <c r="W7" s="41">
        <f>1205402.21221795+767856.843398324</f>
        <v>1973259.055616274</v>
      </c>
      <c r="X7" s="41">
        <f>1226779.22699359+875811.838749238</f>
        <v>2102591.065742828</v>
      </c>
      <c r="Y7" s="41">
        <f>1249739.71635683+1010773.71532626</f>
        <v>2260513.43168309</v>
      </c>
      <c r="Z7" s="41">
        <f>0+1256264.46478952+1274915.30517198</f>
        <v>2531179.7699615001</v>
      </c>
      <c r="AA7" s="41">
        <f>1295256.89646395+1432232.05331903+2525.18742867228</f>
        <v>2730014.137211652</v>
      </c>
      <c r="AB7" s="41">
        <f>1316919.61101593+1620232.2612029+12344.7393347992</f>
        <v>2949496.6115536294</v>
      </c>
      <c r="AC7" s="41">
        <f>1336562.80719841+1792062.84696792+29608.4619412363</f>
        <v>3158234.1161075658</v>
      </c>
      <c r="AD7" s="41">
        <f>1364213.18002425+2030517.79850015+64728.979249387</f>
        <v>3459459.957773787</v>
      </c>
      <c r="AE7" s="41">
        <f>2549754.60617245+1425464.68121639+168386.099342775</f>
        <v>4143605.3867316148</v>
      </c>
      <c r="AF7" s="41">
        <f>1501263.09053358+3187898.63459364+372102.983002732</f>
        <v>5061264.7081299517</v>
      </c>
      <c r="AG7" s="41">
        <f>3763039.58282068+1569404.47334984+630628.382039808</f>
        <v>5963072.4382103272</v>
      </c>
      <c r="AH7" s="41">
        <f>1618133.9074435+4145741.85127576+829495.511948318</f>
        <v>6593371.2706675781</v>
      </c>
      <c r="AI7" s="41">
        <f>1642696.95302437+4340932.71194229+946771.635258247</f>
        <v>6930401.3002249068</v>
      </c>
      <c r="AJ7" s="42">
        <f>4511328.49568154+1664073.9678+1077003.16208399</f>
        <v>7252405.6255655298</v>
      </c>
      <c r="AK7" s="42">
        <f>1687034.45716324+4693010.40818545+1265252.36631532</f>
        <v>7645297.2316640103</v>
      </c>
      <c r="AL7" s="42">
        <f>1712210.0459784+4891543.24166763+1641376.33795409+0</f>
        <v>8245129.6256001201</v>
      </c>
      <c r="AM7" s="42">
        <f>5052739.86375009+1732551.63727036+1911640.27318468+1253.42360332781</f>
        <v>8698185.1978084575</v>
      </c>
      <c r="AN7" s="42">
        <f>1732551.63727036+5052739.86375009+2185253.32904143+5560.80473366166</f>
        <v>8976105.6347955409</v>
      </c>
      <c r="AO7" s="42">
        <f>1732551.63727036+5052739.86375009+2421802.76369268+13061.702246392</f>
        <v>9220155.966959523</v>
      </c>
      <c r="AP7" s="42">
        <f>1732551.63727036+5052739.86375009+2732242.85704468+30368.5390695881</f>
        <v>9547902.8971347176</v>
      </c>
      <c r="AQ7" s="42">
        <f>1732551.63727036+5052739.86375009+3554036.62270559+100531.273858199</f>
        <v>10439859.397584239</v>
      </c>
      <c r="AR7" s="42">
        <f>1732551.63727036+5052739.86375009+4555528.26111546+212895.505013392</f>
        <v>11553715.267149301</v>
      </c>
      <c r="AS7" s="42">
        <f>1732551.63727036+5052739.86375009+322105.295763935+5405425.46925048</f>
        <v>12512822.266034864</v>
      </c>
      <c r="AT7" s="42">
        <f>1732551.63727036+5052739.86375009+5940374.03413964+432894.262969335</f>
        <v>13158559.798129426</v>
      </c>
      <c r="AU7" s="42">
        <f>1732551.63727036+5052739.86375009+6185683.31482982+516541.208139873</f>
        <v>13487516.023990141</v>
      </c>
      <c r="AV7" s="42">
        <f>1732551.63727036+5052739.86375009+6427587.47489393+621723.187010393</f>
        <v>13834602.162924774</v>
      </c>
      <c r="AW7" s="42">
        <f>1732551.63727036+5052739.86375009+6724543.17738958+765226.551964491</f>
        <v>14275061.230374523</v>
      </c>
      <c r="AX7" s="42">
        <f>1732551.63727036+5052739.86375009+7033657.05359013+0+1046352.64926319</f>
        <v>14865301.20387377</v>
      </c>
      <c r="AY7" s="42">
        <f>1732551.63727036+5052739.86375009+7286724.5347563+1246487.99032941+333.200114373932</f>
        <v>15318837.226220533</v>
      </c>
      <c r="AZ7" s="42">
        <f>1732551.63727036+5052739.86375009+7532980.417105+1450153.96256527+5256.06099845434</f>
        <v>15773681.941689175</v>
      </c>
      <c r="BA7" s="42">
        <f>1732551.63727036+5052739.86375009+7747365.79382671+1638917.41612305+18773.9252216811</f>
        <v>16190348.636191892</v>
      </c>
      <c r="BB7" s="42">
        <f>1732551.63727036+5052739.86375009+8030776.70478272+1887664.47097062+58219.3972568166</f>
        <v>16761952.074030606</v>
      </c>
      <c r="BC7" s="42">
        <f>1732551.63727036+5052739.86375009+8787728.85198008+2491756.93485828+181133.993378782</f>
        <v>18245911.281237591</v>
      </c>
      <c r="BD7" s="42">
        <f>1732551.63727036+5052739.86375009+8787728.85198008+2672811.67678943+368870.407800439</f>
        <v>18614702.437590402</v>
      </c>
      <c r="BE7" s="42">
        <f>1732551.63727036+5052739.86375009+8787728.85198008+2846040.35221831+563455.737105415</f>
        <v>18982516.442324255</v>
      </c>
      <c r="BF7" s="42">
        <f>1732551.63727036+5052739.86375009+8787728.85198008+2959091.28025452+729245.09269557</f>
        <v>19261356.725950621</v>
      </c>
      <c r="BG7" s="42">
        <f>1732551.63727036+5052739.86375009+8787728.85198008+3009057.1880443+829200.898573197</f>
        <v>19411278.439618029</v>
      </c>
      <c r="BH7" s="271">
        <f t="shared" si="1"/>
        <v>19572511.994333148</v>
      </c>
      <c r="BI7" s="271">
        <f t="shared" si="1"/>
        <v>19802860.569769446</v>
      </c>
      <c r="BJ7" s="271">
        <f t="shared" si="1"/>
        <v>20083914.940157413</v>
      </c>
      <c r="BK7" s="271">
        <f t="shared" si="1"/>
        <v>20316935.547713324</v>
      </c>
      <c r="BL7" s="271">
        <f t="shared" si="1"/>
        <v>20563681.873729665</v>
      </c>
      <c r="BM7" s="271">
        <f t="shared" si="1"/>
        <v>20792942.546781626</v>
      </c>
      <c r="BN7" s="271">
        <f t="shared" si="1"/>
        <v>21096431.458339211</v>
      </c>
      <c r="BO7" s="271">
        <f t="shared" si="1"/>
        <v>21905264.442032173</v>
      </c>
      <c r="BP7" s="271">
        <f t="shared" si="1"/>
        <v>22922117.407122001</v>
      </c>
      <c r="BQ7" s="271">
        <f t="shared" si="1"/>
        <v>23891469.513071395</v>
      </c>
      <c r="BR7" s="271">
        <f t="shared" si="1"/>
        <v>24557346.316248294</v>
      </c>
      <c r="BS7" s="271">
        <f t="shared" si="1"/>
        <v>24878929.295205336</v>
      </c>
      <c r="BT7" s="271">
        <f t="shared" si="1"/>
        <v>25202113.720620945</v>
      </c>
      <c r="BU7" s="271">
        <f t="shared" si="1"/>
        <v>25619630.703352645</v>
      </c>
      <c r="BV7" s="271">
        <f t="shared" si="1"/>
        <v>26101237.360795494</v>
      </c>
    </row>
    <row r="8" spans="1:74" x14ac:dyDescent="0.35">
      <c r="A8" t="s">
        <v>36</v>
      </c>
      <c r="B8" s="37"/>
      <c r="C8" s="37"/>
      <c r="D8" s="41">
        <v>0</v>
      </c>
      <c r="E8" s="41">
        <v>9.4764517045030008</v>
      </c>
      <c r="F8" s="41">
        <v>1001.8612523359196</v>
      </c>
      <c r="G8" s="41">
        <v>8293.9860897862109</v>
      </c>
      <c r="H8" s="41">
        <v>24288.931102469891</v>
      </c>
      <c r="I8" s="41">
        <v>41453.172801788984</v>
      </c>
      <c r="J8" s="41">
        <v>61773.602905509295</v>
      </c>
      <c r="K8" s="41">
        <v>74844.476160899911</v>
      </c>
      <c r="L8" s="41">
        <v>95075.729248894699</v>
      </c>
      <c r="M8" s="41">
        <v>112674.42131148028</v>
      </c>
      <c r="N8" s="41">
        <f>149116.898347914+2495.31522954858</f>
        <v>151612.21357746256</v>
      </c>
      <c r="O8" s="41">
        <f>172665.632653367+6538.78485075769</f>
        <v>179204.41750412469</v>
      </c>
      <c r="P8" s="41">
        <f>198999.065865354+10691.96</f>
        <v>209691.02586535399</v>
      </c>
      <c r="Q8" s="41">
        <f>214433.573100532+15615.411023237</f>
        <v>230048.98412376898</v>
      </c>
      <c r="R8" s="41">
        <f>242343.682470679+27991.6814994831</f>
        <v>270335.36397016211</v>
      </c>
      <c r="S8" s="41">
        <f>297369.307609895+63323.2565301678</f>
        <v>360692.56414006278</v>
      </c>
      <c r="T8" s="41">
        <f>362730.224368532+118569.426249392</f>
        <v>481299.650617924</v>
      </c>
      <c r="U8" s="41">
        <f>412752.536562742+186293.939799171</f>
        <v>599046.47636191302</v>
      </c>
      <c r="V8" s="41">
        <f>448555.758987872+240533.431923752</f>
        <v>689089.190911624</v>
      </c>
      <c r="W8" s="41">
        <f>466039.889115418+271152.510747429</f>
        <v>737192.39986284706</v>
      </c>
      <c r="X8" s="41">
        <f>479807.654110303+301823.984581678</f>
        <v>781631.63869198097</v>
      </c>
      <c r="Y8" s="41">
        <f>492620.282531948+334587.787583975</f>
        <v>827208.07011592295</v>
      </c>
      <c r="Z8" s="41">
        <f>0+404998.961227826+507702.970763227</f>
        <v>912701.93199105305</v>
      </c>
      <c r="AA8" s="41">
        <f>519531.525065896+453258.730301713+316.371186578605</f>
        <v>973106.62655418762</v>
      </c>
      <c r="AB8" s="41">
        <f>532830.166075627+502500.843764669+3963.41790250729</f>
        <v>1039294.4277428032</v>
      </c>
      <c r="AC8" s="41">
        <f>547019.363809894+546654.322579609+11464.3819369255</f>
        <v>1105138.0683264285</v>
      </c>
      <c r="AD8" s="41">
        <f>567945.679235313+609646.330934998+24787.8771092902</f>
        <v>1202379.8872796011</v>
      </c>
      <c r="AE8" s="41">
        <f>773000.268499781+613523.115995542+60077.2894046587</f>
        <v>1446600.6738999817</v>
      </c>
      <c r="AF8" s="41">
        <f>669235.396164724+967864.058982049+112905.624081451</f>
        <v>1750005.079228224</v>
      </c>
      <c r="AG8" s="41">
        <f>1151960.04943504+719257.708358934+173117.579850733</f>
        <v>2044335.3376447072</v>
      </c>
      <c r="AH8" s="41">
        <f>755060.930784064+1260176.06694011+217693.762991659</f>
        <v>2232930.7607158329</v>
      </c>
      <c r="AI8" s="41">
        <f>772545.06091161+1307692.62083338+257419.588297883</f>
        <v>2337657.270042873</v>
      </c>
      <c r="AJ8" s="42">
        <f>1351673.1816212+786312.825906495+284297.053843323</f>
        <v>2422283.0613710182</v>
      </c>
      <c r="AK8" s="42">
        <f>799125.45432814+1399034.41595677+314994.051434842</f>
        <v>2513153.9217197523</v>
      </c>
      <c r="AL8" s="42">
        <f>814208.142559419+1452580.08108288+379038.513362365+0</f>
        <v>2645826.7370046638</v>
      </c>
      <c r="AM8" s="42">
        <f>1496870.2614464+826036.696862088+423523.44703517+428.435255762638</f>
        <v>2746858.8405994209</v>
      </c>
      <c r="AN8" s="42">
        <f>826036.696862088+1496870.2614464+468169.116884432+1535.56018610456</f>
        <v>2792611.6353790243</v>
      </c>
      <c r="AO8" s="42">
        <f>826036.696862088+1496870.2614464+510857.629586714+3544.1139690049</f>
        <v>2837308.7018642067</v>
      </c>
      <c r="AP8" s="42">
        <f>826036.696862088+1496870.2614464+570980.908547959+8192.78926688263</f>
        <v>2902080.6561233299</v>
      </c>
      <c r="AQ8" s="42">
        <f>826036.696862088+1496870.2614464+728804.508263821+43751.9016745368</f>
        <v>3095463.3682468459</v>
      </c>
      <c r="AR8" s="42">
        <f>826036.696862088+1496870.2614464+918526.047082301+122033.571667777</f>
        <v>3363466.5770585663</v>
      </c>
      <c r="AS8" s="42">
        <f>826036.696862088+1496870.2614464+190553.352008513+1080573.10443634</f>
        <v>3594033.4147533411</v>
      </c>
      <c r="AT8" s="42">
        <f>826036.696862088+1496870.2614464+1181826.60791387+238338.634425976</f>
        <v>3743072.2006483339</v>
      </c>
      <c r="AU8" s="42">
        <f>826036.696862088+1496870.2614464+1226826.21548337+257812.134799825</f>
        <v>3807545.3085916834</v>
      </c>
      <c r="AV8" s="42">
        <f>826036.696862088+1496870.2614464+1267064.07506289+277169.800351937</f>
        <v>3867140.833723315</v>
      </c>
      <c r="AW8" s="42">
        <f>826036.696862088+1496870.2614464+1312629.27278731+299259.565821921</f>
        <v>3934795.7969177193</v>
      </c>
      <c r="AX8" s="42">
        <f>826036.696862088+1496870.2614464+1362474.5024747+0+362067.598588817</f>
        <v>4047449.0593720051</v>
      </c>
      <c r="AY8" s="42">
        <f>826036.696862088+1496870.2614464+1402404.20854405+401763.603458155+773.072474685892</f>
        <v>4127847.8427853794</v>
      </c>
      <c r="AZ8" s="42">
        <f>826036.696862088+1496870.2614464+1442686.07145245+444982.683323108+2676.13774296044</f>
        <v>4213251.8508270066</v>
      </c>
      <c r="BA8" s="42">
        <f>826036.696862088+1496870.2614464+1481312.59102927+491458.373276417+5986.4677394195</f>
        <v>4301664.390353594</v>
      </c>
      <c r="BB8" s="42">
        <f>826036.696862088+1496870.2614464+1535957.27021803+563092.984572772+13060.6091667066</f>
        <v>4435017.8222659975</v>
      </c>
      <c r="BC8" s="42">
        <f>826036.696862088+1496870.2614464+1680662.62154068+773124.700300392+33616.607400107</f>
        <v>4810310.8875496676</v>
      </c>
      <c r="BD8" s="42">
        <f>826036.696862088+1496870.2614464+1680662.62154068+858589.35892493+64463.3208059128</f>
        <v>4926622.2595800105</v>
      </c>
      <c r="BE8" s="42">
        <f>826036.696862088+1496870.2614464+1680662.62154068+940966.086668578+102118.943503546</f>
        <v>5046654.6100212913</v>
      </c>
      <c r="BF8" s="42">
        <f>826036.696862088+1496870.2614464+1680662.62154068+993118.242537058+137064.159626629</f>
        <v>5133751.9820128549</v>
      </c>
      <c r="BG8" s="42">
        <f>826036.696862088+1496870.2614464+1680662.62154068+1013775.55339483+157236.407258354</f>
        <v>5174581.5405023526</v>
      </c>
      <c r="BH8" s="271">
        <f t="shared" si="1"/>
        <v>5217272.6367550055</v>
      </c>
      <c r="BI8" s="271">
        <f t="shared" si="1"/>
        <v>5278420.4858023059</v>
      </c>
      <c r="BJ8" s="271">
        <f t="shared" si="1"/>
        <v>5354346.8131121006</v>
      </c>
      <c r="BK8" s="271">
        <f t="shared" si="1"/>
        <v>5417887.5424848124</v>
      </c>
      <c r="BL8" s="271">
        <f t="shared" si="1"/>
        <v>5483426.7701231977</v>
      </c>
      <c r="BM8" s="271">
        <f t="shared" si="1"/>
        <v>5545149.0280062621</v>
      </c>
      <c r="BN8" s="271">
        <f t="shared" si="1"/>
        <v>5633919.8619921468</v>
      </c>
      <c r="BO8" s="271">
        <f t="shared" si="1"/>
        <v>5909487.4058525469</v>
      </c>
      <c r="BP8" s="271">
        <f t="shared" si="1"/>
        <v>6251250.1727381237</v>
      </c>
      <c r="BQ8" s="271">
        <f t="shared" si="1"/>
        <v>6581986.1766785309</v>
      </c>
      <c r="BR8" s="271">
        <f t="shared" si="1"/>
        <v>6785914.1344580054</v>
      </c>
      <c r="BS8" s="271">
        <f t="shared" si="1"/>
        <v>6869797.8947941223</v>
      </c>
      <c r="BT8" s="271">
        <f t="shared" si="1"/>
        <v>6950292.8497422207</v>
      </c>
      <c r="BU8" s="271">
        <f t="shared" si="1"/>
        <v>7051197.462208244</v>
      </c>
      <c r="BV8" s="271">
        <f t="shared" si="1"/>
        <v>7170384.2672699615</v>
      </c>
    </row>
    <row r="9" spans="1:74" x14ac:dyDescent="0.35">
      <c r="A9" t="s">
        <v>37</v>
      </c>
      <c r="B9" s="37"/>
      <c r="C9" s="37"/>
      <c r="D9" s="41">
        <v>0</v>
      </c>
      <c r="E9" s="41">
        <v>0</v>
      </c>
      <c r="F9" s="41">
        <v>158.37627524588399</v>
      </c>
      <c r="G9" s="41">
        <v>755.54938000889456</v>
      </c>
      <c r="H9" s="41">
        <v>755.54938000889456</v>
      </c>
      <c r="I9" s="41">
        <v>925.36208771611018</v>
      </c>
      <c r="J9" s="41">
        <v>1379.3004935951622</v>
      </c>
      <c r="K9" s="41">
        <v>1835.58070746455</v>
      </c>
      <c r="L9" s="41">
        <v>6155.0061088806679</v>
      </c>
      <c r="M9" s="41">
        <v>8236.874151785245</v>
      </c>
      <c r="N9" s="41">
        <f>13562.7597608119+138.626164131286</f>
        <v>13701.385924943186</v>
      </c>
      <c r="O9" s="41">
        <f>17263.8824571859+353.550591382716</f>
        <v>17617.433048568615</v>
      </c>
      <c r="P9" s="41">
        <f>21317.282792059+586.93</f>
        <v>21904.212792058999</v>
      </c>
      <c r="Q9" s="41">
        <f>24168.0082624545+1718.74950926182</f>
        <v>25886.757771716319</v>
      </c>
      <c r="R9" s="41">
        <f>32203.5396191439+4982.55613938445</f>
        <v>37186.095758528347</v>
      </c>
      <c r="S9" s="41">
        <f>64792.9795908073+9659.39721839115</f>
        <v>74452.376809198453</v>
      </c>
      <c r="T9" s="41">
        <f>98806.2177037551+14952.0147372461</f>
        <v>113758.23244100119</v>
      </c>
      <c r="U9" s="41">
        <f>131838.40615304+21745.3743989093</f>
        <v>153583.78055194931</v>
      </c>
      <c r="V9" s="41">
        <f>149160.350157108+28725.5832532046</f>
        <v>177885.9334103126</v>
      </c>
      <c r="W9" s="41">
        <f>152614.128399062+34345.9926874673</f>
        <v>186960.12108652928</v>
      </c>
      <c r="X9" s="41">
        <f>155340.05703449+40087.6628308016</f>
        <v>195427.71986529158</v>
      </c>
      <c r="Y9" s="41">
        <f>158077.383578233+47393.8114639495</f>
        <v>205471.19504218252</v>
      </c>
      <c r="Z9" s="41">
        <f>0+55585.5858286291+160980.543334341</f>
        <v>216566.12916297009</v>
      </c>
      <c r="AA9" s="41">
        <f>163459.380508858+61970.7946914559+81.8331600744329</f>
        <v>225512.00836038834</v>
      </c>
      <c r="AB9" s="41">
        <f>166001.096711098+68438.977931473+539.260172682086</f>
        <v>234979.3348152531</v>
      </c>
      <c r="AC9" s="41">
        <f>168884.624573979+74783.2787675966+1316.83630350934</f>
        <v>244984.73964508492</v>
      </c>
      <c r="AD9" s="41">
        <f>175990.498122691+85254.1162564587+2444.8295092239</f>
        <v>263689.44388837361</v>
      </c>
      <c r="AE9" s="41">
        <f>112907.344246724+206920.02007512+5341.09515724763</f>
        <v>325168.45947909163</v>
      </c>
      <c r="AF9" s="41">
        <f>239230.818921814+142785.098528873+10311.9184670297</f>
        <v>392327.83591771673</v>
      </c>
      <c r="AG9" s="41">
        <f>171189.624703516+272263.007371098+15791.68697787</f>
        <v>459244.31905248394</v>
      </c>
      <c r="AH9" s="41">
        <f>289584.951375166+188671.00399183+20474.7546551417</f>
        <v>498730.71002213767</v>
      </c>
      <c r="AI9" s="41">
        <f>293038.72961712+197791.085502065+24292.1815736763</f>
        <v>515121.99669286131</v>
      </c>
      <c r="AJ9" s="42">
        <f>204735.633126684+295764.658252548+27747.6293437107</f>
        <v>528247.92072294268</v>
      </c>
      <c r="AK9" s="42">
        <f>298501.984796291+211647.654332588+31508.4493580767</f>
        <v>541658.08848695562</v>
      </c>
      <c r="AL9" s="42">
        <f>301405.144552399+218731.113645004+36145.6056325904+0</f>
        <v>556281.86382999341</v>
      </c>
      <c r="AM9" s="42">
        <f>224490.252079482+303883.981726917+39707.0999284502+0</f>
        <v>568081.33373484912</v>
      </c>
      <c r="AN9" s="42">
        <f>303883.981726917+224490.252079482+42919.4493251829+479.9651912062</f>
        <v>571773.64832278807</v>
      </c>
      <c r="AO9" s="42">
        <f>303883.981726917+224490.252079482+46248.9804806207+1355.21961145865</f>
        <v>575978.43389847828</v>
      </c>
      <c r="AP9" s="42">
        <f>303883.981726917+224490.252079482+51372.9123126338+2553.53283171903</f>
        <v>582300.67895075178</v>
      </c>
      <c r="AQ9" s="42">
        <f>303883.981726917+224490.252079482+64237.6461575233+6687.53924973621</f>
        <v>599299.41921365843</v>
      </c>
      <c r="AR9" s="42">
        <f>303883.981726917+224490.252079482+78647.7499756518+16731.9671927205</f>
        <v>623753.95097477117</v>
      </c>
      <c r="AS9" s="42">
        <f>303883.981726917+224490.252079482+27999.2815485758+91886.0464180515</f>
        <v>648259.56177302625</v>
      </c>
      <c r="AT9" s="42">
        <f>303883.981726917+224490.252079482+101109.981598991+36978.7722125651</f>
        <v>666462.98761795496</v>
      </c>
      <c r="AU9" s="42">
        <f>303883.981726917+224490.252079482+105469.788634032+40470.2048695911</f>
        <v>674314.22731002199</v>
      </c>
      <c r="AV9" s="42">
        <f>303883.981726917+224490.252079482+108799.502527816+42048.5036481409</f>
        <v>679222.23998235585</v>
      </c>
      <c r="AW9" s="42">
        <f>303883.981726917+224490.252079482+112157.299190141+44614.1117138448</f>
        <v>685145.64471038477</v>
      </c>
      <c r="AX9" s="42">
        <f>303883.981726917+224490.252079482+115542.127664184+0+47581.3145247701</f>
        <v>691497.67599535303</v>
      </c>
      <c r="AY9" s="42">
        <f>303883.981726917+224490.252079482+118249.833770243+50488.3158338303+0</f>
        <v>697112.38341047219</v>
      </c>
      <c r="AZ9" s="42">
        <f>303883.981726917+224490.252079482+121332.28852706+54102.7131128939+114.679390488596</f>
        <v>703923.91483684129</v>
      </c>
      <c r="BA9" s="42">
        <f>303883.981726917+224490.252079482+124488.592551701+58836.2434062336+345.703073949611</f>
        <v>712044.7728382831</v>
      </c>
      <c r="BB9" s="42">
        <f>303883.981726917+224490.252079482+129289.565259168+70206.7741306382+716.596272958325</f>
        <v>728587.16946916352</v>
      </c>
      <c r="BC9" s="42">
        <f>303883.981726917+224490.252079482+141161.75107072+119198.144956531+8376.26163751826</f>
        <v>797110.39147116826</v>
      </c>
      <c r="BD9" s="42">
        <f>303883.981726917+224490.252079482+141161.75107072+138355.628870877+25843.4576078165</f>
        <v>833735.07135581248</v>
      </c>
      <c r="BE9" s="42">
        <f>303883.981726917+224490.252079482+141161.75107072+158430.927803028+43939.7663014035</f>
        <v>871906.6789815505</v>
      </c>
      <c r="BF9" s="42">
        <f>303883.981726917+224490.252079482+141161.75107072+168289.375465041+53864.707918875</f>
        <v>891690.06826103502</v>
      </c>
      <c r="BG9" s="42">
        <f>303883.981726917+224490.252079482+141161.75107072+169462.27741854+56328.1826428716</f>
        <v>895326.44493853056</v>
      </c>
      <c r="BH9" s="271">
        <f t="shared" si="1"/>
        <v>897774.97891258309</v>
      </c>
      <c r="BI9" s="271">
        <f t="shared" si="1"/>
        <v>900268.79517605808</v>
      </c>
      <c r="BJ9" s="271">
        <f t="shared" si="1"/>
        <v>903163.54001985095</v>
      </c>
      <c r="BK9" s="271">
        <f t="shared" si="1"/>
        <v>905596.48289996549</v>
      </c>
      <c r="BL9" s="271">
        <f t="shared" si="1"/>
        <v>908979.94538480276</v>
      </c>
      <c r="BM9" s="271">
        <f t="shared" si="1"/>
        <v>914251.78717167024</v>
      </c>
      <c r="BN9" s="271">
        <f t="shared" si="1"/>
        <v>927174.22404171713</v>
      </c>
      <c r="BO9" s="271">
        <f t="shared" si="1"/>
        <v>978471.76842073002</v>
      </c>
      <c r="BP9" s="271">
        <f t="shared" si="1"/>
        <v>1037323.397942765</v>
      </c>
      <c r="BQ9" s="271">
        <f t="shared" si="1"/>
        <v>1098536.5389988655</v>
      </c>
      <c r="BR9" s="271">
        <f t="shared" si="1"/>
        <v>1131395.2383247258</v>
      </c>
      <c r="BS9" s="271">
        <f t="shared" si="1"/>
        <v>1139393.6751542138</v>
      </c>
      <c r="BT9" s="271">
        <f t="shared" si="1"/>
        <v>1145000.1372859066</v>
      </c>
      <c r="BU9" s="271">
        <f t="shared" si="1"/>
        <v>1150432.6388131648</v>
      </c>
      <c r="BV9" s="271">
        <f t="shared" si="1"/>
        <v>1156434.6855577815</v>
      </c>
    </row>
    <row r="10" spans="1:74" x14ac:dyDescent="0.35">
      <c r="A10" t="s">
        <v>29</v>
      </c>
      <c r="B10" s="37"/>
      <c r="C10" s="37"/>
      <c r="D10" s="41">
        <v>0</v>
      </c>
      <c r="E10" s="41">
        <v>0</v>
      </c>
      <c r="F10" s="41">
        <v>0</v>
      </c>
      <c r="G10" s="41">
        <v>0</v>
      </c>
      <c r="H10" s="41">
        <v>0</v>
      </c>
      <c r="I10" s="41">
        <v>1171.3068451326408</v>
      </c>
      <c r="J10" s="41">
        <v>3700.907022561827</v>
      </c>
      <c r="K10" s="41">
        <v>5539.3571582453487</v>
      </c>
      <c r="L10" s="41">
        <v>8956.0281318371599</v>
      </c>
      <c r="M10" s="41">
        <v>18324.45392310356</v>
      </c>
      <c r="N10" s="41">
        <f>43332.3471457788+0</f>
        <v>43332.347145778796</v>
      </c>
      <c r="O10" s="41">
        <f>61312.2701812421+397.830372724897</f>
        <v>61710.100553967</v>
      </c>
      <c r="P10" s="41">
        <f>77306.9724967612+1306.65</f>
        <v>78613.622496761192</v>
      </c>
      <c r="Q10" s="41">
        <f>82025.5913960804+3919.1783998443</f>
        <v>85944.769795924702</v>
      </c>
      <c r="R10" s="41">
        <f>86341.6270464909+8850.02127569848</f>
        <v>95191.648322189387</v>
      </c>
      <c r="S10" s="41">
        <f>93970.6450995064+24254.3883158056</f>
        <v>118225.03341531199</v>
      </c>
      <c r="T10" s="41">
        <f>102742.311172409+50641.4062829469</f>
        <v>153383.71745535589</v>
      </c>
      <c r="U10" s="41">
        <f>108938.808668724+93694.416165562</f>
        <v>202633.224834286</v>
      </c>
      <c r="V10" s="41">
        <f>114763.827420578+145189.028547583</f>
        <v>259952.85596816102</v>
      </c>
      <c r="W10" s="41">
        <f>118480.956904006+171088.895388388</f>
        <v>289569.85229239397</v>
      </c>
      <c r="X10" s="41">
        <f>123214.252638179+208353.48222588</f>
        <v>331567.73486405902</v>
      </c>
      <c r="Y10" s="41">
        <f>129344.073402799+259500.738190466</f>
        <v>388844.81159326504</v>
      </c>
      <c r="Z10" s="41">
        <f>799.79+312354.038127241+135524.962639303</f>
        <v>448678.790766544</v>
      </c>
      <c r="AA10" s="41">
        <f>140836.478882876+358768.703391212+4016.66050210166</f>
        <v>503621.84277618962</v>
      </c>
      <c r="AB10" s="41">
        <f>145722.158768433+404265.534773745+9755.2033449081</f>
        <v>559742.8968870861</v>
      </c>
      <c r="AC10" s="41">
        <f>149269.970968584+441306.979228605+15201.2788528235</f>
        <v>605778.22905001254</v>
      </c>
      <c r="AD10" s="41">
        <f>152562.42364876+479567.999959514+21941.0554776762</f>
        <v>654071.47908595018</v>
      </c>
      <c r="AE10" s="41">
        <f>573057.378040444+158294.666836985+41763.4466717188</f>
        <v>773115.49154914788</v>
      </c>
      <c r="AF10" s="41">
        <f>164852.742236285+680247.898900916+75559.8480492728</f>
        <v>920660.48918647377</v>
      </c>
      <c r="AG10" s="41">
        <f>785035.64649227+171049.2397326+119424.045189374</f>
        <v>1075508.931414244</v>
      </c>
      <c r="AH10" s="41">
        <f>176874.258484454+857256.672063742+160309.586464035</f>
        <v>1194440.5170122311</v>
      </c>
      <c r="AI10" s="41">
        <f>180591.387967882+889673.520472137+183844.378463774</f>
        <v>1254109.286903793</v>
      </c>
      <c r="AJ10" s="42">
        <f>928572.722849741+185324.683702055+219513.039009099</f>
        <v>1333410.4455608949</v>
      </c>
      <c r="AK10" s="42">
        <f>191454.504466675+975140.175482978+272473.779249956</f>
        <v>1439068.4591996088</v>
      </c>
      <c r="AL10" s="42">
        <f>197635.393703179+1021778.67845845+339694.198613752+0</f>
        <v>1559108.270775381</v>
      </c>
      <c r="AM10" s="42">
        <f>1062703.1835047+202946.909946752+394633.358575045+41.7668954428973</f>
        <v>1660325.2189219401</v>
      </c>
      <c r="AN10" s="42">
        <f>202946.909946752+1062703.1835047+440953.812245364+445.619668828348</f>
        <v>1707049.5253656444</v>
      </c>
      <c r="AO10" s="42">
        <f>202946.909946752+1062703.1835047+475391.946886287+1419.73476576688</f>
        <v>1742461.7751035059</v>
      </c>
      <c r="AP10" s="42">
        <f>202946.909946752+1062703.1835047+508134.549056442+4903.99859369373</f>
        <v>1778688.6411015878</v>
      </c>
      <c r="AQ10" s="42">
        <f>202946.909946752+1062703.1835047+587362.608319045+23954.5361468206</f>
        <v>1876967.2379173175</v>
      </c>
      <c r="AR10" s="42">
        <f>202946.909946752+1062703.1835047+679496.996258472+67791.5834972967</f>
        <v>2012938.6732072209</v>
      </c>
      <c r="AS10" s="42">
        <f>202946.909946752+1062703.1835047+122922.206635666+749459.303019057</f>
        <v>2138031.6031061751</v>
      </c>
      <c r="AT10" s="42">
        <f>202946.909946752+1062703.1835047+800766.761361204+175897.299313043</f>
        <v>2242314.1541256988</v>
      </c>
      <c r="AU10" s="42">
        <f>202946.909946752+1062703.1835047+827223.420147666+207333.733696471</f>
        <v>2300207.2472955892</v>
      </c>
      <c r="AV10" s="42">
        <f>202946.909946752+1062703.1835047+862103.571853189+245732.728575372</f>
        <v>2373486.3938800134</v>
      </c>
      <c r="AW10" s="42">
        <f>202946.909946752+1062703.1835047+910561.849696272+306080.547701211</f>
        <v>2482292.4908489352</v>
      </c>
      <c r="AX10" s="42">
        <f>202946.909946752+1062703.1835047+959393.462001548+200.891253625536+390737.332249141</f>
        <v>2615981.7789557665</v>
      </c>
      <c r="AY10" s="42">
        <f>202946.909946752+1062703.1835047+1000995.438811+456715.853885867+1761.32559458878</f>
        <v>2725122.7117429078</v>
      </c>
      <c r="AZ10" s="42">
        <f>202946.909946752+1062703.1835047+1037321.6671694+516870.06464314+5816.00239027841</f>
        <v>2825657.8276542705</v>
      </c>
      <c r="BA10" s="42">
        <f>202946.909946752+1062703.1835047+1063007.35842547+565286.730308686+15118.2579471997</f>
        <v>2909062.4401328075</v>
      </c>
      <c r="BB10" s="42">
        <f>202946.909946752+1062703.1835047+1086961.49697722+622731.337624391+36044.7780490751</f>
        <v>3011387.7061021379</v>
      </c>
      <c r="BC10" s="42">
        <f>202946.909946752+1062703.1835047+1148229.1782697+778762.560768504+118428.52988398</f>
        <v>3311070.3623736356</v>
      </c>
      <c r="BD10" s="42">
        <f>202946.909946752+1062703.1835047+1148229.1782697+796368.508738126+244983.82341064</f>
        <v>3455231.6038699178</v>
      </c>
      <c r="BE10" s="42">
        <f>202946.909946752+1062703.1835047+1148229.1782697+812360.231826526+385311.075195283</f>
        <v>3611550.5787429609</v>
      </c>
      <c r="BF10" s="42">
        <f>202946.909946752+1062703.1835047+1148229.1782697+823943.594642935+498115.142239004</f>
        <v>3735938.0086030904</v>
      </c>
      <c r="BG10" s="42">
        <f>202946.909946752+1062703.1835047+1148229.1782697+829428.844477461+549780.493122271</f>
        <v>3793088.6093208836</v>
      </c>
      <c r="BH10" s="271">
        <f t="shared" si="1"/>
        <v>3864075.2061020136</v>
      </c>
      <c r="BI10" s="271">
        <f t="shared" si="1"/>
        <v>3959780.1851873486</v>
      </c>
      <c r="BJ10" s="271">
        <f t="shared" si="1"/>
        <v>4063650.940565546</v>
      </c>
      <c r="BK10" s="271">
        <f t="shared" si="1"/>
        <v>4152661.4421683392</v>
      </c>
      <c r="BL10" s="271">
        <f t="shared" si="1"/>
        <v>4238952.2755332338</v>
      </c>
      <c r="BM10" s="271">
        <f t="shared" si="1"/>
        <v>4313996.1206122795</v>
      </c>
      <c r="BN10" s="271">
        <f t="shared" si="1"/>
        <v>4396619.702739968</v>
      </c>
      <c r="BO10" s="271">
        <f t="shared" si="1"/>
        <v>4603880.8651910191</v>
      </c>
      <c r="BP10" s="271">
        <f t="shared" si="1"/>
        <v>4873635.606309507</v>
      </c>
      <c r="BQ10" s="271">
        <f t="shared" si="1"/>
        <v>5143715.4360619709</v>
      </c>
      <c r="BR10" s="271">
        <f t="shared" si="1"/>
        <v>5357847.8004285572</v>
      </c>
      <c r="BS10" s="271">
        <f t="shared" si="1"/>
        <v>5466817.6947785066</v>
      </c>
      <c r="BT10" s="271">
        <f t="shared" si="1"/>
        <v>5598765.7167138848</v>
      </c>
      <c r="BU10" s="271">
        <f t="shared" si="1"/>
        <v>5779089.5132204304</v>
      </c>
      <c r="BV10" s="271">
        <f t="shared" si="1"/>
        <v>5972427.5437427852</v>
      </c>
    </row>
    <row r="11" spans="1:74" x14ac:dyDescent="0.35">
      <c r="A11" s="33" t="s">
        <v>31</v>
      </c>
      <c r="B11" s="31"/>
      <c r="C11" s="31"/>
      <c r="D11" s="44">
        <f>SUM(D5:D10)</f>
        <v>0.71203150918887492</v>
      </c>
      <c r="E11" s="44">
        <f t="shared" ref="E11:AW11" si="2">SUM(E5:E10)</f>
        <v>4696.1328003699246</v>
      </c>
      <c r="F11" s="44">
        <f t="shared" si="2"/>
        <v>44631.702922297307</v>
      </c>
      <c r="G11" s="44">
        <f t="shared" si="2"/>
        <v>336308.07648475753</v>
      </c>
      <c r="H11" s="44">
        <f t="shared" si="2"/>
        <v>881174.41106336564</v>
      </c>
      <c r="I11" s="44">
        <f t="shared" si="2"/>
        <v>1544215.3586297561</v>
      </c>
      <c r="J11" s="44">
        <f t="shared" si="2"/>
        <v>2091960.0350125048</v>
      </c>
      <c r="K11" s="44">
        <f t="shared" si="2"/>
        <v>2362027.9257338243</v>
      </c>
      <c r="L11" s="44">
        <f t="shared" si="2"/>
        <v>2811476.7586528142</v>
      </c>
      <c r="M11" s="44">
        <f t="shared" si="2"/>
        <v>3483860.8742763405</v>
      </c>
      <c r="N11" s="44">
        <f t="shared" si="2"/>
        <v>4344159.9274297412</v>
      </c>
      <c r="O11" s="44">
        <f t="shared" si="2"/>
        <v>5265229.6128245099</v>
      </c>
      <c r="P11" s="44">
        <f t="shared" si="2"/>
        <v>5992471.9783231523</v>
      </c>
      <c r="Q11" s="44">
        <f t="shared" si="2"/>
        <v>6322967.2493307423</v>
      </c>
      <c r="R11" s="44">
        <f t="shared" si="2"/>
        <v>6771481.6294312896</v>
      </c>
      <c r="S11" s="44">
        <f t="shared" si="2"/>
        <v>7937948.4820839018</v>
      </c>
      <c r="T11" s="44">
        <f t="shared" si="2"/>
        <v>9534850.6535320561</v>
      </c>
      <c r="U11" s="44">
        <f t="shared" si="2"/>
        <v>11283123.065320907</v>
      </c>
      <c r="V11" s="44">
        <f t="shared" si="2"/>
        <v>12802594.081558477</v>
      </c>
      <c r="W11" s="44">
        <f t="shared" si="2"/>
        <v>13567474.535243882</v>
      </c>
      <c r="X11" s="44">
        <f t="shared" si="2"/>
        <v>14476282.187533755</v>
      </c>
      <c r="Y11" s="44">
        <f t="shared" si="2"/>
        <v>15596345.04408953</v>
      </c>
      <c r="Z11" s="44">
        <f t="shared" si="2"/>
        <v>16973565.708406165</v>
      </c>
      <c r="AA11" s="44">
        <f t="shared" si="2"/>
        <v>18168732.280760981</v>
      </c>
      <c r="AB11" s="44">
        <f t="shared" si="2"/>
        <v>19469364.680159729</v>
      </c>
      <c r="AC11" s="44">
        <f t="shared" si="2"/>
        <v>20675187.500933129</v>
      </c>
      <c r="AD11" s="44">
        <f t="shared" si="2"/>
        <v>22147738.779501401</v>
      </c>
      <c r="AE11" s="44">
        <f t="shared" si="2"/>
        <v>25750348.689807523</v>
      </c>
      <c r="AF11" s="44">
        <f t="shared" si="2"/>
        <v>30275328.592755113</v>
      </c>
      <c r="AG11" s="44">
        <f t="shared" si="2"/>
        <v>34833020.555107035</v>
      </c>
      <c r="AH11" s="44">
        <f t="shared" si="2"/>
        <v>38228154.180864222</v>
      </c>
      <c r="AI11" s="44">
        <f t="shared" si="2"/>
        <v>39847153.732589431</v>
      </c>
      <c r="AJ11" s="44">
        <f t="shared" si="2"/>
        <v>41540493.891890675</v>
      </c>
      <c r="AK11" s="44">
        <f t="shared" si="2"/>
        <v>43584328.406942971</v>
      </c>
      <c r="AL11" s="44">
        <f t="shared" si="2"/>
        <v>46131222.475444056</v>
      </c>
      <c r="AM11" s="44">
        <f t="shared" si="2"/>
        <v>48220838.952045664</v>
      </c>
      <c r="AN11" s="44">
        <f t="shared" si="2"/>
        <v>49133086.802811086</v>
      </c>
      <c r="AO11" s="44">
        <f t="shared" si="2"/>
        <v>49979421.019930221</v>
      </c>
      <c r="AP11" s="44">
        <f t="shared" si="2"/>
        <v>51046058.698135592</v>
      </c>
      <c r="AQ11" s="44">
        <f t="shared" si="2"/>
        <v>53909411.340259925</v>
      </c>
      <c r="AR11" s="44">
        <f t="shared" si="2"/>
        <v>57584968.863970898</v>
      </c>
      <c r="AS11" s="44">
        <f t="shared" si="2"/>
        <v>60927008.79521326</v>
      </c>
      <c r="AT11" s="44">
        <f t="shared" si="2"/>
        <v>63300855.380392052</v>
      </c>
      <c r="AU11" s="44">
        <f t="shared" si="2"/>
        <v>64352033.691516206</v>
      </c>
      <c r="AV11" s="44">
        <f t="shared" ref="AV11" si="3">SUM(AV5:AV10)</f>
        <v>65457125.867462724</v>
      </c>
      <c r="AW11" s="44">
        <f t="shared" si="2"/>
        <v>66839091.386147611</v>
      </c>
      <c r="AX11" s="44">
        <f t="shared" ref="AX11:AY11" si="4">SUM(AX5:AX10)</f>
        <v>68539809.150128752</v>
      </c>
      <c r="AY11" s="44">
        <f t="shared" si="4"/>
        <v>69896736.00920409</v>
      </c>
      <c r="AZ11" s="44">
        <f t="shared" ref="AZ11:BA11" si="5">SUM(AZ5:AZ10)</f>
        <v>71250538.199790254</v>
      </c>
      <c r="BA11" s="44">
        <f t="shared" si="5"/>
        <v>72490214.320244685</v>
      </c>
      <c r="BB11" s="44">
        <f t="shared" ref="BB11:BC11" si="6">SUM(BB5:BB10)</f>
        <v>74118300.736265481</v>
      </c>
      <c r="BC11" s="44">
        <f t="shared" si="6"/>
        <v>78629931.244112119</v>
      </c>
      <c r="BD11" s="44">
        <f t="shared" ref="BD11:BE11" si="7">SUM(BD5:BD10)</f>
        <v>79680970.61946547</v>
      </c>
      <c r="BE11" s="44">
        <f t="shared" si="7"/>
        <v>80814458.485758856</v>
      </c>
      <c r="BF11" s="44">
        <f t="shared" ref="BF11:BG11" si="8">SUM(BF5:BF10)</f>
        <v>81623219.123390526</v>
      </c>
      <c r="BG11" s="44">
        <f t="shared" si="8"/>
        <v>81998677.157857418</v>
      </c>
      <c r="BH11" s="44">
        <f t="shared" ref="BH11:BT11" si="9">SUM(BH5:BH10)</f>
        <v>82428469.171275765</v>
      </c>
      <c r="BI11" s="44">
        <f t="shared" si="9"/>
        <v>83071816.647209138</v>
      </c>
      <c r="BJ11" s="44">
        <f t="shared" si="9"/>
        <v>83828716.344990388</v>
      </c>
      <c r="BK11" s="44">
        <f t="shared" si="9"/>
        <v>84459578.717063174</v>
      </c>
      <c r="BL11" s="44">
        <f t="shared" si="9"/>
        <v>85089619.888758689</v>
      </c>
      <c r="BM11" s="44">
        <f t="shared" si="9"/>
        <v>85661466.271905184</v>
      </c>
      <c r="BN11" s="44">
        <f t="shared" si="9"/>
        <v>86435819.774800688</v>
      </c>
      <c r="BO11" s="44">
        <f t="shared" si="9"/>
        <v>88746298.862031564</v>
      </c>
      <c r="BP11" s="44">
        <f t="shared" si="9"/>
        <v>91798522.842468753</v>
      </c>
      <c r="BQ11" s="44">
        <f t="shared" si="9"/>
        <v>94765541.983396441</v>
      </c>
      <c r="BR11" s="44">
        <f t="shared" si="9"/>
        <v>96690106.245492756</v>
      </c>
      <c r="BS11" s="44">
        <f t="shared" si="9"/>
        <v>97497762.788397953</v>
      </c>
      <c r="BT11" s="44">
        <f t="shared" si="9"/>
        <v>98361099.733313173</v>
      </c>
      <c r="BU11" s="44">
        <f t="shared" ref="BU11:BV11" si="10">SUM(BU5:BU10)</f>
        <v>99534746.428000957</v>
      </c>
      <c r="BV11" s="44">
        <f t="shared" si="10"/>
        <v>100838088.62189431</v>
      </c>
    </row>
    <row r="12" spans="1:74" x14ac:dyDescent="0.35">
      <c r="B12" s="37"/>
      <c r="C12" s="37"/>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row>
    <row r="13" spans="1:74" x14ac:dyDescent="0.35">
      <c r="A13" s="36" t="s">
        <v>39</v>
      </c>
      <c r="B13" s="37"/>
      <c r="C13" s="37"/>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286" t="s">
        <v>141</v>
      </c>
      <c r="BI13" s="272"/>
      <c r="BJ13" s="45"/>
      <c r="BK13" s="45"/>
      <c r="BL13" s="45"/>
      <c r="BM13" s="45"/>
      <c r="BN13" s="45"/>
      <c r="BO13" s="45"/>
      <c r="BP13" s="45"/>
      <c r="BQ13" s="45"/>
      <c r="BR13" s="45"/>
      <c r="BS13" s="45"/>
      <c r="BT13" s="45"/>
      <c r="BU13" s="45"/>
      <c r="BV13" s="45"/>
    </row>
    <row r="14" spans="1:74" x14ac:dyDescent="0.35">
      <c r="A14" s="38" t="s">
        <v>33</v>
      </c>
      <c r="B14" s="37"/>
      <c r="C14" s="37"/>
      <c r="D14" s="45">
        <f>D5-C5</f>
        <v>0</v>
      </c>
      <c r="E14" s="45">
        <f>IF(E5="","",E5-D5)</f>
        <v>3542.7066619947968</v>
      </c>
      <c r="F14" s="45">
        <f>IF(F5="","",F5-E5)</f>
        <v>26593.748856903429</v>
      </c>
      <c r="G14" s="45">
        <f t="shared" ref="G14:BG19" si="11">IF(G5="","",G5-F5)</f>
        <v>243363.92907678595</v>
      </c>
      <c r="H14" s="45">
        <f t="shared" si="11"/>
        <v>441129.8099540461</v>
      </c>
      <c r="I14" s="45">
        <f t="shared" si="11"/>
        <v>537485.07750592032</v>
      </c>
      <c r="J14" s="45">
        <f t="shared" si="11"/>
        <v>373819.34593685856</v>
      </c>
      <c r="K14" s="45">
        <f>IF(K5="","",K5-J5)</f>
        <v>137025.9400139912</v>
      </c>
      <c r="L14" s="45">
        <f>IF(L5="","",L5-K5)</f>
        <v>273299.25349150668</v>
      </c>
      <c r="M14" s="45">
        <f t="shared" si="11"/>
        <v>463174.404168193</v>
      </c>
      <c r="N14" s="45">
        <f t="shared" si="11"/>
        <v>531472.97269952018</v>
      </c>
      <c r="O14" s="45">
        <f t="shared" si="11"/>
        <v>666836.61937977653</v>
      </c>
      <c r="P14" s="45">
        <f t="shared" si="11"/>
        <v>454713.40903503355</v>
      </c>
      <c r="Q14" s="45">
        <f t="shared" si="11"/>
        <v>209553.48167778365</v>
      </c>
      <c r="R14" s="45">
        <f t="shared" si="11"/>
        <v>235085.44029895589</v>
      </c>
      <c r="S14" s="45">
        <f t="shared" si="11"/>
        <v>734760.62978666462</v>
      </c>
      <c r="T14" s="45">
        <f t="shared" si="11"/>
        <v>1003556.2831860054</v>
      </c>
      <c r="U14" s="45">
        <f t="shared" si="11"/>
        <v>1196200.4042900102</v>
      </c>
      <c r="V14" s="45">
        <f t="shared" si="11"/>
        <v>1010150.8980212705</v>
      </c>
      <c r="W14" s="45">
        <f t="shared" si="11"/>
        <v>444243.3950046096</v>
      </c>
      <c r="X14" s="45">
        <f>IF(X5="","",X5-W5)</f>
        <v>590722.64033336937</v>
      </c>
      <c r="Y14" s="45">
        <f t="shared" si="11"/>
        <v>739064.45472672023</v>
      </c>
      <c r="Z14" s="45">
        <f t="shared" si="11"/>
        <v>760226.35555802099</v>
      </c>
      <c r="AA14" s="45">
        <f t="shared" si="11"/>
        <v>734885.09801949374</v>
      </c>
      <c r="AB14" s="45">
        <f t="shared" si="11"/>
        <v>790050.52627510764</v>
      </c>
      <c r="AC14" s="45">
        <f t="shared" si="11"/>
        <v>712591.15803163499</v>
      </c>
      <c r="AD14" s="45">
        <f t="shared" si="11"/>
        <v>788005.60592493415</v>
      </c>
      <c r="AE14" s="45">
        <f t="shared" si="11"/>
        <v>2172782.5520650391</v>
      </c>
      <c r="AF14" s="45">
        <f t="shared" si="11"/>
        <v>2655713.1081700679</v>
      </c>
      <c r="AG14" s="45">
        <f t="shared" si="11"/>
        <v>2764862.6405028403</v>
      </c>
      <c r="AH14" s="45">
        <f t="shared" si="11"/>
        <v>2093407.6803619489</v>
      </c>
      <c r="AI14" s="45">
        <f t="shared" si="11"/>
        <v>860529.3097284846</v>
      </c>
      <c r="AJ14" s="45">
        <f t="shared" si="11"/>
        <v>981461.85882917792</v>
      </c>
      <c r="AK14" s="45">
        <f t="shared" si="11"/>
        <v>1203203.2163009197</v>
      </c>
      <c r="AL14" s="45">
        <f t="shared" si="11"/>
        <v>1371395.0052714273</v>
      </c>
      <c r="AM14" s="45">
        <f t="shared" si="11"/>
        <v>1187045.9499182627</v>
      </c>
      <c r="AN14" s="45">
        <f t="shared" si="11"/>
        <v>442726.9085614942</v>
      </c>
      <c r="AO14" s="45">
        <f t="shared" si="11"/>
        <v>394740.24836762995</v>
      </c>
      <c r="AP14" s="45">
        <f t="shared" si="11"/>
        <v>444427.68705686927</v>
      </c>
      <c r="AQ14" s="45">
        <f t="shared" si="11"/>
        <v>1411496.7289061919</v>
      </c>
      <c r="AR14" s="45">
        <f t="shared" si="11"/>
        <v>1794317.4913307615</v>
      </c>
      <c r="AS14" s="45">
        <f t="shared" si="11"/>
        <v>1725059.9569640458</v>
      </c>
      <c r="AT14" s="45">
        <f t="shared" si="11"/>
        <v>1180653.1439791694</v>
      </c>
      <c r="AU14" s="45">
        <f t="shared" si="11"/>
        <v>422803.37846041471</v>
      </c>
      <c r="AV14" s="45">
        <f t="shared" si="11"/>
        <v>479921.73548690975</v>
      </c>
      <c r="AW14" s="45">
        <f t="shared" si="11"/>
        <v>606110.73515086621</v>
      </c>
      <c r="AX14" s="45">
        <f t="shared" si="11"/>
        <v>642953.3740484342</v>
      </c>
      <c r="AY14" s="45">
        <f t="shared" si="11"/>
        <v>553693.13256213069</v>
      </c>
      <c r="AZ14" s="45">
        <f t="shared" si="11"/>
        <v>529652.53078147769</v>
      </c>
      <c r="BA14" s="45">
        <f t="shared" si="11"/>
        <v>445884.63840965182</v>
      </c>
      <c r="BB14" s="45">
        <f t="shared" si="11"/>
        <v>534466.72974010557</v>
      </c>
      <c r="BC14" s="45">
        <f t="shared" si="11"/>
        <v>1935258.7858130932</v>
      </c>
      <c r="BD14" s="45">
        <f t="shared" si="11"/>
        <v>262400.13793873042</v>
      </c>
      <c r="BE14" s="45">
        <f t="shared" si="11"/>
        <v>343210.93077355623</v>
      </c>
      <c r="BF14" s="45">
        <f t="shared" si="11"/>
        <v>196084.39263684303</v>
      </c>
      <c r="BG14" s="45">
        <f t="shared" si="11"/>
        <v>47168.093592233956</v>
      </c>
      <c r="BH14" s="272">
        <v>77304.332199644778</v>
      </c>
      <c r="BI14" s="272">
        <v>156847.50298195553</v>
      </c>
      <c r="BJ14" s="272">
        <v>180605.80296434404</v>
      </c>
      <c r="BK14" s="272">
        <v>155398.02996195524</v>
      </c>
      <c r="BL14" s="272">
        <v>127934.91579556238</v>
      </c>
      <c r="BM14" s="272">
        <v>86884.479263159854</v>
      </c>
      <c r="BN14" s="272">
        <v>130865.07738208059</v>
      </c>
      <c r="BO14" s="272">
        <v>745432.6205594358</v>
      </c>
      <c r="BP14" s="272">
        <v>1067602.559680569</v>
      </c>
      <c r="BQ14" s="272">
        <v>1075719.7191907971</v>
      </c>
      <c r="BR14" s="272">
        <v>560631.25163514446</v>
      </c>
      <c r="BS14" s="272">
        <v>110114.82827911116</v>
      </c>
      <c r="BT14" s="272">
        <v>163541.99619040426</v>
      </c>
      <c r="BU14" s="272">
        <v>284132.28591704695</v>
      </c>
      <c r="BV14" s="272">
        <v>297365.07865764602</v>
      </c>
    </row>
    <row r="15" spans="1:74" x14ac:dyDescent="0.35">
      <c r="A15" s="38" t="s">
        <v>34</v>
      </c>
      <c r="B15" s="37"/>
      <c r="C15" s="37"/>
      <c r="D15" s="45">
        <f t="shared" ref="D15:D19" si="12">D6-C6</f>
        <v>0.34412602678174997</v>
      </c>
      <c r="E15" s="45">
        <f t="shared" ref="E15:T19" si="13">IF(E6="","",E6-D6)</f>
        <v>593.85341007321881</v>
      </c>
      <c r="F15" s="45">
        <f t="shared" si="13"/>
        <v>8368.5225960071712</v>
      </c>
      <c r="G15" s="45">
        <f t="shared" si="13"/>
        <v>23641.814181406706</v>
      </c>
      <c r="H15" s="45">
        <f t="shared" si="13"/>
        <v>47663.861231335664</v>
      </c>
      <c r="I15" s="45">
        <f t="shared" si="13"/>
        <v>53281.675633138075</v>
      </c>
      <c r="J15" s="45">
        <f t="shared" si="13"/>
        <v>71676.428272669378</v>
      </c>
      <c r="K15" s="45">
        <f t="shared" si="13"/>
        <v>61749.996111268818</v>
      </c>
      <c r="L15" s="45">
        <f t="shared" si="13"/>
        <v>64301.78087974526</v>
      </c>
      <c r="M15" s="45">
        <f t="shared" si="13"/>
        <v>80879.653386032383</v>
      </c>
      <c r="N15" s="45">
        <f t="shared" si="13"/>
        <v>111135.9811537732</v>
      </c>
      <c r="O15" s="45">
        <f t="shared" si="13"/>
        <v>85954.403865189641</v>
      </c>
      <c r="P15" s="45">
        <f t="shared" si="13"/>
        <v>101665.26307113573</v>
      </c>
      <c r="Q15" s="45">
        <f t="shared" si="13"/>
        <v>43704.587072193855</v>
      </c>
      <c r="R15" s="45">
        <f t="shared" si="13"/>
        <v>71459.375872766483</v>
      </c>
      <c r="S15" s="45">
        <f t="shared" si="13"/>
        <v>97753.498167764628</v>
      </c>
      <c r="T15" s="45">
        <f t="shared" si="13"/>
        <v>141015.1486218411</v>
      </c>
      <c r="U15" s="45">
        <f t="shared" si="11"/>
        <v>108492.50331897987</v>
      </c>
      <c r="V15" s="45">
        <f t="shared" si="11"/>
        <v>121638.55281044007</v>
      </c>
      <c r="W15" s="45">
        <f t="shared" si="11"/>
        <v>99508.113558219979</v>
      </c>
      <c r="X15" s="45">
        <f t="shared" si="11"/>
        <v>93848.281650386052</v>
      </c>
      <c r="Y15" s="45">
        <f t="shared" si="11"/>
        <v>110179.05255875806</v>
      </c>
      <c r="Z15" s="45">
        <f t="shared" si="11"/>
        <v>189905.1953110029</v>
      </c>
      <c r="AA15" s="45">
        <f t="shared" si="11"/>
        <v>137153.48131497181</v>
      </c>
      <c r="AB15" s="45">
        <f t="shared" si="11"/>
        <v>159323.21702728886</v>
      </c>
      <c r="AC15" s="45">
        <f t="shared" si="11"/>
        <v>162609.78061144357</v>
      </c>
      <c r="AD15" s="45">
        <f t="shared" si="11"/>
        <v>219080.05774471955</v>
      </c>
      <c r="AE15" s="45">
        <f t="shared" si="11"/>
        <v>320938.11460895883</v>
      </c>
      <c r="AF15" s="45">
        <f t="shared" si="11"/>
        <v>433498.69397499831</v>
      </c>
      <c r="AG15" s="45">
        <f t="shared" si="11"/>
        <v>374926.40798967611</v>
      </c>
      <c r="AH15" s="45">
        <f t="shared" si="11"/>
        <v>324413.71329922695</v>
      </c>
      <c r="AI15" s="45">
        <f t="shared" si="11"/>
        <v>240653.64655007282</v>
      </c>
      <c r="AJ15" s="45">
        <f t="shared" si="11"/>
        <v>212821.10111611104</v>
      </c>
      <c r="AK15" s="45">
        <f t="shared" si="11"/>
        <v>237800.65090143587</v>
      </c>
      <c r="AL15" s="45">
        <f t="shared" si="11"/>
        <v>308330.26708983164</v>
      </c>
      <c r="AM15" s="45">
        <f t="shared" si="11"/>
        <v>235466.43282882962</v>
      </c>
      <c r="AN15" s="45">
        <f t="shared" si="11"/>
        <v>95431.089405592531</v>
      </c>
      <c r="AO15" s="45">
        <f t="shared" si="11"/>
        <v>123229.53478879109</v>
      </c>
      <c r="AP15" s="45">
        <f t="shared" si="11"/>
        <v>187141.99566382077</v>
      </c>
      <c r="AQ15" s="45">
        <f t="shared" si="11"/>
        <v>251239.36356647499</v>
      </c>
      <c r="AR15" s="45">
        <f t="shared" si="11"/>
        <v>338954.98695240729</v>
      </c>
      <c r="AS15" s="45">
        <f t="shared" si="11"/>
        <v>277707.59700077679</v>
      </c>
      <c r="AT15" s="45">
        <f t="shared" si="11"/>
        <v>275931.14634561911</v>
      </c>
      <c r="AU15" s="45">
        <f t="shared" si="11"/>
        <v>169201.26599771157</v>
      </c>
      <c r="AV15" s="45">
        <f t="shared" si="11"/>
        <v>140301.6171365818</v>
      </c>
      <c r="AW15" s="45">
        <f t="shared" si="11"/>
        <v>153011.25119291805</v>
      </c>
      <c r="AX15" s="45">
        <f t="shared" si="11"/>
        <v>214829.83458737377</v>
      </c>
      <c r="AY15" s="45">
        <f t="shared" si="11"/>
        <v>154543.28055080492</v>
      </c>
      <c r="AZ15" s="45">
        <f t="shared" si="11"/>
        <v>176554.28895668872</v>
      </c>
      <c r="BA15" s="45">
        <f t="shared" si="11"/>
        <v>197186.77753549907</v>
      </c>
      <c r="BB15" s="45">
        <f t="shared" si="11"/>
        <v>269795.15392936859</v>
      </c>
      <c r="BC15" s="45">
        <f t="shared" si="11"/>
        <v>348913.57126938924</v>
      </c>
      <c r="BD15" s="45">
        <f t="shared" si="11"/>
        <v>122750.78765051626</v>
      </c>
      <c r="BE15" s="45">
        <f t="shared" si="11"/>
        <v>107939.99784592353</v>
      </c>
      <c r="BF15" s="45">
        <f t="shared" si="11"/>
        <v>102567.77023728937</v>
      </c>
      <c r="BG15" s="45">
        <f t="shared" si="11"/>
        <v>76751.691322462633</v>
      </c>
      <c r="BH15" s="272">
        <v>75127.899495747799</v>
      </c>
      <c r="BI15" s="272">
        <v>96804.753119009954</v>
      </c>
      <c r="BJ15" s="272">
        <v>112547.69689715284</v>
      </c>
      <c r="BK15" s="272">
        <v>87459.560699286551</v>
      </c>
      <c r="BL15" s="272">
        <v>100146.40639551051</v>
      </c>
      <c r="BM15" s="272">
        <v>113663.28608239547</v>
      </c>
      <c r="BN15" s="272">
        <v>155682.66097220802</v>
      </c>
      <c r="BO15" s="272">
        <v>222087.23228803262</v>
      </c>
      <c r="BP15" s="272">
        <v>297399.31814068969</v>
      </c>
      <c r="BQ15" s="272">
        <v>259918.34103849245</v>
      </c>
      <c r="BR15" s="272">
        <v>247137.18581237772</v>
      </c>
      <c r="BS15" s="272">
        <v>175106.64415350743</v>
      </c>
      <c r="BT15" s="272">
        <v>158561.08429402518</v>
      </c>
      <c r="BU15" s="272">
        <v>185336.51553921588</v>
      </c>
      <c r="BV15" s="272">
        <v>205843.57546415285</v>
      </c>
    </row>
    <row r="16" spans="1:74" x14ac:dyDescent="0.35">
      <c r="A16" s="38" t="s">
        <v>35</v>
      </c>
      <c r="B16" s="37"/>
      <c r="C16" s="37"/>
      <c r="D16" s="45">
        <f t="shared" si="12"/>
        <v>0.36790548240712501</v>
      </c>
      <c r="E16" s="45">
        <f t="shared" si="13"/>
        <v>549.3842450882164</v>
      </c>
      <c r="F16" s="45">
        <f t="shared" si="13"/>
        <v>3822.5375931394819</v>
      </c>
      <c r="G16" s="45">
        <f t="shared" si="13"/>
        <v>16781.332362054229</v>
      </c>
      <c r="H16" s="45">
        <f t="shared" si="13"/>
        <v>40077.718380542559</v>
      </c>
      <c r="I16" s="45">
        <f t="shared" si="13"/>
        <v>53768.83317517324</v>
      </c>
      <c r="J16" s="45">
        <f t="shared" si="13"/>
        <v>78944.93348619208</v>
      </c>
      <c r="K16" s="45">
        <f t="shared" si="13"/>
        <v>55926.350991116371</v>
      </c>
      <c r="L16" s="45">
        <f t="shared" si="13"/>
        <v>83880.449084735184</v>
      </c>
      <c r="M16" s="45">
        <f t="shared" si="13"/>
        <v>99281.072172543674</v>
      </c>
      <c r="N16" s="45">
        <f t="shared" si="13"/>
        <v>148279.90203829214</v>
      </c>
      <c r="O16" s="45">
        <f t="shared" si="13"/>
        <v>118392.65769132716</v>
      </c>
      <c r="P16" s="45">
        <f t="shared" si="13"/>
        <v>119186.78334495833</v>
      </c>
      <c r="Q16" s="45">
        <f t="shared" si="13"/>
        <v>45565.551720377523</v>
      </c>
      <c r="R16" s="45">
        <f t="shared" si="13"/>
        <v>81136.967569354689</v>
      </c>
      <c r="S16" s="45">
        <f t="shared" si="13"/>
        <v>183295.85838448966</v>
      </c>
      <c r="T16" s="45">
        <f t="shared" si="13"/>
        <v>257259.11349060107</v>
      </c>
      <c r="U16" s="45">
        <f t="shared" si="11"/>
        <v>236757.62294599204</v>
      </c>
      <c r="V16" s="45">
        <f t="shared" si="11"/>
        <v>216017.06686391006</v>
      </c>
      <c r="W16" s="45">
        <f t="shared" si="11"/>
        <v>134334.55217090389</v>
      </c>
      <c r="X16" s="45">
        <f t="shared" si="11"/>
        <v>129332.01012655394</v>
      </c>
      <c r="Y16" s="45">
        <f t="shared" si="11"/>
        <v>157922.3659402621</v>
      </c>
      <c r="Z16" s="45">
        <f t="shared" si="11"/>
        <v>270666.33827841002</v>
      </c>
      <c r="AA16" s="45">
        <f t="shared" si="11"/>
        <v>198834.36725015193</v>
      </c>
      <c r="AB16" s="45">
        <f t="shared" si="11"/>
        <v>219482.47434197739</v>
      </c>
      <c r="AC16" s="45">
        <f t="shared" si="11"/>
        <v>208737.50455393642</v>
      </c>
      <c r="AD16" s="45">
        <f t="shared" si="11"/>
        <v>301225.84166622115</v>
      </c>
      <c r="AE16" s="45">
        <f t="shared" si="11"/>
        <v>684145.42895782785</v>
      </c>
      <c r="AF16" s="45">
        <f t="shared" si="11"/>
        <v>917659.32139833691</v>
      </c>
      <c r="AG16" s="45">
        <f t="shared" si="11"/>
        <v>901807.73008037545</v>
      </c>
      <c r="AH16" s="45">
        <f t="shared" si="11"/>
        <v>630298.83245725092</v>
      </c>
      <c r="AI16" s="45">
        <f t="shared" si="11"/>
        <v>337030.02955732867</v>
      </c>
      <c r="AJ16" s="45">
        <f t="shared" si="11"/>
        <v>322004.32534062304</v>
      </c>
      <c r="AK16" s="45">
        <f t="shared" si="11"/>
        <v>392891.60609848052</v>
      </c>
      <c r="AL16" s="45">
        <f t="shared" si="11"/>
        <v>599832.39393610973</v>
      </c>
      <c r="AM16" s="45">
        <f t="shared" si="11"/>
        <v>453055.57220833749</v>
      </c>
      <c r="AN16" s="45">
        <f t="shared" si="11"/>
        <v>277920.43698708341</v>
      </c>
      <c r="AO16" s="45">
        <f t="shared" si="11"/>
        <v>244050.33216398209</v>
      </c>
      <c r="AP16" s="45">
        <f t="shared" si="11"/>
        <v>327746.93017519452</v>
      </c>
      <c r="AQ16" s="45">
        <f t="shared" si="11"/>
        <v>891956.50044952147</v>
      </c>
      <c r="AR16" s="45">
        <f t="shared" si="11"/>
        <v>1113855.8695650622</v>
      </c>
      <c r="AS16" s="45">
        <f t="shared" si="11"/>
        <v>959106.99888556264</v>
      </c>
      <c r="AT16" s="45">
        <f t="shared" si="11"/>
        <v>645737.53209456243</v>
      </c>
      <c r="AU16" s="45">
        <f t="shared" si="11"/>
        <v>328956.22586071491</v>
      </c>
      <c r="AV16" s="45">
        <f t="shared" si="11"/>
        <v>347086.13893463276</v>
      </c>
      <c r="AW16" s="45">
        <f t="shared" si="11"/>
        <v>440459.06744974852</v>
      </c>
      <c r="AX16" s="45">
        <f t="shared" si="11"/>
        <v>590239.9734992478</v>
      </c>
      <c r="AY16" s="45">
        <f t="shared" si="11"/>
        <v>453536.02234676294</v>
      </c>
      <c r="AZ16" s="45">
        <f t="shared" si="11"/>
        <v>454844.71546864137</v>
      </c>
      <c r="BA16" s="45">
        <f t="shared" si="11"/>
        <v>416666.69450271688</v>
      </c>
      <c r="BB16" s="45">
        <f t="shared" si="11"/>
        <v>571603.43783871457</v>
      </c>
      <c r="BC16" s="45">
        <f t="shared" si="11"/>
        <v>1483959.207206985</v>
      </c>
      <c r="BD16" s="45">
        <f t="shared" si="11"/>
        <v>368791.15635281056</v>
      </c>
      <c r="BE16" s="45">
        <f t="shared" si="11"/>
        <v>367814.00473385304</v>
      </c>
      <c r="BF16" s="45">
        <f t="shared" si="11"/>
        <v>278840.28362636641</v>
      </c>
      <c r="BG16" s="45">
        <f t="shared" si="11"/>
        <v>149921.71366740763</v>
      </c>
      <c r="BH16" s="272">
        <v>161233.55471511857</v>
      </c>
      <c r="BI16" s="272">
        <v>230348.57543629693</v>
      </c>
      <c r="BJ16" s="272">
        <v>281054.37038796628</v>
      </c>
      <c r="BK16" s="272">
        <v>233020.60755591089</v>
      </c>
      <c r="BL16" s="272">
        <v>246746.32601634212</v>
      </c>
      <c r="BM16" s="272">
        <v>229260.67305196027</v>
      </c>
      <c r="BN16" s="272">
        <v>303488.91155758378</v>
      </c>
      <c r="BO16" s="272">
        <v>808832.98369296209</v>
      </c>
      <c r="BP16" s="272">
        <v>1016852.9650898277</v>
      </c>
      <c r="BQ16" s="272">
        <v>969352.10594939278</v>
      </c>
      <c r="BR16" s="272">
        <v>665876.80317689828</v>
      </c>
      <c r="BS16" s="272">
        <v>321582.97895704268</v>
      </c>
      <c r="BT16" s="272">
        <v>323184.42541560967</v>
      </c>
      <c r="BU16" s="272">
        <v>417516.98273170152</v>
      </c>
      <c r="BV16" s="272">
        <v>481606.65744284913</v>
      </c>
    </row>
    <row r="17" spans="1:74" x14ac:dyDescent="0.35">
      <c r="A17" s="38" t="s">
        <v>36</v>
      </c>
      <c r="B17" s="37"/>
      <c r="C17" s="37"/>
      <c r="D17" s="45">
        <f t="shared" si="12"/>
        <v>0</v>
      </c>
      <c r="E17" s="45">
        <f t="shared" si="13"/>
        <v>9.4764517045030008</v>
      </c>
      <c r="F17" s="45">
        <f t="shared" si="13"/>
        <v>992.38480063141662</v>
      </c>
      <c r="G17" s="45">
        <f t="shared" si="13"/>
        <v>7292.1248374502911</v>
      </c>
      <c r="H17" s="45">
        <f t="shared" si="13"/>
        <v>15994.94501268368</v>
      </c>
      <c r="I17" s="45">
        <f t="shared" si="13"/>
        <v>17164.241699319093</v>
      </c>
      <c r="J17" s="45">
        <f t="shared" si="13"/>
        <v>20320.430103720311</v>
      </c>
      <c r="K17" s="45">
        <f t="shared" si="13"/>
        <v>13070.873255390616</v>
      </c>
      <c r="L17" s="45">
        <f t="shared" si="13"/>
        <v>20231.253087994788</v>
      </c>
      <c r="M17" s="45">
        <f t="shared" si="13"/>
        <v>17598.692062585586</v>
      </c>
      <c r="N17" s="45">
        <f t="shared" si="13"/>
        <v>38937.79226598228</v>
      </c>
      <c r="O17" s="45">
        <f t="shared" si="13"/>
        <v>27592.203926662129</v>
      </c>
      <c r="P17" s="45">
        <f t="shared" si="13"/>
        <v>30486.6083612293</v>
      </c>
      <c r="Q17" s="45">
        <f t="shared" si="13"/>
        <v>20357.95825841499</v>
      </c>
      <c r="R17" s="45">
        <f t="shared" si="13"/>
        <v>40286.379846393131</v>
      </c>
      <c r="S17" s="45">
        <f t="shared" si="13"/>
        <v>90357.200169900665</v>
      </c>
      <c r="T17" s="45">
        <f t="shared" si="13"/>
        <v>120607.08647786122</v>
      </c>
      <c r="U17" s="45">
        <f t="shared" si="11"/>
        <v>117746.82574398903</v>
      </c>
      <c r="V17" s="45">
        <f t="shared" si="11"/>
        <v>90042.714549710974</v>
      </c>
      <c r="W17" s="45">
        <f t="shared" si="11"/>
        <v>48103.20895122306</v>
      </c>
      <c r="X17" s="45">
        <f t="shared" si="11"/>
        <v>44439.238829133916</v>
      </c>
      <c r="Y17" s="45">
        <f t="shared" si="11"/>
        <v>45576.431423941976</v>
      </c>
      <c r="Z17" s="45">
        <f t="shared" si="11"/>
        <v>85493.861875130096</v>
      </c>
      <c r="AA17" s="45">
        <f t="shared" si="11"/>
        <v>60404.694563134573</v>
      </c>
      <c r="AB17" s="45">
        <f t="shared" si="11"/>
        <v>66187.801188615616</v>
      </c>
      <c r="AC17" s="45">
        <f t="shared" si="11"/>
        <v>65843.640583625296</v>
      </c>
      <c r="AD17" s="45">
        <f t="shared" si="11"/>
        <v>97241.818953172537</v>
      </c>
      <c r="AE17" s="45">
        <f t="shared" si="11"/>
        <v>244220.78662038059</v>
      </c>
      <c r="AF17" s="45">
        <f t="shared" si="11"/>
        <v>303404.40532824234</v>
      </c>
      <c r="AG17" s="45">
        <f t="shared" si="11"/>
        <v>294330.25841648318</v>
      </c>
      <c r="AH17" s="45">
        <f t="shared" si="11"/>
        <v>188595.42307112576</v>
      </c>
      <c r="AI17" s="45">
        <f t="shared" si="11"/>
        <v>104726.50932704005</v>
      </c>
      <c r="AJ17" s="45">
        <f t="shared" si="11"/>
        <v>84625.791328145191</v>
      </c>
      <c r="AK17" s="45">
        <f t="shared" si="11"/>
        <v>90870.860348734073</v>
      </c>
      <c r="AL17" s="45">
        <f t="shared" si="11"/>
        <v>132672.81528491154</v>
      </c>
      <c r="AM17" s="45">
        <f t="shared" si="11"/>
        <v>101032.10359475715</v>
      </c>
      <c r="AN17" s="45">
        <f t="shared" si="11"/>
        <v>45752.79477960337</v>
      </c>
      <c r="AO17" s="45">
        <f t="shared" si="11"/>
        <v>44697.066485182382</v>
      </c>
      <c r="AP17" s="45">
        <f t="shared" si="11"/>
        <v>64771.954259123188</v>
      </c>
      <c r="AQ17" s="45">
        <f t="shared" si="11"/>
        <v>193382.71212351602</v>
      </c>
      <c r="AR17" s="45">
        <f t="shared" si="11"/>
        <v>268003.20881172037</v>
      </c>
      <c r="AS17" s="45">
        <f t="shared" si="11"/>
        <v>230566.83769477485</v>
      </c>
      <c r="AT17" s="45">
        <f t="shared" si="11"/>
        <v>149038.78589499276</v>
      </c>
      <c r="AU17" s="45">
        <f t="shared" si="11"/>
        <v>64473.107943349518</v>
      </c>
      <c r="AV17" s="45">
        <f t="shared" si="11"/>
        <v>59595.525131631643</v>
      </c>
      <c r="AW17" s="45">
        <f t="shared" si="11"/>
        <v>67654.963194404263</v>
      </c>
      <c r="AX17" s="45">
        <f t="shared" si="11"/>
        <v>112653.26245428575</v>
      </c>
      <c r="AY17" s="45">
        <f t="shared" si="11"/>
        <v>80398.783413374331</v>
      </c>
      <c r="AZ17" s="45">
        <f t="shared" si="11"/>
        <v>85404.008041627239</v>
      </c>
      <c r="BA17" s="45">
        <f t="shared" si="11"/>
        <v>88412.539526587352</v>
      </c>
      <c r="BB17" s="45">
        <f t="shared" si="11"/>
        <v>133353.43191240355</v>
      </c>
      <c r="BC17" s="45">
        <f t="shared" si="11"/>
        <v>375293.06528367009</v>
      </c>
      <c r="BD17" s="45">
        <f t="shared" si="11"/>
        <v>116311.37203034293</v>
      </c>
      <c r="BE17" s="45">
        <f t="shared" si="11"/>
        <v>120032.35044128075</v>
      </c>
      <c r="BF17" s="45">
        <f t="shared" si="11"/>
        <v>87097.371991563588</v>
      </c>
      <c r="BG17" s="45">
        <f t="shared" si="11"/>
        <v>40829.558489497751</v>
      </c>
      <c r="BH17" s="272">
        <v>42691.096252652773</v>
      </c>
      <c r="BI17" s="272">
        <v>61147.849047300493</v>
      </c>
      <c r="BJ17" s="272">
        <v>75926.327309795059</v>
      </c>
      <c r="BK17" s="272">
        <v>63540.729372712121</v>
      </c>
      <c r="BL17" s="272">
        <v>65539.227638385404</v>
      </c>
      <c r="BM17" s="272">
        <v>61722.257883064085</v>
      </c>
      <c r="BN17" s="272">
        <v>88770.833985885052</v>
      </c>
      <c r="BO17" s="272">
        <v>275567.54386040056</v>
      </c>
      <c r="BP17" s="272">
        <v>341762.76688557712</v>
      </c>
      <c r="BQ17" s="272">
        <v>330736.00394040742</v>
      </c>
      <c r="BR17" s="272">
        <v>203927.95777947459</v>
      </c>
      <c r="BS17" s="272">
        <v>83883.760336116757</v>
      </c>
      <c r="BT17" s="272">
        <v>80494.95494809837</v>
      </c>
      <c r="BU17" s="272">
        <v>100904.61246602371</v>
      </c>
      <c r="BV17" s="272">
        <v>119186.80506171784</v>
      </c>
    </row>
    <row r="18" spans="1:74" x14ac:dyDescent="0.35">
      <c r="A18" s="38" t="s">
        <v>37</v>
      </c>
      <c r="B18" s="37"/>
      <c r="C18" s="37"/>
      <c r="D18" s="45">
        <f t="shared" si="12"/>
        <v>0</v>
      </c>
      <c r="E18" s="45">
        <f t="shared" si="13"/>
        <v>0</v>
      </c>
      <c r="F18" s="45">
        <f t="shared" si="13"/>
        <v>158.37627524588399</v>
      </c>
      <c r="G18" s="45">
        <f t="shared" si="13"/>
        <v>597.17310476301054</v>
      </c>
      <c r="H18" s="45">
        <f t="shared" si="13"/>
        <v>0</v>
      </c>
      <c r="I18" s="45">
        <f t="shared" si="13"/>
        <v>169.81270770721562</v>
      </c>
      <c r="J18" s="45">
        <f t="shared" si="13"/>
        <v>453.93840587905197</v>
      </c>
      <c r="K18" s="45">
        <f t="shared" si="13"/>
        <v>456.28021386938781</v>
      </c>
      <c r="L18" s="45">
        <f t="shared" si="13"/>
        <v>4319.4254014161179</v>
      </c>
      <c r="M18" s="45">
        <f t="shared" si="13"/>
        <v>2081.8680429045771</v>
      </c>
      <c r="N18" s="45">
        <f t="shared" si="13"/>
        <v>5464.5117731579412</v>
      </c>
      <c r="O18" s="45">
        <f t="shared" si="13"/>
        <v>3916.0471236254289</v>
      </c>
      <c r="P18" s="45">
        <f t="shared" si="13"/>
        <v>4286.7797434903841</v>
      </c>
      <c r="Q18" s="45">
        <f t="shared" si="13"/>
        <v>3982.5449796573193</v>
      </c>
      <c r="R18" s="45">
        <f t="shared" si="13"/>
        <v>11299.337986812028</v>
      </c>
      <c r="S18" s="45">
        <f t="shared" si="13"/>
        <v>37266.281050670106</v>
      </c>
      <c r="T18" s="45">
        <f t="shared" si="13"/>
        <v>39305.85563180274</v>
      </c>
      <c r="U18" s="45">
        <f t="shared" si="11"/>
        <v>39825.548110948119</v>
      </c>
      <c r="V18" s="45">
        <f t="shared" si="11"/>
        <v>24302.15285836329</v>
      </c>
      <c r="W18" s="45">
        <f t="shared" si="11"/>
        <v>9074.1876762166794</v>
      </c>
      <c r="X18" s="45">
        <f t="shared" si="11"/>
        <v>8467.5987787623017</v>
      </c>
      <c r="Y18" s="45">
        <f t="shared" si="11"/>
        <v>10043.475176890934</v>
      </c>
      <c r="Z18" s="45">
        <f t="shared" si="11"/>
        <v>11094.93412078757</v>
      </c>
      <c r="AA18" s="45">
        <f t="shared" si="11"/>
        <v>8945.8791974182532</v>
      </c>
      <c r="AB18" s="45">
        <f t="shared" si="11"/>
        <v>9467.3264548647567</v>
      </c>
      <c r="AC18" s="45">
        <f t="shared" si="11"/>
        <v>10005.404829831823</v>
      </c>
      <c r="AD18" s="45">
        <f t="shared" si="11"/>
        <v>18704.704243288696</v>
      </c>
      <c r="AE18" s="45">
        <f t="shared" si="11"/>
        <v>61479.015590718016</v>
      </c>
      <c r="AF18" s="45">
        <f t="shared" si="11"/>
        <v>67159.376438625099</v>
      </c>
      <c r="AG18" s="45">
        <f t="shared" si="11"/>
        <v>66916.483134767215</v>
      </c>
      <c r="AH18" s="45">
        <f t="shared" si="11"/>
        <v>39486.39096965373</v>
      </c>
      <c r="AI18" s="45">
        <f t="shared" si="11"/>
        <v>16391.286670723639</v>
      </c>
      <c r="AJ18" s="45">
        <f t="shared" si="11"/>
        <v>13125.924030081369</v>
      </c>
      <c r="AK18" s="45">
        <f t="shared" si="11"/>
        <v>13410.167764012935</v>
      </c>
      <c r="AL18" s="45">
        <f t="shared" si="11"/>
        <v>14623.775343037792</v>
      </c>
      <c r="AM18" s="45">
        <f t="shared" si="11"/>
        <v>11799.469904855709</v>
      </c>
      <c r="AN18" s="45">
        <f t="shared" si="11"/>
        <v>3692.3145879389485</v>
      </c>
      <c r="AO18" s="45">
        <f t="shared" si="11"/>
        <v>4204.7855756902136</v>
      </c>
      <c r="AP18" s="45">
        <f t="shared" si="11"/>
        <v>6322.2450522735016</v>
      </c>
      <c r="AQ18" s="45">
        <f t="shared" si="11"/>
        <v>16998.740262906649</v>
      </c>
      <c r="AR18" s="45">
        <f t="shared" si="11"/>
        <v>24454.531761112739</v>
      </c>
      <c r="AS18" s="45">
        <f t="shared" si="11"/>
        <v>24505.610798255075</v>
      </c>
      <c r="AT18" s="45">
        <f t="shared" si="11"/>
        <v>18203.425844928715</v>
      </c>
      <c r="AU18" s="45">
        <f t="shared" si="11"/>
        <v>7851.239692067029</v>
      </c>
      <c r="AV18" s="45">
        <f t="shared" si="11"/>
        <v>4908.0126723338617</v>
      </c>
      <c r="AW18" s="45">
        <f t="shared" si="11"/>
        <v>5923.4047280289233</v>
      </c>
      <c r="AX18" s="45">
        <f t="shared" si="11"/>
        <v>6352.0312849682523</v>
      </c>
      <c r="AY18" s="45">
        <f t="shared" si="11"/>
        <v>5614.7074151191628</v>
      </c>
      <c r="AZ18" s="45">
        <f t="shared" si="11"/>
        <v>6811.5314263690962</v>
      </c>
      <c r="BA18" s="45">
        <f t="shared" si="11"/>
        <v>8120.8580014418112</v>
      </c>
      <c r="BB18" s="45">
        <f t="shared" si="11"/>
        <v>16542.396630880423</v>
      </c>
      <c r="BC18" s="45">
        <f t="shared" si="11"/>
        <v>68523.222002004739</v>
      </c>
      <c r="BD18" s="45">
        <f t="shared" si="11"/>
        <v>36624.679884644225</v>
      </c>
      <c r="BE18" s="45">
        <f t="shared" si="11"/>
        <v>38171.607625738019</v>
      </c>
      <c r="BF18" s="45">
        <f t="shared" si="11"/>
        <v>19783.389279484516</v>
      </c>
      <c r="BG18" s="45">
        <f t="shared" si="11"/>
        <v>3636.3766774955438</v>
      </c>
      <c r="BH18" s="272">
        <v>2448.5339740525214</v>
      </c>
      <c r="BI18" s="272">
        <v>2493.8162634749688</v>
      </c>
      <c r="BJ18" s="272">
        <v>2894.7448437928178</v>
      </c>
      <c r="BK18" s="272">
        <v>2432.9428801145782</v>
      </c>
      <c r="BL18" s="272">
        <v>3383.4624848372391</v>
      </c>
      <c r="BM18" s="272">
        <v>5271.8417868674342</v>
      </c>
      <c r="BN18" s="272">
        <v>12922.436870046882</v>
      </c>
      <c r="BO18" s="272">
        <v>51297.544379012936</v>
      </c>
      <c r="BP18" s="272">
        <v>58851.629522035058</v>
      </c>
      <c r="BQ18" s="272">
        <v>61213.141056100423</v>
      </c>
      <c r="BR18" s="272">
        <v>32858.699325860325</v>
      </c>
      <c r="BS18" s="272">
        <v>7998.4368294879587</v>
      </c>
      <c r="BT18" s="272">
        <v>5606.4621316928678</v>
      </c>
      <c r="BU18" s="272">
        <v>5432.5015272583059</v>
      </c>
      <c r="BV18" s="272">
        <v>6002.0467446166094</v>
      </c>
    </row>
    <row r="19" spans="1:74" x14ac:dyDescent="0.35">
      <c r="A19" s="38" t="s">
        <v>29</v>
      </c>
      <c r="B19" s="37"/>
      <c r="C19" s="37"/>
      <c r="D19" s="45">
        <f t="shared" si="12"/>
        <v>0</v>
      </c>
      <c r="E19" s="45">
        <f t="shared" si="13"/>
        <v>0</v>
      </c>
      <c r="F19" s="45">
        <f t="shared" si="13"/>
        <v>0</v>
      </c>
      <c r="G19" s="45">
        <f t="shared" si="13"/>
        <v>0</v>
      </c>
      <c r="H19" s="45">
        <f t="shared" si="13"/>
        <v>0</v>
      </c>
      <c r="I19" s="45">
        <f t="shared" si="13"/>
        <v>1171.3068451326408</v>
      </c>
      <c r="J19" s="45">
        <f t="shared" si="13"/>
        <v>2529.6001774291863</v>
      </c>
      <c r="K19" s="45">
        <f t="shared" si="13"/>
        <v>1838.4501356835217</v>
      </c>
      <c r="L19" s="45">
        <f t="shared" si="13"/>
        <v>3416.6709735918112</v>
      </c>
      <c r="M19" s="45">
        <f t="shared" si="13"/>
        <v>9368.4257912663998</v>
      </c>
      <c r="N19" s="45">
        <f t="shared" si="13"/>
        <v>25007.893222675237</v>
      </c>
      <c r="O19" s="45">
        <f t="shared" si="13"/>
        <v>18377.753408188204</v>
      </c>
      <c r="P19" s="45">
        <f t="shared" si="13"/>
        <v>16903.521942794192</v>
      </c>
      <c r="Q19" s="45">
        <f t="shared" si="13"/>
        <v>7331.1472991635092</v>
      </c>
      <c r="R19" s="45">
        <f t="shared" si="13"/>
        <v>9246.8785262646852</v>
      </c>
      <c r="S19" s="45">
        <f t="shared" si="13"/>
        <v>23033.385093122604</v>
      </c>
      <c r="T19" s="45">
        <f t="shared" si="13"/>
        <v>35158.684040043896</v>
      </c>
      <c r="U19" s="45">
        <f t="shared" si="11"/>
        <v>49249.50737893011</v>
      </c>
      <c r="V19" s="45">
        <f t="shared" si="11"/>
        <v>57319.631133875024</v>
      </c>
      <c r="W19" s="45">
        <f t="shared" si="11"/>
        <v>29616.996324232954</v>
      </c>
      <c r="X19" s="45">
        <f t="shared" si="11"/>
        <v>41997.882571665046</v>
      </c>
      <c r="Y19" s="45">
        <f t="shared" si="11"/>
        <v>57277.076729206019</v>
      </c>
      <c r="Z19" s="45">
        <f t="shared" si="11"/>
        <v>59833.97917327896</v>
      </c>
      <c r="AA19" s="45">
        <f t="shared" si="11"/>
        <v>54943.052009645617</v>
      </c>
      <c r="AB19" s="45">
        <f t="shared" si="11"/>
        <v>56121.054110896483</v>
      </c>
      <c r="AC19" s="45">
        <f t="shared" si="11"/>
        <v>46035.332162926439</v>
      </c>
      <c r="AD19" s="45">
        <f t="shared" si="11"/>
        <v>48293.250035937643</v>
      </c>
      <c r="AE19" s="45">
        <f t="shared" si="11"/>
        <v>119044.01246319769</v>
      </c>
      <c r="AF19" s="45">
        <f t="shared" si="11"/>
        <v>147544.9976373259</v>
      </c>
      <c r="AG19" s="45">
        <f t="shared" si="11"/>
        <v>154848.44222777023</v>
      </c>
      <c r="AH19" s="45">
        <f t="shared" si="11"/>
        <v>118931.58559798705</v>
      </c>
      <c r="AI19" s="45">
        <f t="shared" si="11"/>
        <v>59668.76989156194</v>
      </c>
      <c r="AJ19" s="45">
        <f t="shared" si="11"/>
        <v>79301.158657101914</v>
      </c>
      <c r="AK19" s="45">
        <f t="shared" si="11"/>
        <v>105658.01363871386</v>
      </c>
      <c r="AL19" s="45">
        <f t="shared" si="11"/>
        <v>120039.81157577224</v>
      </c>
      <c r="AM19" s="45">
        <f t="shared" si="11"/>
        <v>101216.94814655907</v>
      </c>
      <c r="AN19" s="45">
        <f t="shared" si="11"/>
        <v>46724.306443704292</v>
      </c>
      <c r="AO19" s="45">
        <f t="shared" si="11"/>
        <v>35412.249737861566</v>
      </c>
      <c r="AP19" s="45">
        <f t="shared" si="11"/>
        <v>36226.865998081863</v>
      </c>
      <c r="AQ19" s="45">
        <f t="shared" si="11"/>
        <v>98278.596815729747</v>
      </c>
      <c r="AR19" s="45">
        <f t="shared" si="11"/>
        <v>135971.43528990331</v>
      </c>
      <c r="AS19" s="45">
        <f t="shared" si="11"/>
        <v>125092.92989895423</v>
      </c>
      <c r="AT19" s="45">
        <f t="shared" si="11"/>
        <v>104282.55101952376</v>
      </c>
      <c r="AU19" s="45">
        <f t="shared" si="11"/>
        <v>57893.093169890344</v>
      </c>
      <c r="AV19" s="45">
        <f t="shared" si="11"/>
        <v>73279.14658442419</v>
      </c>
      <c r="AW19" s="45">
        <f t="shared" si="11"/>
        <v>108806.09696892183</v>
      </c>
      <c r="AX19" s="45">
        <f t="shared" si="11"/>
        <v>133689.28810683126</v>
      </c>
      <c r="AY19" s="45">
        <f t="shared" si="11"/>
        <v>109140.9327871413</v>
      </c>
      <c r="AZ19" s="45">
        <f t="shared" si="11"/>
        <v>100535.11591136269</v>
      </c>
      <c r="BA19" s="45">
        <f t="shared" si="11"/>
        <v>83404.612478537019</v>
      </c>
      <c r="BB19" s="45">
        <f t="shared" si="11"/>
        <v>102325.26596933044</v>
      </c>
      <c r="BC19" s="45">
        <f t="shared" si="11"/>
        <v>299682.65627149772</v>
      </c>
      <c r="BD19" s="45">
        <f t="shared" si="11"/>
        <v>144161.24149628216</v>
      </c>
      <c r="BE19" s="45">
        <f t="shared" si="11"/>
        <v>156318.97487304313</v>
      </c>
      <c r="BF19" s="45">
        <f t="shared" si="11"/>
        <v>124387.42986012949</v>
      </c>
      <c r="BG19" s="45">
        <f t="shared" si="11"/>
        <v>57150.600717793219</v>
      </c>
      <c r="BH19" s="272">
        <v>70986.596781129949</v>
      </c>
      <c r="BI19" s="272">
        <v>95704.979085335071</v>
      </c>
      <c r="BJ19" s="272">
        <v>103870.75537819725</v>
      </c>
      <c r="BK19" s="272">
        <v>89010.501602793098</v>
      </c>
      <c r="BL19" s="272">
        <v>86290.833364894701</v>
      </c>
      <c r="BM19" s="272">
        <v>75043.845079045641</v>
      </c>
      <c r="BN19" s="272">
        <v>82623.582127688118</v>
      </c>
      <c r="BO19" s="272">
        <v>207261.16245105155</v>
      </c>
      <c r="BP19" s="272">
        <v>269754.74111848773</v>
      </c>
      <c r="BQ19" s="272">
        <v>270079.82975246344</v>
      </c>
      <c r="BR19" s="272">
        <v>214132.36436658667</v>
      </c>
      <c r="BS19" s="272">
        <v>108969.89434994948</v>
      </c>
      <c r="BT19" s="272">
        <v>131948.02193537838</v>
      </c>
      <c r="BU19" s="272">
        <v>180323.79650654545</v>
      </c>
      <c r="BV19" s="272">
        <v>193338.03052235441</v>
      </c>
    </row>
    <row r="20" spans="1:74" x14ac:dyDescent="0.35">
      <c r="A20" s="35" t="s">
        <v>31</v>
      </c>
      <c r="B20" s="37"/>
      <c r="C20" s="37"/>
      <c r="D20" s="44">
        <f>SUM(D14:D19)</f>
        <v>0.71203150918887492</v>
      </c>
      <c r="E20" s="44">
        <f t="shared" ref="E20:AW20" si="14">SUM(E14:E19)</f>
        <v>4695.4207688607357</v>
      </c>
      <c r="F20" s="44">
        <f t="shared" si="14"/>
        <v>39935.570121927383</v>
      </c>
      <c r="G20" s="44">
        <f t="shared" si="14"/>
        <v>291676.37356246018</v>
      </c>
      <c r="H20" s="44">
        <f t="shared" si="14"/>
        <v>544866.33457860793</v>
      </c>
      <c r="I20" s="44">
        <f t="shared" si="14"/>
        <v>663040.9475663905</v>
      </c>
      <c r="J20" s="44">
        <f t="shared" si="14"/>
        <v>547744.67638274853</v>
      </c>
      <c r="K20" s="44">
        <f t="shared" si="14"/>
        <v>270067.89072131994</v>
      </c>
      <c r="L20" s="44">
        <f t="shared" si="14"/>
        <v>449448.83291898988</v>
      </c>
      <c r="M20" s="44">
        <f t="shared" si="14"/>
        <v>672384.11562352569</v>
      </c>
      <c r="N20" s="44">
        <f t="shared" si="14"/>
        <v>860299.05315340089</v>
      </c>
      <c r="O20" s="44">
        <f t="shared" si="14"/>
        <v>921069.68539476907</v>
      </c>
      <c r="P20" s="44">
        <f t="shared" si="14"/>
        <v>727242.36549864151</v>
      </c>
      <c r="Q20" s="44">
        <f t="shared" si="14"/>
        <v>330495.27100759087</v>
      </c>
      <c r="R20" s="44">
        <f t="shared" si="14"/>
        <v>448514.38010054693</v>
      </c>
      <c r="S20" s="44">
        <f t="shared" si="14"/>
        <v>1166466.8526526121</v>
      </c>
      <c r="T20" s="44">
        <f t="shared" si="14"/>
        <v>1596902.1714481555</v>
      </c>
      <c r="U20" s="44">
        <f t="shared" si="14"/>
        <v>1748272.4117888496</v>
      </c>
      <c r="V20" s="44">
        <f t="shared" si="14"/>
        <v>1519471.01623757</v>
      </c>
      <c r="W20" s="44">
        <f t="shared" si="14"/>
        <v>764880.45368540613</v>
      </c>
      <c r="X20" s="44">
        <f t="shared" si="14"/>
        <v>908807.65228987066</v>
      </c>
      <c r="Y20" s="44">
        <f t="shared" si="14"/>
        <v>1120062.856555779</v>
      </c>
      <c r="Z20" s="44">
        <f t="shared" si="14"/>
        <v>1377220.6643166305</v>
      </c>
      <c r="AA20" s="44">
        <f t="shared" si="14"/>
        <v>1195166.5723548159</v>
      </c>
      <c r="AB20" s="44">
        <f t="shared" si="14"/>
        <v>1300632.3993987509</v>
      </c>
      <c r="AC20" s="44">
        <f t="shared" si="14"/>
        <v>1205822.8207733985</v>
      </c>
      <c r="AD20" s="44">
        <f t="shared" si="14"/>
        <v>1472551.2785682736</v>
      </c>
      <c r="AE20" s="44">
        <f t="shared" si="14"/>
        <v>3602609.9103061217</v>
      </c>
      <c r="AF20" s="44">
        <f t="shared" si="14"/>
        <v>4524979.9029475963</v>
      </c>
      <c r="AG20" s="44">
        <f t="shared" si="14"/>
        <v>4557691.9623519126</v>
      </c>
      <c r="AH20" s="44">
        <f t="shared" si="14"/>
        <v>3395133.6257571932</v>
      </c>
      <c r="AI20" s="44">
        <f t="shared" si="14"/>
        <v>1618999.5517252118</v>
      </c>
      <c r="AJ20" s="44">
        <f t="shared" si="14"/>
        <v>1693340.1593012405</v>
      </c>
      <c r="AK20" s="44">
        <f t="shared" si="14"/>
        <v>2043834.5150522969</v>
      </c>
      <c r="AL20" s="44">
        <f t="shared" si="14"/>
        <v>2546894.0685010902</v>
      </c>
      <c r="AM20" s="44">
        <f t="shared" si="14"/>
        <v>2089616.4766016018</v>
      </c>
      <c r="AN20" s="44">
        <f t="shared" si="14"/>
        <v>912247.85076541675</v>
      </c>
      <c r="AO20" s="44">
        <f t="shared" si="14"/>
        <v>846334.21711913729</v>
      </c>
      <c r="AP20" s="44">
        <f t="shared" si="14"/>
        <v>1066637.678205363</v>
      </c>
      <c r="AQ20" s="44">
        <f t="shared" si="14"/>
        <v>2863352.6421243409</v>
      </c>
      <c r="AR20" s="44">
        <f t="shared" si="14"/>
        <v>3675557.523710967</v>
      </c>
      <c r="AS20" s="44">
        <f t="shared" si="14"/>
        <v>3342039.9312423691</v>
      </c>
      <c r="AT20" s="44">
        <f t="shared" si="14"/>
        <v>2373846.5851787962</v>
      </c>
      <c r="AU20" s="44">
        <f t="shared" si="14"/>
        <v>1051178.3111241481</v>
      </c>
      <c r="AV20" s="44">
        <f t="shared" ref="AV20" si="15">SUM(AV14:AV19)</f>
        <v>1105092.1759465141</v>
      </c>
      <c r="AW20" s="44">
        <f t="shared" si="14"/>
        <v>1381965.5186848878</v>
      </c>
      <c r="AX20" s="44">
        <f t="shared" ref="AX20:AY20" si="16">SUM(AX14:AX19)</f>
        <v>1700717.7639811411</v>
      </c>
      <c r="AY20" s="44">
        <f t="shared" si="16"/>
        <v>1356926.8590753335</v>
      </c>
      <c r="AZ20" s="44">
        <f t="shared" ref="AZ20:BA20" si="17">SUM(AZ14:AZ19)</f>
        <v>1353802.1905861669</v>
      </c>
      <c r="BA20" s="44">
        <f t="shared" si="17"/>
        <v>1239676.1204544338</v>
      </c>
      <c r="BB20" s="44">
        <f t="shared" ref="BB20:BC20" si="18">SUM(BB14:BB19)</f>
        <v>1628086.4160208032</v>
      </c>
      <c r="BC20" s="44">
        <f t="shared" si="18"/>
        <v>4511630.5078466395</v>
      </c>
      <c r="BD20" s="44">
        <f t="shared" ref="BD20:BE20" si="19">SUM(BD14:BD19)</f>
        <v>1051039.3753533266</v>
      </c>
      <c r="BE20" s="44">
        <f t="shared" si="19"/>
        <v>1133487.8662933947</v>
      </c>
      <c r="BF20" s="44">
        <f t="shared" ref="BF20:BG20" si="20">SUM(BF14:BF19)</f>
        <v>808760.63763167639</v>
      </c>
      <c r="BG20" s="44">
        <f t="shared" si="20"/>
        <v>375458.03446689073</v>
      </c>
      <c r="BH20" s="44">
        <f t="shared" ref="BH20:BT20" si="21">SUM(BH14:BH19)</f>
        <v>429792.01341834635</v>
      </c>
      <c r="BI20" s="44">
        <f t="shared" si="21"/>
        <v>643347.47593337297</v>
      </c>
      <c r="BJ20" s="44">
        <f t="shared" si="21"/>
        <v>756899.69778124837</v>
      </c>
      <c r="BK20" s="44">
        <f t="shared" si="21"/>
        <v>630862.37207277247</v>
      </c>
      <c r="BL20" s="44">
        <f t="shared" si="21"/>
        <v>630041.17169553239</v>
      </c>
      <c r="BM20" s="44">
        <f t="shared" si="21"/>
        <v>571846.38314649276</v>
      </c>
      <c r="BN20" s="44">
        <f t="shared" si="21"/>
        <v>774353.50289549236</v>
      </c>
      <c r="BO20" s="44">
        <f t="shared" si="21"/>
        <v>2310479.0872308956</v>
      </c>
      <c r="BP20" s="44">
        <f t="shared" si="21"/>
        <v>3052223.9804371865</v>
      </c>
      <c r="BQ20" s="44">
        <f t="shared" si="21"/>
        <v>2967019.1409276538</v>
      </c>
      <c r="BR20" s="44">
        <f t="shared" si="21"/>
        <v>1924564.2620963417</v>
      </c>
      <c r="BS20" s="44">
        <f t="shared" si="21"/>
        <v>807656.54290521541</v>
      </c>
      <c r="BT20" s="44">
        <f t="shared" si="21"/>
        <v>863336.94491520873</v>
      </c>
      <c r="BU20" s="44">
        <f t="shared" ref="BU20:BV20" si="22">SUM(BU14:BU19)</f>
        <v>1173646.6946877919</v>
      </c>
      <c r="BV20" s="44">
        <f t="shared" si="22"/>
        <v>1303342.1938933369</v>
      </c>
    </row>
    <row r="21" spans="1:74" x14ac:dyDescent="0.35">
      <c r="A21" s="35"/>
      <c r="B21" s="37"/>
      <c r="C21" s="37"/>
    </row>
    <row r="22" spans="1:74" x14ac:dyDescent="0.35">
      <c r="A22" s="27" t="s">
        <v>32</v>
      </c>
      <c r="B22" s="37"/>
      <c r="C22" s="37"/>
      <c r="BH22" s="273" t="s">
        <v>142</v>
      </c>
      <c r="BI22" s="284"/>
    </row>
    <row r="23" spans="1:74" x14ac:dyDescent="0.35">
      <c r="A23" t="s">
        <v>33</v>
      </c>
      <c r="B23" s="37"/>
      <c r="C23" s="37"/>
      <c r="D23" s="43">
        <v>1268128455</v>
      </c>
      <c r="E23" s="43">
        <v>872933544</v>
      </c>
      <c r="F23" s="43">
        <v>738196558</v>
      </c>
      <c r="G23" s="43">
        <v>978975302</v>
      </c>
      <c r="H23" s="43">
        <v>1243909773</v>
      </c>
      <c r="I23" s="43">
        <v>1310015315</v>
      </c>
      <c r="J23" s="43">
        <v>1208033233</v>
      </c>
      <c r="K23" s="109">
        <v>993546162</v>
      </c>
      <c r="L23" s="43">
        <v>897156231</v>
      </c>
      <c r="M23" s="43">
        <v>1208147189</v>
      </c>
      <c r="N23" s="43">
        <v>1334184680</v>
      </c>
      <c r="O23" s="43">
        <v>1302694951</v>
      </c>
      <c r="P23" s="43">
        <v>1123586700</v>
      </c>
      <c r="Q23" s="43">
        <v>886578697</v>
      </c>
      <c r="R23" s="43">
        <v>790098101</v>
      </c>
      <c r="S23" s="43">
        <v>1041013964</v>
      </c>
      <c r="T23" s="43">
        <v>1397050553</v>
      </c>
      <c r="U23" s="43">
        <v>1310723723</v>
      </c>
      <c r="V23" s="43">
        <v>1275164339</v>
      </c>
      <c r="W23" s="43">
        <v>800796996</v>
      </c>
      <c r="X23" s="43">
        <v>856955103</v>
      </c>
      <c r="Y23" s="43">
        <v>1137867523</v>
      </c>
      <c r="Z23" s="43">
        <v>1482496943</v>
      </c>
      <c r="AA23" s="43">
        <v>1507047480</v>
      </c>
      <c r="AB23" s="43">
        <v>1193201650</v>
      </c>
      <c r="AC23" s="43">
        <v>803567941</v>
      </c>
      <c r="AD23" s="43">
        <v>753161249</v>
      </c>
      <c r="AE23" s="43">
        <v>1061485022</v>
      </c>
      <c r="AF23" s="43">
        <v>1299384453</v>
      </c>
      <c r="AG23" s="43">
        <v>1325635096</v>
      </c>
      <c r="AH23" s="43">
        <v>1302322503</v>
      </c>
      <c r="AI23" s="43">
        <v>902367562</v>
      </c>
      <c r="AJ23" s="43">
        <v>849229853</v>
      </c>
      <c r="AK23" s="43">
        <v>1063566547</v>
      </c>
      <c r="AL23" s="43">
        <v>1372451320</v>
      </c>
      <c r="AM23" s="43">
        <v>1445914846</v>
      </c>
      <c r="AN23" s="43">
        <v>1156058653</v>
      </c>
      <c r="AO23" s="43">
        <v>900363528</v>
      </c>
      <c r="AP23" s="43">
        <v>837159184</v>
      </c>
      <c r="AQ23" s="43">
        <v>1060197293</v>
      </c>
      <c r="AR23" s="43">
        <v>1457350528</v>
      </c>
      <c r="AS23" s="43">
        <v>1390553772</v>
      </c>
      <c r="AT23" s="43">
        <v>1159635260</v>
      </c>
      <c r="AU23" s="43">
        <v>837049627</v>
      </c>
      <c r="AV23" s="43">
        <v>795371527</v>
      </c>
      <c r="AW23" s="43">
        <v>1056098740.4689</v>
      </c>
      <c r="AX23" s="43">
        <v>1465026007</v>
      </c>
      <c r="AY23" s="43">
        <v>1251994199</v>
      </c>
      <c r="AZ23" s="43">
        <v>1034539781</v>
      </c>
      <c r="BA23" s="43">
        <v>890081676</v>
      </c>
      <c r="BB23" s="43">
        <v>758154085</v>
      </c>
      <c r="BC23" s="43">
        <v>977251664</v>
      </c>
      <c r="BD23" s="43">
        <v>1278057997</v>
      </c>
      <c r="BE23" s="43">
        <v>1318572650</v>
      </c>
      <c r="BF23" s="43">
        <v>1220075915</v>
      </c>
      <c r="BG23" s="43">
        <v>887307993</v>
      </c>
      <c r="BH23" s="270">
        <f>'[2]PPC.1, PCR.2F, EO.3'!B27</f>
        <v>821237675.48673487</v>
      </c>
      <c r="BI23" s="270">
        <f>'[2]PPC.1, PCR.2F, EO.3'!C27</f>
        <v>1125258260.7915118</v>
      </c>
      <c r="BJ23" s="270">
        <f>'[2]PPC.1, PCR.2F, EO.3'!D27</f>
        <v>1476521883.9358521</v>
      </c>
      <c r="BK23" s="270">
        <f>'[2]PPC.1, PCR.2F, EO.3'!E27</f>
        <v>1324838501.5884733</v>
      </c>
      <c r="BL23" s="270">
        <f>'[2]PPC.1, PCR.2F, EO.3'!F27</f>
        <v>1167280731.0079541</v>
      </c>
      <c r="BM23" s="270">
        <f>'[2]PPC.1, PCR.2F, EO.3'!G27</f>
        <v>853023954.2261312</v>
      </c>
      <c r="BN23" s="270">
        <f>'[2]PPC.1, PCR.2F, EO.3'!H27</f>
        <v>773837680.71173882</v>
      </c>
      <c r="BO23" s="270">
        <f>'[2]PPC.1, PCR.2F, EO.3'!I27</f>
        <v>1010038873.7497076</v>
      </c>
      <c r="BP23" s="270">
        <f>'[2]PPC.1, PCR.2F, EO.3'!J27</f>
        <v>1292555359.1744905</v>
      </c>
      <c r="BQ23" s="270">
        <f>'[2]PPC.1, PCR.2F, EO.3'!K27</f>
        <v>1264600029.330498</v>
      </c>
      <c r="BR23" s="270">
        <f>'[2]PPC.1, PCR.2F, EO.3'!L27</f>
        <v>1169502121.5208945</v>
      </c>
      <c r="BS23" s="270">
        <f>'[2]PPC.1, PCR.2F, EO.3'!M27</f>
        <v>857751657.077479</v>
      </c>
      <c r="BT23" s="270">
        <f>'[2]PPC.1, PCR.2F, EO.3'!N27</f>
        <v>818315477.25571561</v>
      </c>
      <c r="BU23" s="270">
        <f>'[2]PPC.1, PCR.2F, EO.3'!O27</f>
        <v>1127419667.7622485</v>
      </c>
      <c r="BV23" s="270">
        <f>'[2]PPC.1, PCR.2F, EO.3'!P27</f>
        <v>1384199214.678869</v>
      </c>
    </row>
    <row r="24" spans="1:74" x14ac:dyDescent="0.35">
      <c r="A24" t="s">
        <v>34</v>
      </c>
      <c r="B24" s="37"/>
      <c r="C24" s="37"/>
      <c r="D24" s="43">
        <v>290178959</v>
      </c>
      <c r="E24" s="43">
        <v>235096003</v>
      </c>
      <c r="F24" s="43">
        <v>221772499</v>
      </c>
      <c r="G24" s="43">
        <v>258735845</v>
      </c>
      <c r="H24" s="43">
        <v>295975497</v>
      </c>
      <c r="I24" s="43">
        <v>304175879</v>
      </c>
      <c r="J24" s="43">
        <v>293549572</v>
      </c>
      <c r="K24" s="109">
        <v>264736629</v>
      </c>
      <c r="L24" s="43">
        <v>237145043</v>
      </c>
      <c r="M24" s="43">
        <v>278572550</v>
      </c>
      <c r="N24" s="43">
        <v>297050898</v>
      </c>
      <c r="O24" s="43">
        <v>290934660</v>
      </c>
      <c r="P24" s="43">
        <v>265078600</v>
      </c>
      <c r="Q24" s="43">
        <v>203506574</v>
      </c>
      <c r="R24" s="43">
        <v>184563246</v>
      </c>
      <c r="S24" s="43">
        <v>231230759</v>
      </c>
      <c r="T24" s="43">
        <v>288425422</v>
      </c>
      <c r="U24" s="43">
        <v>281389691</v>
      </c>
      <c r="V24" s="43">
        <v>269111017</v>
      </c>
      <c r="W24" s="43">
        <v>218212399</v>
      </c>
      <c r="X24" s="43">
        <v>218068919</v>
      </c>
      <c r="Y24" s="43">
        <v>251883126</v>
      </c>
      <c r="Z24" s="43">
        <v>300425840</v>
      </c>
      <c r="AA24" s="43">
        <v>303577891</v>
      </c>
      <c r="AB24" s="43">
        <v>265359424</v>
      </c>
      <c r="AC24" s="43">
        <v>211100441</v>
      </c>
      <c r="AD24" s="43">
        <v>205986967</v>
      </c>
      <c r="AE24" s="43">
        <v>264522271</v>
      </c>
      <c r="AF24" s="43">
        <v>291815734</v>
      </c>
      <c r="AG24" s="43">
        <v>291413887</v>
      </c>
      <c r="AH24" s="43">
        <v>294374400</v>
      </c>
      <c r="AI24" s="43">
        <v>245524134</v>
      </c>
      <c r="AJ24" s="43">
        <v>219607166</v>
      </c>
      <c r="AK24" s="43">
        <v>250466096</v>
      </c>
      <c r="AL24" s="43">
        <v>295383726</v>
      </c>
      <c r="AM24" s="43">
        <v>301077290</v>
      </c>
      <c r="AN24" s="43">
        <v>261058604</v>
      </c>
      <c r="AO24" s="43">
        <v>230949228</v>
      </c>
      <c r="AP24" s="43">
        <v>223998788</v>
      </c>
      <c r="AQ24" s="43">
        <v>260692423</v>
      </c>
      <c r="AR24" s="43">
        <v>312328749</v>
      </c>
      <c r="AS24" s="43">
        <v>305346654</v>
      </c>
      <c r="AT24" s="43">
        <v>279929276</v>
      </c>
      <c r="AU24" s="43">
        <v>230143220</v>
      </c>
      <c r="AV24" s="43">
        <v>219390300</v>
      </c>
      <c r="AW24" s="43">
        <v>274277285</v>
      </c>
      <c r="AX24" s="43">
        <v>313843493</v>
      </c>
      <c r="AY24" s="43">
        <v>275065920</v>
      </c>
      <c r="AZ24" s="43">
        <v>246366200</v>
      </c>
      <c r="BA24" s="43">
        <v>226379912</v>
      </c>
      <c r="BB24" s="43">
        <v>209000108</v>
      </c>
      <c r="BC24" s="43">
        <v>251344146</v>
      </c>
      <c r="BD24" s="43">
        <v>291402974</v>
      </c>
      <c r="BE24" s="43">
        <v>297748759</v>
      </c>
      <c r="BF24" s="43">
        <v>290701055</v>
      </c>
      <c r="BG24" s="43">
        <v>244186013</v>
      </c>
      <c r="BH24" s="270">
        <f>'[2]PPC.1, PCR.2F, EO.3'!B28</f>
        <v>224394164.95312458</v>
      </c>
      <c r="BI24" s="270">
        <f>'[2]PPC.1, PCR.2F, EO.3'!C28</f>
        <v>263413475.34842947</v>
      </c>
      <c r="BJ24" s="270">
        <f>'[2]PPC.1, PCR.2F, EO.3'!D28</f>
        <v>307004998.80382639</v>
      </c>
      <c r="BK24" s="270">
        <f>'[2]PPC.1, PCR.2F, EO.3'!E28</f>
        <v>292612333.18518299</v>
      </c>
      <c r="BL24" s="270">
        <f>'[2]PPC.1, PCR.2F, EO.3'!F28</f>
        <v>267792467.08232301</v>
      </c>
      <c r="BM24" s="270">
        <f>'[2]PPC.1, PCR.2F, EO.3'!G28</f>
        <v>228351538.65908313</v>
      </c>
      <c r="BN24" s="270">
        <f>'[2]PPC.1, PCR.2F, EO.3'!H28</f>
        <v>218321066.37314489</v>
      </c>
      <c r="BO24" s="270">
        <f>'[2]PPC.1, PCR.2F, EO.3'!I28</f>
        <v>258620311.68641847</v>
      </c>
      <c r="BP24" s="270">
        <f>'[2]PPC.1, PCR.2F, EO.3'!J28</f>
        <v>300258752.94407535</v>
      </c>
      <c r="BQ24" s="270">
        <f>'[2]PPC.1, PCR.2F, EO.3'!K28</f>
        <v>294312486.26432097</v>
      </c>
      <c r="BR24" s="270">
        <f>'[2]PPC.1, PCR.2F, EO.3'!L28</f>
        <v>284995151.77824074</v>
      </c>
      <c r="BS24" s="270">
        <f>'[2]PPC.1, PCR.2F, EO.3'!M28</f>
        <v>242359002.6419659</v>
      </c>
      <c r="BT24" s="270">
        <f>'[2]PPC.1, PCR.2F, EO.3'!N28</f>
        <v>224612822.15629977</v>
      </c>
      <c r="BU24" s="270">
        <f>'[2]PPC.1, PCR.2F, EO.3'!O28</f>
        <v>266365863.85421503</v>
      </c>
      <c r="BV24" s="270">
        <f>'[2]PPC.1, PCR.2F, EO.3'!P28</f>
        <v>305219384.35504919</v>
      </c>
    </row>
    <row r="25" spans="1:74" x14ac:dyDescent="0.35">
      <c r="A25" t="s">
        <v>35</v>
      </c>
      <c r="B25" s="37"/>
      <c r="C25" s="37"/>
      <c r="D25" s="43">
        <v>599641261</v>
      </c>
      <c r="E25" s="43">
        <v>546450417</v>
      </c>
      <c r="F25" s="43">
        <v>548775486</v>
      </c>
      <c r="G25" s="43">
        <v>609609142</v>
      </c>
      <c r="H25" s="43">
        <v>656813642</v>
      </c>
      <c r="I25" s="43">
        <v>671886437</v>
      </c>
      <c r="J25" s="43">
        <v>678219627</v>
      </c>
      <c r="K25" s="109">
        <v>622550219</v>
      </c>
      <c r="L25" s="43">
        <v>549600433</v>
      </c>
      <c r="M25" s="43">
        <v>596432225</v>
      </c>
      <c r="N25" s="43">
        <v>616923082</v>
      </c>
      <c r="O25" s="43">
        <v>599527620</v>
      </c>
      <c r="P25" s="43">
        <v>566693954</v>
      </c>
      <c r="Q25" s="43">
        <v>483801855</v>
      </c>
      <c r="R25" s="43">
        <v>451939609</v>
      </c>
      <c r="S25" s="43">
        <v>534583835</v>
      </c>
      <c r="T25" s="43">
        <v>624356693</v>
      </c>
      <c r="U25" s="43">
        <v>621885740</v>
      </c>
      <c r="V25" s="43">
        <v>619148163</v>
      </c>
      <c r="W25" s="43">
        <v>528448107.69999999</v>
      </c>
      <c r="X25" s="43">
        <v>514648084</v>
      </c>
      <c r="Y25" s="43">
        <v>553120787</v>
      </c>
      <c r="Z25" s="43">
        <v>592823385</v>
      </c>
      <c r="AA25" s="43">
        <v>585712392</v>
      </c>
      <c r="AB25" s="43">
        <v>543642088</v>
      </c>
      <c r="AC25" s="43">
        <v>483262229</v>
      </c>
      <c r="AD25" s="43">
        <v>492375125.19999999</v>
      </c>
      <c r="AE25" s="43">
        <v>586671915</v>
      </c>
      <c r="AF25" s="43">
        <v>641235470</v>
      </c>
      <c r="AG25" s="43">
        <v>634777638</v>
      </c>
      <c r="AH25" s="43">
        <v>647017474</v>
      </c>
      <c r="AI25" s="43">
        <v>568724491</v>
      </c>
      <c r="AJ25" s="43">
        <v>505304455</v>
      </c>
      <c r="AK25" s="43">
        <v>555282313.60000002</v>
      </c>
      <c r="AL25" s="43">
        <v>590675076</v>
      </c>
      <c r="AM25" s="43">
        <v>582248455</v>
      </c>
      <c r="AN25" s="43">
        <v>534070902</v>
      </c>
      <c r="AO25" s="43">
        <v>506459043</v>
      </c>
      <c r="AP25" s="43">
        <v>516003997</v>
      </c>
      <c r="AQ25" s="43">
        <v>579943536</v>
      </c>
      <c r="AR25" s="43">
        <v>650768443</v>
      </c>
      <c r="AS25" s="43">
        <v>645110540</v>
      </c>
      <c r="AT25" s="43">
        <v>617464584</v>
      </c>
      <c r="AU25" s="43">
        <v>530232061</v>
      </c>
      <c r="AV25" s="43">
        <v>516180366</v>
      </c>
      <c r="AW25" s="43">
        <v>573339069</v>
      </c>
      <c r="AX25" s="43">
        <v>603008465</v>
      </c>
      <c r="AY25" s="43">
        <v>535848689</v>
      </c>
      <c r="AZ25" s="43">
        <v>513226736</v>
      </c>
      <c r="BA25" s="43">
        <v>490211820</v>
      </c>
      <c r="BB25" s="43">
        <v>487205076</v>
      </c>
      <c r="BC25" s="43">
        <v>550130655</v>
      </c>
      <c r="BD25" s="43">
        <v>592309179</v>
      </c>
      <c r="BE25" s="43">
        <v>613854730</v>
      </c>
      <c r="BF25" s="43">
        <v>614247424</v>
      </c>
      <c r="BG25" s="43">
        <v>540155873</v>
      </c>
      <c r="BH25" s="270">
        <f>'[2]PPC.1, PCR.2F, EO.3'!B29</f>
        <v>505275520.80296195</v>
      </c>
      <c r="BI25" s="270">
        <f>'[2]PPC.1, PCR.2F, EO.3'!C29</f>
        <v>543131543.47985172</v>
      </c>
      <c r="BJ25" s="270">
        <f>'[2]PPC.1, PCR.2F, EO.3'!D29</f>
        <v>605219290.5250392</v>
      </c>
      <c r="BK25" s="270">
        <f>'[2]PPC.1, PCR.2F, EO.3'!E29</f>
        <v>555746842.3014673</v>
      </c>
      <c r="BL25" s="270">
        <f>'[2]PPC.1, PCR.2F, EO.3'!F29</f>
        <v>527483070.12023365</v>
      </c>
      <c r="BM25" s="270">
        <f>'[2]PPC.1, PCR.2F, EO.3'!G29</f>
        <v>505683014.17189616</v>
      </c>
      <c r="BN25" s="270">
        <f>'[2]PPC.1, PCR.2F, EO.3'!H29</f>
        <v>514257343.16672277</v>
      </c>
      <c r="BO25" s="270">
        <f>'[2]PPC.1, PCR.2F, EO.3'!I29</f>
        <v>573379724.80373895</v>
      </c>
      <c r="BP25" s="270">
        <f>'[2]PPC.1, PCR.2F, EO.3'!J29</f>
        <v>632608842.1893121</v>
      </c>
      <c r="BQ25" s="270">
        <f>'[2]PPC.1, PCR.2F, EO.3'!K29</f>
        <v>612048052.14071286</v>
      </c>
      <c r="BR25" s="270">
        <f>'[2]PPC.1, PCR.2F, EO.3'!L29</f>
        <v>609568836.13772011</v>
      </c>
      <c r="BS25" s="270">
        <f>'[2]PPC.1, PCR.2F, EO.3'!M29</f>
        <v>561127090.33666372</v>
      </c>
      <c r="BT25" s="270">
        <f>'[2]PPC.1, PCR.2F, EO.3'!N29</f>
        <v>502046226.16902196</v>
      </c>
      <c r="BU25" s="270">
        <f>'[2]PPC.1, PCR.2F, EO.3'!O29</f>
        <v>545717148.56828618</v>
      </c>
      <c r="BV25" s="270">
        <f>'[2]PPC.1, PCR.2F, EO.3'!P29</f>
        <v>605529088.75454676</v>
      </c>
    </row>
    <row r="26" spans="1:74" x14ac:dyDescent="0.35">
      <c r="A26" t="s">
        <v>36</v>
      </c>
      <c r="B26" s="37"/>
      <c r="C26" s="37"/>
      <c r="D26" s="43">
        <v>242499726</v>
      </c>
      <c r="E26" s="43">
        <v>232539680</v>
      </c>
      <c r="F26" s="43">
        <v>229224298</v>
      </c>
      <c r="G26" s="43">
        <v>266349220</v>
      </c>
      <c r="H26" s="43">
        <v>267674678</v>
      </c>
      <c r="I26" s="43">
        <v>281003685</v>
      </c>
      <c r="J26" s="43">
        <v>279302255</v>
      </c>
      <c r="K26" s="109">
        <v>258807768</v>
      </c>
      <c r="L26" s="43">
        <v>239334214</v>
      </c>
      <c r="M26" s="43">
        <v>241025466</v>
      </c>
      <c r="N26" s="43">
        <v>247898204</v>
      </c>
      <c r="O26" s="43">
        <v>255420215</v>
      </c>
      <c r="P26" s="43">
        <v>225135566</v>
      </c>
      <c r="Q26" s="43">
        <v>219961316</v>
      </c>
      <c r="R26" s="43">
        <v>207074154</v>
      </c>
      <c r="S26" s="43">
        <v>241165089</v>
      </c>
      <c r="T26" s="43">
        <v>253833450</v>
      </c>
      <c r="U26" s="43">
        <v>266058831</v>
      </c>
      <c r="V26" s="43">
        <v>266126792</v>
      </c>
      <c r="W26" s="43">
        <v>236673642.40000001</v>
      </c>
      <c r="X26" s="43">
        <v>234876378</v>
      </c>
      <c r="Y26" s="43">
        <v>245759481</v>
      </c>
      <c r="Z26" s="43">
        <v>241302585</v>
      </c>
      <c r="AA26" s="43">
        <v>254211213</v>
      </c>
      <c r="AB26" s="43">
        <v>216207694</v>
      </c>
      <c r="AC26" s="43">
        <v>214809052</v>
      </c>
      <c r="AD26" s="43">
        <v>221576502.5</v>
      </c>
      <c r="AE26" s="43">
        <v>232417188</v>
      </c>
      <c r="AF26" s="43">
        <v>286577542</v>
      </c>
      <c r="AG26" s="43">
        <v>263115351</v>
      </c>
      <c r="AH26" s="43">
        <v>266455046</v>
      </c>
      <c r="AI26" s="43">
        <v>230080105</v>
      </c>
      <c r="AJ26" s="43">
        <v>200697530</v>
      </c>
      <c r="AK26" s="43">
        <v>269908616.5</v>
      </c>
      <c r="AL26" s="43">
        <v>254759231</v>
      </c>
      <c r="AM26" s="43">
        <v>236605471</v>
      </c>
      <c r="AN26" s="43">
        <v>220600472</v>
      </c>
      <c r="AO26" s="43">
        <v>227017145</v>
      </c>
      <c r="AP26" s="43">
        <v>225997805</v>
      </c>
      <c r="AQ26" s="43">
        <v>251076328</v>
      </c>
      <c r="AR26" s="43">
        <v>267504084</v>
      </c>
      <c r="AS26" s="43">
        <v>272015339</v>
      </c>
      <c r="AT26" s="43">
        <v>258297228</v>
      </c>
      <c r="AU26" s="43">
        <v>229178636</v>
      </c>
      <c r="AV26" s="43">
        <v>231438770</v>
      </c>
      <c r="AW26" s="43">
        <v>241377872</v>
      </c>
      <c r="AX26" s="43">
        <v>231408894</v>
      </c>
      <c r="AY26" s="43">
        <v>221649717</v>
      </c>
      <c r="AZ26" s="43">
        <v>205003755</v>
      </c>
      <c r="BA26" s="43">
        <v>219436038</v>
      </c>
      <c r="BB26" s="43">
        <v>219271209</v>
      </c>
      <c r="BC26" s="43">
        <v>232550715</v>
      </c>
      <c r="BD26" s="43">
        <v>235130742</v>
      </c>
      <c r="BE26" s="43">
        <v>262292552</v>
      </c>
      <c r="BF26" s="43">
        <v>254203699</v>
      </c>
      <c r="BG26" s="43">
        <v>220702925</v>
      </c>
      <c r="BH26" s="270">
        <f>'[2]PPC.1, PCR.2F, EO.3'!B30</f>
        <v>219685972.16051269</v>
      </c>
      <c r="BI26" s="270">
        <f>'[2]PPC.1, PCR.2F, EO.3'!C30</f>
        <v>227640372.91921699</v>
      </c>
      <c r="BJ26" s="270">
        <f>'[2]PPC.1, PCR.2F, EO.3'!D30</f>
        <v>238794941.36095244</v>
      </c>
      <c r="BK26" s="270">
        <f>'[2]PPC.1, PCR.2F, EO.3'!E30</f>
        <v>225114293.13275322</v>
      </c>
      <c r="BL26" s="270">
        <f>'[2]PPC.1, PCR.2F, EO.3'!F30</f>
        <v>223217592.21408701</v>
      </c>
      <c r="BM26" s="270">
        <f>'[2]PPC.1, PCR.2F, EO.3'!G30</f>
        <v>220002678.80916598</v>
      </c>
      <c r="BN26" s="270">
        <f>'[2]PPC.1, PCR.2F, EO.3'!H30</f>
        <v>224001238.85819954</v>
      </c>
      <c r="BO26" s="270">
        <f>'[2]PPC.1, PCR.2F, EO.3'!I30</f>
        <v>238645636.01157743</v>
      </c>
      <c r="BP26" s="270">
        <f>'[2]PPC.1, PCR.2F, EO.3'!J30</f>
        <v>255478455.58110467</v>
      </c>
      <c r="BQ26" s="270">
        <f>'[2]PPC.1, PCR.2F, EO.3'!K30</f>
        <v>257840696.63469875</v>
      </c>
      <c r="BR26" s="270">
        <f>'[2]PPC.1, PCR.2F, EO.3'!L30</f>
        <v>252196812.86939156</v>
      </c>
      <c r="BS26" s="270">
        <f>'[2]PPC.1, PCR.2F, EO.3'!M30</f>
        <v>234836867.16593957</v>
      </c>
      <c r="BT26" s="270">
        <f>'[2]PPC.1, PCR.2F, EO.3'!N30</f>
        <v>219688685.37334043</v>
      </c>
      <c r="BU26" s="270">
        <f>'[2]PPC.1, PCR.2F, EO.3'!O30</f>
        <v>227993735.46639213</v>
      </c>
      <c r="BV26" s="270">
        <f>'[2]PPC.1, PCR.2F, EO.3'!P30</f>
        <v>241180641.87502515</v>
      </c>
    </row>
    <row r="27" spans="1:74" x14ac:dyDescent="0.35">
      <c r="A27" t="s">
        <v>37</v>
      </c>
      <c r="B27" s="37"/>
      <c r="C27" s="37"/>
      <c r="D27" s="43">
        <v>99309923</v>
      </c>
      <c r="E27" s="43">
        <v>98876748</v>
      </c>
      <c r="F27" s="43">
        <v>96480454</v>
      </c>
      <c r="G27" s="43">
        <v>121526151</v>
      </c>
      <c r="H27" s="43">
        <v>113123855</v>
      </c>
      <c r="I27" s="43">
        <v>125262874</v>
      </c>
      <c r="J27" s="43">
        <v>126945040</v>
      </c>
      <c r="K27" s="109">
        <v>119752379</v>
      </c>
      <c r="L27" s="43">
        <v>106348532</v>
      </c>
      <c r="M27" s="43">
        <v>100067076</v>
      </c>
      <c r="N27" s="43">
        <v>105899561</v>
      </c>
      <c r="O27" s="43">
        <v>111203176</v>
      </c>
      <c r="P27" s="43">
        <v>86704807</v>
      </c>
      <c r="Q27" s="43">
        <v>92097434</v>
      </c>
      <c r="R27" s="43">
        <v>93506334</v>
      </c>
      <c r="S27" s="43">
        <v>92139707</v>
      </c>
      <c r="T27" s="43">
        <v>105110654</v>
      </c>
      <c r="U27" s="43">
        <v>108265948</v>
      </c>
      <c r="V27" s="43">
        <v>109806573</v>
      </c>
      <c r="W27" s="43">
        <v>96724322.099999994</v>
      </c>
      <c r="X27" s="43">
        <v>94866307</v>
      </c>
      <c r="Y27" s="43">
        <v>96874394</v>
      </c>
      <c r="Z27" s="43">
        <v>84244327</v>
      </c>
      <c r="AA27" s="43">
        <v>112346620</v>
      </c>
      <c r="AB27" s="43">
        <v>50801494</v>
      </c>
      <c r="AC27" s="43">
        <v>85186767</v>
      </c>
      <c r="AD27" s="43">
        <v>94290468.700000003</v>
      </c>
      <c r="AE27" s="43">
        <v>96665030</v>
      </c>
      <c r="AF27" s="43">
        <v>111403127</v>
      </c>
      <c r="AG27" s="43">
        <v>106051211</v>
      </c>
      <c r="AH27" s="43">
        <v>114673513</v>
      </c>
      <c r="AI27" s="43">
        <v>105106440</v>
      </c>
      <c r="AJ27" s="43">
        <v>69778498</v>
      </c>
      <c r="AK27" s="43">
        <v>120928612.40000001</v>
      </c>
      <c r="AL27" s="43">
        <v>91160220</v>
      </c>
      <c r="AM27" s="43">
        <v>84926008</v>
      </c>
      <c r="AN27" s="43">
        <v>81012090</v>
      </c>
      <c r="AO27" s="43">
        <v>85726323</v>
      </c>
      <c r="AP27" s="43">
        <v>71350428</v>
      </c>
      <c r="AQ27" s="43">
        <v>86976917</v>
      </c>
      <c r="AR27" s="43">
        <v>99783323</v>
      </c>
      <c r="AS27" s="43">
        <v>98663196</v>
      </c>
      <c r="AT27" s="43">
        <v>102858299</v>
      </c>
      <c r="AU27" s="43">
        <v>88364839</v>
      </c>
      <c r="AV27" s="43">
        <v>88263402</v>
      </c>
      <c r="AW27" s="43">
        <v>86648705</v>
      </c>
      <c r="AX27" s="43">
        <v>77135409</v>
      </c>
      <c r="AY27" s="43">
        <v>74737407</v>
      </c>
      <c r="AZ27" s="43">
        <v>64517924</v>
      </c>
      <c r="BA27" s="43">
        <v>64659611</v>
      </c>
      <c r="BB27" s="43">
        <v>67634326</v>
      </c>
      <c r="BC27" s="43">
        <v>81350810</v>
      </c>
      <c r="BD27" s="43">
        <v>76194105</v>
      </c>
      <c r="BE27" s="43">
        <v>87357832</v>
      </c>
      <c r="BF27" s="43">
        <v>95274398</v>
      </c>
      <c r="BG27" s="43">
        <v>96078281</v>
      </c>
      <c r="BH27" s="270">
        <f>'[2]PPC.1, PCR.2F, EO.3'!B31</f>
        <v>76392987.673354506</v>
      </c>
      <c r="BI27" s="270">
        <f>'[2]PPC.1, PCR.2F, EO.3'!C31</f>
        <v>74820761.110952988</v>
      </c>
      <c r="BJ27" s="270">
        <f>'[2]PPC.1, PCR.2F, EO.3'!D31</f>
        <v>77644240.925621405</v>
      </c>
      <c r="BK27" s="270">
        <f>'[2]PPC.1, PCR.2F, EO.3'!E31</f>
        <v>69900682.957841858</v>
      </c>
      <c r="BL27" s="270">
        <f>'[2]PPC.1, PCR.2F, EO.3'!F31</f>
        <v>70948578.020594418</v>
      </c>
      <c r="BM27" s="270">
        <f>'[2]PPC.1, PCR.2F, EO.3'!G31</f>
        <v>76302773.924921751</v>
      </c>
      <c r="BN27" s="270">
        <f>'[2]PPC.1, PCR.2F, EO.3'!H31</f>
        <v>80717474.648572221</v>
      </c>
      <c r="BO27" s="270">
        <f>'[2]PPC.1, PCR.2F, EO.3'!I31</f>
        <v>84716410.230404004</v>
      </c>
      <c r="BP27" s="270">
        <f>'[2]PPC.1, PCR.2F, EO.3'!J31</f>
        <v>90297340.742301986</v>
      </c>
      <c r="BQ27" s="270">
        <f>'[2]PPC.1, PCR.2F, EO.3'!K31</f>
        <v>88074024.818592682</v>
      </c>
      <c r="BR27" s="270">
        <f>'[2]PPC.1, PCR.2F, EO.3'!L31</f>
        <v>84653291.753577754</v>
      </c>
      <c r="BS27" s="270">
        <f>'[2]PPC.1, PCR.2F, EO.3'!M31</f>
        <v>82113781.98494634</v>
      </c>
      <c r="BT27" s="270">
        <f>'[2]PPC.1, PCR.2F, EO.3'!N31</f>
        <v>75908932.565945894</v>
      </c>
      <c r="BU27" s="270">
        <f>'[2]PPC.1, PCR.2F, EO.3'!O31</f>
        <v>74712968.059853733</v>
      </c>
      <c r="BV27" s="270">
        <f>'[2]PPC.1, PCR.2F, EO.3'!P31</f>
        <v>75070915.098064989</v>
      </c>
    </row>
    <row r="28" spans="1:74" x14ac:dyDescent="0.35">
      <c r="A28" s="33" t="s">
        <v>31</v>
      </c>
      <c r="B28" s="31"/>
      <c r="C28" s="31"/>
      <c r="D28" s="34">
        <f>SUM(D23:D27)</f>
        <v>2499758324</v>
      </c>
      <c r="E28" s="34">
        <f t="shared" ref="E28:AW28" si="23">SUM(E23:E27)</f>
        <v>1985896392</v>
      </c>
      <c r="F28" s="34">
        <f t="shared" si="23"/>
        <v>1834449295</v>
      </c>
      <c r="G28" s="34">
        <f t="shared" si="23"/>
        <v>2235195660</v>
      </c>
      <c r="H28" s="34">
        <f t="shared" si="23"/>
        <v>2577497445</v>
      </c>
      <c r="I28" s="34">
        <f t="shared" si="23"/>
        <v>2692344190</v>
      </c>
      <c r="J28" s="34">
        <f t="shared" si="23"/>
        <v>2586049727</v>
      </c>
      <c r="K28" s="34">
        <f t="shared" si="23"/>
        <v>2259393157</v>
      </c>
      <c r="L28" s="34">
        <f t="shared" si="23"/>
        <v>2029584453</v>
      </c>
      <c r="M28" s="34">
        <f t="shared" si="23"/>
        <v>2424244506</v>
      </c>
      <c r="N28" s="34">
        <f t="shared" si="23"/>
        <v>2601956425</v>
      </c>
      <c r="O28" s="34">
        <f t="shared" si="23"/>
        <v>2559780622</v>
      </c>
      <c r="P28" s="34">
        <f t="shared" si="23"/>
        <v>2267199627</v>
      </c>
      <c r="Q28" s="34">
        <f t="shared" si="23"/>
        <v>1885945876</v>
      </c>
      <c r="R28" s="34">
        <f t="shared" si="23"/>
        <v>1727181444</v>
      </c>
      <c r="S28" s="34">
        <f t="shared" si="23"/>
        <v>2140133354</v>
      </c>
      <c r="T28" s="34">
        <f t="shared" si="23"/>
        <v>2668776772</v>
      </c>
      <c r="U28" s="34">
        <f t="shared" si="23"/>
        <v>2588323933</v>
      </c>
      <c r="V28" s="34">
        <f t="shared" si="23"/>
        <v>2539356884</v>
      </c>
      <c r="W28" s="34">
        <f t="shared" si="23"/>
        <v>1880855467.2</v>
      </c>
      <c r="X28" s="34">
        <f t="shared" si="23"/>
        <v>1919414791</v>
      </c>
      <c r="Y28" s="34">
        <f t="shared" si="23"/>
        <v>2285505311</v>
      </c>
      <c r="Z28" s="34">
        <f t="shared" si="23"/>
        <v>2701293080</v>
      </c>
      <c r="AA28" s="34">
        <f t="shared" si="23"/>
        <v>2762895596</v>
      </c>
      <c r="AB28" s="34">
        <f t="shared" si="23"/>
        <v>2269212350</v>
      </c>
      <c r="AC28" s="34">
        <f t="shared" si="23"/>
        <v>1797926430</v>
      </c>
      <c r="AD28" s="34">
        <f t="shared" si="23"/>
        <v>1767390312.4000001</v>
      </c>
      <c r="AE28" s="34">
        <f t="shared" si="23"/>
        <v>2241761426</v>
      </c>
      <c r="AF28" s="34">
        <f t="shared" si="23"/>
        <v>2630416326</v>
      </c>
      <c r="AG28" s="34">
        <f t="shared" si="23"/>
        <v>2620993183</v>
      </c>
      <c r="AH28" s="34">
        <f t="shared" si="23"/>
        <v>2624842936</v>
      </c>
      <c r="AI28" s="34">
        <f t="shared" si="23"/>
        <v>2051802732</v>
      </c>
      <c r="AJ28" s="34">
        <f t="shared" si="23"/>
        <v>1844617502</v>
      </c>
      <c r="AK28" s="34">
        <f t="shared" si="23"/>
        <v>2260152185.5</v>
      </c>
      <c r="AL28" s="34">
        <f t="shared" si="23"/>
        <v>2604429573</v>
      </c>
      <c r="AM28" s="34">
        <f t="shared" si="23"/>
        <v>2650772070</v>
      </c>
      <c r="AN28" s="34">
        <f t="shared" si="23"/>
        <v>2252800721</v>
      </c>
      <c r="AO28" s="34">
        <f t="shared" si="23"/>
        <v>1950515267</v>
      </c>
      <c r="AP28" s="34">
        <f t="shared" si="23"/>
        <v>1874510202</v>
      </c>
      <c r="AQ28" s="34">
        <f t="shared" si="23"/>
        <v>2238886497</v>
      </c>
      <c r="AR28" s="34">
        <f t="shared" si="23"/>
        <v>2787735127</v>
      </c>
      <c r="AS28" s="34">
        <f t="shared" si="23"/>
        <v>2711689501</v>
      </c>
      <c r="AT28" s="34">
        <f t="shared" si="23"/>
        <v>2418184647</v>
      </c>
      <c r="AU28" s="34">
        <f t="shared" si="23"/>
        <v>1914968383</v>
      </c>
      <c r="AV28" s="34">
        <f t="shared" ref="AV28" si="24">SUM(AV23:AV27)</f>
        <v>1850644365</v>
      </c>
      <c r="AW28" s="34">
        <f t="shared" si="23"/>
        <v>2231741671.4688997</v>
      </c>
      <c r="AX28" s="34">
        <f t="shared" ref="AX28:AY28" si="25">SUM(AX23:AX27)</f>
        <v>2690422268</v>
      </c>
      <c r="AY28" s="34">
        <f t="shared" si="25"/>
        <v>2359295932</v>
      </c>
      <c r="AZ28" s="34">
        <f t="shared" ref="AZ28:BA28" si="26">SUM(AZ23:AZ27)</f>
        <v>2063654396</v>
      </c>
      <c r="BA28" s="34">
        <f t="shared" si="26"/>
        <v>1890769057</v>
      </c>
      <c r="BB28" s="34">
        <f t="shared" ref="BB28:BC28" si="27">SUM(BB23:BB27)</f>
        <v>1741264804</v>
      </c>
      <c r="BC28" s="34">
        <f t="shared" si="27"/>
        <v>2092627990</v>
      </c>
      <c r="BD28" s="34">
        <f t="shared" ref="BD28:BE28" si="28">SUM(BD23:BD27)</f>
        <v>2473094997</v>
      </c>
      <c r="BE28" s="34">
        <f t="shared" si="28"/>
        <v>2579826523</v>
      </c>
      <c r="BF28" s="34">
        <f t="shared" ref="BF28:BG28" si="29">SUM(BF23:BF27)</f>
        <v>2474502491</v>
      </c>
      <c r="BG28" s="34">
        <f t="shared" si="29"/>
        <v>1988431085</v>
      </c>
      <c r="BH28" s="34">
        <f t="shared" ref="BH28:BT28" si="30">SUM(BH23:BH27)</f>
        <v>1846986321.0766883</v>
      </c>
      <c r="BI28" s="34">
        <f t="shared" si="30"/>
        <v>2234264413.6499629</v>
      </c>
      <c r="BJ28" s="34">
        <f t="shared" si="30"/>
        <v>2705185355.5512915</v>
      </c>
      <c r="BK28" s="34">
        <f t="shared" si="30"/>
        <v>2468212653.165719</v>
      </c>
      <c r="BL28" s="34">
        <f t="shared" si="30"/>
        <v>2256722438.4451923</v>
      </c>
      <c r="BM28" s="34">
        <f t="shared" si="30"/>
        <v>1883363959.7911983</v>
      </c>
      <c r="BN28" s="34">
        <f t="shared" si="30"/>
        <v>1811134803.7583783</v>
      </c>
      <c r="BO28" s="34">
        <f t="shared" si="30"/>
        <v>2165400956.4818463</v>
      </c>
      <c r="BP28" s="34">
        <f t="shared" si="30"/>
        <v>2571198750.6312847</v>
      </c>
      <c r="BQ28" s="34">
        <f t="shared" si="30"/>
        <v>2516875289.1888232</v>
      </c>
      <c r="BR28" s="34">
        <f t="shared" si="30"/>
        <v>2400916214.0598245</v>
      </c>
      <c r="BS28" s="34">
        <f t="shared" si="30"/>
        <v>1978188399.2069945</v>
      </c>
      <c r="BT28" s="34">
        <f t="shared" si="30"/>
        <v>1840572143.5203238</v>
      </c>
      <c r="BU28" s="34">
        <f t="shared" ref="BU28:BV28" si="31">SUM(BU23:BU27)</f>
        <v>2242209383.7109957</v>
      </c>
      <c r="BV28" s="34">
        <f t="shared" si="31"/>
        <v>2611199244.7615552</v>
      </c>
    </row>
    <row r="29" spans="1:74" x14ac:dyDescent="0.35">
      <c r="B29" s="37"/>
      <c r="C29" s="37"/>
    </row>
    <row r="30" spans="1:74" x14ac:dyDescent="0.35">
      <c r="A30" s="27" t="s">
        <v>40</v>
      </c>
      <c r="B30" s="37"/>
      <c r="C30" s="37"/>
      <c r="BH30" s="285"/>
      <c r="BI30" s="285"/>
      <c r="BJ30" s="285"/>
    </row>
    <row r="31" spans="1:74" x14ac:dyDescent="0.35">
      <c r="A31" t="s">
        <v>33</v>
      </c>
      <c r="B31" s="37"/>
      <c r="C31" s="37"/>
      <c r="D31" s="275">
        <f>D14+(D$19*(D23/D$28))</f>
        <v>0</v>
      </c>
      <c r="E31" s="275">
        <f>IF(E14="","",E14+(E$19*(E23/E$28)))</f>
        <v>3542.7066619947968</v>
      </c>
      <c r="F31" s="275">
        <f t="shared" ref="E31:AW35" si="32">IF(F14="","",F14+(F$19*(F23/F$28)))</f>
        <v>26593.748856903429</v>
      </c>
      <c r="G31" s="275">
        <f t="shared" si="32"/>
        <v>243363.92907678595</v>
      </c>
      <c r="H31" s="275">
        <f t="shared" si="32"/>
        <v>441129.8099540461</v>
      </c>
      <c r="I31" s="275">
        <f t="shared" si="32"/>
        <v>538055.00088770315</v>
      </c>
      <c r="J31" s="275">
        <f>IF(J14="","",J14+(J$19*(J23/J$28)))</f>
        <v>375001.00963366695</v>
      </c>
      <c r="K31" s="275">
        <f>IF(K14="","",K14+(K$19*(K23/K$28)))</f>
        <v>137834.38057719183</v>
      </c>
      <c r="L31" s="275">
        <f t="shared" si="32"/>
        <v>274809.55657286098</v>
      </c>
      <c r="M31" s="275">
        <f t="shared" si="32"/>
        <v>467843.25553902646</v>
      </c>
      <c r="N31" s="275">
        <f t="shared" si="32"/>
        <v>544296.07292371744</v>
      </c>
      <c r="O31" s="275">
        <f t="shared" si="32"/>
        <v>676189.22029010952</v>
      </c>
      <c r="P31" s="275">
        <f t="shared" si="32"/>
        <v>463090.51540533279</v>
      </c>
      <c r="Q31" s="275">
        <f>IF(Q14="","",Q14+(Q$19*(Q23/Q$28)))</f>
        <v>212999.83668866704</v>
      </c>
      <c r="R31" s="275">
        <f t="shared" si="32"/>
        <v>239315.41925638349</v>
      </c>
      <c r="S31" s="275">
        <f t="shared" si="32"/>
        <v>745964.63979628112</v>
      </c>
      <c r="T31" s="275">
        <f t="shared" si="32"/>
        <v>1021961.1417325244</v>
      </c>
      <c r="U31" s="275">
        <f t="shared" si="32"/>
        <v>1221140.287913003</v>
      </c>
      <c r="V31" s="275">
        <f t="shared" si="32"/>
        <v>1038934.5439936385</v>
      </c>
      <c r="W31" s="275">
        <f t="shared" si="32"/>
        <v>456853.18990942289</v>
      </c>
      <c r="X31" s="275">
        <f t="shared" si="32"/>
        <v>609473.30327174987</v>
      </c>
      <c r="Y31" s="275">
        <f t="shared" si="32"/>
        <v>767580.56672561402</v>
      </c>
      <c r="Z31" s="275">
        <f t="shared" si="32"/>
        <v>793063.84804214339</v>
      </c>
      <c r="AA31" s="275">
        <f t="shared" si="32"/>
        <v>764854.30430963449</v>
      </c>
      <c r="AB31" s="275">
        <f t="shared" si="32"/>
        <v>819560.20806617534</v>
      </c>
      <c r="AC31" s="275">
        <f t="shared" si="32"/>
        <v>733166.25858200283</v>
      </c>
      <c r="AD31" s="275">
        <f t="shared" si="32"/>
        <v>808585.44290839287</v>
      </c>
      <c r="AE31" s="275">
        <f t="shared" si="32"/>
        <v>2229150.475396621</v>
      </c>
      <c r="AF31" s="275">
        <f t="shared" si="32"/>
        <v>2728598.0253418689</v>
      </c>
      <c r="AG31" s="275">
        <f t="shared" si="32"/>
        <v>2843181.2454154654</v>
      </c>
      <c r="AH31" s="275">
        <f t="shared" si="32"/>
        <v>2152415.8892408246</v>
      </c>
      <c r="AI31" s="275">
        <f t="shared" si="32"/>
        <v>886771.1903804827</v>
      </c>
      <c r="AJ31" s="275">
        <f t="shared" si="32"/>
        <v>1017970.7346454827</v>
      </c>
      <c r="AK31" s="275">
        <f t="shared" si="32"/>
        <v>1252923.0225376603</v>
      </c>
      <c r="AL31" s="275">
        <f t="shared" si="32"/>
        <v>1434652.1574546397</v>
      </c>
      <c r="AM31" s="275">
        <f t="shared" si="32"/>
        <v>1242256.6900827016</v>
      </c>
      <c r="AN31" s="275">
        <f t="shared" si="32"/>
        <v>466704.19082447694</v>
      </c>
      <c r="AO31" s="275">
        <f t="shared" si="32"/>
        <v>411086.64598257263</v>
      </c>
      <c r="AP31" s="275">
        <f t="shared" si="32"/>
        <v>460606.66199414816</v>
      </c>
      <c r="AQ31" s="275">
        <f t="shared" si="32"/>
        <v>1458035.3553365585</v>
      </c>
      <c r="AR31" s="275">
        <f t="shared" si="32"/>
        <v>1865399.5827007205</v>
      </c>
      <c r="AS31" s="275">
        <f t="shared" si="32"/>
        <v>1789207.583547906</v>
      </c>
      <c r="AT31" s="275">
        <f t="shared" si="32"/>
        <v>1230661.6176145528</v>
      </c>
      <c r="AU31" s="275">
        <f t="shared" si="32"/>
        <v>448108.96181830607</v>
      </c>
      <c r="AV31" s="275">
        <f t="shared" ref="AV31" si="33">IF(AV14="","",AV14+(AV$19*(AV23/AV$28)))</f>
        <v>511415.71013617213</v>
      </c>
      <c r="AW31" s="275">
        <f t="shared" si="32"/>
        <v>657599.6612363765</v>
      </c>
      <c r="AX31" s="275">
        <f t="shared" ref="AX31:AY31" si="34">IF(AX14="","",AX14+(AX$19*(AX23/AX$28)))</f>
        <v>715751.71736553009</v>
      </c>
      <c r="AY31" s="275">
        <f t="shared" si="34"/>
        <v>611610.33271900774</v>
      </c>
      <c r="AZ31" s="275">
        <f t="shared" ref="AZ31:BA31" si="35">IF(AZ14="","",AZ14+(AZ$19*(AZ23/AZ$28)))</f>
        <v>580052.23772821727</v>
      </c>
      <c r="BA31" s="275">
        <f t="shared" si="35"/>
        <v>485147.45423910866</v>
      </c>
      <c r="BB31" s="275">
        <f t="shared" ref="BB31:BC31" si="36">IF(BB14="","",BB14+(BB$19*(BB23/BB$28)))</f>
        <v>579019.58477694308</v>
      </c>
      <c r="BC31" s="275">
        <f t="shared" si="36"/>
        <v>2075209.7832731153</v>
      </c>
      <c r="BD31" s="275">
        <f t="shared" ref="BD31:BE31" si="37">IF(BD14="","",BD14+(BD$19*(BD23/BD$28)))</f>
        <v>336900.48174892482</v>
      </c>
      <c r="BE31" s="275">
        <f t="shared" si="37"/>
        <v>423106.97149800922</v>
      </c>
      <c r="BF31" s="275">
        <f t="shared" ref="BF31:BG31" si="38">IF(BF14="","",BF14+(BF$19*(BF23/BF$28)))</f>
        <v>257414.74403194929</v>
      </c>
      <c r="BG31" s="275">
        <f t="shared" si="38"/>
        <v>72670.704773576188</v>
      </c>
      <c r="BH31" s="274">
        <f>IF(BH14="","",BH14+(BH$19*(BH23/BH$28)))</f>
        <v>108867.56960210996</v>
      </c>
      <c r="BI31" s="274">
        <f t="shared" ref="BI31:BT31" si="39">IF(BI14="","",BI14+(BI$19*(BI23/BI$28)))</f>
        <v>205048.07300254761</v>
      </c>
      <c r="BJ31" s="274">
        <f t="shared" si="39"/>
        <v>237299.6790797576</v>
      </c>
      <c r="BK31" s="282">
        <f t="shared" si="39"/>
        <v>203175.33124830644</v>
      </c>
      <c r="BL31" s="282">
        <f t="shared" si="39"/>
        <v>172568.50711964938</v>
      </c>
      <c r="BM31" s="282">
        <f t="shared" si="39"/>
        <v>120873.76589937526</v>
      </c>
      <c r="BN31" s="282">
        <f t="shared" si="39"/>
        <v>166167.38675911128</v>
      </c>
      <c r="BO31" s="282">
        <f t="shared" si="39"/>
        <v>842108.40268998197</v>
      </c>
      <c r="BP31" s="282">
        <f t="shared" si="39"/>
        <v>1203209.7103179214</v>
      </c>
      <c r="BQ31" s="282">
        <f t="shared" si="39"/>
        <v>1211420.9047416388</v>
      </c>
      <c r="BR31" s="282">
        <f t="shared" si="39"/>
        <v>664936.53848626162</v>
      </c>
      <c r="BS31" s="282">
        <f t="shared" si="39"/>
        <v>157364.67944985727</v>
      </c>
      <c r="BT31" s="282">
        <f t="shared" si="39"/>
        <v>222205.87900701634</v>
      </c>
      <c r="BU31" s="282">
        <f t="shared" ref="BU31:BV31" si="40">IF(BU14="","",BU14+(BU$19*(BU23/BU$28)))</f>
        <v>374802.0495100267</v>
      </c>
      <c r="BV31" s="282">
        <f t="shared" si="40"/>
        <v>399853.7533742474</v>
      </c>
    </row>
    <row r="32" spans="1:74" x14ac:dyDescent="0.35">
      <c r="A32" t="s">
        <v>34</v>
      </c>
      <c r="B32" s="37"/>
      <c r="C32" s="37"/>
      <c r="D32" s="275">
        <f>D15+(D$19*(D24/D$28))</f>
        <v>0.34412602678174997</v>
      </c>
      <c r="E32" s="275">
        <f>IF(E15="","",E15+(E$19*(E24/E$28)))</f>
        <v>593.85341007321881</v>
      </c>
      <c r="F32" s="275">
        <f t="shared" si="32"/>
        <v>8368.5225960071712</v>
      </c>
      <c r="G32" s="275">
        <f t="shared" si="32"/>
        <v>23641.814181406706</v>
      </c>
      <c r="H32" s="275">
        <f t="shared" si="32"/>
        <v>47663.861231335664</v>
      </c>
      <c r="I32" s="275">
        <f t="shared" si="32"/>
        <v>53414.007632337976</v>
      </c>
      <c r="J32" s="275">
        <f t="shared" si="32"/>
        <v>71963.570102025027</v>
      </c>
      <c r="K32" s="275">
        <f t="shared" si="32"/>
        <v>61965.410188273323</v>
      </c>
      <c r="L32" s="275">
        <f t="shared" si="32"/>
        <v>64700.998849587129</v>
      </c>
      <c r="M32" s="275">
        <f t="shared" si="32"/>
        <v>81956.189294724609</v>
      </c>
      <c r="N32" s="275">
        <f t="shared" si="32"/>
        <v>113990.99327753842</v>
      </c>
      <c r="O32" s="275">
        <f t="shared" si="32"/>
        <v>88043.147483850829</v>
      </c>
      <c r="P32" s="275">
        <f t="shared" si="32"/>
        <v>103641.60510926238</v>
      </c>
      <c r="Q32" s="275">
        <f t="shared" si="32"/>
        <v>44495.668454394727</v>
      </c>
      <c r="R32" s="275">
        <f t="shared" si="32"/>
        <v>72447.479306892477</v>
      </c>
      <c r="S32" s="275">
        <f t="shared" si="32"/>
        <v>100242.14080653639</v>
      </c>
      <c r="T32" s="275">
        <f t="shared" si="32"/>
        <v>144814.88878280437</v>
      </c>
      <c r="U32" s="275">
        <f t="shared" si="32"/>
        <v>113846.66455304027</v>
      </c>
      <c r="V32" s="275">
        <f t="shared" si="32"/>
        <v>127713.0610159208</v>
      </c>
      <c r="W32" s="275">
        <f t="shared" si="32"/>
        <v>102944.20736329375</v>
      </c>
      <c r="X32" s="275">
        <f t="shared" si="32"/>
        <v>98619.753088261379</v>
      </c>
      <c r="Y32" s="275">
        <f t="shared" si="32"/>
        <v>116491.49867964754</v>
      </c>
      <c r="Z32" s="275">
        <f t="shared" si="32"/>
        <v>196559.66519683803</v>
      </c>
      <c r="AA32" s="275">
        <f t="shared" si="32"/>
        <v>143190.44336244816</v>
      </c>
      <c r="AB32" s="275">
        <f t="shared" si="32"/>
        <v>165885.95699877734</v>
      </c>
      <c r="AC32" s="275">
        <f t="shared" si="32"/>
        <v>168014.93999895826</v>
      </c>
      <c r="AD32" s="275">
        <f t="shared" si="32"/>
        <v>224708.57117023846</v>
      </c>
      <c r="AE32" s="275">
        <f t="shared" si="32"/>
        <v>334985.01191056194</v>
      </c>
      <c r="AF32" s="275">
        <f t="shared" si="32"/>
        <v>449867.18718954525</v>
      </c>
      <c r="AG32" s="275">
        <f t="shared" si="32"/>
        <v>392143.15877642907</v>
      </c>
      <c r="AH32" s="275">
        <f t="shared" si="32"/>
        <v>337751.81199888035</v>
      </c>
      <c r="AI32" s="275">
        <f t="shared" si="32"/>
        <v>247793.76914859904</v>
      </c>
      <c r="AJ32" s="275">
        <f t="shared" si="32"/>
        <v>222262.13845546212</v>
      </c>
      <c r="AK32" s="275">
        <f t="shared" si="32"/>
        <v>249509.48642011534</v>
      </c>
      <c r="AL32" s="275">
        <f t="shared" si="32"/>
        <v>321944.69044732186</v>
      </c>
      <c r="AM32" s="275">
        <f t="shared" si="32"/>
        <v>246962.75301226831</v>
      </c>
      <c r="AN32" s="275">
        <f t="shared" si="32"/>
        <v>100845.58616926862</v>
      </c>
      <c r="AO32" s="275">
        <f t="shared" si="32"/>
        <v>127422.49440160212</v>
      </c>
      <c r="AP32" s="275">
        <f t="shared" si="32"/>
        <v>191471.00601967305</v>
      </c>
      <c r="AQ32" s="275">
        <f t="shared" si="32"/>
        <v>262682.7688338983</v>
      </c>
      <c r="AR32" s="275">
        <f t="shared" si="32"/>
        <v>354188.78297288192</v>
      </c>
      <c r="AS32" s="275">
        <f t="shared" si="32"/>
        <v>291793.54141646903</v>
      </c>
      <c r="AT32" s="275">
        <f t="shared" si="32"/>
        <v>288002.90399346605</v>
      </c>
      <c r="AU32" s="275">
        <f t="shared" si="32"/>
        <v>176158.92806469859</v>
      </c>
      <c r="AV32" s="275">
        <f t="shared" ref="AV32" si="41">IF(AV15="","",AV15+(AV$19*(AV24/AV$28)))</f>
        <v>148988.71783347923</v>
      </c>
      <c r="AW32" s="275">
        <f t="shared" si="32"/>
        <v>166383.33688258496</v>
      </c>
      <c r="AX32" s="275">
        <f t="shared" ref="AX32:AY32" si="42">IF(AX15="","",AX15+(AX$19*(AX24/AX$28)))</f>
        <v>230424.97504364184</v>
      </c>
      <c r="AY32" s="275">
        <f t="shared" si="42"/>
        <v>167267.8186977868</v>
      </c>
      <c r="AZ32" s="275">
        <f t="shared" ref="AZ32:BA32" si="43">IF(AZ15="","",AZ15+(AZ$19*(AZ24/AZ$28)))</f>
        <v>188556.51884636932</v>
      </c>
      <c r="BA32" s="275">
        <f t="shared" si="43"/>
        <v>207172.72942284547</v>
      </c>
      <c r="BB32" s="275">
        <f t="shared" ref="BB32:BC32" si="44">IF(BB15="","",BB15+(BB$19*(BB24/BB$28)))</f>
        <v>282077.02604301338</v>
      </c>
      <c r="BC32" s="275">
        <f t="shared" si="44"/>
        <v>384908.25435282208</v>
      </c>
      <c r="BD32" s="275">
        <f t="shared" ref="BD32:BE32" si="45">IF(BD15="","",BD15+(BD$19*(BD24/BD$28)))</f>
        <v>139737.20125715411</v>
      </c>
      <c r="BE32" s="275">
        <f t="shared" si="45"/>
        <v>125981.43604405341</v>
      </c>
      <c r="BF32" s="275">
        <f t="shared" ref="BF32:BG32" si="46">IF(BF15="","",BF15+(BF$19*(BF24/BF$28)))</f>
        <v>117180.62967897265</v>
      </c>
      <c r="BG32" s="275">
        <f t="shared" si="46"/>
        <v>83769.976962386063</v>
      </c>
      <c r="BH32" s="274">
        <f t="shared" ref="BH32:BT32" si="47">IF(BH15="","",BH15+(BH$19*(BH24/BH$28)))</f>
        <v>83752.207064133108</v>
      </c>
      <c r="BI32" s="274">
        <f t="shared" si="47"/>
        <v>108088.1003338694</v>
      </c>
      <c r="BJ32" s="274">
        <f t="shared" si="47"/>
        <v>124335.73983668641</v>
      </c>
      <c r="BK32" s="282">
        <f t="shared" si="47"/>
        <v>98011.962056831981</v>
      </c>
      <c r="BL32" s="282">
        <f t="shared" si="47"/>
        <v>110386.05073976378</v>
      </c>
      <c r="BM32" s="282">
        <f t="shared" si="47"/>
        <v>122762.09961846514</v>
      </c>
      <c r="BN32" s="282">
        <f t="shared" si="47"/>
        <v>165642.42129499206</v>
      </c>
      <c r="BO32" s="282">
        <f t="shared" si="47"/>
        <v>246841.05271705289</v>
      </c>
      <c r="BP32" s="282">
        <f t="shared" si="47"/>
        <v>328900.66440927458</v>
      </c>
      <c r="BQ32" s="282">
        <f>IF(BQ15="","",BQ15+(BQ$19*(BQ24/BQ$28)))</f>
        <v>291500.30559817096</v>
      </c>
      <c r="BR32" s="282">
        <f t="shared" si="47"/>
        <v>272555.26801196265</v>
      </c>
      <c r="BS32" s="282">
        <f t="shared" si="47"/>
        <v>188457.15966721743</v>
      </c>
      <c r="BT32" s="282">
        <f t="shared" si="47"/>
        <v>174663.2608314587</v>
      </c>
      <c r="BU32" s="282">
        <f t="shared" ref="BU32:BV32" si="48">IF(BU15="","",BU15+(BU$19*(BU24/BU$28)))</f>
        <v>206758.29005272788</v>
      </c>
      <c r="BV32" s="282">
        <f t="shared" si="48"/>
        <v>228442.58424022936</v>
      </c>
    </row>
    <row r="33" spans="1:74" x14ac:dyDescent="0.35">
      <c r="A33" t="s">
        <v>35</v>
      </c>
      <c r="B33" s="37"/>
      <c r="C33" s="37"/>
      <c r="D33" s="275">
        <f>D16+(D$19*(D25/D$28))</f>
        <v>0.36790548240712501</v>
      </c>
      <c r="E33" s="275">
        <f t="shared" si="32"/>
        <v>549.3842450882164</v>
      </c>
      <c r="F33" s="275">
        <f t="shared" si="32"/>
        <v>3822.5375931394819</v>
      </c>
      <c r="G33" s="275">
        <f t="shared" si="32"/>
        <v>16781.332362054229</v>
      </c>
      <c r="H33" s="275">
        <f t="shared" si="32"/>
        <v>40077.718380542559</v>
      </c>
      <c r="I33" s="275">
        <f t="shared" si="32"/>
        <v>54061.137994792116</v>
      </c>
      <c r="J33" s="275">
        <f t="shared" si="32"/>
        <v>79608.348605740233</v>
      </c>
      <c r="K33" s="275">
        <f t="shared" si="32"/>
        <v>56432.915123633284</v>
      </c>
      <c r="L33" s="275">
        <f t="shared" si="32"/>
        <v>84805.665004540322</v>
      </c>
      <c r="M33" s="275">
        <f t="shared" si="32"/>
        <v>101585.96799703788</v>
      </c>
      <c r="N33" s="275">
        <f t="shared" si="32"/>
        <v>154209.2659634623</v>
      </c>
      <c r="O33" s="275">
        <f t="shared" si="32"/>
        <v>122696.92137199735</v>
      </c>
      <c r="P33" s="275">
        <f t="shared" si="32"/>
        <v>123411.87388052933</v>
      </c>
      <c r="Q33" s="275">
        <f t="shared" si="32"/>
        <v>47446.211556775474</v>
      </c>
      <c r="R33" s="275">
        <f t="shared" si="32"/>
        <v>83556.534245541465</v>
      </c>
      <c r="S33" s="275">
        <f t="shared" si="32"/>
        <v>189049.36683437167</v>
      </c>
      <c r="T33" s="275">
        <f t="shared" si="32"/>
        <v>265484.4397628404</v>
      </c>
      <c r="U33" s="275">
        <f t="shared" si="32"/>
        <v>248590.59560852987</v>
      </c>
      <c r="V33" s="275">
        <f t="shared" si="32"/>
        <v>229992.78825383674</v>
      </c>
      <c r="W33" s="275">
        <f t="shared" si="32"/>
        <v>142655.78999924072</v>
      </c>
      <c r="X33" s="275">
        <f t="shared" si="32"/>
        <v>140592.80164431839</v>
      </c>
      <c r="Y33" s="275">
        <f t="shared" si="32"/>
        <v>171784.13279113677</v>
      </c>
      <c r="Z33" s="275">
        <f t="shared" si="32"/>
        <v>283797.45031291858</v>
      </c>
      <c r="AA33" s="275">
        <f t="shared" si="32"/>
        <v>210481.86723637651</v>
      </c>
      <c r="AB33" s="275">
        <f t="shared" si="32"/>
        <v>232927.56555946911</v>
      </c>
      <c r="AC33" s="275">
        <f t="shared" si="32"/>
        <v>221111.27962203597</v>
      </c>
      <c r="AD33" s="275">
        <f t="shared" si="32"/>
        <v>314679.79966629087</v>
      </c>
      <c r="AE33" s="275">
        <f t="shared" si="32"/>
        <v>715299.40366319334</v>
      </c>
      <c r="AF33" s="275">
        <f t="shared" si="32"/>
        <v>953627.42461110547</v>
      </c>
      <c r="AG33" s="275">
        <f t="shared" si="32"/>
        <v>939310.43288894033</v>
      </c>
      <c r="AH33" s="275">
        <f t="shared" si="32"/>
        <v>659615.18241367524</v>
      </c>
      <c r="AI33" s="275">
        <f t="shared" si="32"/>
        <v>353569.18814987835</v>
      </c>
      <c r="AJ33" s="275">
        <f t="shared" si="32"/>
        <v>343727.65210763505</v>
      </c>
      <c r="AK33" s="275">
        <f t="shared" si="32"/>
        <v>418850.04670264991</v>
      </c>
      <c r="AL33" s="275">
        <f t="shared" si="32"/>
        <v>627056.98298263596</v>
      </c>
      <c r="AM33" s="275">
        <f t="shared" si="32"/>
        <v>475288.11809378932</v>
      </c>
      <c r="AN33" s="275">
        <f t="shared" si="32"/>
        <v>288997.35659879085</v>
      </c>
      <c r="AO33" s="275">
        <f t="shared" si="32"/>
        <v>253245.26358346242</v>
      </c>
      <c r="AP33" s="275">
        <f t="shared" si="32"/>
        <v>337719.24594805558</v>
      </c>
      <c r="AQ33" s="275">
        <f t="shared" si="32"/>
        <v>917413.81462190335</v>
      </c>
      <c r="AR33" s="275">
        <f t="shared" si="32"/>
        <v>1145597.0197120309</v>
      </c>
      <c r="AS33" s="275">
        <f t="shared" si="32"/>
        <v>988866.58881189337</v>
      </c>
      <c r="AT33" s="275">
        <f t="shared" si="32"/>
        <v>672365.26793086936</v>
      </c>
      <c r="AU33" s="275">
        <f t="shared" si="32"/>
        <v>344986.1375718661</v>
      </c>
      <c r="AV33" s="275">
        <f t="shared" ref="AV33" si="49">IF(AV16="","",AV16+(AV$19*(AV25/AV$28)))</f>
        <v>367525.10463732504</v>
      </c>
      <c r="AW33" s="275">
        <f t="shared" si="32"/>
        <v>468411.57966709038</v>
      </c>
      <c r="AX33" s="275">
        <f t="shared" ref="AX33:AY33" si="50">IF(AX16="","",AX16+(AX$19*(AX25/AX$28)))</f>
        <v>620203.95847182651</v>
      </c>
      <c r="AY33" s="275">
        <f t="shared" si="50"/>
        <v>478324.36066286819</v>
      </c>
      <c r="AZ33" s="275">
        <f t="shared" ref="AZ33:BA33" si="51">IF(AZ16="","",AZ16+(AZ$19*(AZ25/AZ$28)))</f>
        <v>479847.59845747025</v>
      </c>
      <c r="BA33" s="275">
        <f t="shared" si="51"/>
        <v>438290.6610723678</v>
      </c>
      <c r="BB33" s="275">
        <f t="shared" ref="BB33:BC33" si="52">IF(BB16="","",BB16+(BB$19*(BB25/BB$28)))</f>
        <v>600233.99929541291</v>
      </c>
      <c r="BC33" s="275">
        <f t="shared" si="52"/>
        <v>1562742.7352753344</v>
      </c>
      <c r="BD33" s="275">
        <f t="shared" ref="BD33:BE33" si="53">IF(BD16="","",BD16+(BD$19*(BD25/BD$28)))</f>
        <v>403317.94432410318</v>
      </c>
      <c r="BE33" s="275">
        <f t="shared" si="53"/>
        <v>405009.19644890801</v>
      </c>
      <c r="BF33" s="275">
        <f t="shared" ref="BF33:BG33" si="54">IF(BF16="","",BF16+(BF$19*(BF25/BF$28)))</f>
        <v>309717.05932065495</v>
      </c>
      <c r="BG33" s="275">
        <f t="shared" si="54"/>
        <v>165446.63321632627</v>
      </c>
      <c r="BH33" s="274">
        <f t="shared" ref="BH33:BT33" si="55">IF(BH16="","",BH16+(BH$19*(BH25/BH$28)))</f>
        <v>180653.18400490476</v>
      </c>
      <c r="BI33" s="274">
        <f t="shared" si="55"/>
        <v>253613.67901658814</v>
      </c>
      <c r="BJ33" s="274">
        <f t="shared" si="55"/>
        <v>304292.92028891429</v>
      </c>
      <c r="BK33" s="282">
        <f t="shared" si="55"/>
        <v>253062.35928016988</v>
      </c>
      <c r="BL33" s="282">
        <f t="shared" si="55"/>
        <v>266915.82179975259</v>
      </c>
      <c r="BM33" s="282">
        <f t="shared" si="55"/>
        <v>249409.93712666829</v>
      </c>
      <c r="BN33" s="282">
        <f t="shared" si="55"/>
        <v>326949.2214912948</v>
      </c>
      <c r="BO33" s="282">
        <f t="shared" si="55"/>
        <v>863713.97371606005</v>
      </c>
      <c r="BP33" s="282">
        <f t="shared" si="55"/>
        <v>1083222.4880262192</v>
      </c>
      <c r="BQ33" s="282">
        <f t="shared" si="55"/>
        <v>1035029.5093680447</v>
      </c>
      <c r="BR33" s="282">
        <f t="shared" si="55"/>
        <v>720242.8886579246</v>
      </c>
      <c r="BS33" s="282">
        <f t="shared" si="55"/>
        <v>352493.05798459775</v>
      </c>
      <c r="BT33" s="282">
        <f t="shared" si="55"/>
        <v>359175.41153171164</v>
      </c>
      <c r="BU33" s="282">
        <f t="shared" ref="BU33:BV33" si="56">IF(BU16="","",BU16+(BU$19*(BU25/BU$28)))</f>
        <v>461404.85010191659</v>
      </c>
      <c r="BV33" s="282">
        <f t="shared" si="56"/>
        <v>526441.15319366672</v>
      </c>
    </row>
    <row r="34" spans="1:74" x14ac:dyDescent="0.35">
      <c r="A34" t="s">
        <v>36</v>
      </c>
      <c r="B34" s="37"/>
      <c r="C34" s="37"/>
      <c r="D34" s="275">
        <f>D17+(D$19*(D26/D$28))</f>
        <v>0</v>
      </c>
      <c r="E34" s="275">
        <f t="shared" si="32"/>
        <v>9.4764517045030008</v>
      </c>
      <c r="F34" s="275">
        <f t="shared" si="32"/>
        <v>992.38480063141662</v>
      </c>
      <c r="G34" s="275">
        <f t="shared" si="32"/>
        <v>7292.1248374502911</v>
      </c>
      <c r="H34" s="275">
        <f t="shared" si="32"/>
        <v>15994.94501268368</v>
      </c>
      <c r="I34" s="275">
        <f t="shared" si="32"/>
        <v>17286.492613957165</v>
      </c>
      <c r="J34" s="275">
        <f t="shared" si="32"/>
        <v>20593.63561343183</v>
      </c>
      <c r="K34" s="275">
        <f t="shared" si="32"/>
        <v>13281.46306563299</v>
      </c>
      <c r="L34" s="275">
        <f t="shared" si="32"/>
        <v>20634.15638219006</v>
      </c>
      <c r="M34" s="275">
        <f t="shared" si="32"/>
        <v>18530.128304448888</v>
      </c>
      <c r="N34" s="275">
        <f t="shared" si="32"/>
        <v>41320.38859087076</v>
      </c>
      <c r="O34" s="275">
        <f t="shared" si="32"/>
        <v>29425.974245256413</v>
      </c>
      <c r="P34" s="275">
        <f t="shared" si="32"/>
        <v>32165.147795809222</v>
      </c>
      <c r="Q34" s="275">
        <f t="shared" si="32"/>
        <v>21213.003373036219</v>
      </c>
      <c r="R34" s="275">
        <f t="shared" si="32"/>
        <v>41395.000804902586</v>
      </c>
      <c r="S34" s="275">
        <f t="shared" si="32"/>
        <v>92952.761963081415</v>
      </c>
      <c r="T34" s="275">
        <f t="shared" si="32"/>
        <v>123951.10916307675</v>
      </c>
      <c r="U34" s="275">
        <f t="shared" si="32"/>
        <v>122809.27801030048</v>
      </c>
      <c r="V34" s="275">
        <f t="shared" si="32"/>
        <v>96049.861338882605</v>
      </c>
      <c r="W34" s="275">
        <f t="shared" si="32"/>
        <v>51830.00376307463</v>
      </c>
      <c r="X34" s="275">
        <f t="shared" si="32"/>
        <v>49578.466987818043</v>
      </c>
      <c r="Y34" s="275">
        <f t="shared" si="32"/>
        <v>51735.412802116007</v>
      </c>
      <c r="Z34" s="275">
        <f t="shared" si="32"/>
        <v>90838.744276912417</v>
      </c>
      <c r="AA34" s="275">
        <f t="shared" si="32"/>
        <v>65459.948883100595</v>
      </c>
      <c r="AB34" s="275">
        <f t="shared" si="32"/>
        <v>71534.944524128558</v>
      </c>
      <c r="AC34" s="275">
        <f t="shared" si="32"/>
        <v>71343.757771636898</v>
      </c>
      <c r="AD34" s="275">
        <f t="shared" si="32"/>
        <v>103296.3103477702</v>
      </c>
      <c r="AE34" s="275">
        <f t="shared" si="32"/>
        <v>256562.81120160531</v>
      </c>
      <c r="AF34" s="275">
        <f t="shared" si="32"/>
        <v>319479.07850425603</v>
      </c>
      <c r="AG34" s="275">
        <f t="shared" si="32"/>
        <v>309875.12991512951</v>
      </c>
      <c r="AH34" s="275">
        <f t="shared" si="32"/>
        <v>200668.49634980995</v>
      </c>
      <c r="AI34" s="275">
        <f t="shared" si="32"/>
        <v>111417.50190042912</v>
      </c>
      <c r="AJ34" s="275">
        <f t="shared" si="32"/>
        <v>93253.892629017733</v>
      </c>
      <c r="AK34" s="275">
        <f t="shared" si="32"/>
        <v>103488.5984224446</v>
      </c>
      <c r="AL34" s="275">
        <f t="shared" si="32"/>
        <v>144414.82989089785</v>
      </c>
      <c r="AM34" s="275">
        <f t="shared" si="32"/>
        <v>110066.63506595949</v>
      </c>
      <c r="AN34" s="275">
        <f t="shared" si="32"/>
        <v>50328.1679847302</v>
      </c>
      <c r="AO34" s="275">
        <f t="shared" si="32"/>
        <v>48818.637830727937</v>
      </c>
      <c r="AP34" s="275">
        <f t="shared" si="32"/>
        <v>69139.5977047872</v>
      </c>
      <c r="AQ34" s="275">
        <f t="shared" si="32"/>
        <v>204404.00741586328</v>
      </c>
      <c r="AR34" s="275">
        <f t="shared" si="32"/>
        <v>281050.68735267245</v>
      </c>
      <c r="AS34" s="275">
        <f t="shared" si="32"/>
        <v>243115.17544525067</v>
      </c>
      <c r="AT34" s="275">
        <f t="shared" si="32"/>
        <v>160177.67633933009</v>
      </c>
      <c r="AU34" s="275">
        <f t="shared" si="32"/>
        <v>71401.608823197399</v>
      </c>
      <c r="AV34" s="275">
        <f t="shared" ref="AV34" si="57">IF(AV17="","",AV17+(AV$19*(AV26/AV$28)))</f>
        <v>68759.703767405808</v>
      </c>
      <c r="AW34" s="275">
        <f t="shared" si="32"/>
        <v>79423.074388787179</v>
      </c>
      <c r="AX34" s="275">
        <f t="shared" ref="AX34:AY34" si="58">IF(AX17="","",AX17+(AX$19*(AX26/AX$28)))</f>
        <v>124152.16010630637</v>
      </c>
      <c r="AY34" s="275">
        <f t="shared" si="58"/>
        <v>90652.290206343227</v>
      </c>
      <c r="AZ34" s="275">
        <f t="shared" ref="AZ34:BA34" si="59">IF(AZ17="","",AZ17+(AZ$19*(AZ26/AZ$28)))</f>
        <v>95391.182401412632</v>
      </c>
      <c r="BA34" s="275">
        <f t="shared" si="59"/>
        <v>98092.186887780408</v>
      </c>
      <c r="BB34" s="275">
        <f t="shared" ref="BB34:BC34" si="60">IF(BB17="","",BB17+(BB$19*(BB26/BB$28)))</f>
        <v>146238.88433112807</v>
      </c>
      <c r="BC34" s="275">
        <f t="shared" si="60"/>
        <v>408596.36444724287</v>
      </c>
      <c r="BD34" s="275">
        <f t="shared" ref="BD34:BE34" si="61">IF(BD17="","",BD17+(BD$19*(BD26/BD$28)))</f>
        <v>130017.57406535599</v>
      </c>
      <c r="BE34" s="275">
        <f t="shared" si="61"/>
        <v>135925.39692325707</v>
      </c>
      <c r="BF34" s="275">
        <f t="shared" ref="BF34:BG34" si="62">IF(BF17="","",BF17+(BF$19*(BF26/BF$28)))</f>
        <v>99875.595046319839</v>
      </c>
      <c r="BG34" s="275">
        <f t="shared" si="62"/>
        <v>47172.903672076238</v>
      </c>
      <c r="BH34" s="274">
        <f t="shared" ref="BH34:BT34" si="63">IF(BH17="","",BH17+(BH$19*(BH26/BH$28)))</f>
        <v>51134.45035131117</v>
      </c>
      <c r="BI34" s="274">
        <f t="shared" si="63"/>
        <v>70898.851209851491</v>
      </c>
      <c r="BJ34" s="274">
        <f t="shared" si="63"/>
        <v>85095.314894603143</v>
      </c>
      <c r="BK34" s="282">
        <f t="shared" si="63"/>
        <v>71658.966723130245</v>
      </c>
      <c r="BL34" s="282">
        <f t="shared" si="63"/>
        <v>74074.451875854953</v>
      </c>
      <c r="BM34" s="282">
        <f t="shared" si="63"/>
        <v>70488.405742960735</v>
      </c>
      <c r="BN34" s="282">
        <f t="shared" si="63"/>
        <v>98989.722561764589</v>
      </c>
      <c r="BO34" s="282">
        <f t="shared" si="63"/>
        <v>298409.48996076226</v>
      </c>
      <c r="BP34" s="282">
        <f t="shared" si="63"/>
        <v>368566.03311682877</v>
      </c>
      <c r="BQ34" s="282">
        <f t="shared" si="63"/>
        <v>358404.26853400189</v>
      </c>
      <c r="BR34" s="282">
        <f t="shared" si="63"/>
        <v>226420.82925462004</v>
      </c>
      <c r="BS34" s="282">
        <f t="shared" si="63"/>
        <v>96819.913745369384</v>
      </c>
      <c r="BT34" s="282">
        <f t="shared" si="63"/>
        <v>96244.127062131229</v>
      </c>
      <c r="BU34" s="282">
        <f t="shared" ref="BU34:BV34" si="64">IF(BU17="","",BU17+(BU$19*(BU26/BU$28)))</f>
        <v>119240.40940705907</v>
      </c>
      <c r="BV34" s="282">
        <f t="shared" si="64"/>
        <v>137044.26668353009</v>
      </c>
    </row>
    <row r="35" spans="1:74" x14ac:dyDescent="0.35">
      <c r="A35" t="s">
        <v>37</v>
      </c>
      <c r="B35" s="37"/>
      <c r="C35" s="37"/>
      <c r="D35" s="275">
        <f>D18+(D$19*(D27/D$28))</f>
        <v>0</v>
      </c>
      <c r="E35" s="275">
        <f t="shared" si="32"/>
        <v>0</v>
      </c>
      <c r="F35" s="275">
        <f t="shared" si="32"/>
        <v>158.37627524588399</v>
      </c>
      <c r="G35" s="275">
        <f t="shared" si="32"/>
        <v>597.17310476301054</v>
      </c>
      <c r="H35" s="275">
        <f t="shared" si="32"/>
        <v>0</v>
      </c>
      <c r="I35" s="275">
        <f t="shared" si="32"/>
        <v>224.30843760020062</v>
      </c>
      <c r="J35" s="275">
        <f t="shared" si="32"/>
        <v>578.11242788452876</v>
      </c>
      <c r="K35" s="275">
        <f t="shared" si="32"/>
        <v>553.72176658848127</v>
      </c>
      <c r="L35" s="275">
        <f t="shared" si="32"/>
        <v>4498.45610981133</v>
      </c>
      <c r="M35" s="275">
        <f t="shared" si="32"/>
        <v>2468.5744882877784</v>
      </c>
      <c r="N35" s="275">
        <f t="shared" si="32"/>
        <v>6482.3323978120161</v>
      </c>
      <c r="O35" s="275">
        <f t="shared" si="32"/>
        <v>4714.4220035550234</v>
      </c>
      <c r="P35" s="275">
        <f t="shared" si="32"/>
        <v>4933.2233077077817</v>
      </c>
      <c r="Q35" s="275">
        <f t="shared" si="32"/>
        <v>4340.5509347173938</v>
      </c>
      <c r="R35" s="275">
        <f t="shared" si="32"/>
        <v>11799.946486826884</v>
      </c>
      <c r="S35" s="275">
        <f t="shared" si="32"/>
        <v>38257.943252341713</v>
      </c>
      <c r="T35" s="275">
        <f t="shared" si="32"/>
        <v>40690.592006909494</v>
      </c>
      <c r="U35" s="275">
        <f t="shared" si="32"/>
        <v>41885.585703975645</v>
      </c>
      <c r="V35" s="275">
        <f t="shared" si="32"/>
        <v>26780.761635291285</v>
      </c>
      <c r="W35" s="275">
        <f t="shared" si="32"/>
        <v>10597.262650374174</v>
      </c>
      <c r="X35" s="275">
        <f t="shared" si="32"/>
        <v>10543.327297722915</v>
      </c>
      <c r="Y35" s="275">
        <f t="shared" si="32"/>
        <v>12471.245557264963</v>
      </c>
      <c r="Z35" s="275">
        <f t="shared" si="32"/>
        <v>12960.956487818141</v>
      </c>
      <c r="AA35" s="275">
        <f t="shared" si="32"/>
        <v>11180.008563256184</v>
      </c>
      <c r="AB35" s="275">
        <f t="shared" si="32"/>
        <v>10723.724250200386</v>
      </c>
      <c r="AC35" s="275">
        <f t="shared" si="32"/>
        <v>12186.584798764601</v>
      </c>
      <c r="AD35" s="275">
        <f t="shared" si="32"/>
        <v>21281.154475581399</v>
      </c>
      <c r="AE35" s="275">
        <f t="shared" si="32"/>
        <v>66612.208134140514</v>
      </c>
      <c r="AF35" s="275">
        <f t="shared" si="32"/>
        <v>73408.187300820806</v>
      </c>
      <c r="AG35" s="275">
        <f t="shared" si="32"/>
        <v>73181.995355948209</v>
      </c>
      <c r="AH35" s="275">
        <f t="shared" si="32"/>
        <v>44682.245754003154</v>
      </c>
      <c r="AI35" s="275">
        <f t="shared" si="32"/>
        <v>19447.902145822471</v>
      </c>
      <c r="AJ35" s="275">
        <f t="shared" si="32"/>
        <v>16125.741463642871</v>
      </c>
      <c r="AK35" s="275">
        <f t="shared" si="32"/>
        <v>19063.36096942682</v>
      </c>
      <c r="AL35" s="275">
        <f t="shared" si="32"/>
        <v>18825.407725594807</v>
      </c>
      <c r="AM35" s="275">
        <f t="shared" si="32"/>
        <v>15042.280346882986</v>
      </c>
      <c r="AN35" s="275">
        <f t="shared" si="32"/>
        <v>5372.5491881501548</v>
      </c>
      <c r="AO35" s="275">
        <f t="shared" si="32"/>
        <v>5761.1753207721658</v>
      </c>
      <c r="AP35" s="275">
        <f t="shared" si="32"/>
        <v>7701.1665386990999</v>
      </c>
      <c r="AQ35" s="275">
        <f t="shared" si="32"/>
        <v>20816.695916117322</v>
      </c>
      <c r="AR35" s="275">
        <f t="shared" si="32"/>
        <v>29321.450972661642</v>
      </c>
      <c r="AS35" s="275">
        <f t="shared" si="32"/>
        <v>29057.042020850196</v>
      </c>
      <c r="AT35" s="275">
        <f t="shared" si="32"/>
        <v>22639.119300577775</v>
      </c>
      <c r="AU35" s="275">
        <f t="shared" si="32"/>
        <v>10522.674846079888</v>
      </c>
      <c r="AV35" s="275">
        <f t="shared" ref="AV35" si="65">IF(AV18="","",AV18+(AV$19*(AV27/AV$28)))</f>
        <v>8402.9395721317924</v>
      </c>
      <c r="AW35" s="275">
        <f t="shared" si="32"/>
        <v>10147.866510048789</v>
      </c>
      <c r="AX35" s="275">
        <f t="shared" ref="AX35:AY35" si="66">IF(AX18="","",AX18+(AX$19*(AX27/AX$28)))</f>
        <v>10184.952993836321</v>
      </c>
      <c r="AY35" s="275">
        <f t="shared" si="66"/>
        <v>9072.0567893273928</v>
      </c>
      <c r="AZ35" s="275">
        <f t="shared" ref="AZ35:BA35" si="67">IF(AZ18="","",AZ18+(AZ$19*(AZ27/AZ$28)))</f>
        <v>9954.6531526973886</v>
      </c>
      <c r="BA35" s="275">
        <f t="shared" si="67"/>
        <v>10973.088832331672</v>
      </c>
      <c r="BB35" s="275">
        <f t="shared" ref="BB35:BC35" si="68">IF(BB18="","",BB18+(BB$19*(BB27/BB$28)))</f>
        <v>20516.921574305627</v>
      </c>
      <c r="BC35" s="275">
        <f t="shared" si="68"/>
        <v>80173.370498125121</v>
      </c>
      <c r="BD35" s="275">
        <f t="shared" ref="BD35:BE35" si="69">IF(BD18="","",BD18+(BD$19*(BD27/BD$28)))</f>
        <v>41066.173957788429</v>
      </c>
      <c r="BE35" s="275">
        <f t="shared" si="69"/>
        <v>43464.865379167015</v>
      </c>
      <c r="BF35" s="275">
        <f t="shared" ref="BF35:BG35" si="70">IF(BF18="","",BF18+(BF$19*(BF27/BF$28)))</f>
        <v>24572.609553779672</v>
      </c>
      <c r="BG35" s="275">
        <f t="shared" si="70"/>
        <v>6397.8158425259671</v>
      </c>
      <c r="BH35" s="274">
        <f t="shared" ref="BH35:BT35" si="71">IF(BH18="","",BH18+(BH$19*(BH27/BH$28)))</f>
        <v>5384.602395887403</v>
      </c>
      <c r="BI35" s="274">
        <f t="shared" si="71"/>
        <v>5698.7723705163171</v>
      </c>
      <c r="BJ35" s="274">
        <f t="shared" si="71"/>
        <v>5876.0436812868829</v>
      </c>
      <c r="BK35" s="282">
        <f t="shared" si="71"/>
        <v>4953.752764333889</v>
      </c>
      <c r="BL35" s="282">
        <f t="shared" si="71"/>
        <v>6096.3401605115887</v>
      </c>
      <c r="BM35" s="282">
        <f t="shared" si="71"/>
        <v>8312.1747590233299</v>
      </c>
      <c r="BN35" s="282">
        <f t="shared" si="71"/>
        <v>16604.750788329697</v>
      </c>
      <c r="BO35" s="282">
        <f t="shared" si="71"/>
        <v>59406.168147038363</v>
      </c>
      <c r="BP35" s="282">
        <f t="shared" si="71"/>
        <v>68325.08456694246</v>
      </c>
      <c r="BQ35" s="282">
        <f t="shared" si="71"/>
        <v>70664.152685797104</v>
      </c>
      <c r="BR35" s="282">
        <f t="shared" si="71"/>
        <v>40408.737685573113</v>
      </c>
      <c r="BS35" s="282">
        <f t="shared" si="71"/>
        <v>12521.732058173653</v>
      </c>
      <c r="BT35" s="282">
        <f t="shared" si="71"/>
        <v>11048.266482890791</v>
      </c>
      <c r="BU35" s="282">
        <f t="shared" ref="BU35:BV35" si="72">IF(BU18="","",BU18+(BU$19*(BU27/BU$28)))</f>
        <v>11441.095616061568</v>
      </c>
      <c r="BV35" s="282">
        <f t="shared" si="72"/>
        <v>11560.436401663303</v>
      </c>
    </row>
    <row r="36" spans="1:74" x14ac:dyDescent="0.35">
      <c r="A36" s="33" t="s">
        <v>31</v>
      </c>
      <c r="B36" s="31"/>
      <c r="C36" s="31"/>
      <c r="D36" s="44">
        <f>SUM(D31:D35)</f>
        <v>0.71203150918887492</v>
      </c>
      <c r="E36" s="44">
        <f t="shared" ref="E36:AW36" si="73">SUM(E31:E35)</f>
        <v>4695.4207688607357</v>
      </c>
      <c r="F36" s="44">
        <f t="shared" si="73"/>
        <v>39935.570121927383</v>
      </c>
      <c r="G36" s="44">
        <f t="shared" si="73"/>
        <v>291676.37356246018</v>
      </c>
      <c r="H36" s="44">
        <f t="shared" si="73"/>
        <v>544866.33457860793</v>
      </c>
      <c r="I36" s="44">
        <f t="shared" si="73"/>
        <v>663040.9475663905</v>
      </c>
      <c r="J36" s="44">
        <f t="shared" si="73"/>
        <v>547744.67638274853</v>
      </c>
      <c r="K36" s="44">
        <f t="shared" si="73"/>
        <v>270067.89072131988</v>
      </c>
      <c r="L36" s="44">
        <f t="shared" si="73"/>
        <v>449448.83291898982</v>
      </c>
      <c r="M36" s="44">
        <f t="shared" si="73"/>
        <v>672384.11562352569</v>
      </c>
      <c r="N36" s="44">
        <f t="shared" si="73"/>
        <v>860299.05315340101</v>
      </c>
      <c r="O36" s="44">
        <f t="shared" si="73"/>
        <v>921069.68539476907</v>
      </c>
      <c r="P36" s="44">
        <f t="shared" si="73"/>
        <v>727242.36549864151</v>
      </c>
      <c r="Q36" s="44">
        <f t="shared" si="73"/>
        <v>330495.27100759087</v>
      </c>
      <c r="R36" s="44">
        <f t="shared" si="73"/>
        <v>448514.38010054693</v>
      </c>
      <c r="S36" s="44">
        <f t="shared" si="73"/>
        <v>1166466.8526526124</v>
      </c>
      <c r="T36" s="44">
        <f t="shared" si="73"/>
        <v>1596902.1714481553</v>
      </c>
      <c r="U36" s="44">
        <f t="shared" si="73"/>
        <v>1748272.4117888494</v>
      </c>
      <c r="V36" s="44">
        <f t="shared" si="73"/>
        <v>1519471.0162375702</v>
      </c>
      <c r="W36" s="44">
        <f t="shared" si="73"/>
        <v>764880.45368540613</v>
      </c>
      <c r="X36" s="44">
        <f t="shared" si="73"/>
        <v>908807.65228987054</v>
      </c>
      <c r="Y36" s="44">
        <f t="shared" si="73"/>
        <v>1120062.8565557792</v>
      </c>
      <c r="Z36" s="44">
        <f t="shared" si="73"/>
        <v>1377220.6643166305</v>
      </c>
      <c r="AA36" s="44">
        <f t="shared" si="73"/>
        <v>1195166.5723548159</v>
      </c>
      <c r="AB36" s="44">
        <f t="shared" si="73"/>
        <v>1300632.3993987506</v>
      </c>
      <c r="AC36" s="44">
        <f t="shared" si="73"/>
        <v>1205822.8207733985</v>
      </c>
      <c r="AD36" s="44">
        <f t="shared" si="73"/>
        <v>1472551.2785682736</v>
      </c>
      <c r="AE36" s="44">
        <f t="shared" si="73"/>
        <v>3602609.9103061222</v>
      </c>
      <c r="AF36" s="44">
        <f t="shared" si="73"/>
        <v>4524979.9029475963</v>
      </c>
      <c r="AG36" s="44">
        <f t="shared" si="73"/>
        <v>4557691.9623519126</v>
      </c>
      <c r="AH36" s="44">
        <f t="shared" si="73"/>
        <v>3395133.6257571937</v>
      </c>
      <c r="AI36" s="44">
        <f t="shared" si="73"/>
        <v>1618999.5517252118</v>
      </c>
      <c r="AJ36" s="44">
        <f t="shared" si="73"/>
        <v>1693340.1593012405</v>
      </c>
      <c r="AK36" s="44">
        <f t="shared" si="73"/>
        <v>2043834.5150522972</v>
      </c>
      <c r="AL36" s="44">
        <f t="shared" si="73"/>
        <v>2546894.0685010902</v>
      </c>
      <c r="AM36" s="44">
        <f t="shared" si="73"/>
        <v>2089616.4766016018</v>
      </c>
      <c r="AN36" s="44">
        <f t="shared" si="73"/>
        <v>912247.85076541686</v>
      </c>
      <c r="AO36" s="44">
        <f t="shared" si="73"/>
        <v>846334.21711913741</v>
      </c>
      <c r="AP36" s="44">
        <f t="shared" si="73"/>
        <v>1066637.6782053632</v>
      </c>
      <c r="AQ36" s="44">
        <f t="shared" si="73"/>
        <v>2863352.6421243404</v>
      </c>
      <c r="AR36" s="44">
        <f t="shared" si="73"/>
        <v>3675557.5237109675</v>
      </c>
      <c r="AS36" s="44">
        <f t="shared" si="73"/>
        <v>3342039.9312423696</v>
      </c>
      <c r="AT36" s="44">
        <f t="shared" si="73"/>
        <v>2373846.5851787962</v>
      </c>
      <c r="AU36" s="44">
        <f t="shared" si="73"/>
        <v>1051178.3111241481</v>
      </c>
      <c r="AV36" s="44">
        <f t="shared" ref="AV36" si="74">SUM(AV31:AV35)</f>
        <v>1105092.1759465139</v>
      </c>
      <c r="AW36" s="44">
        <f t="shared" si="73"/>
        <v>1381965.5186848878</v>
      </c>
      <c r="AX36" s="44">
        <f t="shared" ref="AX36:AY36" si="75">SUM(AX31:AX35)</f>
        <v>1700717.7639811411</v>
      </c>
      <c r="AY36" s="44">
        <f t="shared" si="75"/>
        <v>1356926.8590753332</v>
      </c>
      <c r="AZ36" s="44">
        <f t="shared" ref="AZ36:BA36" si="76">SUM(AZ31:AZ35)</f>
        <v>1353802.1905861669</v>
      </c>
      <c r="BA36" s="44">
        <f t="shared" si="76"/>
        <v>1239676.1204544338</v>
      </c>
      <c r="BB36" s="44">
        <f t="shared" ref="BB36:BC36" si="77">SUM(BB31:BB35)</f>
        <v>1628086.4160208032</v>
      </c>
      <c r="BC36" s="44">
        <f t="shared" si="77"/>
        <v>4511630.5078466395</v>
      </c>
      <c r="BD36" s="44">
        <f t="shared" ref="BD36:BE36" si="78">SUM(BD31:BD35)</f>
        <v>1051039.3753533266</v>
      </c>
      <c r="BE36" s="44">
        <f t="shared" si="78"/>
        <v>1133487.8662933947</v>
      </c>
      <c r="BF36" s="44">
        <f t="shared" ref="BF36:BG36" si="79">SUM(BF31:BF35)</f>
        <v>808760.63763167651</v>
      </c>
      <c r="BG36" s="44">
        <f t="shared" si="79"/>
        <v>375458.03446689073</v>
      </c>
      <c r="BH36" s="44">
        <f t="shared" ref="BH36:BT36" si="80">SUM(BH31:BH35)</f>
        <v>429792.01341834641</v>
      </c>
      <c r="BI36" s="44">
        <f t="shared" si="80"/>
        <v>643347.47593337297</v>
      </c>
      <c r="BJ36" s="44">
        <f t="shared" si="80"/>
        <v>756899.69778124825</v>
      </c>
      <c r="BK36" s="44">
        <f t="shared" si="80"/>
        <v>630862.37207277236</v>
      </c>
      <c r="BL36" s="44">
        <f t="shared" si="80"/>
        <v>630041.17169553228</v>
      </c>
      <c r="BM36" s="44">
        <f t="shared" si="80"/>
        <v>571846.38314649276</v>
      </c>
      <c r="BN36" s="44">
        <f t="shared" si="80"/>
        <v>774353.50289549248</v>
      </c>
      <c r="BO36" s="44">
        <f t="shared" si="80"/>
        <v>2310479.0872308952</v>
      </c>
      <c r="BP36" s="44">
        <f t="shared" si="80"/>
        <v>3052223.9804371865</v>
      </c>
      <c r="BQ36" s="44">
        <f t="shared" si="80"/>
        <v>2967019.1409276538</v>
      </c>
      <c r="BR36" s="44">
        <f t="shared" si="80"/>
        <v>1924564.2620963419</v>
      </c>
      <c r="BS36" s="44">
        <f t="shared" si="80"/>
        <v>807656.54290521552</v>
      </c>
      <c r="BT36" s="44">
        <f t="shared" si="80"/>
        <v>863336.94491520873</v>
      </c>
      <c r="BU36" s="44">
        <f t="shared" ref="BU36:BV36" si="81">SUM(BU31:BU35)</f>
        <v>1173646.6946877916</v>
      </c>
      <c r="BV36" s="44">
        <f t="shared" si="81"/>
        <v>1303342.1938933369</v>
      </c>
    </row>
    <row r="37" spans="1:74" x14ac:dyDescent="0.35">
      <c r="A37" s="33"/>
      <c r="B37" s="31"/>
      <c r="C37" s="31"/>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row>
    <row r="38" spans="1:74" x14ac:dyDescent="0.35">
      <c r="A38" s="33"/>
      <c r="B38" s="31"/>
      <c r="C38" s="31"/>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35" t="s">
        <v>145</v>
      </c>
      <c r="BH38" s="80"/>
      <c r="BI38" s="80"/>
      <c r="BJ38" s="35" t="s">
        <v>146</v>
      </c>
      <c r="BK38" s="80"/>
      <c r="BL38" s="80"/>
      <c r="BM38" s="80"/>
      <c r="BN38" s="80"/>
      <c r="BO38" s="80"/>
      <c r="BP38" s="80"/>
      <c r="BQ38" s="80"/>
      <c r="BR38" s="80"/>
      <c r="BS38" s="80"/>
      <c r="BT38" s="80"/>
      <c r="BV38" s="35" t="s">
        <v>147</v>
      </c>
    </row>
    <row r="39" spans="1:74" x14ac:dyDescent="0.35">
      <c r="A39" s="33"/>
      <c r="B39" s="31"/>
      <c r="C39" s="31"/>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t="s">
        <v>33</v>
      </c>
      <c r="BG39" s="280">
        <f>SUM(D31:BG31)</f>
        <v>45648831.611416891</v>
      </c>
      <c r="BH39" s="80"/>
      <c r="BI39" t="s">
        <v>33</v>
      </c>
      <c r="BJ39" s="281">
        <f>SUM(BH31:BJ31)</f>
        <v>551215.32168441522</v>
      </c>
      <c r="BK39" s="80"/>
      <c r="BL39" s="80"/>
      <c r="BM39" s="80"/>
      <c r="BN39" s="80"/>
      <c r="BO39" s="80"/>
      <c r="BP39" s="80"/>
      <c r="BQ39" s="80"/>
      <c r="BR39" s="80"/>
      <c r="BS39" s="80"/>
      <c r="BT39" s="80"/>
      <c r="BU39" t="s">
        <v>33</v>
      </c>
      <c r="BV39" s="283">
        <f>SUM(BK31:BV31)</f>
        <v>5738686.9086033935</v>
      </c>
    </row>
    <row r="40" spans="1:74" x14ac:dyDescent="0.35">
      <c r="A40" s="33"/>
      <c r="B40" s="31"/>
      <c r="C40" s="31"/>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t="s">
        <v>34</v>
      </c>
      <c r="BG40" s="280">
        <f t="shared" ref="BG40:BG43" si="82">SUM(D32:BG32)</f>
        <v>9378153.8965567499</v>
      </c>
      <c r="BH40" s="80"/>
      <c r="BI40" t="s">
        <v>34</v>
      </c>
      <c r="BJ40" s="281">
        <f t="shared" ref="BJ40:BJ44" si="83">SUM(BH32:BJ32)</f>
        <v>316176.04723468889</v>
      </c>
      <c r="BK40" s="80"/>
      <c r="BL40" s="80"/>
      <c r="BM40" s="80"/>
      <c r="BN40" s="80"/>
      <c r="BO40" s="80"/>
      <c r="BP40" s="80"/>
      <c r="BQ40" s="80"/>
      <c r="BR40" s="80"/>
      <c r="BS40" s="80"/>
      <c r="BT40" s="80"/>
      <c r="BU40" t="s">
        <v>34</v>
      </c>
      <c r="BV40" s="283">
        <f t="shared" ref="BV40:BV42" si="84">SUM(BK32:BV32)</f>
        <v>2434921.119238147</v>
      </c>
    </row>
    <row r="41" spans="1:74" x14ac:dyDescent="0.35">
      <c r="A41" s="33"/>
      <c r="B41" s="31"/>
      <c r="C41" s="31"/>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t="s">
        <v>35</v>
      </c>
      <c r="BG41" s="280">
        <f t="shared" si="82"/>
        <v>20354800.01676378</v>
      </c>
      <c r="BH41" s="80"/>
      <c r="BI41" t="s">
        <v>35</v>
      </c>
      <c r="BJ41" s="281">
        <f t="shared" si="83"/>
        <v>738559.78331040719</v>
      </c>
      <c r="BK41" s="80"/>
      <c r="BL41" s="80"/>
      <c r="BM41" s="80"/>
      <c r="BN41" s="80"/>
      <c r="BO41" s="80"/>
      <c r="BP41" s="80"/>
      <c r="BQ41" s="80"/>
      <c r="BR41" s="80"/>
      <c r="BS41" s="80"/>
      <c r="BT41" s="80"/>
      <c r="BU41" t="s">
        <v>35</v>
      </c>
      <c r="BV41" s="283">
        <f t="shared" si="84"/>
        <v>6498060.6722780271</v>
      </c>
    </row>
    <row r="42" spans="1:74" x14ac:dyDescent="0.35">
      <c r="A42" s="33"/>
      <c r="B42" s="31"/>
      <c r="C42" s="31"/>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t="s">
        <v>36</v>
      </c>
      <c r="BG42" s="280">
        <f t="shared" si="82"/>
        <v>5573474.770743425</v>
      </c>
      <c r="BH42" s="80"/>
      <c r="BI42" t="s">
        <v>36</v>
      </c>
      <c r="BJ42" s="281">
        <f t="shared" si="83"/>
        <v>207128.61645576579</v>
      </c>
      <c r="BK42" s="80"/>
      <c r="BL42" s="80"/>
      <c r="BM42" s="80"/>
      <c r="BN42" s="80"/>
      <c r="BO42" s="80"/>
      <c r="BP42" s="80"/>
      <c r="BQ42" s="80"/>
      <c r="BR42" s="80"/>
      <c r="BS42" s="80"/>
      <c r="BT42" s="80"/>
      <c r="BU42" t="s">
        <v>36</v>
      </c>
      <c r="BV42" s="283">
        <f t="shared" si="84"/>
        <v>2016360.8846680131</v>
      </c>
    </row>
    <row r="43" spans="1:74" x14ac:dyDescent="0.35">
      <c r="A43" s="33"/>
      <c r="B43" s="31"/>
      <c r="C43" s="31"/>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t="s">
        <v>37</v>
      </c>
      <c r="BG43" s="280">
        <f t="shared" si="82"/>
        <v>1043416.8623765574</v>
      </c>
      <c r="BH43" s="80"/>
      <c r="BI43" t="s">
        <v>37</v>
      </c>
      <c r="BJ43" s="281">
        <f t="shared" si="83"/>
        <v>16959.418447690601</v>
      </c>
      <c r="BK43" s="80"/>
      <c r="BL43" s="80"/>
      <c r="BM43" s="80"/>
      <c r="BN43" s="80"/>
      <c r="BO43" s="80"/>
      <c r="BP43" s="80"/>
      <c r="BQ43" s="80"/>
      <c r="BR43" s="80"/>
      <c r="BS43" s="80"/>
      <c r="BT43" s="80"/>
      <c r="BU43" t="s">
        <v>37</v>
      </c>
      <c r="BV43" s="283">
        <f>SUM(BK35:BV35)</f>
        <v>321342.69211633882</v>
      </c>
    </row>
    <row r="44" spans="1:74" x14ac:dyDescent="0.35">
      <c r="A44" s="33"/>
      <c r="B44" s="31"/>
      <c r="C44" s="31"/>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33" t="s">
        <v>31</v>
      </c>
      <c r="BG44" s="280">
        <f>SUM(D36:BG36)</f>
        <v>81998677.157857403</v>
      </c>
      <c r="BH44" s="80"/>
      <c r="BI44" s="33" t="s">
        <v>31</v>
      </c>
      <c r="BJ44" s="281">
        <f t="shared" si="83"/>
        <v>1830039.1871329676</v>
      </c>
      <c r="BK44" s="80"/>
      <c r="BL44" s="80"/>
      <c r="BM44" s="80"/>
      <c r="BN44" s="80"/>
      <c r="BO44" s="80"/>
      <c r="BP44" s="80"/>
      <c r="BQ44" s="80"/>
      <c r="BR44" s="80"/>
      <c r="BS44" s="80"/>
      <c r="BT44" s="80"/>
      <c r="BU44" s="33" t="s">
        <v>31</v>
      </c>
      <c r="BV44" s="283">
        <f>SUM(BK36:BV36)</f>
        <v>17009372.27690392</v>
      </c>
    </row>
    <row r="45" spans="1:74" x14ac:dyDescent="0.35">
      <c r="A45" s="33"/>
      <c r="B45" s="31"/>
      <c r="C45" s="31"/>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row>
    <row r="46" spans="1:74" s="82" customFormat="1" ht="15" thickBot="1" x14ac:dyDescent="0.4"/>
    <row r="47" spans="1:74" ht="15.5" x14ac:dyDescent="0.35">
      <c r="A47" s="79" t="s">
        <v>59</v>
      </c>
    </row>
    <row r="49" spans="1:74" x14ac:dyDescent="0.35">
      <c r="B49" s="10">
        <v>42370</v>
      </c>
      <c r="C49" s="10">
        <v>43497</v>
      </c>
      <c r="D49" s="10">
        <v>43525</v>
      </c>
      <c r="E49" s="10">
        <v>43556</v>
      </c>
      <c r="F49" s="10">
        <v>43586</v>
      </c>
      <c r="G49" s="10">
        <v>43617</v>
      </c>
      <c r="H49" s="10">
        <v>43647</v>
      </c>
      <c r="I49" s="10">
        <v>43678</v>
      </c>
      <c r="J49" s="10">
        <v>43709</v>
      </c>
      <c r="K49" s="10">
        <v>43739</v>
      </c>
      <c r="L49" s="10">
        <v>43770</v>
      </c>
      <c r="M49" s="10">
        <v>43800</v>
      </c>
      <c r="N49" s="10">
        <v>43831</v>
      </c>
      <c r="O49" s="10">
        <v>43862</v>
      </c>
      <c r="P49" s="10">
        <v>43891</v>
      </c>
      <c r="Q49" s="10">
        <v>43922</v>
      </c>
      <c r="R49" s="10">
        <v>43952</v>
      </c>
      <c r="S49" s="10">
        <v>43983</v>
      </c>
      <c r="T49" s="10">
        <v>44013</v>
      </c>
      <c r="U49" s="10">
        <v>44044</v>
      </c>
      <c r="V49" s="10">
        <v>44075</v>
      </c>
      <c r="W49" s="10">
        <v>44105</v>
      </c>
      <c r="X49" s="10">
        <v>44136</v>
      </c>
      <c r="Y49" s="10">
        <v>44166</v>
      </c>
      <c r="Z49" s="10">
        <v>44197</v>
      </c>
      <c r="AA49" s="10">
        <v>44228</v>
      </c>
      <c r="AB49" s="10">
        <v>44256</v>
      </c>
      <c r="AC49" s="10">
        <v>44287</v>
      </c>
      <c r="AD49" s="10">
        <v>44317</v>
      </c>
      <c r="AE49" s="10">
        <v>44348</v>
      </c>
      <c r="AF49" s="10">
        <v>44378</v>
      </c>
      <c r="AG49" s="10">
        <v>44409</v>
      </c>
      <c r="AH49" s="10">
        <v>44440</v>
      </c>
      <c r="AI49" s="10">
        <v>44470</v>
      </c>
      <c r="AJ49" s="10">
        <v>44501</v>
      </c>
      <c r="AK49" s="10">
        <v>44531</v>
      </c>
      <c r="AL49" s="10">
        <v>44562</v>
      </c>
      <c r="AM49" s="10">
        <v>44593</v>
      </c>
      <c r="AN49" s="10">
        <v>44621</v>
      </c>
      <c r="AO49" s="10">
        <v>44652</v>
      </c>
      <c r="AP49" s="10">
        <v>44682</v>
      </c>
      <c r="AQ49" s="10">
        <v>44713</v>
      </c>
      <c r="AR49" s="10">
        <v>44743</v>
      </c>
      <c r="AS49" s="10">
        <v>44774</v>
      </c>
      <c r="AT49" s="10">
        <v>44805</v>
      </c>
      <c r="AU49" s="10">
        <v>44835</v>
      </c>
      <c r="AV49" s="10">
        <v>44866</v>
      </c>
      <c r="AW49" s="10">
        <v>44896</v>
      </c>
      <c r="AX49" s="10">
        <v>44927</v>
      </c>
      <c r="AY49" s="10">
        <v>44958</v>
      </c>
      <c r="AZ49" s="10">
        <v>44986</v>
      </c>
      <c r="BA49" s="10">
        <v>45017</v>
      </c>
      <c r="BB49" s="10">
        <v>45047</v>
      </c>
      <c r="BC49" s="10">
        <v>45078</v>
      </c>
      <c r="BD49" s="10">
        <v>45108</v>
      </c>
      <c r="BE49" s="10">
        <v>45139</v>
      </c>
      <c r="BF49" s="10">
        <v>45170</v>
      </c>
      <c r="BG49" s="10">
        <v>45200</v>
      </c>
      <c r="BH49" s="10">
        <v>45231</v>
      </c>
      <c r="BI49" s="10">
        <v>45261</v>
      </c>
      <c r="BJ49" s="10">
        <v>45292</v>
      </c>
      <c r="BK49" s="10">
        <v>45323</v>
      </c>
      <c r="BL49" s="10">
        <v>45352</v>
      </c>
      <c r="BM49" s="10">
        <v>45383</v>
      </c>
      <c r="BN49" s="10">
        <v>45413</v>
      </c>
      <c r="BO49" s="10">
        <v>45444</v>
      </c>
      <c r="BP49" s="10">
        <v>45474</v>
      </c>
      <c r="BQ49" s="10">
        <v>45505</v>
      </c>
      <c r="BR49" s="10">
        <v>45536</v>
      </c>
      <c r="BS49" s="10">
        <v>45566</v>
      </c>
      <c r="BT49" s="10">
        <v>45597</v>
      </c>
      <c r="BU49" s="10">
        <v>45627</v>
      </c>
      <c r="BV49" s="10">
        <v>45658</v>
      </c>
    </row>
    <row r="50" spans="1:74" x14ac:dyDescent="0.35">
      <c r="A50" s="36" t="s">
        <v>60</v>
      </c>
      <c r="B50" s="32"/>
      <c r="C50" s="32"/>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77" t="s">
        <v>143</v>
      </c>
      <c r="BI50" s="278"/>
      <c r="BJ50" s="29"/>
      <c r="BK50" s="29"/>
      <c r="BL50" s="29"/>
      <c r="BM50" s="29"/>
      <c r="BN50" s="29"/>
      <c r="BO50" s="29"/>
      <c r="BP50" s="29"/>
      <c r="BQ50" s="29"/>
      <c r="BR50" s="29"/>
      <c r="BS50" s="29"/>
      <c r="BT50" s="29"/>
      <c r="BU50" s="29"/>
      <c r="BV50" s="29"/>
    </row>
    <row r="51" spans="1:74" x14ac:dyDescent="0.35">
      <c r="A51" t="s">
        <v>33</v>
      </c>
      <c r="B51" s="37"/>
      <c r="C51" s="37"/>
      <c r="D51" s="41">
        <v>0</v>
      </c>
      <c r="E51" s="41">
        <v>0</v>
      </c>
      <c r="F51" s="41">
        <v>28084.31</v>
      </c>
      <c r="G51" s="41">
        <v>338961.47</v>
      </c>
      <c r="H51" s="41">
        <v>431295.26</v>
      </c>
      <c r="I51" s="41">
        <v>454282.99</v>
      </c>
      <c r="J51" s="41">
        <v>419095.06</v>
      </c>
      <c r="K51" s="41">
        <v>344369.99</v>
      </c>
      <c r="L51" s="41">
        <v>308922.03999999998</v>
      </c>
      <c r="M51" s="41">
        <v>415727.27</v>
      </c>
      <c r="N51" s="41">
        <v>459121.81</v>
      </c>
      <c r="O51" s="41">
        <v>465524.23</v>
      </c>
      <c r="P51" s="41">
        <v>420640.46</v>
      </c>
      <c r="Q51" s="41">
        <v>333131.02</v>
      </c>
      <c r="R51" s="41">
        <v>297680.28000000003</v>
      </c>
      <c r="S51" s="41">
        <v>393958.55</v>
      </c>
      <c r="T51" s="41">
        <v>529326.34</v>
      </c>
      <c r="U51" s="41">
        <v>496875.44</v>
      </c>
      <c r="V51" s="41">
        <v>447785.36</v>
      </c>
      <c r="W51" s="41">
        <v>302563.73</v>
      </c>
      <c r="X51" s="41">
        <v>322763.34999999998</v>
      </c>
      <c r="Y51" s="41">
        <v>427989.89</v>
      </c>
      <c r="Z51" s="41">
        <v>556980.75</v>
      </c>
      <c r="AA51" s="41">
        <v>1353651.15</v>
      </c>
      <c r="AB51" s="41">
        <v>1757169.11</v>
      </c>
      <c r="AC51" s="41">
        <v>1185680.5900000001</v>
      </c>
      <c r="AD51" s="41">
        <v>1113985.45</v>
      </c>
      <c r="AE51" s="41">
        <v>1461163.75</v>
      </c>
      <c r="AF51" s="41">
        <v>1930056.97</v>
      </c>
      <c r="AG51" s="41">
        <v>1969181.34</v>
      </c>
      <c r="AH51" s="41">
        <v>1934282.8</v>
      </c>
      <c r="AI51" s="42">
        <v>1339485.02</v>
      </c>
      <c r="AJ51" s="42">
        <v>1255189.19</v>
      </c>
      <c r="AK51" s="42">
        <v>1570523</v>
      </c>
      <c r="AL51" s="42">
        <v>2029998.28</v>
      </c>
      <c r="AM51" s="42">
        <v>1633369.11</v>
      </c>
      <c r="AN51" s="42">
        <v>714783.1</v>
      </c>
      <c r="AO51" s="42">
        <v>547759.59</v>
      </c>
      <c r="AP51" s="42">
        <v>512195.47</v>
      </c>
      <c r="AQ51" s="42">
        <v>651024.82999999996</v>
      </c>
      <c r="AR51" s="42">
        <v>895488.58</v>
      </c>
      <c r="AS51" s="42">
        <v>853007.9</v>
      </c>
      <c r="AT51" s="42">
        <v>710408.72</v>
      </c>
      <c r="AU51" s="42">
        <v>511382.36</v>
      </c>
      <c r="AV51" s="42">
        <v>484043.54</v>
      </c>
      <c r="AW51" s="42">
        <v>740070.25</v>
      </c>
      <c r="AX51" s="42">
        <v>888488.17</v>
      </c>
      <c r="AY51" s="42">
        <v>877032.36</v>
      </c>
      <c r="AZ51" s="42">
        <v>866898.88</v>
      </c>
      <c r="BA51" s="42">
        <v>747574.22</v>
      </c>
      <c r="BB51" s="42">
        <v>639066.06000000006</v>
      </c>
      <c r="BC51" s="42">
        <v>826550.17</v>
      </c>
      <c r="BD51" s="42">
        <v>1081582.31</v>
      </c>
      <c r="BE51" s="42">
        <v>1114808.79</v>
      </c>
      <c r="BF51" s="42">
        <v>1031141.02</v>
      </c>
      <c r="BG51" s="42">
        <v>747638.7</v>
      </c>
      <c r="BH51" s="276">
        <f>'[1]TDR (M3)'!BH22</f>
        <v>691965.26605756558</v>
      </c>
      <c r="BI51" s="276">
        <f>'[1]TDR (M3)'!BI22</f>
        <v>948129.45759044029</v>
      </c>
      <c r="BJ51" s="276">
        <f>'[1]TDR (M3)'!BJ22</f>
        <v>1244100.0805910944</v>
      </c>
      <c r="BK51" s="271"/>
      <c r="BL51" s="271"/>
      <c r="BM51" s="271"/>
      <c r="BN51" s="271"/>
      <c r="BO51" s="271"/>
      <c r="BP51" s="271"/>
      <c r="BQ51" s="271"/>
      <c r="BR51" s="271"/>
      <c r="BS51" s="271"/>
      <c r="BT51" s="271"/>
      <c r="BU51" s="271"/>
      <c r="BV51" s="271"/>
    </row>
    <row r="52" spans="1:74" x14ac:dyDescent="0.35">
      <c r="A52" t="s">
        <v>34</v>
      </c>
      <c r="B52" s="37"/>
      <c r="C52" s="37"/>
      <c r="D52" s="41">
        <v>0</v>
      </c>
      <c r="E52" s="41">
        <v>0</v>
      </c>
      <c r="F52" s="41">
        <v>4774.55</v>
      </c>
      <c r="G52" s="41">
        <v>61751.54</v>
      </c>
      <c r="H52" s="41">
        <v>70665.5</v>
      </c>
      <c r="I52" s="41">
        <v>72630.98</v>
      </c>
      <c r="J52" s="41">
        <v>70137.22</v>
      </c>
      <c r="K52" s="41">
        <v>63135.64</v>
      </c>
      <c r="L52" s="41">
        <v>56628.27</v>
      </c>
      <c r="M52" s="41">
        <v>66553.34</v>
      </c>
      <c r="N52" s="41">
        <v>70974.64</v>
      </c>
      <c r="O52" s="41">
        <v>74514.039999999994</v>
      </c>
      <c r="P52" s="41">
        <v>73821.710000000006</v>
      </c>
      <c r="Q52" s="41">
        <v>56719.11</v>
      </c>
      <c r="R52" s="41">
        <v>51424.73</v>
      </c>
      <c r="S52" s="41">
        <v>64574.18</v>
      </c>
      <c r="T52" s="41">
        <v>80406.710000000006</v>
      </c>
      <c r="U52" s="41">
        <v>78372.460000000006</v>
      </c>
      <c r="V52" s="41">
        <v>75020.86</v>
      </c>
      <c r="W52" s="41">
        <v>60809.53</v>
      </c>
      <c r="X52" s="41">
        <v>60774.8</v>
      </c>
      <c r="Y52" s="41">
        <v>70212.570000000007</v>
      </c>
      <c r="Z52" s="41">
        <v>83755.55</v>
      </c>
      <c r="AA52" s="41">
        <v>247981.23</v>
      </c>
      <c r="AB52" s="41">
        <v>383476.26</v>
      </c>
      <c r="AC52" s="41">
        <v>305019.12</v>
      </c>
      <c r="AD52" s="41">
        <v>298211.62</v>
      </c>
      <c r="AE52" s="41">
        <v>355738.71</v>
      </c>
      <c r="AF52" s="41">
        <v>421100.95</v>
      </c>
      <c r="AG52" s="41">
        <v>421260.25</v>
      </c>
      <c r="AH52" s="41">
        <v>425647.35</v>
      </c>
      <c r="AI52" s="42">
        <v>355043.17</v>
      </c>
      <c r="AJ52" s="42">
        <v>317440.44</v>
      </c>
      <c r="AK52" s="42">
        <v>361675.89</v>
      </c>
      <c r="AL52" s="42">
        <v>427108.58</v>
      </c>
      <c r="AM52" s="42">
        <v>352548.03</v>
      </c>
      <c r="AN52" s="42">
        <v>202576.3</v>
      </c>
      <c r="AO52" s="42">
        <v>179190.8</v>
      </c>
      <c r="AP52" s="42">
        <v>173555.15</v>
      </c>
      <c r="AQ52" s="42">
        <v>201857.14</v>
      </c>
      <c r="AR52" s="42">
        <v>241561.15</v>
      </c>
      <c r="AS52" s="42">
        <v>236616.94</v>
      </c>
      <c r="AT52" s="42">
        <v>216950.84</v>
      </c>
      <c r="AU52" s="42">
        <v>178443.25</v>
      </c>
      <c r="AV52" s="42">
        <v>170114.82</v>
      </c>
      <c r="AW52" s="42">
        <v>212488.19</v>
      </c>
      <c r="AX52" s="42">
        <v>243116.99</v>
      </c>
      <c r="AY52" s="42">
        <v>187551.07</v>
      </c>
      <c r="AZ52" s="42">
        <v>136792.68</v>
      </c>
      <c r="BA52" s="42">
        <v>125661.64</v>
      </c>
      <c r="BB52" s="42">
        <v>115949.34</v>
      </c>
      <c r="BC52" s="42">
        <v>139369.25</v>
      </c>
      <c r="BD52" s="42">
        <v>161718.04</v>
      </c>
      <c r="BE52" s="42">
        <v>165200.46</v>
      </c>
      <c r="BF52" s="42">
        <v>159904.26</v>
      </c>
      <c r="BG52" s="42">
        <v>135422.35</v>
      </c>
      <c r="BH52" s="276">
        <f>'[1]TDR (M3)'!BH23</f>
        <v>124538.76154898416</v>
      </c>
      <c r="BI52" s="276">
        <f>'[1]TDR (M3)'!BI23</f>
        <v>146194.47881837838</v>
      </c>
      <c r="BJ52" s="276">
        <f>'[1]TDR (M3)'!BJ23</f>
        <v>170387.77433612366</v>
      </c>
      <c r="BK52" s="271"/>
      <c r="BL52" s="271"/>
      <c r="BM52" s="271"/>
      <c r="BN52" s="271"/>
      <c r="BO52" s="271"/>
      <c r="BP52" s="271"/>
      <c r="BQ52" s="271"/>
      <c r="BR52" s="271"/>
      <c r="BS52" s="271"/>
      <c r="BT52" s="271"/>
      <c r="BU52" s="271"/>
      <c r="BV52" s="271"/>
    </row>
    <row r="53" spans="1:74" x14ac:dyDescent="0.35">
      <c r="A53" t="s">
        <v>35</v>
      </c>
      <c r="B53" s="37"/>
      <c r="C53" s="37"/>
      <c r="D53" s="41">
        <v>0</v>
      </c>
      <c r="E53" s="41">
        <v>0</v>
      </c>
      <c r="F53" s="41">
        <v>7030.01</v>
      </c>
      <c r="G53" s="41">
        <v>109921.60000000001</v>
      </c>
      <c r="H53" s="41">
        <v>118808.51</v>
      </c>
      <c r="I53" s="41">
        <v>121642.28</v>
      </c>
      <c r="J53" s="41">
        <v>122769.41</v>
      </c>
      <c r="K53" s="41">
        <v>112787.98</v>
      </c>
      <c r="L53" s="41">
        <v>99578.23</v>
      </c>
      <c r="M53" s="41">
        <v>107954.61</v>
      </c>
      <c r="N53" s="41">
        <v>111669.28</v>
      </c>
      <c r="O53" s="41">
        <v>108510.2</v>
      </c>
      <c r="P53" s="41">
        <v>102469.35</v>
      </c>
      <c r="Q53" s="41">
        <v>87569.04</v>
      </c>
      <c r="R53" s="41">
        <v>81676.990000000005</v>
      </c>
      <c r="S53" s="41">
        <v>96788.800000000003</v>
      </c>
      <c r="T53" s="41">
        <v>113009.35</v>
      </c>
      <c r="U53" s="41">
        <v>112596.34</v>
      </c>
      <c r="V53" s="41">
        <v>112065.74</v>
      </c>
      <c r="W53" s="41">
        <v>95621.75</v>
      </c>
      <c r="X53" s="41">
        <v>93151.01</v>
      </c>
      <c r="Y53" s="41">
        <v>100114.88</v>
      </c>
      <c r="Z53" s="41">
        <v>107296.64</v>
      </c>
      <c r="AA53" s="41">
        <v>327311.55</v>
      </c>
      <c r="AB53" s="41">
        <v>570755.55000000005</v>
      </c>
      <c r="AC53" s="41">
        <v>508276</v>
      </c>
      <c r="AD53" s="41">
        <v>517711.44</v>
      </c>
      <c r="AE53" s="41">
        <v>575315.39</v>
      </c>
      <c r="AF53" s="41">
        <v>673826.02</v>
      </c>
      <c r="AG53" s="41">
        <v>667802.68999999994</v>
      </c>
      <c r="AH53" s="41">
        <v>680633.38</v>
      </c>
      <c r="AI53" s="42">
        <v>598281.09</v>
      </c>
      <c r="AJ53" s="42">
        <v>531580.77</v>
      </c>
      <c r="AK53" s="42">
        <v>580996.63</v>
      </c>
      <c r="AL53" s="42">
        <v>621109.79</v>
      </c>
      <c r="AM53" s="42">
        <v>504253.87</v>
      </c>
      <c r="AN53" s="42">
        <v>301892.69</v>
      </c>
      <c r="AO53" s="42">
        <v>280545.46999999997</v>
      </c>
      <c r="AP53" s="42">
        <v>290164.87</v>
      </c>
      <c r="AQ53" s="42">
        <v>325613.77</v>
      </c>
      <c r="AR53" s="42">
        <v>365143.97</v>
      </c>
      <c r="AS53" s="42">
        <v>362549.21</v>
      </c>
      <c r="AT53" s="42">
        <v>346741.86</v>
      </c>
      <c r="AU53" s="42">
        <v>297961.13</v>
      </c>
      <c r="AV53" s="42">
        <v>289745.45</v>
      </c>
      <c r="AW53" s="42">
        <v>322981.7</v>
      </c>
      <c r="AX53" s="42">
        <v>335255.09999999998</v>
      </c>
      <c r="AY53" s="42">
        <v>503655.97</v>
      </c>
      <c r="AZ53" s="42">
        <v>786219.87</v>
      </c>
      <c r="BA53" s="42">
        <v>753502.02</v>
      </c>
      <c r="BB53" s="42">
        <v>749883.21</v>
      </c>
      <c r="BC53" s="42">
        <v>846049.12</v>
      </c>
      <c r="BD53" s="42">
        <v>910940.94</v>
      </c>
      <c r="BE53" s="42">
        <v>943469.07</v>
      </c>
      <c r="BF53" s="42">
        <v>944687.32</v>
      </c>
      <c r="BG53" s="42">
        <v>830714.65</v>
      </c>
      <c r="BH53" s="276">
        <f>'[1]TDR (M3)'!BH24</f>
        <v>777113.75099495554</v>
      </c>
      <c r="BI53" s="276">
        <f>'[1]TDR (M3)'!BI24</f>
        <v>835336.31387201196</v>
      </c>
      <c r="BJ53" s="276">
        <f>'[1]TDR (M3)'!BJ24</f>
        <v>930827.2688275103</v>
      </c>
      <c r="BK53" s="271"/>
      <c r="BL53" s="271"/>
      <c r="BM53" s="271"/>
      <c r="BN53" s="271"/>
      <c r="BO53" s="271"/>
      <c r="BP53" s="271"/>
      <c r="BQ53" s="271"/>
      <c r="BR53" s="271"/>
      <c r="BS53" s="271"/>
      <c r="BT53" s="271"/>
      <c r="BU53" s="271"/>
      <c r="BV53" s="271"/>
    </row>
    <row r="54" spans="1:74" x14ac:dyDescent="0.35">
      <c r="A54" t="s">
        <v>36</v>
      </c>
      <c r="B54" s="37"/>
      <c r="C54" s="37"/>
      <c r="D54" s="41">
        <v>0</v>
      </c>
      <c r="E54" s="41">
        <v>0</v>
      </c>
      <c r="F54" s="41">
        <v>2496.56</v>
      </c>
      <c r="G54" s="41">
        <v>42291.09</v>
      </c>
      <c r="H54" s="41">
        <v>47913.74</v>
      </c>
      <c r="I54" s="41">
        <v>50299.83</v>
      </c>
      <c r="J54" s="41">
        <v>49993.73</v>
      </c>
      <c r="K54" s="41">
        <v>46326.65</v>
      </c>
      <c r="L54" s="41">
        <v>42840.77</v>
      </c>
      <c r="M54" s="41">
        <v>43135.040000000001</v>
      </c>
      <c r="N54" s="41">
        <v>44374.04</v>
      </c>
      <c r="O54" s="41">
        <v>45259.54</v>
      </c>
      <c r="P54" s="41">
        <v>39182.19</v>
      </c>
      <c r="Q54" s="41">
        <v>38273.29</v>
      </c>
      <c r="R54" s="41">
        <v>36030.870000000003</v>
      </c>
      <c r="S54" s="41">
        <v>41962.67</v>
      </c>
      <c r="T54" s="41">
        <v>44167.05</v>
      </c>
      <c r="U54" s="41">
        <v>46294.41</v>
      </c>
      <c r="V54" s="41">
        <v>46306.19</v>
      </c>
      <c r="W54" s="41">
        <v>41160.14</v>
      </c>
      <c r="X54" s="41">
        <v>40868.620000000003</v>
      </c>
      <c r="Y54" s="41">
        <v>42762.14</v>
      </c>
      <c r="Z54" s="41">
        <v>41986.66</v>
      </c>
      <c r="AA54" s="41">
        <v>113037.43</v>
      </c>
      <c r="AB54" s="41">
        <v>187949.41</v>
      </c>
      <c r="AC54" s="41">
        <v>188602.4</v>
      </c>
      <c r="AD54" s="41">
        <v>195382.67</v>
      </c>
      <c r="AE54" s="41">
        <v>188207.84</v>
      </c>
      <c r="AF54" s="41">
        <v>251615.09</v>
      </c>
      <c r="AG54" s="41">
        <v>231015.31</v>
      </c>
      <c r="AH54" s="41">
        <v>233947.55</v>
      </c>
      <c r="AI54" s="42">
        <v>202010.25</v>
      </c>
      <c r="AJ54" s="42">
        <v>176212.48000000001</v>
      </c>
      <c r="AK54" s="42">
        <v>231619.08</v>
      </c>
      <c r="AL54" s="42">
        <v>223678.57</v>
      </c>
      <c r="AM54" s="42">
        <v>167453.84</v>
      </c>
      <c r="AN54" s="42">
        <v>87280.08</v>
      </c>
      <c r="AO54" s="42">
        <v>74518.28</v>
      </c>
      <c r="AP54" s="42">
        <v>87009.31</v>
      </c>
      <c r="AQ54" s="42">
        <v>99059.55</v>
      </c>
      <c r="AR54" s="42">
        <v>102989.08</v>
      </c>
      <c r="AS54" s="42">
        <v>102162.93</v>
      </c>
      <c r="AT54" s="42">
        <v>99521.61</v>
      </c>
      <c r="AU54" s="42">
        <v>88233.75</v>
      </c>
      <c r="AV54" s="42">
        <v>89104.03</v>
      </c>
      <c r="AW54" s="42">
        <v>92492.2</v>
      </c>
      <c r="AX54" s="42">
        <v>88054.05</v>
      </c>
      <c r="AY54" s="42">
        <v>120533.48</v>
      </c>
      <c r="AZ54" s="42">
        <v>193175.07</v>
      </c>
      <c r="BA54" s="42">
        <v>200125.64</v>
      </c>
      <c r="BB54" s="42">
        <v>199975.26</v>
      </c>
      <c r="BC54" s="42">
        <v>209103.63</v>
      </c>
      <c r="BD54" s="42">
        <v>214447.91</v>
      </c>
      <c r="BE54" s="42">
        <v>242601.69</v>
      </c>
      <c r="BF54" s="42">
        <v>231833.74</v>
      </c>
      <c r="BG54" s="42">
        <v>201281.09</v>
      </c>
      <c r="BH54" s="276">
        <f>'[1]TDR (M3)'!BH25</f>
        <v>200353.60661038759</v>
      </c>
      <c r="BI54" s="276">
        <f>'[1]TDR (M3)'!BI25</f>
        <v>207608.02010232591</v>
      </c>
      <c r="BJ54" s="276">
        <f>'[1]TDR (M3)'!BJ25</f>
        <v>217780.98652118864</v>
      </c>
      <c r="BK54" s="271"/>
      <c r="BL54" s="271"/>
      <c r="BM54" s="271"/>
      <c r="BN54" s="271"/>
      <c r="BO54" s="271"/>
      <c r="BP54" s="271"/>
      <c r="BQ54" s="271"/>
      <c r="BR54" s="271"/>
      <c r="BS54" s="271"/>
      <c r="BT54" s="271"/>
      <c r="BU54" s="271"/>
      <c r="BV54" s="271"/>
    </row>
    <row r="55" spans="1:74" x14ac:dyDescent="0.35">
      <c r="A55" t="s">
        <v>37</v>
      </c>
      <c r="B55" s="37"/>
      <c r="C55" s="37"/>
      <c r="D55" s="41">
        <v>0</v>
      </c>
      <c r="E55" s="41">
        <v>0</v>
      </c>
      <c r="F55" s="41">
        <v>0</v>
      </c>
      <c r="G55" s="41">
        <v>4678.1400000000003</v>
      </c>
      <c r="H55" s="41">
        <v>7353.04</v>
      </c>
      <c r="I55" s="41">
        <v>8142.09</v>
      </c>
      <c r="J55" s="41">
        <v>8251.43</v>
      </c>
      <c r="K55" s="41">
        <v>7783.91</v>
      </c>
      <c r="L55" s="41">
        <v>6912.68</v>
      </c>
      <c r="M55" s="41">
        <v>6504.34</v>
      </c>
      <c r="N55" s="41">
        <v>6883.48</v>
      </c>
      <c r="O55" s="41">
        <v>11571.12</v>
      </c>
      <c r="P55" s="41">
        <v>19931.79</v>
      </c>
      <c r="Q55" s="41">
        <v>21827.09</v>
      </c>
      <c r="R55" s="41">
        <v>22161.01</v>
      </c>
      <c r="S55" s="41">
        <v>17306.599999999999</v>
      </c>
      <c r="T55" s="41">
        <v>24911.24</v>
      </c>
      <c r="U55" s="41">
        <v>25659.02</v>
      </c>
      <c r="V55" s="41">
        <v>26024.15</v>
      </c>
      <c r="W55" s="41">
        <v>22923.1</v>
      </c>
      <c r="X55" s="41">
        <v>22483.33</v>
      </c>
      <c r="Y55" s="41">
        <v>22959.24</v>
      </c>
      <c r="Z55" s="41">
        <v>20997.32</v>
      </c>
      <c r="AA55" s="41">
        <v>34921.4</v>
      </c>
      <c r="AB55" s="41">
        <v>24946.880000000001</v>
      </c>
      <c r="AC55" s="41">
        <v>42288.49</v>
      </c>
      <c r="AD55" s="41">
        <v>42963.199999999997</v>
      </c>
      <c r="AE55" s="41">
        <v>41464.47</v>
      </c>
      <c r="AF55" s="41">
        <v>52916.49</v>
      </c>
      <c r="AG55" s="41">
        <v>50374.33</v>
      </c>
      <c r="AH55" s="41">
        <v>54469.919999999998</v>
      </c>
      <c r="AI55" s="42">
        <v>49925.55</v>
      </c>
      <c r="AJ55" s="42">
        <v>33144.800000000003</v>
      </c>
      <c r="AK55" s="42">
        <v>46471.67</v>
      </c>
      <c r="AL55" s="42">
        <v>43301.11</v>
      </c>
      <c r="AM55" s="42">
        <v>35959.279999999999</v>
      </c>
      <c r="AN55" s="42">
        <v>6497.26</v>
      </c>
      <c r="AO55" s="42">
        <v>-22925.25</v>
      </c>
      <c r="AP55" s="42">
        <v>5065.87</v>
      </c>
      <c r="AQ55" s="42">
        <v>6175.37</v>
      </c>
      <c r="AR55" s="42">
        <v>7084.63</v>
      </c>
      <c r="AS55" s="42">
        <v>7005.11</v>
      </c>
      <c r="AT55" s="42">
        <v>7302.95</v>
      </c>
      <c r="AU55" s="42">
        <v>6273.92</v>
      </c>
      <c r="AV55" s="42">
        <v>6266.68</v>
      </c>
      <c r="AW55" s="42">
        <v>6152.05</v>
      </c>
      <c r="AX55" s="42">
        <v>5193.43</v>
      </c>
      <c r="AY55" s="42">
        <v>7679.01</v>
      </c>
      <c r="AZ55" s="42">
        <v>21723.21</v>
      </c>
      <c r="BA55" s="42">
        <v>21854.95</v>
      </c>
      <c r="BB55" s="42">
        <v>22860.41</v>
      </c>
      <c r="BC55" s="42">
        <v>27496.560000000001</v>
      </c>
      <c r="BD55" s="42">
        <v>25753.58</v>
      </c>
      <c r="BE55" s="42">
        <v>29526.94</v>
      </c>
      <c r="BF55" s="42">
        <v>32202.720000000001</v>
      </c>
      <c r="BG55" s="42">
        <v>32474.48</v>
      </c>
      <c r="BH55" s="276">
        <f>'[1]TDR (M3)'!BH26</f>
        <v>25820.82983359382</v>
      </c>
      <c r="BI55" s="276">
        <f>'[1]TDR (M3)'!BI26</f>
        <v>25289.417255502107</v>
      </c>
      <c r="BJ55" s="276">
        <f>'[1]TDR (M3)'!BJ26</f>
        <v>26243.753432860034</v>
      </c>
      <c r="BK55" s="271"/>
      <c r="BL55" s="271"/>
      <c r="BM55" s="271"/>
      <c r="BN55" s="271"/>
      <c r="BO55" s="271"/>
      <c r="BP55" s="271"/>
      <c r="BQ55" s="271"/>
      <c r="BR55" s="271"/>
      <c r="BS55" s="271"/>
      <c r="BT55" s="271"/>
      <c r="BU55" s="271"/>
      <c r="BV55" s="271"/>
    </row>
    <row r="56" spans="1:74" x14ac:dyDescent="0.35">
      <c r="A56" s="33" t="s">
        <v>31</v>
      </c>
      <c r="B56" s="31"/>
      <c r="C56" s="31"/>
      <c r="D56" s="44">
        <f>SUM(D51:D55)</f>
        <v>0</v>
      </c>
      <c r="E56" s="44">
        <f t="shared" ref="E56:AW56" si="85">SUM(E51:E55)</f>
        <v>0</v>
      </c>
      <c r="F56" s="44">
        <f t="shared" si="85"/>
        <v>42385.43</v>
      </c>
      <c r="G56" s="44">
        <f t="shared" si="85"/>
        <v>557603.83999999997</v>
      </c>
      <c r="H56" s="44">
        <f t="shared" si="85"/>
        <v>676036.05</v>
      </c>
      <c r="I56" s="44">
        <f t="shared" si="85"/>
        <v>706998.16999999993</v>
      </c>
      <c r="J56" s="44">
        <f t="shared" si="85"/>
        <v>670246.85000000009</v>
      </c>
      <c r="K56" s="44">
        <f t="shared" si="85"/>
        <v>574404.17000000004</v>
      </c>
      <c r="L56" s="44">
        <f t="shared" si="85"/>
        <v>514881.99</v>
      </c>
      <c r="M56" s="44">
        <f t="shared" si="85"/>
        <v>639874.6</v>
      </c>
      <c r="N56" s="44">
        <f t="shared" si="85"/>
        <v>693023.25</v>
      </c>
      <c r="O56" s="44">
        <f t="shared" si="85"/>
        <v>705379.13</v>
      </c>
      <c r="P56" s="44">
        <f t="shared" si="85"/>
        <v>656045.5</v>
      </c>
      <c r="Q56" s="44">
        <f t="shared" si="85"/>
        <v>537519.54999999993</v>
      </c>
      <c r="R56" s="44">
        <f t="shared" si="85"/>
        <v>488973.88</v>
      </c>
      <c r="S56" s="44">
        <f t="shared" si="85"/>
        <v>614590.80000000005</v>
      </c>
      <c r="T56" s="44">
        <f t="shared" si="85"/>
        <v>791820.69</v>
      </c>
      <c r="U56" s="44">
        <f t="shared" si="85"/>
        <v>759797.67</v>
      </c>
      <c r="V56" s="44">
        <f t="shared" si="85"/>
        <v>707202.29999999993</v>
      </c>
      <c r="W56" s="44">
        <f t="shared" si="85"/>
        <v>523078.25</v>
      </c>
      <c r="X56" s="44">
        <f t="shared" si="85"/>
        <v>540041.11</v>
      </c>
      <c r="Y56" s="44">
        <f t="shared" si="85"/>
        <v>664038.72000000009</v>
      </c>
      <c r="Z56" s="44">
        <f t="shared" si="85"/>
        <v>811016.92</v>
      </c>
      <c r="AA56" s="44">
        <f t="shared" si="85"/>
        <v>2076902.7599999998</v>
      </c>
      <c r="AB56" s="44">
        <f t="shared" si="85"/>
        <v>2924297.21</v>
      </c>
      <c r="AC56" s="44">
        <f t="shared" si="85"/>
        <v>2229866.6</v>
      </c>
      <c r="AD56" s="44">
        <f t="shared" si="85"/>
        <v>2168254.38</v>
      </c>
      <c r="AE56" s="44">
        <f t="shared" si="85"/>
        <v>2621890.16</v>
      </c>
      <c r="AF56" s="44">
        <f t="shared" si="85"/>
        <v>3329515.52</v>
      </c>
      <c r="AG56" s="44">
        <f t="shared" si="85"/>
        <v>3339633.92</v>
      </c>
      <c r="AH56" s="44">
        <f t="shared" si="85"/>
        <v>3328980.9999999995</v>
      </c>
      <c r="AI56" s="44">
        <f t="shared" si="85"/>
        <v>2544745.0799999996</v>
      </c>
      <c r="AJ56" s="44">
        <f t="shared" si="85"/>
        <v>2313567.6799999997</v>
      </c>
      <c r="AK56" s="44">
        <f t="shared" si="85"/>
        <v>2791286.27</v>
      </c>
      <c r="AL56" s="44">
        <f t="shared" si="85"/>
        <v>3345196.3299999996</v>
      </c>
      <c r="AM56" s="44">
        <f t="shared" si="85"/>
        <v>2693584.13</v>
      </c>
      <c r="AN56" s="44">
        <f t="shared" si="85"/>
        <v>1313029.43</v>
      </c>
      <c r="AO56" s="44">
        <f t="shared" si="85"/>
        <v>1059088.8899999999</v>
      </c>
      <c r="AP56" s="44">
        <f t="shared" si="85"/>
        <v>1067990.6700000002</v>
      </c>
      <c r="AQ56" s="44">
        <f t="shared" si="85"/>
        <v>1283730.6600000001</v>
      </c>
      <c r="AR56" s="44">
        <f t="shared" si="85"/>
        <v>1612267.41</v>
      </c>
      <c r="AS56" s="44">
        <f t="shared" si="85"/>
        <v>1561342.09</v>
      </c>
      <c r="AT56" s="44">
        <f t="shared" si="85"/>
        <v>1380925.98</v>
      </c>
      <c r="AU56" s="44">
        <f t="shared" si="85"/>
        <v>1082294.4099999999</v>
      </c>
      <c r="AV56" s="44">
        <f t="shared" ref="AV56" si="86">SUM(AV51:AV55)</f>
        <v>1039274.5200000001</v>
      </c>
      <c r="AW56" s="44">
        <f t="shared" si="85"/>
        <v>1374184.39</v>
      </c>
      <c r="AX56" s="44">
        <f t="shared" ref="AX56:AY56" si="87">SUM(AX51:AX55)</f>
        <v>1560107.7400000002</v>
      </c>
      <c r="AY56" s="44">
        <f t="shared" si="87"/>
        <v>1696451.89</v>
      </c>
      <c r="AZ56" s="44">
        <f t="shared" ref="AZ56:BA56" si="88">SUM(AZ51:AZ55)</f>
        <v>2004809.7100000002</v>
      </c>
      <c r="BA56" s="44">
        <f t="shared" si="88"/>
        <v>1848718.47</v>
      </c>
      <c r="BB56" s="44">
        <f t="shared" ref="BB56:BC56" si="89">SUM(BB51:BB55)</f>
        <v>1727734.2799999998</v>
      </c>
      <c r="BC56" s="44">
        <f t="shared" si="89"/>
        <v>2048568.73</v>
      </c>
      <c r="BD56" s="44">
        <f t="shared" ref="BD56:BE56" si="90">SUM(BD51:BD55)</f>
        <v>2394442.7800000003</v>
      </c>
      <c r="BE56" s="44">
        <f t="shared" si="90"/>
        <v>2495606.9499999997</v>
      </c>
      <c r="BF56" s="44">
        <f t="shared" ref="BF56:BG56" si="91">SUM(BF51:BF55)</f>
        <v>2399769.06</v>
      </c>
      <c r="BG56" s="44">
        <f t="shared" si="91"/>
        <v>1947531.27</v>
      </c>
      <c r="BH56" s="44">
        <f t="shared" ref="BH56:BT56" si="92">SUM(BH51:BH55)</f>
        <v>1819792.2150454868</v>
      </c>
      <c r="BI56" s="44">
        <f t="shared" si="92"/>
        <v>2162557.6876386586</v>
      </c>
      <c r="BJ56" s="44">
        <f t="shared" si="92"/>
        <v>2589339.8637087774</v>
      </c>
      <c r="BK56" s="44">
        <f t="shared" si="92"/>
        <v>0</v>
      </c>
      <c r="BL56" s="44">
        <f t="shared" si="92"/>
        <v>0</v>
      </c>
      <c r="BM56" s="44">
        <f t="shared" si="92"/>
        <v>0</v>
      </c>
      <c r="BN56" s="44">
        <f t="shared" si="92"/>
        <v>0</v>
      </c>
      <c r="BO56" s="44">
        <f t="shared" si="92"/>
        <v>0</v>
      </c>
      <c r="BP56" s="44">
        <f t="shared" si="92"/>
        <v>0</v>
      </c>
      <c r="BQ56" s="44">
        <f t="shared" si="92"/>
        <v>0</v>
      </c>
      <c r="BR56" s="44">
        <f t="shared" si="92"/>
        <v>0</v>
      </c>
      <c r="BS56" s="44">
        <f t="shared" si="92"/>
        <v>0</v>
      </c>
      <c r="BT56" s="44">
        <f t="shared" si="92"/>
        <v>0</v>
      </c>
      <c r="BU56" s="44">
        <f t="shared" ref="BU56:BV56" si="93">SUM(BU51:BU55)</f>
        <v>0</v>
      </c>
      <c r="BV56" s="44">
        <f t="shared" si="93"/>
        <v>0</v>
      </c>
    </row>
    <row r="57" spans="1:74" x14ac:dyDescent="0.35">
      <c r="A57" s="33"/>
      <c r="B57" s="31"/>
      <c r="C57" s="31"/>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277" t="s">
        <v>144</v>
      </c>
      <c r="BI57" s="279"/>
      <c r="BJ57" s="80"/>
      <c r="BK57" s="80"/>
      <c r="BL57" s="80"/>
      <c r="BM57" s="80"/>
      <c r="BN57" s="80"/>
      <c r="BO57" s="80"/>
      <c r="BP57" s="80"/>
      <c r="BQ57" s="80"/>
      <c r="BR57" s="80"/>
      <c r="BS57" s="80"/>
      <c r="BT57" s="80"/>
      <c r="BU57" s="80"/>
      <c r="BV57" s="80"/>
    </row>
    <row r="58" spans="1:74" x14ac:dyDescent="0.35">
      <c r="A58" s="36" t="s">
        <v>61</v>
      </c>
      <c r="B58" s="37"/>
      <c r="C58" s="37"/>
      <c r="D58" s="41">
        <v>0</v>
      </c>
      <c r="E58" s="41">
        <v>0</v>
      </c>
      <c r="F58" s="41">
        <v>-923.75</v>
      </c>
      <c r="G58" s="41">
        <v>-10157.06</v>
      </c>
      <c r="H58" s="41">
        <v>-12455.509999999998</v>
      </c>
      <c r="I58" s="41">
        <v>-13265.509999999998</v>
      </c>
      <c r="J58" s="41">
        <v>-12079.850000000002</v>
      </c>
      <c r="K58" s="110">
        <v>-10230.949999999997</v>
      </c>
      <c r="L58" s="41">
        <v>-11242.28</v>
      </c>
      <c r="M58" s="41">
        <v>-15494.33</v>
      </c>
      <c r="N58" s="41">
        <v>-17112.689999999999</v>
      </c>
      <c r="O58" s="41">
        <v>-17916.879999999997</v>
      </c>
      <c r="P58" s="41">
        <v>-16196.53</v>
      </c>
      <c r="Q58" s="41">
        <v>-11729.169999999998</v>
      </c>
      <c r="R58" s="41">
        <v>-9666.880000000001</v>
      </c>
      <c r="S58" s="41">
        <v>-10964.7</v>
      </c>
      <c r="T58" s="41">
        <v>-14109.349999999999</v>
      </c>
      <c r="U58" s="41">
        <v>-13038.06</v>
      </c>
      <c r="V58" s="41">
        <v>-11941.109999999999</v>
      </c>
      <c r="W58" s="41">
        <v>-8935.6699999999983</v>
      </c>
      <c r="X58" s="41">
        <v>-10579.18</v>
      </c>
      <c r="Y58" s="41">
        <v>-14636.740000000002</v>
      </c>
      <c r="Z58" s="41">
        <v>-19698.789999999997</v>
      </c>
      <c r="AA58" s="41">
        <v>-48385.84</v>
      </c>
      <c r="AB58" s="41">
        <v>-64618.5</v>
      </c>
      <c r="AC58" s="41">
        <v>-42103.360000000001</v>
      </c>
      <c r="AD58" s="41">
        <v>-36788.399999999994</v>
      </c>
      <c r="AE58" s="41">
        <v>-41724.590000000004</v>
      </c>
      <c r="AF58" s="41">
        <v>-54881.069999999992</v>
      </c>
      <c r="AG58" s="41">
        <v>-55914.9</v>
      </c>
      <c r="AH58" s="41">
        <v>-55481.14</v>
      </c>
      <c r="AI58" s="42">
        <v>-39206.850000000013</v>
      </c>
      <c r="AJ58" s="42">
        <v>-42360.3</v>
      </c>
      <c r="AK58" s="42">
        <v>-54472.2</v>
      </c>
      <c r="AL58" s="42">
        <v>-66993.759999999995</v>
      </c>
      <c r="AM58" s="42">
        <v>-58621.54</v>
      </c>
      <c r="AN58" s="42">
        <v>-25799.879999999997</v>
      </c>
      <c r="AO58" s="42">
        <v>-19928.739999999994</v>
      </c>
      <c r="AP58" s="42">
        <v>-16836.810000000001</v>
      </c>
      <c r="AQ58" s="42">
        <v>-19254.710000000003</v>
      </c>
      <c r="AR58" s="42">
        <v>-26122.889999999996</v>
      </c>
      <c r="AS58" s="42">
        <v>-25874.140000000003</v>
      </c>
      <c r="AT58" s="42">
        <v>-22617.429999999997</v>
      </c>
      <c r="AU58" s="42">
        <v>-17799.38</v>
      </c>
      <c r="AV58" s="42">
        <v>-18696.190000000002</v>
      </c>
      <c r="AW58" s="42">
        <v>-30479.339999999997</v>
      </c>
      <c r="AX58" s="42">
        <v>-37208.44</v>
      </c>
      <c r="AY58" s="42">
        <v>-37987.630000000005</v>
      </c>
      <c r="AZ58" s="42">
        <v>-38676.790000000008</v>
      </c>
      <c r="BA58" s="42">
        <v>-32952.089999999997</v>
      </c>
      <c r="BB58" s="42">
        <v>-25745.840000000007</v>
      </c>
      <c r="BC58" s="42">
        <v>-30452.22</v>
      </c>
      <c r="BD58" s="42">
        <v>-39254.820000000007</v>
      </c>
      <c r="BE58" s="42">
        <v>-41568.620000000003</v>
      </c>
      <c r="BF58" s="42">
        <v>-38859.039999999994</v>
      </c>
      <c r="BG58" s="42">
        <v>-30493.630000000008</v>
      </c>
      <c r="BH58" s="276">
        <f>'[1]TDR (M3)'!BH36</f>
        <v>-28260.175344300882</v>
      </c>
      <c r="BI58" s="276">
        <f>'[1]TDR (M3)'!BI36</f>
        <v>-38722.037123715498</v>
      </c>
      <c r="BJ58" s="276">
        <f>'[1]TDR (M3)'!BJ36</f>
        <v>-50809.611620647876</v>
      </c>
      <c r="BK58" s="271"/>
      <c r="BL58" s="271"/>
      <c r="BM58" s="271"/>
      <c r="BN58" s="271"/>
      <c r="BO58" s="271"/>
      <c r="BP58" s="271"/>
      <c r="BQ58" s="271"/>
      <c r="BR58" s="271"/>
      <c r="BS58" s="271"/>
      <c r="BT58" s="271"/>
      <c r="BU58" s="271"/>
      <c r="BV58" s="271"/>
    </row>
    <row r="59" spans="1:74" x14ac:dyDescent="0.35">
      <c r="B59" s="37"/>
      <c r="C59" s="37"/>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row>
    <row r="60" spans="1:74" x14ac:dyDescent="0.35">
      <c r="A60" s="27" t="s">
        <v>32</v>
      </c>
      <c r="B60" s="37"/>
      <c r="C60" s="37"/>
      <c r="S60" s="83"/>
    </row>
    <row r="61" spans="1:74" x14ac:dyDescent="0.35">
      <c r="A61" t="s">
        <v>33</v>
      </c>
      <c r="B61" s="37"/>
      <c r="C61" s="37"/>
      <c r="D61" s="81">
        <f t="shared" ref="D61:AU61" si="94">+D23</f>
        <v>1268128455</v>
      </c>
      <c r="E61" s="81">
        <f t="shared" si="94"/>
        <v>872933544</v>
      </c>
      <c r="F61" s="81">
        <f t="shared" si="94"/>
        <v>738196558</v>
      </c>
      <c r="G61" s="81">
        <f t="shared" si="94"/>
        <v>978975302</v>
      </c>
      <c r="H61" s="81">
        <f t="shared" si="94"/>
        <v>1243909773</v>
      </c>
      <c r="I61" s="81">
        <f t="shared" si="94"/>
        <v>1310015315</v>
      </c>
      <c r="J61" s="81">
        <f t="shared" si="94"/>
        <v>1208033233</v>
      </c>
      <c r="K61" s="81">
        <f t="shared" si="94"/>
        <v>993546162</v>
      </c>
      <c r="L61" s="81">
        <f t="shared" si="94"/>
        <v>897156231</v>
      </c>
      <c r="M61" s="81">
        <f t="shared" si="94"/>
        <v>1208147189</v>
      </c>
      <c r="N61" s="81">
        <f t="shared" si="94"/>
        <v>1334184680</v>
      </c>
      <c r="O61" s="81">
        <f t="shared" si="94"/>
        <v>1302694951</v>
      </c>
      <c r="P61" s="81">
        <f t="shared" si="94"/>
        <v>1123586700</v>
      </c>
      <c r="Q61" s="81">
        <f t="shared" si="94"/>
        <v>886578697</v>
      </c>
      <c r="R61" s="81">
        <f t="shared" si="94"/>
        <v>790098101</v>
      </c>
      <c r="S61" s="81">
        <f t="shared" si="94"/>
        <v>1041013964</v>
      </c>
      <c r="T61" s="81">
        <f t="shared" si="94"/>
        <v>1397050553</v>
      </c>
      <c r="U61" s="81">
        <f t="shared" si="94"/>
        <v>1310723723</v>
      </c>
      <c r="V61" s="81">
        <f t="shared" si="94"/>
        <v>1275164339</v>
      </c>
      <c r="W61" s="81">
        <f t="shared" si="94"/>
        <v>800796996</v>
      </c>
      <c r="X61" s="81">
        <f t="shared" si="94"/>
        <v>856955103</v>
      </c>
      <c r="Y61" s="81">
        <f t="shared" si="94"/>
        <v>1137867523</v>
      </c>
      <c r="Z61" s="81">
        <f t="shared" si="94"/>
        <v>1482496943</v>
      </c>
      <c r="AA61" s="81">
        <f t="shared" si="94"/>
        <v>1507047480</v>
      </c>
      <c r="AB61" s="81">
        <f t="shared" si="94"/>
        <v>1193201650</v>
      </c>
      <c r="AC61" s="81">
        <f t="shared" si="94"/>
        <v>803567941</v>
      </c>
      <c r="AD61" s="81">
        <f t="shared" si="94"/>
        <v>753161249</v>
      </c>
      <c r="AE61" s="81">
        <f t="shared" si="94"/>
        <v>1061485022</v>
      </c>
      <c r="AF61" s="81">
        <f t="shared" si="94"/>
        <v>1299384453</v>
      </c>
      <c r="AG61" s="81">
        <f t="shared" si="94"/>
        <v>1325635096</v>
      </c>
      <c r="AH61" s="81">
        <f t="shared" si="94"/>
        <v>1302322503</v>
      </c>
      <c r="AI61" s="81">
        <f t="shared" si="94"/>
        <v>902367562</v>
      </c>
      <c r="AJ61" s="81">
        <f t="shared" si="94"/>
        <v>849229853</v>
      </c>
      <c r="AK61" s="81">
        <f t="shared" si="94"/>
        <v>1063566547</v>
      </c>
      <c r="AL61" s="81">
        <f t="shared" si="94"/>
        <v>1372451320</v>
      </c>
      <c r="AM61" s="81">
        <f t="shared" si="94"/>
        <v>1445914846</v>
      </c>
      <c r="AN61" s="81">
        <f t="shared" si="94"/>
        <v>1156058653</v>
      </c>
      <c r="AO61" s="81">
        <f t="shared" si="94"/>
        <v>900363528</v>
      </c>
      <c r="AP61" s="81">
        <f t="shared" si="94"/>
        <v>837159184</v>
      </c>
      <c r="AQ61" s="81">
        <f t="shared" si="94"/>
        <v>1060197293</v>
      </c>
      <c r="AR61" s="81">
        <f t="shared" si="94"/>
        <v>1457350528</v>
      </c>
      <c r="AS61" s="81">
        <f t="shared" si="94"/>
        <v>1390553772</v>
      </c>
      <c r="AT61" s="81">
        <f t="shared" si="94"/>
        <v>1159635260</v>
      </c>
      <c r="AU61" s="81">
        <f t="shared" si="94"/>
        <v>837049627</v>
      </c>
      <c r="AV61" s="81">
        <f t="shared" ref="AV61" si="95">+AV23</f>
        <v>795371527</v>
      </c>
      <c r="AW61" s="81">
        <f>+AW23</f>
        <v>1056098740.4689</v>
      </c>
      <c r="AX61" s="81">
        <f t="shared" ref="AX61:AY61" si="96">+AX23</f>
        <v>1465026007</v>
      </c>
      <c r="AY61" s="81">
        <f t="shared" si="96"/>
        <v>1251994199</v>
      </c>
      <c r="AZ61" s="81">
        <f t="shared" ref="AZ61:BA61" si="97">+AZ23</f>
        <v>1034539781</v>
      </c>
      <c r="BA61" s="81">
        <f t="shared" si="97"/>
        <v>890081676</v>
      </c>
      <c r="BB61" s="81">
        <f t="shared" ref="BB61:BC61" si="98">+BB23</f>
        <v>758154085</v>
      </c>
      <c r="BC61" s="81">
        <f t="shared" si="98"/>
        <v>977251664</v>
      </c>
      <c r="BD61" s="81">
        <f t="shared" ref="BD61:BE61" si="99">+BD23</f>
        <v>1278057997</v>
      </c>
      <c r="BE61" s="81">
        <f t="shared" si="99"/>
        <v>1318572650</v>
      </c>
      <c r="BF61" s="81">
        <f t="shared" ref="BF61:BG61" si="100">+BF23</f>
        <v>1220075915</v>
      </c>
      <c r="BG61" s="81">
        <f t="shared" si="100"/>
        <v>887307993</v>
      </c>
      <c r="BH61" s="81">
        <f t="shared" ref="BH61:BT61" si="101">+BH23</f>
        <v>821237675.48673487</v>
      </c>
      <c r="BI61" s="81">
        <f t="shared" si="101"/>
        <v>1125258260.7915118</v>
      </c>
      <c r="BJ61" s="81">
        <f t="shared" si="101"/>
        <v>1476521883.9358521</v>
      </c>
      <c r="BK61" s="81">
        <f t="shared" si="101"/>
        <v>1324838501.5884733</v>
      </c>
      <c r="BL61" s="81">
        <f t="shared" si="101"/>
        <v>1167280731.0079541</v>
      </c>
      <c r="BM61" s="81">
        <f t="shared" si="101"/>
        <v>853023954.2261312</v>
      </c>
      <c r="BN61" s="81">
        <f t="shared" si="101"/>
        <v>773837680.71173882</v>
      </c>
      <c r="BO61" s="81">
        <f t="shared" si="101"/>
        <v>1010038873.7497076</v>
      </c>
      <c r="BP61" s="81">
        <f t="shared" si="101"/>
        <v>1292555359.1744905</v>
      </c>
      <c r="BQ61" s="81">
        <f t="shared" si="101"/>
        <v>1264600029.330498</v>
      </c>
      <c r="BR61" s="81">
        <f t="shared" si="101"/>
        <v>1169502121.5208945</v>
      </c>
      <c r="BS61" s="81">
        <f t="shared" si="101"/>
        <v>857751657.077479</v>
      </c>
      <c r="BT61" s="81">
        <f t="shared" si="101"/>
        <v>818315477.25571561</v>
      </c>
      <c r="BU61" s="81">
        <f t="shared" ref="BU61:BV61" si="102">+BU23</f>
        <v>1127419667.7622485</v>
      </c>
      <c r="BV61" s="81">
        <f t="shared" si="102"/>
        <v>1384199214.678869</v>
      </c>
    </row>
    <row r="62" spans="1:74" x14ac:dyDescent="0.35">
      <c r="A62" t="s">
        <v>34</v>
      </c>
      <c r="B62" s="37"/>
      <c r="C62" s="37"/>
      <c r="D62" s="81">
        <f t="shared" ref="D62:AU62" si="103">+D24</f>
        <v>290178959</v>
      </c>
      <c r="E62" s="81">
        <f t="shared" si="103"/>
        <v>235096003</v>
      </c>
      <c r="F62" s="81">
        <f t="shared" si="103"/>
        <v>221772499</v>
      </c>
      <c r="G62" s="81">
        <f t="shared" si="103"/>
        <v>258735845</v>
      </c>
      <c r="H62" s="81">
        <f t="shared" si="103"/>
        <v>295975497</v>
      </c>
      <c r="I62" s="81">
        <f t="shared" si="103"/>
        <v>304175879</v>
      </c>
      <c r="J62" s="81">
        <f t="shared" si="103"/>
        <v>293549572</v>
      </c>
      <c r="K62" s="81">
        <f t="shared" si="103"/>
        <v>264736629</v>
      </c>
      <c r="L62" s="81">
        <f t="shared" si="103"/>
        <v>237145043</v>
      </c>
      <c r="M62" s="81">
        <f t="shared" si="103"/>
        <v>278572550</v>
      </c>
      <c r="N62" s="81">
        <f t="shared" si="103"/>
        <v>297050898</v>
      </c>
      <c r="O62" s="81">
        <f t="shared" si="103"/>
        <v>290934660</v>
      </c>
      <c r="P62" s="81">
        <f t="shared" si="103"/>
        <v>265078600</v>
      </c>
      <c r="Q62" s="81">
        <f t="shared" si="103"/>
        <v>203506574</v>
      </c>
      <c r="R62" s="81">
        <f t="shared" si="103"/>
        <v>184563246</v>
      </c>
      <c r="S62" s="81">
        <f t="shared" si="103"/>
        <v>231230759</v>
      </c>
      <c r="T62" s="81">
        <f t="shared" si="103"/>
        <v>288425422</v>
      </c>
      <c r="U62" s="81">
        <f t="shared" si="103"/>
        <v>281389691</v>
      </c>
      <c r="V62" s="81">
        <f t="shared" si="103"/>
        <v>269111017</v>
      </c>
      <c r="W62" s="81">
        <f t="shared" si="103"/>
        <v>218212399</v>
      </c>
      <c r="X62" s="81">
        <f t="shared" si="103"/>
        <v>218068919</v>
      </c>
      <c r="Y62" s="81">
        <f t="shared" si="103"/>
        <v>251883126</v>
      </c>
      <c r="Z62" s="81">
        <f t="shared" si="103"/>
        <v>300425840</v>
      </c>
      <c r="AA62" s="81">
        <f t="shared" si="103"/>
        <v>303577891</v>
      </c>
      <c r="AB62" s="81">
        <f t="shared" si="103"/>
        <v>265359424</v>
      </c>
      <c r="AC62" s="81">
        <f t="shared" si="103"/>
        <v>211100441</v>
      </c>
      <c r="AD62" s="81">
        <f t="shared" si="103"/>
        <v>205986967</v>
      </c>
      <c r="AE62" s="81">
        <f t="shared" si="103"/>
        <v>264522271</v>
      </c>
      <c r="AF62" s="81">
        <f t="shared" si="103"/>
        <v>291815734</v>
      </c>
      <c r="AG62" s="81">
        <f t="shared" si="103"/>
        <v>291413887</v>
      </c>
      <c r="AH62" s="81">
        <f t="shared" si="103"/>
        <v>294374400</v>
      </c>
      <c r="AI62" s="81">
        <f t="shared" si="103"/>
        <v>245524134</v>
      </c>
      <c r="AJ62" s="81">
        <f t="shared" si="103"/>
        <v>219607166</v>
      </c>
      <c r="AK62" s="81">
        <f t="shared" si="103"/>
        <v>250466096</v>
      </c>
      <c r="AL62" s="81">
        <f t="shared" si="103"/>
        <v>295383726</v>
      </c>
      <c r="AM62" s="81">
        <f t="shared" si="103"/>
        <v>301077290</v>
      </c>
      <c r="AN62" s="81">
        <f t="shared" si="103"/>
        <v>261058604</v>
      </c>
      <c r="AO62" s="81">
        <f t="shared" si="103"/>
        <v>230949228</v>
      </c>
      <c r="AP62" s="81">
        <f t="shared" si="103"/>
        <v>223998788</v>
      </c>
      <c r="AQ62" s="81">
        <f t="shared" si="103"/>
        <v>260692423</v>
      </c>
      <c r="AR62" s="81">
        <f t="shared" si="103"/>
        <v>312328749</v>
      </c>
      <c r="AS62" s="81">
        <f t="shared" si="103"/>
        <v>305346654</v>
      </c>
      <c r="AT62" s="81">
        <f t="shared" si="103"/>
        <v>279929276</v>
      </c>
      <c r="AU62" s="81">
        <f t="shared" si="103"/>
        <v>230143220</v>
      </c>
      <c r="AV62" s="81">
        <f t="shared" ref="AV62" si="104">+AV24</f>
        <v>219390300</v>
      </c>
      <c r="AW62" s="81">
        <f>+AW24</f>
        <v>274277285</v>
      </c>
      <c r="AX62" s="81">
        <f t="shared" ref="AX62:AY62" si="105">+AX24</f>
        <v>313843493</v>
      </c>
      <c r="AY62" s="81">
        <f t="shared" si="105"/>
        <v>275065920</v>
      </c>
      <c r="AZ62" s="81">
        <f t="shared" ref="AZ62:BA62" si="106">+AZ24</f>
        <v>246366200</v>
      </c>
      <c r="BA62" s="81">
        <f t="shared" si="106"/>
        <v>226379912</v>
      </c>
      <c r="BB62" s="81">
        <f t="shared" ref="BB62:BC62" si="107">+BB24</f>
        <v>209000108</v>
      </c>
      <c r="BC62" s="81">
        <f t="shared" si="107"/>
        <v>251344146</v>
      </c>
      <c r="BD62" s="81">
        <f t="shared" ref="BD62:BE62" si="108">+BD24</f>
        <v>291402974</v>
      </c>
      <c r="BE62" s="81">
        <f t="shared" si="108"/>
        <v>297748759</v>
      </c>
      <c r="BF62" s="81">
        <f t="shared" ref="BF62:BG62" si="109">+BF24</f>
        <v>290701055</v>
      </c>
      <c r="BG62" s="81">
        <f t="shared" si="109"/>
        <v>244186013</v>
      </c>
      <c r="BH62" s="81">
        <f t="shared" ref="BH62:BT62" si="110">+BH24</f>
        <v>224394164.95312458</v>
      </c>
      <c r="BI62" s="81">
        <f t="shared" si="110"/>
        <v>263413475.34842947</v>
      </c>
      <c r="BJ62" s="81">
        <f t="shared" si="110"/>
        <v>307004998.80382639</v>
      </c>
      <c r="BK62" s="81">
        <f t="shared" si="110"/>
        <v>292612333.18518299</v>
      </c>
      <c r="BL62" s="81">
        <f t="shared" si="110"/>
        <v>267792467.08232301</v>
      </c>
      <c r="BM62" s="81">
        <f t="shared" si="110"/>
        <v>228351538.65908313</v>
      </c>
      <c r="BN62" s="81">
        <f t="shared" si="110"/>
        <v>218321066.37314489</v>
      </c>
      <c r="BO62" s="81">
        <f t="shared" si="110"/>
        <v>258620311.68641847</v>
      </c>
      <c r="BP62" s="81">
        <f t="shared" si="110"/>
        <v>300258752.94407535</v>
      </c>
      <c r="BQ62" s="81">
        <f t="shared" si="110"/>
        <v>294312486.26432097</v>
      </c>
      <c r="BR62" s="81">
        <f t="shared" si="110"/>
        <v>284995151.77824074</v>
      </c>
      <c r="BS62" s="81">
        <f t="shared" si="110"/>
        <v>242359002.6419659</v>
      </c>
      <c r="BT62" s="81">
        <f t="shared" si="110"/>
        <v>224612822.15629977</v>
      </c>
      <c r="BU62" s="81">
        <f t="shared" ref="BU62:BV62" si="111">+BU24</f>
        <v>266365863.85421503</v>
      </c>
      <c r="BV62" s="81">
        <f t="shared" si="111"/>
        <v>305219384.35504919</v>
      </c>
    </row>
    <row r="63" spans="1:74" x14ac:dyDescent="0.35">
      <c r="A63" t="s">
        <v>35</v>
      </c>
      <c r="B63" s="37"/>
      <c r="C63" s="37"/>
      <c r="D63" s="81">
        <f t="shared" ref="D63:AU63" si="112">+D25</f>
        <v>599641261</v>
      </c>
      <c r="E63" s="81">
        <f t="shared" si="112"/>
        <v>546450417</v>
      </c>
      <c r="F63" s="81">
        <f t="shared" si="112"/>
        <v>548775486</v>
      </c>
      <c r="G63" s="81">
        <f t="shared" si="112"/>
        <v>609609142</v>
      </c>
      <c r="H63" s="81">
        <f t="shared" si="112"/>
        <v>656813642</v>
      </c>
      <c r="I63" s="81">
        <f t="shared" si="112"/>
        <v>671886437</v>
      </c>
      <c r="J63" s="81">
        <f t="shared" si="112"/>
        <v>678219627</v>
      </c>
      <c r="K63" s="81">
        <f t="shared" si="112"/>
        <v>622550219</v>
      </c>
      <c r="L63" s="81">
        <f t="shared" si="112"/>
        <v>549600433</v>
      </c>
      <c r="M63" s="81">
        <f t="shared" si="112"/>
        <v>596432225</v>
      </c>
      <c r="N63" s="81">
        <f t="shared" si="112"/>
        <v>616923082</v>
      </c>
      <c r="O63" s="81">
        <f t="shared" si="112"/>
        <v>599527620</v>
      </c>
      <c r="P63" s="81">
        <f t="shared" si="112"/>
        <v>566693954</v>
      </c>
      <c r="Q63" s="81">
        <f t="shared" si="112"/>
        <v>483801855</v>
      </c>
      <c r="R63" s="81">
        <f t="shared" si="112"/>
        <v>451939609</v>
      </c>
      <c r="S63" s="81">
        <f t="shared" si="112"/>
        <v>534583835</v>
      </c>
      <c r="T63" s="81">
        <f t="shared" si="112"/>
        <v>624356693</v>
      </c>
      <c r="U63" s="81">
        <f t="shared" si="112"/>
        <v>621885740</v>
      </c>
      <c r="V63" s="81">
        <f t="shared" si="112"/>
        <v>619148163</v>
      </c>
      <c r="W63" s="81">
        <f t="shared" si="112"/>
        <v>528448107.69999999</v>
      </c>
      <c r="X63" s="81">
        <f t="shared" si="112"/>
        <v>514648084</v>
      </c>
      <c r="Y63" s="81">
        <f t="shared" si="112"/>
        <v>553120787</v>
      </c>
      <c r="Z63" s="81">
        <f t="shared" si="112"/>
        <v>592823385</v>
      </c>
      <c r="AA63" s="81">
        <f t="shared" si="112"/>
        <v>585712392</v>
      </c>
      <c r="AB63" s="81">
        <f t="shared" si="112"/>
        <v>543642088</v>
      </c>
      <c r="AC63" s="81">
        <f t="shared" si="112"/>
        <v>483262229</v>
      </c>
      <c r="AD63" s="81">
        <f t="shared" si="112"/>
        <v>492375125.19999999</v>
      </c>
      <c r="AE63" s="81">
        <f t="shared" si="112"/>
        <v>586671915</v>
      </c>
      <c r="AF63" s="81">
        <f t="shared" si="112"/>
        <v>641235470</v>
      </c>
      <c r="AG63" s="81">
        <f t="shared" si="112"/>
        <v>634777638</v>
      </c>
      <c r="AH63" s="81">
        <f t="shared" si="112"/>
        <v>647017474</v>
      </c>
      <c r="AI63" s="81">
        <f t="shared" si="112"/>
        <v>568724491</v>
      </c>
      <c r="AJ63" s="81">
        <f t="shared" si="112"/>
        <v>505304455</v>
      </c>
      <c r="AK63" s="81">
        <f t="shared" si="112"/>
        <v>555282313.60000002</v>
      </c>
      <c r="AL63" s="81">
        <f t="shared" si="112"/>
        <v>590675076</v>
      </c>
      <c r="AM63" s="81">
        <f t="shared" si="112"/>
        <v>582248455</v>
      </c>
      <c r="AN63" s="81">
        <f t="shared" si="112"/>
        <v>534070902</v>
      </c>
      <c r="AO63" s="81">
        <f t="shared" si="112"/>
        <v>506459043</v>
      </c>
      <c r="AP63" s="81">
        <f t="shared" si="112"/>
        <v>516003997</v>
      </c>
      <c r="AQ63" s="81">
        <f t="shared" si="112"/>
        <v>579943536</v>
      </c>
      <c r="AR63" s="81">
        <f t="shared" si="112"/>
        <v>650768443</v>
      </c>
      <c r="AS63" s="81">
        <f t="shared" si="112"/>
        <v>645110540</v>
      </c>
      <c r="AT63" s="81">
        <f t="shared" si="112"/>
        <v>617464584</v>
      </c>
      <c r="AU63" s="81">
        <f t="shared" si="112"/>
        <v>530232061</v>
      </c>
      <c r="AV63" s="81">
        <f t="shared" ref="AV63" si="113">+AV25</f>
        <v>516180366</v>
      </c>
      <c r="AW63" s="81">
        <f>+AW25</f>
        <v>573339069</v>
      </c>
      <c r="AX63" s="81">
        <f t="shared" ref="AX63:AY63" si="114">+AX25</f>
        <v>603008465</v>
      </c>
      <c r="AY63" s="81">
        <f t="shared" si="114"/>
        <v>535848689</v>
      </c>
      <c r="AZ63" s="81">
        <f t="shared" ref="AZ63:BA63" si="115">+AZ25</f>
        <v>513226736</v>
      </c>
      <c r="BA63" s="81">
        <f t="shared" si="115"/>
        <v>490211820</v>
      </c>
      <c r="BB63" s="81">
        <f t="shared" ref="BB63:BC63" si="116">+BB25</f>
        <v>487205076</v>
      </c>
      <c r="BC63" s="81">
        <f t="shared" si="116"/>
        <v>550130655</v>
      </c>
      <c r="BD63" s="81">
        <f t="shared" ref="BD63:BE63" si="117">+BD25</f>
        <v>592309179</v>
      </c>
      <c r="BE63" s="81">
        <f t="shared" si="117"/>
        <v>613854730</v>
      </c>
      <c r="BF63" s="81">
        <f t="shared" ref="BF63:BG63" si="118">+BF25</f>
        <v>614247424</v>
      </c>
      <c r="BG63" s="81">
        <f t="shared" si="118"/>
        <v>540155873</v>
      </c>
      <c r="BH63" s="81">
        <f t="shared" ref="BH63:BT63" si="119">+BH25</f>
        <v>505275520.80296195</v>
      </c>
      <c r="BI63" s="81">
        <f t="shared" si="119"/>
        <v>543131543.47985172</v>
      </c>
      <c r="BJ63" s="81">
        <f t="shared" si="119"/>
        <v>605219290.5250392</v>
      </c>
      <c r="BK63" s="81">
        <f t="shared" si="119"/>
        <v>555746842.3014673</v>
      </c>
      <c r="BL63" s="81">
        <f t="shared" si="119"/>
        <v>527483070.12023365</v>
      </c>
      <c r="BM63" s="81">
        <f t="shared" si="119"/>
        <v>505683014.17189616</v>
      </c>
      <c r="BN63" s="81">
        <f t="shared" si="119"/>
        <v>514257343.16672277</v>
      </c>
      <c r="BO63" s="81">
        <f t="shared" si="119"/>
        <v>573379724.80373895</v>
      </c>
      <c r="BP63" s="81">
        <f t="shared" si="119"/>
        <v>632608842.1893121</v>
      </c>
      <c r="BQ63" s="81">
        <f t="shared" si="119"/>
        <v>612048052.14071286</v>
      </c>
      <c r="BR63" s="81">
        <f t="shared" si="119"/>
        <v>609568836.13772011</v>
      </c>
      <c r="BS63" s="81">
        <f t="shared" si="119"/>
        <v>561127090.33666372</v>
      </c>
      <c r="BT63" s="81">
        <f t="shared" si="119"/>
        <v>502046226.16902196</v>
      </c>
      <c r="BU63" s="81">
        <f t="shared" ref="BU63:BV63" si="120">+BU25</f>
        <v>545717148.56828618</v>
      </c>
      <c r="BV63" s="81">
        <f t="shared" si="120"/>
        <v>605529088.75454676</v>
      </c>
    </row>
    <row r="64" spans="1:74" x14ac:dyDescent="0.35">
      <c r="A64" t="s">
        <v>36</v>
      </c>
      <c r="B64" s="37"/>
      <c r="C64" s="37"/>
      <c r="D64" s="81">
        <f t="shared" ref="D64:AU64" si="121">+D26</f>
        <v>242499726</v>
      </c>
      <c r="E64" s="81">
        <f t="shared" si="121"/>
        <v>232539680</v>
      </c>
      <c r="F64" s="81">
        <f t="shared" si="121"/>
        <v>229224298</v>
      </c>
      <c r="G64" s="81">
        <f t="shared" si="121"/>
        <v>266349220</v>
      </c>
      <c r="H64" s="81">
        <f t="shared" si="121"/>
        <v>267674678</v>
      </c>
      <c r="I64" s="81">
        <f t="shared" si="121"/>
        <v>281003685</v>
      </c>
      <c r="J64" s="81">
        <f t="shared" si="121"/>
        <v>279302255</v>
      </c>
      <c r="K64" s="81">
        <f t="shared" si="121"/>
        <v>258807768</v>
      </c>
      <c r="L64" s="81">
        <f t="shared" si="121"/>
        <v>239334214</v>
      </c>
      <c r="M64" s="81">
        <f t="shared" si="121"/>
        <v>241025466</v>
      </c>
      <c r="N64" s="81">
        <f t="shared" si="121"/>
        <v>247898204</v>
      </c>
      <c r="O64" s="81">
        <f t="shared" si="121"/>
        <v>255420215</v>
      </c>
      <c r="P64" s="81">
        <f t="shared" si="121"/>
        <v>225135566</v>
      </c>
      <c r="Q64" s="81">
        <f t="shared" si="121"/>
        <v>219961316</v>
      </c>
      <c r="R64" s="81">
        <f t="shared" si="121"/>
        <v>207074154</v>
      </c>
      <c r="S64" s="81">
        <f t="shared" si="121"/>
        <v>241165089</v>
      </c>
      <c r="T64" s="81">
        <f t="shared" si="121"/>
        <v>253833450</v>
      </c>
      <c r="U64" s="81">
        <f t="shared" si="121"/>
        <v>266058831</v>
      </c>
      <c r="V64" s="81">
        <f t="shared" si="121"/>
        <v>266126792</v>
      </c>
      <c r="W64" s="81">
        <f t="shared" si="121"/>
        <v>236673642.40000001</v>
      </c>
      <c r="X64" s="81">
        <f t="shared" si="121"/>
        <v>234876378</v>
      </c>
      <c r="Y64" s="81">
        <f t="shared" si="121"/>
        <v>245759481</v>
      </c>
      <c r="Z64" s="81">
        <f t="shared" si="121"/>
        <v>241302585</v>
      </c>
      <c r="AA64" s="81">
        <f t="shared" si="121"/>
        <v>254211213</v>
      </c>
      <c r="AB64" s="81">
        <f t="shared" si="121"/>
        <v>216207694</v>
      </c>
      <c r="AC64" s="81">
        <f t="shared" si="121"/>
        <v>214809052</v>
      </c>
      <c r="AD64" s="81">
        <f t="shared" si="121"/>
        <v>221576502.5</v>
      </c>
      <c r="AE64" s="81">
        <f t="shared" si="121"/>
        <v>232417188</v>
      </c>
      <c r="AF64" s="81">
        <f t="shared" si="121"/>
        <v>286577542</v>
      </c>
      <c r="AG64" s="81">
        <f t="shared" si="121"/>
        <v>263115351</v>
      </c>
      <c r="AH64" s="81">
        <f t="shared" si="121"/>
        <v>266455046</v>
      </c>
      <c r="AI64" s="81">
        <f t="shared" si="121"/>
        <v>230080105</v>
      </c>
      <c r="AJ64" s="81">
        <f t="shared" si="121"/>
        <v>200697530</v>
      </c>
      <c r="AK64" s="81">
        <f t="shared" si="121"/>
        <v>269908616.5</v>
      </c>
      <c r="AL64" s="81">
        <f t="shared" si="121"/>
        <v>254759231</v>
      </c>
      <c r="AM64" s="81">
        <f t="shared" si="121"/>
        <v>236605471</v>
      </c>
      <c r="AN64" s="81">
        <f t="shared" si="121"/>
        <v>220600472</v>
      </c>
      <c r="AO64" s="81">
        <f t="shared" si="121"/>
        <v>227017145</v>
      </c>
      <c r="AP64" s="81">
        <f t="shared" si="121"/>
        <v>225997805</v>
      </c>
      <c r="AQ64" s="81">
        <f t="shared" si="121"/>
        <v>251076328</v>
      </c>
      <c r="AR64" s="81">
        <f t="shared" si="121"/>
        <v>267504084</v>
      </c>
      <c r="AS64" s="81">
        <f t="shared" si="121"/>
        <v>272015339</v>
      </c>
      <c r="AT64" s="81">
        <f t="shared" si="121"/>
        <v>258297228</v>
      </c>
      <c r="AU64" s="81">
        <f t="shared" si="121"/>
        <v>229178636</v>
      </c>
      <c r="AV64" s="81">
        <f t="shared" ref="AV64" si="122">+AV26</f>
        <v>231438770</v>
      </c>
      <c r="AW64" s="81">
        <f>+AW26</f>
        <v>241377872</v>
      </c>
      <c r="AX64" s="81">
        <f t="shared" ref="AX64:AY64" si="123">+AX26</f>
        <v>231408894</v>
      </c>
      <c r="AY64" s="81">
        <f t="shared" si="123"/>
        <v>221649717</v>
      </c>
      <c r="AZ64" s="81">
        <f t="shared" ref="AZ64:BA64" si="124">+AZ26</f>
        <v>205003755</v>
      </c>
      <c r="BA64" s="81">
        <f t="shared" si="124"/>
        <v>219436038</v>
      </c>
      <c r="BB64" s="81">
        <f t="shared" ref="BB64:BC64" si="125">+BB26</f>
        <v>219271209</v>
      </c>
      <c r="BC64" s="81">
        <f t="shared" si="125"/>
        <v>232550715</v>
      </c>
      <c r="BD64" s="81">
        <f t="shared" ref="BD64:BE64" si="126">+BD26</f>
        <v>235130742</v>
      </c>
      <c r="BE64" s="81">
        <f t="shared" si="126"/>
        <v>262292552</v>
      </c>
      <c r="BF64" s="81">
        <f t="shared" ref="BF64:BG64" si="127">+BF26</f>
        <v>254203699</v>
      </c>
      <c r="BG64" s="81">
        <f t="shared" si="127"/>
        <v>220702925</v>
      </c>
      <c r="BH64" s="81">
        <f t="shared" ref="BH64:BT64" si="128">+BH26</f>
        <v>219685972.16051269</v>
      </c>
      <c r="BI64" s="81">
        <f t="shared" si="128"/>
        <v>227640372.91921699</v>
      </c>
      <c r="BJ64" s="81">
        <f t="shared" si="128"/>
        <v>238794941.36095244</v>
      </c>
      <c r="BK64" s="81">
        <f t="shared" si="128"/>
        <v>225114293.13275322</v>
      </c>
      <c r="BL64" s="81">
        <f t="shared" si="128"/>
        <v>223217592.21408701</v>
      </c>
      <c r="BM64" s="81">
        <f t="shared" si="128"/>
        <v>220002678.80916598</v>
      </c>
      <c r="BN64" s="81">
        <f t="shared" si="128"/>
        <v>224001238.85819954</v>
      </c>
      <c r="BO64" s="81">
        <f t="shared" si="128"/>
        <v>238645636.01157743</v>
      </c>
      <c r="BP64" s="81">
        <f t="shared" si="128"/>
        <v>255478455.58110467</v>
      </c>
      <c r="BQ64" s="81">
        <f t="shared" si="128"/>
        <v>257840696.63469875</v>
      </c>
      <c r="BR64" s="81">
        <f t="shared" si="128"/>
        <v>252196812.86939156</v>
      </c>
      <c r="BS64" s="81">
        <f t="shared" si="128"/>
        <v>234836867.16593957</v>
      </c>
      <c r="BT64" s="81">
        <f t="shared" si="128"/>
        <v>219688685.37334043</v>
      </c>
      <c r="BU64" s="81">
        <f t="shared" ref="BU64:BV64" si="129">+BU26</f>
        <v>227993735.46639213</v>
      </c>
      <c r="BV64" s="81">
        <f t="shared" si="129"/>
        <v>241180641.87502515</v>
      </c>
    </row>
    <row r="65" spans="1:74" x14ac:dyDescent="0.35">
      <c r="A65" t="s">
        <v>37</v>
      </c>
      <c r="B65" s="37"/>
      <c r="C65" s="37"/>
      <c r="D65" s="81">
        <f t="shared" ref="D65:AU65" si="130">+D27</f>
        <v>99309923</v>
      </c>
      <c r="E65" s="81">
        <f t="shared" si="130"/>
        <v>98876748</v>
      </c>
      <c r="F65" s="81">
        <f t="shared" si="130"/>
        <v>96480454</v>
      </c>
      <c r="G65" s="81">
        <f t="shared" si="130"/>
        <v>121526151</v>
      </c>
      <c r="H65" s="81">
        <f t="shared" si="130"/>
        <v>113123855</v>
      </c>
      <c r="I65" s="81">
        <f t="shared" si="130"/>
        <v>125262874</v>
      </c>
      <c r="J65" s="81">
        <f t="shared" si="130"/>
        <v>126945040</v>
      </c>
      <c r="K65" s="81">
        <f t="shared" si="130"/>
        <v>119752379</v>
      </c>
      <c r="L65" s="81">
        <f t="shared" si="130"/>
        <v>106348532</v>
      </c>
      <c r="M65" s="81">
        <f t="shared" si="130"/>
        <v>100067076</v>
      </c>
      <c r="N65" s="81">
        <f t="shared" si="130"/>
        <v>105899561</v>
      </c>
      <c r="O65" s="81">
        <f t="shared" si="130"/>
        <v>111203176</v>
      </c>
      <c r="P65" s="81">
        <f t="shared" si="130"/>
        <v>86704807</v>
      </c>
      <c r="Q65" s="81">
        <f t="shared" si="130"/>
        <v>92097434</v>
      </c>
      <c r="R65" s="81">
        <f t="shared" si="130"/>
        <v>93506334</v>
      </c>
      <c r="S65" s="81">
        <f t="shared" si="130"/>
        <v>92139707</v>
      </c>
      <c r="T65" s="81">
        <f t="shared" si="130"/>
        <v>105110654</v>
      </c>
      <c r="U65" s="81">
        <f t="shared" si="130"/>
        <v>108265948</v>
      </c>
      <c r="V65" s="81">
        <f t="shared" si="130"/>
        <v>109806573</v>
      </c>
      <c r="W65" s="81">
        <f t="shared" si="130"/>
        <v>96724322.099999994</v>
      </c>
      <c r="X65" s="81">
        <f t="shared" si="130"/>
        <v>94866307</v>
      </c>
      <c r="Y65" s="81">
        <f t="shared" si="130"/>
        <v>96874394</v>
      </c>
      <c r="Z65" s="81">
        <f t="shared" si="130"/>
        <v>84244327</v>
      </c>
      <c r="AA65" s="81">
        <f t="shared" si="130"/>
        <v>112346620</v>
      </c>
      <c r="AB65" s="81">
        <f t="shared" si="130"/>
        <v>50801494</v>
      </c>
      <c r="AC65" s="81">
        <f t="shared" si="130"/>
        <v>85186767</v>
      </c>
      <c r="AD65" s="81">
        <f t="shared" si="130"/>
        <v>94290468.700000003</v>
      </c>
      <c r="AE65" s="81">
        <f t="shared" si="130"/>
        <v>96665030</v>
      </c>
      <c r="AF65" s="81">
        <f t="shared" si="130"/>
        <v>111403127</v>
      </c>
      <c r="AG65" s="81">
        <f t="shared" si="130"/>
        <v>106051211</v>
      </c>
      <c r="AH65" s="81">
        <f t="shared" si="130"/>
        <v>114673513</v>
      </c>
      <c r="AI65" s="81">
        <f t="shared" si="130"/>
        <v>105106440</v>
      </c>
      <c r="AJ65" s="81">
        <f t="shared" si="130"/>
        <v>69778498</v>
      </c>
      <c r="AK65" s="81">
        <f t="shared" si="130"/>
        <v>120928612.40000001</v>
      </c>
      <c r="AL65" s="81">
        <f t="shared" si="130"/>
        <v>91160220</v>
      </c>
      <c r="AM65" s="81">
        <f t="shared" si="130"/>
        <v>84926008</v>
      </c>
      <c r="AN65" s="81">
        <f t="shared" si="130"/>
        <v>81012090</v>
      </c>
      <c r="AO65" s="81">
        <f t="shared" si="130"/>
        <v>85726323</v>
      </c>
      <c r="AP65" s="81">
        <f t="shared" si="130"/>
        <v>71350428</v>
      </c>
      <c r="AQ65" s="81">
        <f t="shared" si="130"/>
        <v>86976917</v>
      </c>
      <c r="AR65" s="81">
        <f t="shared" si="130"/>
        <v>99783323</v>
      </c>
      <c r="AS65" s="81">
        <f t="shared" si="130"/>
        <v>98663196</v>
      </c>
      <c r="AT65" s="81">
        <f t="shared" si="130"/>
        <v>102858299</v>
      </c>
      <c r="AU65" s="81">
        <f t="shared" si="130"/>
        <v>88364839</v>
      </c>
      <c r="AV65" s="81">
        <f t="shared" ref="AV65" si="131">+AV27</f>
        <v>88263402</v>
      </c>
      <c r="AW65" s="81">
        <f>+AW27</f>
        <v>86648705</v>
      </c>
      <c r="AX65" s="81">
        <f t="shared" ref="AX65:AY65" si="132">+AX27</f>
        <v>77135409</v>
      </c>
      <c r="AY65" s="81">
        <f t="shared" si="132"/>
        <v>74737407</v>
      </c>
      <c r="AZ65" s="81">
        <f t="shared" ref="AZ65:BA65" si="133">+AZ27</f>
        <v>64517924</v>
      </c>
      <c r="BA65" s="81">
        <f t="shared" si="133"/>
        <v>64659611</v>
      </c>
      <c r="BB65" s="81">
        <f t="shared" ref="BB65:BC65" si="134">+BB27</f>
        <v>67634326</v>
      </c>
      <c r="BC65" s="81">
        <f t="shared" si="134"/>
        <v>81350810</v>
      </c>
      <c r="BD65" s="81">
        <f t="shared" ref="BD65:BE65" si="135">+BD27</f>
        <v>76194105</v>
      </c>
      <c r="BE65" s="81">
        <f t="shared" si="135"/>
        <v>87357832</v>
      </c>
      <c r="BF65" s="81">
        <f t="shared" ref="BF65:BG65" si="136">+BF27</f>
        <v>95274398</v>
      </c>
      <c r="BG65" s="81">
        <f t="shared" si="136"/>
        <v>96078281</v>
      </c>
      <c r="BH65" s="81">
        <f t="shared" ref="BH65:BT65" si="137">+BH27</f>
        <v>76392987.673354506</v>
      </c>
      <c r="BI65" s="81">
        <f t="shared" si="137"/>
        <v>74820761.110952988</v>
      </c>
      <c r="BJ65" s="81">
        <f t="shared" si="137"/>
        <v>77644240.925621405</v>
      </c>
      <c r="BK65" s="81">
        <f t="shared" si="137"/>
        <v>69900682.957841858</v>
      </c>
      <c r="BL65" s="81">
        <f t="shared" si="137"/>
        <v>70948578.020594418</v>
      </c>
      <c r="BM65" s="81">
        <f t="shared" si="137"/>
        <v>76302773.924921751</v>
      </c>
      <c r="BN65" s="81">
        <f t="shared" si="137"/>
        <v>80717474.648572221</v>
      </c>
      <c r="BO65" s="81">
        <f t="shared" si="137"/>
        <v>84716410.230404004</v>
      </c>
      <c r="BP65" s="81">
        <f t="shared" si="137"/>
        <v>90297340.742301986</v>
      </c>
      <c r="BQ65" s="81">
        <f t="shared" si="137"/>
        <v>88074024.818592682</v>
      </c>
      <c r="BR65" s="81">
        <f t="shared" si="137"/>
        <v>84653291.753577754</v>
      </c>
      <c r="BS65" s="81">
        <f t="shared" si="137"/>
        <v>82113781.98494634</v>
      </c>
      <c r="BT65" s="81">
        <f t="shared" si="137"/>
        <v>75908932.565945894</v>
      </c>
      <c r="BU65" s="81">
        <f t="shared" ref="BU65:BV65" si="138">+BU27</f>
        <v>74712968.059853733</v>
      </c>
      <c r="BV65" s="81">
        <f t="shared" si="138"/>
        <v>75070915.098064989</v>
      </c>
    </row>
    <row r="66" spans="1:74" x14ac:dyDescent="0.35">
      <c r="A66" s="33" t="s">
        <v>31</v>
      </c>
      <c r="B66" s="31"/>
      <c r="C66" s="31"/>
      <c r="D66" s="34">
        <f>SUM(D61:D65)</f>
        <v>2499758324</v>
      </c>
      <c r="E66" s="34">
        <f t="shared" ref="E66:AW66" si="139">SUM(E61:E65)</f>
        <v>1985896392</v>
      </c>
      <c r="F66" s="34">
        <f t="shared" si="139"/>
        <v>1834449295</v>
      </c>
      <c r="G66" s="34">
        <f t="shared" si="139"/>
        <v>2235195660</v>
      </c>
      <c r="H66" s="34">
        <f t="shared" si="139"/>
        <v>2577497445</v>
      </c>
      <c r="I66" s="34">
        <f t="shared" si="139"/>
        <v>2692344190</v>
      </c>
      <c r="J66" s="34">
        <f t="shared" si="139"/>
        <v>2586049727</v>
      </c>
      <c r="K66" s="34">
        <f t="shared" si="139"/>
        <v>2259393157</v>
      </c>
      <c r="L66" s="34">
        <f t="shared" si="139"/>
        <v>2029584453</v>
      </c>
      <c r="M66" s="34">
        <f t="shared" si="139"/>
        <v>2424244506</v>
      </c>
      <c r="N66" s="34">
        <f t="shared" si="139"/>
        <v>2601956425</v>
      </c>
      <c r="O66" s="34">
        <f t="shared" si="139"/>
        <v>2559780622</v>
      </c>
      <c r="P66" s="34">
        <f t="shared" si="139"/>
        <v>2267199627</v>
      </c>
      <c r="Q66" s="34">
        <f t="shared" si="139"/>
        <v>1885945876</v>
      </c>
      <c r="R66" s="34">
        <f t="shared" si="139"/>
        <v>1727181444</v>
      </c>
      <c r="S66" s="34">
        <f t="shared" si="139"/>
        <v>2140133354</v>
      </c>
      <c r="T66" s="34">
        <f t="shared" si="139"/>
        <v>2668776772</v>
      </c>
      <c r="U66" s="34">
        <f t="shared" si="139"/>
        <v>2588323933</v>
      </c>
      <c r="V66" s="34">
        <f t="shared" si="139"/>
        <v>2539356884</v>
      </c>
      <c r="W66" s="34">
        <f t="shared" si="139"/>
        <v>1880855467.2</v>
      </c>
      <c r="X66" s="34">
        <f t="shared" si="139"/>
        <v>1919414791</v>
      </c>
      <c r="Y66" s="34">
        <f t="shared" si="139"/>
        <v>2285505311</v>
      </c>
      <c r="Z66" s="34">
        <f t="shared" si="139"/>
        <v>2701293080</v>
      </c>
      <c r="AA66" s="34">
        <f t="shared" si="139"/>
        <v>2762895596</v>
      </c>
      <c r="AB66" s="34">
        <f t="shared" si="139"/>
        <v>2269212350</v>
      </c>
      <c r="AC66" s="34">
        <f t="shared" si="139"/>
        <v>1797926430</v>
      </c>
      <c r="AD66" s="34">
        <f t="shared" si="139"/>
        <v>1767390312.4000001</v>
      </c>
      <c r="AE66" s="34">
        <f t="shared" si="139"/>
        <v>2241761426</v>
      </c>
      <c r="AF66" s="34">
        <f t="shared" si="139"/>
        <v>2630416326</v>
      </c>
      <c r="AG66" s="34">
        <f t="shared" si="139"/>
        <v>2620993183</v>
      </c>
      <c r="AH66" s="34">
        <f t="shared" si="139"/>
        <v>2624842936</v>
      </c>
      <c r="AI66" s="34">
        <f t="shared" si="139"/>
        <v>2051802732</v>
      </c>
      <c r="AJ66" s="34">
        <f t="shared" si="139"/>
        <v>1844617502</v>
      </c>
      <c r="AK66" s="34">
        <f t="shared" si="139"/>
        <v>2260152185.5</v>
      </c>
      <c r="AL66" s="34">
        <f t="shared" si="139"/>
        <v>2604429573</v>
      </c>
      <c r="AM66" s="34">
        <f t="shared" si="139"/>
        <v>2650772070</v>
      </c>
      <c r="AN66" s="34">
        <f t="shared" si="139"/>
        <v>2252800721</v>
      </c>
      <c r="AO66" s="34">
        <f t="shared" si="139"/>
        <v>1950515267</v>
      </c>
      <c r="AP66" s="34">
        <f t="shared" si="139"/>
        <v>1874510202</v>
      </c>
      <c r="AQ66" s="34">
        <f t="shared" si="139"/>
        <v>2238886497</v>
      </c>
      <c r="AR66" s="34">
        <f t="shared" si="139"/>
        <v>2787735127</v>
      </c>
      <c r="AS66" s="34">
        <f t="shared" si="139"/>
        <v>2711689501</v>
      </c>
      <c r="AT66" s="34">
        <f t="shared" si="139"/>
        <v>2418184647</v>
      </c>
      <c r="AU66" s="34">
        <f t="shared" si="139"/>
        <v>1914968383</v>
      </c>
      <c r="AV66" s="34">
        <f t="shared" ref="AV66" si="140">SUM(AV61:AV65)</f>
        <v>1850644365</v>
      </c>
      <c r="AW66" s="34">
        <f t="shared" si="139"/>
        <v>2231741671.4688997</v>
      </c>
      <c r="AX66" s="34">
        <f t="shared" ref="AX66:AY66" si="141">SUM(AX61:AX65)</f>
        <v>2690422268</v>
      </c>
      <c r="AY66" s="34">
        <f t="shared" si="141"/>
        <v>2359295932</v>
      </c>
      <c r="AZ66" s="34">
        <f t="shared" ref="AZ66:BA66" si="142">SUM(AZ61:AZ65)</f>
        <v>2063654396</v>
      </c>
      <c r="BA66" s="34">
        <f t="shared" si="142"/>
        <v>1890769057</v>
      </c>
      <c r="BB66" s="34">
        <f t="shared" ref="BB66:BC66" si="143">SUM(BB61:BB65)</f>
        <v>1741264804</v>
      </c>
      <c r="BC66" s="34">
        <f t="shared" si="143"/>
        <v>2092627990</v>
      </c>
      <c r="BD66" s="34">
        <f t="shared" ref="BD66:BE66" si="144">SUM(BD61:BD65)</f>
        <v>2473094997</v>
      </c>
      <c r="BE66" s="34">
        <f t="shared" si="144"/>
        <v>2579826523</v>
      </c>
      <c r="BF66" s="34">
        <f t="shared" ref="BF66:BG66" si="145">SUM(BF61:BF65)</f>
        <v>2474502491</v>
      </c>
      <c r="BG66" s="34">
        <f t="shared" si="145"/>
        <v>1988431085</v>
      </c>
      <c r="BH66" s="34">
        <f t="shared" ref="BH66:BT66" si="146">SUM(BH61:BH65)</f>
        <v>1846986321.0766883</v>
      </c>
      <c r="BI66" s="34">
        <f t="shared" si="146"/>
        <v>2234264413.6499629</v>
      </c>
      <c r="BJ66" s="34">
        <f t="shared" si="146"/>
        <v>2705185355.5512915</v>
      </c>
      <c r="BK66" s="34">
        <f t="shared" si="146"/>
        <v>2468212653.165719</v>
      </c>
      <c r="BL66" s="34">
        <f t="shared" si="146"/>
        <v>2256722438.4451923</v>
      </c>
      <c r="BM66" s="34">
        <f t="shared" si="146"/>
        <v>1883363959.7911983</v>
      </c>
      <c r="BN66" s="34">
        <f t="shared" si="146"/>
        <v>1811134803.7583783</v>
      </c>
      <c r="BO66" s="34">
        <f t="shared" si="146"/>
        <v>2165400956.4818463</v>
      </c>
      <c r="BP66" s="34">
        <f t="shared" si="146"/>
        <v>2571198750.6312847</v>
      </c>
      <c r="BQ66" s="34">
        <f t="shared" si="146"/>
        <v>2516875289.1888232</v>
      </c>
      <c r="BR66" s="34">
        <f t="shared" si="146"/>
        <v>2400916214.0598245</v>
      </c>
      <c r="BS66" s="34">
        <f t="shared" si="146"/>
        <v>1978188399.2069945</v>
      </c>
      <c r="BT66" s="34">
        <f t="shared" si="146"/>
        <v>1840572143.5203238</v>
      </c>
      <c r="BU66" s="34">
        <f t="shared" ref="BU66:BV66" si="147">SUM(BU61:BU65)</f>
        <v>2242209383.7109957</v>
      </c>
      <c r="BV66" s="34">
        <f t="shared" si="147"/>
        <v>2611199244.7615552</v>
      </c>
    </row>
    <row r="67" spans="1:74" x14ac:dyDescent="0.35">
      <c r="B67" s="37"/>
      <c r="C67" s="37"/>
      <c r="O67" s="56"/>
    </row>
    <row r="68" spans="1:74" x14ac:dyDescent="0.35">
      <c r="A68" s="27" t="s">
        <v>62</v>
      </c>
      <c r="B68" s="37"/>
      <c r="C68" s="37"/>
      <c r="D68" s="56"/>
    </row>
    <row r="69" spans="1:74" x14ac:dyDescent="0.35">
      <c r="A69" t="s">
        <v>33</v>
      </c>
      <c r="B69" s="37"/>
      <c r="C69" s="37"/>
      <c r="D69" s="45">
        <f>IF(D51="","",+(D51-D58)+(D58*D61/D66))</f>
        <v>0</v>
      </c>
      <c r="E69" s="45">
        <f t="shared" ref="E69:AW69" si="148">IF(E51="","",+(E51-E58)+(E58*E61/E66))</f>
        <v>0</v>
      </c>
      <c r="F69" s="45">
        <f t="shared" si="148"/>
        <v>28636.335868779192</v>
      </c>
      <c r="G69" s="45">
        <f t="shared" si="148"/>
        <v>344669.92129031231</v>
      </c>
      <c r="H69" s="45">
        <f t="shared" si="148"/>
        <v>437739.69493695599</v>
      </c>
      <c r="I69" s="45">
        <f t="shared" si="148"/>
        <v>461093.89388914994</v>
      </c>
      <c r="J69" s="45">
        <f t="shared" si="148"/>
        <v>425531.99443758972</v>
      </c>
      <c r="K69" s="45">
        <f t="shared" si="148"/>
        <v>350101.97926152864</v>
      </c>
      <c r="L69" s="45">
        <f t="shared" si="148"/>
        <v>315194.78964232601</v>
      </c>
      <c r="M69" s="45">
        <f t="shared" si="148"/>
        <v>423499.84124645527</v>
      </c>
      <c r="N69" s="45">
        <f t="shared" si="148"/>
        <v>467459.76087976695</v>
      </c>
      <c r="O69" s="45">
        <f t="shared" si="148"/>
        <v>474323.05163473397</v>
      </c>
      <c r="P69" s="45">
        <f t="shared" si="148"/>
        <v>428810.25716296653</v>
      </c>
      <c r="Q69" s="45">
        <f t="shared" si="148"/>
        <v>339346.33491655142</v>
      </c>
      <c r="R69" s="45">
        <f t="shared" si="148"/>
        <v>302925.05162387801</v>
      </c>
      <c r="S69" s="45">
        <f t="shared" si="148"/>
        <v>399589.74786578171</v>
      </c>
      <c r="T69" s="45">
        <f t="shared" si="148"/>
        <v>536049.73122413771</v>
      </c>
      <c r="U69" s="45">
        <f t="shared" si="148"/>
        <v>503311.04413038632</v>
      </c>
      <c r="V69" s="45">
        <f t="shared" si="148"/>
        <v>453730.11803544633</v>
      </c>
      <c r="W69" s="45">
        <f t="shared" si="148"/>
        <v>307694.93026905361</v>
      </c>
      <c r="X69" s="45">
        <f t="shared" si="148"/>
        <v>328619.27667869348</v>
      </c>
      <c r="Y69" s="45">
        <f t="shared" si="148"/>
        <v>435339.54516653361</v>
      </c>
      <c r="Z69" s="45">
        <f t="shared" si="148"/>
        <v>565868.64496161381</v>
      </c>
      <c r="AA69" s="45">
        <f t="shared" si="148"/>
        <v>1375644.4768897495</v>
      </c>
      <c r="AB69" s="45">
        <f t="shared" si="148"/>
        <v>1787809.7846895901</v>
      </c>
      <c r="AC69" s="45">
        <f t="shared" si="148"/>
        <v>1208966.210998087</v>
      </c>
      <c r="AD69" s="45">
        <f t="shared" si="148"/>
        <v>1135096.7258818494</v>
      </c>
      <c r="AE69" s="45">
        <f t="shared" si="148"/>
        <v>1483131.5421443433</v>
      </c>
      <c r="AF69" s="45">
        <f t="shared" si="148"/>
        <v>1957827.6512690852</v>
      </c>
      <c r="AG69" s="45">
        <f t="shared" si="148"/>
        <v>1996815.833049651</v>
      </c>
      <c r="AH69" s="45">
        <f t="shared" si="148"/>
        <v>1962236.8311878431</v>
      </c>
      <c r="AI69" s="45">
        <f t="shared" si="148"/>
        <v>1361448.9893388003</v>
      </c>
      <c r="AJ69" s="45">
        <f t="shared" si="148"/>
        <v>1278047.5437683114</v>
      </c>
      <c r="AK69" s="45">
        <f t="shared" si="148"/>
        <v>1599362.0545714868</v>
      </c>
      <c r="AL69" s="45">
        <f t="shared" si="148"/>
        <v>2061688.4651608262</v>
      </c>
      <c r="AM69" s="45">
        <f t="shared" si="148"/>
        <v>1660014.398272939</v>
      </c>
      <c r="AN69" s="45">
        <f t="shared" si="148"/>
        <v>727343.38262135477</v>
      </c>
      <c r="AO69" s="45">
        <f t="shared" si="148"/>
        <v>558489.16557480057</v>
      </c>
      <c r="AP69" s="45">
        <f t="shared" si="148"/>
        <v>521512.93435668247</v>
      </c>
      <c r="AQ69" s="45">
        <f t="shared" si="148"/>
        <v>661161.70778882992</v>
      </c>
      <c r="AR69" s="45">
        <f t="shared" si="148"/>
        <v>907955.1483625297</v>
      </c>
      <c r="AS69" s="45">
        <f t="shared" si="148"/>
        <v>865613.78677226591</v>
      </c>
      <c r="AT69" s="45">
        <f t="shared" si="148"/>
        <v>722180.00996221579</v>
      </c>
      <c r="AU69" s="45">
        <f t="shared" si="148"/>
        <v>521401.47348380275</v>
      </c>
      <c r="AV69" s="45">
        <f t="shared" ref="AV69" si="149">IF(AV51="","",+(AV51-AV58)+(AV58*AV61/AV66))</f>
        <v>494704.46538048884</v>
      </c>
      <c r="AW69" s="45">
        <f t="shared" si="148"/>
        <v>756126.23939637165</v>
      </c>
      <c r="AX69" s="45">
        <f t="shared" ref="AX69:AY69" si="150">IF(AX51="","",+(AX51-AX58)+(AX58*AX61/AX66))</f>
        <v>905435.35475830093</v>
      </c>
      <c r="AY69" s="45">
        <f t="shared" si="150"/>
        <v>894861.30971378379</v>
      </c>
      <c r="AZ69" s="45">
        <f t="shared" ref="AZ69:BA69" si="151">IF(AZ51="","",+(AZ51-AZ58)+(AZ58*AZ61/AZ66))</f>
        <v>886186.43605950114</v>
      </c>
      <c r="BA69" s="45">
        <f t="shared" si="151"/>
        <v>765014.07629471621</v>
      </c>
      <c r="BB69" s="45">
        <f t="shared" ref="BB69:BC69" si="152">IF(BB51="","",+(BB51-BB58)+(BB58*BB61/BB66))</f>
        <v>653602.05200737016</v>
      </c>
      <c r="BC69" s="45">
        <f t="shared" si="152"/>
        <v>842781.28485866333</v>
      </c>
      <c r="BD69" s="45">
        <f t="shared" ref="BD69:BE69" si="153">IF(BD51="","",+(BD51-BD58)+(BD58*BD61/BD66))</f>
        <v>1100550.8342116643</v>
      </c>
      <c r="BE69" s="45">
        <f t="shared" si="153"/>
        <v>1135131.3126591197</v>
      </c>
      <c r="BF69" s="45">
        <f t="shared" ref="BF69:BG69" si="154">IF(BF51="","",+(BF51-BF58)+(BF58*BF61/BF66))</f>
        <v>1050840.2575926636</v>
      </c>
      <c r="BG69" s="45">
        <f t="shared" si="154"/>
        <v>764524.99814993259</v>
      </c>
      <c r="BH69" s="45">
        <f t="shared" ref="BH69:BT69" si="155">IF(BH51="","",+(BH51-BH58)+(BH58*BH61/BH66))</f>
        <v>707659.93377262098</v>
      </c>
      <c r="BI69" s="45">
        <f t="shared" si="155"/>
        <v>967349.64350892825</v>
      </c>
      <c r="BJ69" s="45">
        <f t="shared" si="155"/>
        <v>1267177.2104732112</v>
      </c>
      <c r="BK69" s="45" t="str">
        <f t="shared" si="155"/>
        <v/>
      </c>
      <c r="BL69" s="45" t="str">
        <f t="shared" si="155"/>
        <v/>
      </c>
      <c r="BM69" s="45" t="str">
        <f t="shared" si="155"/>
        <v/>
      </c>
      <c r="BN69" s="45" t="str">
        <f t="shared" si="155"/>
        <v/>
      </c>
      <c r="BO69" s="45" t="str">
        <f t="shared" si="155"/>
        <v/>
      </c>
      <c r="BP69" s="45" t="str">
        <f t="shared" si="155"/>
        <v/>
      </c>
      <c r="BQ69" s="45" t="str">
        <f t="shared" si="155"/>
        <v/>
      </c>
      <c r="BR69" s="45" t="str">
        <f t="shared" si="155"/>
        <v/>
      </c>
      <c r="BS69" s="45" t="str">
        <f t="shared" si="155"/>
        <v/>
      </c>
      <c r="BT69" s="45" t="str">
        <f t="shared" si="155"/>
        <v/>
      </c>
      <c r="BU69" s="45" t="str">
        <f t="shared" ref="BU69:BV69" si="156">IF(BU51="","",+(BU51-BU58)+(BU58*BU61/BU66))</f>
        <v/>
      </c>
      <c r="BV69" s="45" t="str">
        <f t="shared" si="156"/>
        <v/>
      </c>
    </row>
    <row r="70" spans="1:74" x14ac:dyDescent="0.35">
      <c r="A70" t="s">
        <v>34</v>
      </c>
      <c r="B70" s="37"/>
      <c r="C70" s="37"/>
      <c r="D70" s="45">
        <f>IF(D52="","",+D52+(D58*D62/D66))</f>
        <v>0</v>
      </c>
      <c r="E70" s="45">
        <f t="shared" ref="E70:AW70" si="157">IF(E52="","",+E52+(E58*E62/E66))</f>
        <v>0</v>
      </c>
      <c r="F70" s="45">
        <f t="shared" si="157"/>
        <v>4662.874879564878</v>
      </c>
      <c r="G70" s="45">
        <f>IF(G52="","",+G52+(G58*G62/G66))</f>
        <v>60575.806014450071</v>
      </c>
      <c r="H70" s="45">
        <f t="shared" si="157"/>
        <v>69235.226705339766</v>
      </c>
      <c r="I70" s="45">
        <f t="shared" si="157"/>
        <v>71132.268141530934</v>
      </c>
      <c r="J70" s="45">
        <f t="shared" si="157"/>
        <v>68766.003213137257</v>
      </c>
      <c r="K70" s="45">
        <f t="shared" si="157"/>
        <v>61936.863591354115</v>
      </c>
      <c r="L70" s="45">
        <f t="shared" si="157"/>
        <v>55314.675500358826</v>
      </c>
      <c r="M70" s="45">
        <f t="shared" si="157"/>
        <v>64772.869833744619</v>
      </c>
      <c r="N70" s="45">
        <f t="shared" si="157"/>
        <v>69020.979330338465</v>
      </c>
      <c r="O70" s="45">
        <f t="shared" si="157"/>
        <v>72477.677451482814</v>
      </c>
      <c r="P70" s="45">
        <f t="shared" si="157"/>
        <v>71928.028717536567</v>
      </c>
      <c r="Q70" s="45">
        <f t="shared" si="157"/>
        <v>55453.451619799707</v>
      </c>
      <c r="R70" s="45">
        <f t="shared" si="157"/>
        <v>50391.746026202469</v>
      </c>
      <c r="S70" s="45">
        <f t="shared" si="157"/>
        <v>63389.498728401399</v>
      </c>
      <c r="T70" s="45">
        <f t="shared" si="157"/>
        <v>78881.855890584935</v>
      </c>
      <c r="U70" s="45">
        <f t="shared" si="157"/>
        <v>76955.02703194521</v>
      </c>
      <c r="V70" s="45">
        <f t="shared" si="157"/>
        <v>73755.388306573834</v>
      </c>
      <c r="W70" s="45">
        <f t="shared" si="157"/>
        <v>59772.834718849517</v>
      </c>
      <c r="X70" s="45">
        <f t="shared" si="157"/>
        <v>59572.876185864705</v>
      </c>
      <c r="Y70" s="45">
        <f t="shared" si="157"/>
        <v>68599.470346323797</v>
      </c>
      <c r="Z70" s="45">
        <f t="shared" si="157"/>
        <v>81564.73791205966</v>
      </c>
      <c r="AA70" s="45">
        <f t="shared" si="157"/>
        <v>242664.75286538465</v>
      </c>
      <c r="AB70" s="45">
        <f t="shared" si="157"/>
        <v>375919.83719992841</v>
      </c>
      <c r="AC70" s="45">
        <f t="shared" si="157"/>
        <v>300075.62636462261</v>
      </c>
      <c r="AD70" s="45">
        <f t="shared" si="157"/>
        <v>293923.98139317043</v>
      </c>
      <c r="AE70" s="45">
        <f t="shared" si="157"/>
        <v>350815.31218641665</v>
      </c>
      <c r="AF70" s="45">
        <f t="shared" si="157"/>
        <v>415012.49945076351</v>
      </c>
      <c r="AG70" s="45">
        <f t="shared" si="157"/>
        <v>415043.37829811877</v>
      </c>
      <c r="AH70" s="45">
        <f t="shared" si="157"/>
        <v>419425.17682734353</v>
      </c>
      <c r="AI70" s="45">
        <f t="shared" si="157"/>
        <v>350351.57477839955</v>
      </c>
      <c r="AJ70" s="45">
        <f t="shared" si="157"/>
        <v>312397.32107489841</v>
      </c>
      <c r="AK70" s="45">
        <f t="shared" si="157"/>
        <v>355639.37645809754</v>
      </c>
      <c r="AL70" s="45">
        <f t="shared" si="157"/>
        <v>419510.42236398638</v>
      </c>
      <c r="AM70" s="45">
        <f t="shared" si="157"/>
        <v>345889.73802590865</v>
      </c>
      <c r="AN70" s="45">
        <f t="shared" si="157"/>
        <v>199586.56344967708</v>
      </c>
      <c r="AO70" s="45">
        <f t="shared" si="157"/>
        <v>176831.15319493209</v>
      </c>
      <c r="AP70" s="45">
        <f t="shared" si="157"/>
        <v>171543.19774187819</v>
      </c>
      <c r="AQ70" s="45">
        <f t="shared" si="157"/>
        <v>199615.15184616181</v>
      </c>
      <c r="AR70" s="45">
        <f t="shared" si="157"/>
        <v>238634.42662698543</v>
      </c>
      <c r="AS70" s="45">
        <f t="shared" si="157"/>
        <v>233703.41244781748</v>
      </c>
      <c r="AT70" s="45">
        <f t="shared" si="157"/>
        <v>214332.64423371092</v>
      </c>
      <c r="AU70" s="45">
        <f t="shared" si="157"/>
        <v>176304.098950004</v>
      </c>
      <c r="AV70" s="45">
        <f t="shared" ref="AV70" si="158">IF(AV52="","",+AV52+(AV58*AV62/AV66))</f>
        <v>167898.42293823551</v>
      </c>
      <c r="AW70" s="45">
        <f t="shared" si="157"/>
        <v>208742.33055279544</v>
      </c>
      <c r="AX70" s="45">
        <f t="shared" ref="AX70:AY70" si="159">IF(AX52="","",+AX52+(AX58*AX62/AX66))</f>
        <v>238776.54615310833</v>
      </c>
      <c r="AY70" s="45">
        <f t="shared" si="159"/>
        <v>183122.16294648265</v>
      </c>
      <c r="AZ70" s="45">
        <f t="shared" ref="AZ70:BA70" si="160">IF(AZ52="","",+AZ52+(AZ58*AZ62/AZ66))</f>
        <v>132175.3110263155</v>
      </c>
      <c r="BA70" s="45">
        <f t="shared" si="160"/>
        <v>121716.31880553745</v>
      </c>
      <c r="BB70" s="45">
        <f t="shared" ref="BB70:BC70" si="161">IF(BB52="","",+BB52+(BB58*BB62/BB66))</f>
        <v>112859.12458406219</v>
      </c>
      <c r="BC70" s="45">
        <f t="shared" si="161"/>
        <v>135711.65425614105</v>
      </c>
      <c r="BD70" s="45">
        <f t="shared" ref="BD70:BE70" si="162">IF(BD52="","",+BD52+(BD58*BD62/BD66))</f>
        <v>157092.67328108675</v>
      </c>
      <c r="BE70" s="45">
        <f t="shared" si="162"/>
        <v>160402.84864590407</v>
      </c>
      <c r="BF70" s="45">
        <f t="shared" ref="BF70:BG70" si="163">IF(BF52="","",+BF52+(BF58*BF62/BF66))</f>
        <v>155339.15490700732</v>
      </c>
      <c r="BG70" s="45">
        <f t="shared" si="163"/>
        <v>131677.62985970045</v>
      </c>
      <c r="BH70" s="45">
        <f t="shared" ref="BH70:BT70" si="164">IF(BH52="","",+BH52+(BH58*BH62/BH66))</f>
        <v>121105.37475263984</v>
      </c>
      <c r="BI70" s="45">
        <f t="shared" si="164"/>
        <v>141629.25980982516</v>
      </c>
      <c r="BJ70" s="45">
        <f t="shared" si="164"/>
        <v>164621.51335781041</v>
      </c>
      <c r="BK70" s="45" t="str">
        <f t="shared" si="164"/>
        <v/>
      </c>
      <c r="BL70" s="45" t="str">
        <f t="shared" si="164"/>
        <v/>
      </c>
      <c r="BM70" s="45" t="str">
        <f t="shared" si="164"/>
        <v/>
      </c>
      <c r="BN70" s="45" t="str">
        <f t="shared" si="164"/>
        <v/>
      </c>
      <c r="BO70" s="45" t="str">
        <f t="shared" si="164"/>
        <v/>
      </c>
      <c r="BP70" s="45" t="str">
        <f t="shared" si="164"/>
        <v/>
      </c>
      <c r="BQ70" s="45" t="str">
        <f t="shared" si="164"/>
        <v/>
      </c>
      <c r="BR70" s="45" t="str">
        <f t="shared" si="164"/>
        <v/>
      </c>
      <c r="BS70" s="45" t="str">
        <f t="shared" si="164"/>
        <v/>
      </c>
      <c r="BT70" s="45" t="str">
        <f t="shared" si="164"/>
        <v/>
      </c>
      <c r="BU70" s="45" t="str">
        <f t="shared" ref="BU70:BV70" si="165">IF(BU52="","",+BU52+(BU58*BU62/BU66))</f>
        <v/>
      </c>
      <c r="BV70" s="45" t="str">
        <f t="shared" si="165"/>
        <v/>
      </c>
    </row>
    <row r="71" spans="1:74" x14ac:dyDescent="0.35">
      <c r="A71" t="s">
        <v>35</v>
      </c>
      <c r="B71" s="37"/>
      <c r="C71" s="37"/>
      <c r="D71" s="45">
        <f>IF(D53="","",+D53+(D58*D63/D66))</f>
        <v>0</v>
      </c>
      <c r="E71" s="45">
        <f t="shared" ref="E71:AW71" si="166">IF(E53="","",+E53+(E58*E63/E66))</f>
        <v>0</v>
      </c>
      <c r="F71" s="45">
        <f t="shared" si="166"/>
        <v>6753.6701978728988</v>
      </c>
      <c r="G71" s="45">
        <f>IF(G53="","",+G53+(G58*G63/G66))</f>
        <v>107151.44580605239</v>
      </c>
      <c r="H71" s="45">
        <f t="shared" si="166"/>
        <v>115634.5208649429</v>
      </c>
      <c r="I71" s="45">
        <f t="shared" si="166"/>
        <v>118331.81312804784</v>
      </c>
      <c r="J71" s="45">
        <f t="shared" si="166"/>
        <v>119601.33814288217</v>
      </c>
      <c r="K71" s="45">
        <f t="shared" si="166"/>
        <v>109968.9574924099</v>
      </c>
      <c r="L71" s="45">
        <f t="shared" si="166"/>
        <v>96533.881711475129</v>
      </c>
      <c r="M71" s="45">
        <f t="shared" si="166"/>
        <v>104142.56971532079</v>
      </c>
      <c r="N71" s="45">
        <f t="shared" si="166"/>
        <v>107611.86637282498</v>
      </c>
      <c r="O71" s="45">
        <f t="shared" si="166"/>
        <v>104313.87773241718</v>
      </c>
      <c r="P71" s="45">
        <f t="shared" si="166"/>
        <v>98420.974410363575</v>
      </c>
      <c r="Q71" s="45">
        <f t="shared" si="166"/>
        <v>84560.155028366615</v>
      </c>
      <c r="R71" s="45">
        <f t="shared" si="166"/>
        <v>79147.524446379844</v>
      </c>
      <c r="S71" s="45">
        <f t="shared" si="166"/>
        <v>94049.927973792379</v>
      </c>
      <c r="T71" s="45">
        <f t="shared" si="166"/>
        <v>109708.48677351972</v>
      </c>
      <c r="U71" s="45">
        <f t="shared" si="166"/>
        <v>109463.73998502946</v>
      </c>
      <c r="V71" s="45">
        <f t="shared" si="166"/>
        <v>109154.24836711264</v>
      </c>
      <c r="W71" s="45">
        <f t="shared" si="166"/>
        <v>93111.170115006884</v>
      </c>
      <c r="X71" s="45">
        <f t="shared" si="166"/>
        <v>90314.439841834988</v>
      </c>
      <c r="Y71" s="45">
        <f t="shared" si="166"/>
        <v>96572.606390330679</v>
      </c>
      <c r="Z71" s="45">
        <f t="shared" si="166"/>
        <v>102973.56100695563</v>
      </c>
      <c r="AA71" s="45">
        <f t="shared" si="166"/>
        <v>317054.12799449282</v>
      </c>
      <c r="AB71" s="45">
        <f t="shared" si="166"/>
        <v>555274.69988765684</v>
      </c>
      <c r="AC71" s="45">
        <f t="shared" si="166"/>
        <v>496959.09444564459</v>
      </c>
      <c r="AD71" s="45">
        <f t="shared" si="166"/>
        <v>507462.60422851134</v>
      </c>
      <c r="AE71" s="45">
        <f t="shared" si="166"/>
        <v>564396.00989380945</v>
      </c>
      <c r="AF71" s="45">
        <f t="shared" si="166"/>
        <v>660447.26760719228</v>
      </c>
      <c r="AG71" s="45">
        <f t="shared" si="166"/>
        <v>654260.67532357096</v>
      </c>
      <c r="AH71" s="45">
        <f t="shared" si="166"/>
        <v>666957.41235823918</v>
      </c>
      <c r="AI71" s="45">
        <f t="shared" si="166"/>
        <v>587413.62430156593</v>
      </c>
      <c r="AJ71" s="45">
        <f t="shared" si="166"/>
        <v>519976.82051891321</v>
      </c>
      <c r="AK71" s="45">
        <f t="shared" si="166"/>
        <v>567613.70409043762</v>
      </c>
      <c r="AL71" s="45">
        <f t="shared" si="166"/>
        <v>605915.85091646248</v>
      </c>
      <c r="AM71" s="45">
        <f t="shared" si="166"/>
        <v>491377.50787101442</v>
      </c>
      <c r="AN71" s="45">
        <f t="shared" si="166"/>
        <v>295776.31891815155</v>
      </c>
      <c r="AO71" s="45">
        <f t="shared" si="166"/>
        <v>275370.89343587006</v>
      </c>
      <c r="AP71" s="45">
        <f t="shared" si="166"/>
        <v>285530.13328453153</v>
      </c>
      <c r="AQ71" s="45">
        <f t="shared" si="166"/>
        <v>320626.18147462484</v>
      </c>
      <c r="AR71" s="45">
        <f t="shared" si="166"/>
        <v>359045.8467287785</v>
      </c>
      <c r="AS71" s="45">
        <f t="shared" si="166"/>
        <v>356393.75583709526</v>
      </c>
      <c r="AT71" s="45">
        <f t="shared" si="166"/>
        <v>340966.67570072628</v>
      </c>
      <c r="AU71" s="45">
        <f t="shared" si="166"/>
        <v>293032.69252515415</v>
      </c>
      <c r="AV71" s="45">
        <f t="shared" ref="AV71" si="167">IF(AV53="","",+AV53+(AV58*AV63/AV66))</f>
        <v>284530.72242752794</v>
      </c>
      <c r="AW71" s="45">
        <f t="shared" si="166"/>
        <v>315151.4942720079</v>
      </c>
      <c r="AX71" s="45">
        <f t="shared" ref="AX71:AY71" si="168">IF(AX53="","",+AX53+(AX58*AX63/AX66))</f>
        <v>326915.51533468132</v>
      </c>
      <c r="AY71" s="45">
        <f t="shared" si="168"/>
        <v>495028.13257713738</v>
      </c>
      <c r="AZ71" s="45">
        <f t="shared" ref="AZ71:BA71" si="169">IF(AZ53="","",+AZ53+(AZ58*AZ63/AZ66))</f>
        <v>776601.02939900942</v>
      </c>
      <c r="BA71" s="45">
        <f t="shared" si="169"/>
        <v>744958.66884249065</v>
      </c>
      <c r="BB71" s="45">
        <f t="shared" ref="BB71:BC71" si="170">IF(BB53="","",+BB53+(BB58*BB63/BB66))</f>
        <v>742679.53603549488</v>
      </c>
      <c r="BC71" s="45">
        <f t="shared" si="170"/>
        <v>838043.54050146521</v>
      </c>
      <c r="BD71" s="45">
        <f t="shared" ref="BD71:BE71" si="171">IF(BD53="","",+BD53+(BD58*BD63/BD66))</f>
        <v>901539.36414699082</v>
      </c>
      <c r="BE71" s="45">
        <f t="shared" si="171"/>
        <v>933578.0584226402</v>
      </c>
      <c r="BF71" s="45">
        <f t="shared" ref="BF71:BG71" si="172">IF(BF53="","",+BF53+(BF58*BF63/BF66))</f>
        <v>935041.31426513928</v>
      </c>
      <c r="BG71" s="45">
        <f t="shared" si="172"/>
        <v>822431.07735931734</v>
      </c>
      <c r="BH71" s="45">
        <f t="shared" ref="BH71:BT71" si="173">IF(BH53="","",+BH53+(BH58*BH63/BH66))</f>
        <v>769382.68409308989</v>
      </c>
      <c r="BI71" s="45">
        <f t="shared" si="173"/>
        <v>825923.30095321848</v>
      </c>
      <c r="BJ71" s="45">
        <f t="shared" si="173"/>
        <v>919459.85659684835</v>
      </c>
      <c r="BK71" s="45" t="str">
        <f t="shared" si="173"/>
        <v/>
      </c>
      <c r="BL71" s="45" t="str">
        <f t="shared" si="173"/>
        <v/>
      </c>
      <c r="BM71" s="45" t="str">
        <f t="shared" si="173"/>
        <v/>
      </c>
      <c r="BN71" s="45" t="str">
        <f t="shared" si="173"/>
        <v/>
      </c>
      <c r="BO71" s="45" t="str">
        <f t="shared" si="173"/>
        <v/>
      </c>
      <c r="BP71" s="45" t="str">
        <f t="shared" si="173"/>
        <v/>
      </c>
      <c r="BQ71" s="45" t="str">
        <f t="shared" si="173"/>
        <v/>
      </c>
      <c r="BR71" s="45" t="str">
        <f t="shared" si="173"/>
        <v/>
      </c>
      <c r="BS71" s="45" t="str">
        <f t="shared" si="173"/>
        <v/>
      </c>
      <c r="BT71" s="45" t="str">
        <f t="shared" si="173"/>
        <v/>
      </c>
      <c r="BU71" s="45" t="str">
        <f t="shared" ref="BU71:BV71" si="174">IF(BU53="","",+BU53+(BU58*BU63/BU66))</f>
        <v/>
      </c>
      <c r="BV71" s="45" t="str">
        <f t="shared" si="174"/>
        <v/>
      </c>
    </row>
    <row r="72" spans="1:74" x14ac:dyDescent="0.35">
      <c r="A72" t="s">
        <v>36</v>
      </c>
      <c r="B72" s="37"/>
      <c r="C72" s="37"/>
      <c r="D72" s="45">
        <f>IF(D54="","",+D54+(D58*D64/D66))</f>
        <v>0</v>
      </c>
      <c r="E72" s="45">
        <f t="shared" ref="E72:AW72" si="175">IF(E54="","",+E54+(E58*E64/E66))</f>
        <v>0</v>
      </c>
      <c r="F72" s="45">
        <f t="shared" si="175"/>
        <v>2381.1324731369587</v>
      </c>
      <c r="G72" s="45">
        <f>IF(G54="","",+G54+(G58*G64/G66))</f>
        <v>41080.759711289073</v>
      </c>
      <c r="H72" s="45">
        <f t="shared" si="175"/>
        <v>46620.227707662583</v>
      </c>
      <c r="I72" s="45">
        <f t="shared" si="175"/>
        <v>48915.290383093015</v>
      </c>
      <c r="J72" s="45">
        <f t="shared" si="175"/>
        <v>48689.064699160743</v>
      </c>
      <c r="K72" s="45">
        <f t="shared" si="175"/>
        <v>45154.720570269681</v>
      </c>
      <c r="L72" s="45">
        <f t="shared" si="175"/>
        <v>41515.04923810179</v>
      </c>
      <c r="M72" s="45">
        <f t="shared" si="175"/>
        <v>41594.548478057877</v>
      </c>
      <c r="N72" s="45">
        <f t="shared" si="175"/>
        <v>42743.649469302021</v>
      </c>
      <c r="O72" s="45">
        <f t="shared" si="175"/>
        <v>43471.756585125317</v>
      </c>
      <c r="P72" s="45">
        <f t="shared" si="175"/>
        <v>37573.855689531287</v>
      </c>
      <c r="Q72" s="45">
        <f t="shared" si="175"/>
        <v>36905.295455925545</v>
      </c>
      <c r="R72" s="45">
        <f t="shared" si="175"/>
        <v>34871.894488322658</v>
      </c>
      <c r="S72" s="45">
        <f t="shared" si="175"/>
        <v>40727.091457001268</v>
      </c>
      <c r="T72" s="45">
        <f t="shared" si="175"/>
        <v>42825.077518324979</v>
      </c>
      <c r="U72" s="45">
        <f t="shared" si="175"/>
        <v>44954.202556147626</v>
      </c>
      <c r="V72" s="45">
        <f t="shared" si="175"/>
        <v>45054.75137109276</v>
      </c>
      <c r="W72" s="45">
        <f t="shared" si="175"/>
        <v>40035.738044047088</v>
      </c>
      <c r="X72" s="45">
        <f t="shared" si="175"/>
        <v>39574.059026383933</v>
      </c>
      <c r="Y72" s="45">
        <f t="shared" si="175"/>
        <v>41188.257144152223</v>
      </c>
      <c r="Z72" s="45">
        <f t="shared" si="175"/>
        <v>40226.995717895465</v>
      </c>
      <c r="AA72" s="45">
        <f t="shared" si="175"/>
        <v>108585.49808616596</v>
      </c>
      <c r="AB72" s="45">
        <f t="shared" si="175"/>
        <v>181792.64072508441</v>
      </c>
      <c r="AC72" s="45">
        <f t="shared" si="175"/>
        <v>183572.05910467496</v>
      </c>
      <c r="AD72" s="45">
        <f t="shared" si="175"/>
        <v>190770.53370651661</v>
      </c>
      <c r="AE72" s="45">
        <f t="shared" si="175"/>
        <v>183881.99525765545</v>
      </c>
      <c r="AF72" s="45">
        <f t="shared" si="175"/>
        <v>245635.92921565124</v>
      </c>
      <c r="AG72" s="45">
        <f t="shared" si="175"/>
        <v>225402.14448890529</v>
      </c>
      <c r="AH72" s="45">
        <f t="shared" si="175"/>
        <v>228315.5064563354</v>
      </c>
      <c r="AI72" s="45">
        <f t="shared" si="175"/>
        <v>197613.76683715408</v>
      </c>
      <c r="AJ72" s="45">
        <f t="shared" si="175"/>
        <v>171603.607119394</v>
      </c>
      <c r="AK72" s="45">
        <f t="shared" si="175"/>
        <v>225113.97993017494</v>
      </c>
      <c r="AL72" s="45">
        <f t="shared" si="175"/>
        <v>217125.39653110137</v>
      </c>
      <c r="AM72" s="45">
        <f t="shared" si="175"/>
        <v>162221.33538769459</v>
      </c>
      <c r="AN72" s="45">
        <f t="shared" si="175"/>
        <v>84753.684454895163</v>
      </c>
      <c r="AO72" s="45">
        <f t="shared" si="175"/>
        <v>72198.807943159496</v>
      </c>
      <c r="AP72" s="45">
        <f t="shared" si="175"/>
        <v>84979.402614517516</v>
      </c>
      <c r="AQ72" s="45">
        <f t="shared" si="175"/>
        <v>96900.261492082005</v>
      </c>
      <c r="AR72" s="45">
        <f t="shared" si="175"/>
        <v>100482.39287136923</v>
      </c>
      <c r="AS72" s="45">
        <f t="shared" si="175"/>
        <v>99567.440007197365</v>
      </c>
      <c r="AT72" s="45">
        <f t="shared" si="175"/>
        <v>97105.740111514999</v>
      </c>
      <c r="AU72" s="45">
        <f t="shared" si="175"/>
        <v>86103.564631792964</v>
      </c>
      <c r="AV72" s="45">
        <f t="shared" ref="AV72" si="176">IF(AV54="","",+AV54+(AV58*AV64/AV66))</f>
        <v>86765.912910017505</v>
      </c>
      <c r="AW72" s="45">
        <f t="shared" si="175"/>
        <v>89195.654381293964</v>
      </c>
      <c r="AX72" s="45">
        <f t="shared" ref="AX72:AY72" si="177">IF(AX54="","",+AX54+(AX58*AX64/AX66))</f>
        <v>84853.67359430436</v>
      </c>
      <c r="AY72" s="45">
        <f t="shared" si="177"/>
        <v>116964.64095577589</v>
      </c>
      <c r="AZ72" s="45">
        <f t="shared" ref="AZ72:BA72" si="178">IF(AZ54="","",+AZ54+(AZ58*AZ64/AZ66))</f>
        <v>189332.91154715291</v>
      </c>
      <c r="BA72" s="45">
        <f t="shared" si="178"/>
        <v>196301.33578545341</v>
      </c>
      <c r="BB72" s="45">
        <f t="shared" ref="BB72:BC72" si="179">IF(BB54="","",+BB54+(BB58*BB64/BB66))</f>
        <v>196733.17904220874</v>
      </c>
      <c r="BC72" s="45">
        <f t="shared" si="179"/>
        <v>205719.5189357409</v>
      </c>
      <c r="BD72" s="45">
        <f t="shared" ref="BD72:BE72" si="180">IF(BD54="","",+BD54+(BD58*BD64/BD66))</f>
        <v>210715.73838310986</v>
      </c>
      <c r="BE72" s="45">
        <f t="shared" si="180"/>
        <v>238375.38279456849</v>
      </c>
      <c r="BF72" s="45">
        <f t="shared" ref="BF72:BG72" si="181">IF(BF54="","",+BF54+(BF58*BF64/BF66))</f>
        <v>227841.78131597498</v>
      </c>
      <c r="BG72" s="45">
        <f t="shared" si="181"/>
        <v>197896.49528830158</v>
      </c>
      <c r="BH72" s="45">
        <f t="shared" ref="BH72:BT72" si="182">IF(BH54="","",+BH54+(BH58*BH64/BH66))</f>
        <v>196992.25843845302</v>
      </c>
      <c r="BI72" s="45">
        <f t="shared" si="182"/>
        <v>203662.78474111171</v>
      </c>
      <c r="BJ72" s="45">
        <f t="shared" si="182"/>
        <v>213295.86752458193</v>
      </c>
      <c r="BK72" s="45" t="str">
        <f t="shared" si="182"/>
        <v/>
      </c>
      <c r="BL72" s="45" t="str">
        <f t="shared" si="182"/>
        <v/>
      </c>
      <c r="BM72" s="45" t="str">
        <f t="shared" si="182"/>
        <v/>
      </c>
      <c r="BN72" s="45" t="str">
        <f t="shared" si="182"/>
        <v/>
      </c>
      <c r="BO72" s="45" t="str">
        <f t="shared" si="182"/>
        <v/>
      </c>
      <c r="BP72" s="45" t="str">
        <f t="shared" si="182"/>
        <v/>
      </c>
      <c r="BQ72" s="45" t="str">
        <f t="shared" si="182"/>
        <v/>
      </c>
      <c r="BR72" s="45" t="str">
        <f t="shared" si="182"/>
        <v/>
      </c>
      <c r="BS72" s="45" t="str">
        <f t="shared" si="182"/>
        <v/>
      </c>
      <c r="BT72" s="45" t="str">
        <f t="shared" si="182"/>
        <v/>
      </c>
      <c r="BU72" s="45" t="str">
        <f t="shared" ref="BU72:BV72" si="183">IF(BU54="","",+BU54+(BU58*BU64/BU66))</f>
        <v/>
      </c>
      <c r="BV72" s="45" t="str">
        <f t="shared" si="183"/>
        <v/>
      </c>
    </row>
    <row r="73" spans="1:74" x14ac:dyDescent="0.35">
      <c r="A73" t="s">
        <v>37</v>
      </c>
      <c r="B73" s="37"/>
      <c r="C73" s="37"/>
      <c r="D73" s="45">
        <f>IF(D55="","",+D55+(D58*D65/D66))</f>
        <v>0</v>
      </c>
      <c r="E73" s="45">
        <f t="shared" ref="E73:AW73" si="184">IF(E55="","",+E55+(E58*E65/E66))</f>
        <v>0</v>
      </c>
      <c r="F73" s="45">
        <f>IF(F55="","",+F55+(F58*F65/F66))</f>
        <v>-48.583419353926594</v>
      </c>
      <c r="G73" s="45">
        <f>IF(G55="","",+G55+(G58*G65/G66))</f>
        <v>4125.9071778961579</v>
      </c>
      <c r="H73" s="45">
        <f t="shared" si="184"/>
        <v>6806.3797850987785</v>
      </c>
      <c r="I73" s="45">
        <f t="shared" si="184"/>
        <v>7524.9044581782691</v>
      </c>
      <c r="J73" s="45">
        <f t="shared" si="184"/>
        <v>7658.4495072300715</v>
      </c>
      <c r="K73" s="45">
        <f t="shared" si="184"/>
        <v>7241.6490844376849</v>
      </c>
      <c r="L73" s="45">
        <f t="shared" si="184"/>
        <v>6323.5939077382554</v>
      </c>
      <c r="M73" s="45">
        <f t="shared" si="184"/>
        <v>5864.7707264215042</v>
      </c>
      <c r="N73" s="45">
        <f t="shared" si="184"/>
        <v>6186.9939477675571</v>
      </c>
      <c r="O73" s="45">
        <f t="shared" si="184"/>
        <v>10792.766596240668</v>
      </c>
      <c r="P73" s="45">
        <f t="shared" si="184"/>
        <v>19312.38401960209</v>
      </c>
      <c r="Q73" s="45">
        <f t="shared" si="184"/>
        <v>21254.31297935671</v>
      </c>
      <c r="R73" s="45">
        <f t="shared" si="184"/>
        <v>21637.663415217026</v>
      </c>
      <c r="S73" s="45">
        <f t="shared" si="184"/>
        <v>16834.533975023267</v>
      </c>
      <c r="T73" s="45">
        <f t="shared" si="184"/>
        <v>24355.538593432568</v>
      </c>
      <c r="U73" s="45">
        <f t="shared" si="184"/>
        <v>25113.656296491379</v>
      </c>
      <c r="V73" s="45">
        <f t="shared" si="184"/>
        <v>25507.793919774442</v>
      </c>
      <c r="W73" s="45">
        <f t="shared" si="184"/>
        <v>22463.576853042847</v>
      </c>
      <c r="X73" s="45">
        <f t="shared" si="184"/>
        <v>21960.458267222853</v>
      </c>
      <c r="Y73" s="45">
        <f t="shared" si="184"/>
        <v>22338.840952659717</v>
      </c>
      <c r="Z73" s="45">
        <f t="shared" si="184"/>
        <v>20382.980401475455</v>
      </c>
      <c r="AA73" s="45">
        <f t="shared" si="184"/>
        <v>32953.904164207008</v>
      </c>
      <c r="AB73" s="45">
        <f t="shared" si="184"/>
        <v>23500.247497740351</v>
      </c>
      <c r="AC73" s="45">
        <f t="shared" si="184"/>
        <v>40293.609086971141</v>
      </c>
      <c r="AD73" s="45">
        <f t="shared" si="184"/>
        <v>41000.534789952151</v>
      </c>
      <c r="AE73" s="45">
        <f t="shared" si="184"/>
        <v>39665.300517775315</v>
      </c>
      <c r="AF73" s="45">
        <f t="shared" si="184"/>
        <v>50592.172457307752</v>
      </c>
      <c r="AG73" s="45">
        <f t="shared" si="184"/>
        <v>48111.888839753803</v>
      </c>
      <c r="AH73" s="45">
        <f t="shared" si="184"/>
        <v>52046.073170238742</v>
      </c>
      <c r="AI73" s="45">
        <f t="shared" si="184"/>
        <v>47917.124744080225</v>
      </c>
      <c r="AJ73" s="45">
        <f t="shared" si="184"/>
        <v>31542.387518483061</v>
      </c>
      <c r="AK73" s="45">
        <f t="shared" si="184"/>
        <v>43557.154949803051</v>
      </c>
      <c r="AL73" s="45">
        <f t="shared" si="184"/>
        <v>40956.195027623748</v>
      </c>
      <c r="AM73" s="45">
        <f t="shared" si="184"/>
        <v>34081.150442443461</v>
      </c>
      <c r="AN73" s="45">
        <f t="shared" si="184"/>
        <v>5569.4805559214219</v>
      </c>
      <c r="AO73" s="45">
        <f t="shared" si="184"/>
        <v>-23801.130148762259</v>
      </c>
      <c r="AP73" s="45">
        <f t="shared" si="184"/>
        <v>4425.0020023903071</v>
      </c>
      <c r="AQ73" s="45">
        <f t="shared" si="184"/>
        <v>5427.3573983012948</v>
      </c>
      <c r="AR73" s="45">
        <f t="shared" si="184"/>
        <v>6149.5954103370386</v>
      </c>
      <c r="AS73" s="45">
        <f t="shared" si="184"/>
        <v>6063.694935624073</v>
      </c>
      <c r="AT73" s="45">
        <f t="shared" si="184"/>
        <v>6340.9099918320171</v>
      </c>
      <c r="AU73" s="45">
        <f t="shared" si="184"/>
        <v>5452.5804092461303</v>
      </c>
      <c r="AV73" s="45">
        <f t="shared" ref="AV73" si="185">IF(AV55="","",+AV55+(AV58*AV65/AV66))</f>
        <v>5374.9963437301585</v>
      </c>
      <c r="AW73" s="45">
        <f t="shared" si="184"/>
        <v>4968.6713975309985</v>
      </c>
      <c r="AX73" s="45">
        <f t="shared" ref="AX73:AY73" si="186">IF(AX55="","",+AX55+(AX58*AX65/AX66))</f>
        <v>4126.6501596050875</v>
      </c>
      <c r="AY73" s="45">
        <f t="shared" si="186"/>
        <v>6475.6438068202078</v>
      </c>
      <c r="AZ73" s="45">
        <f t="shared" ref="AZ73:BA73" si="187">IF(AZ55="","",+AZ55+(AZ58*AZ65/AZ66))</f>
        <v>20514.021968021043</v>
      </c>
      <c r="BA73" s="45">
        <f t="shared" si="187"/>
        <v>20728.070271802189</v>
      </c>
      <c r="BB73" s="45">
        <f t="shared" ref="BB73:BC73" si="188">IF(BB55="","",+BB55+(BB58*BB65/BB66))</f>
        <v>21860.388330864007</v>
      </c>
      <c r="BC73" s="45">
        <f t="shared" si="188"/>
        <v>26312.731447989569</v>
      </c>
      <c r="BD73" s="45">
        <f t="shared" ref="BD73:BE73" si="189">IF(BD55="","",+BD55+(BD58*BD65/BD66))</f>
        <v>24544.16997714834</v>
      </c>
      <c r="BE73" s="45">
        <f t="shared" si="189"/>
        <v>28119.347477767511</v>
      </c>
      <c r="BF73" s="45">
        <f t="shared" ref="BF73:BG73" si="190">IF(BF55="","",+BF55+(BF58*BF65/BF66))</f>
        <v>30706.5519192147</v>
      </c>
      <c r="BG73" s="45">
        <f t="shared" si="190"/>
        <v>31001.069342748062</v>
      </c>
      <c r="BH73" s="45">
        <f t="shared" ref="BH73:BT73" si="191">IF(BH55="","",+BH55+(BH58*BH65/BH66))</f>
        <v>24651.963988683008</v>
      </c>
      <c r="BI73" s="45">
        <f t="shared" si="191"/>
        <v>23992.698625575045</v>
      </c>
      <c r="BJ73" s="45">
        <f t="shared" si="191"/>
        <v>24785.415756325161</v>
      </c>
      <c r="BK73" s="45" t="str">
        <f t="shared" si="191"/>
        <v/>
      </c>
      <c r="BL73" s="45" t="str">
        <f t="shared" si="191"/>
        <v/>
      </c>
      <c r="BM73" s="45" t="str">
        <f t="shared" si="191"/>
        <v/>
      </c>
      <c r="BN73" s="45" t="str">
        <f t="shared" si="191"/>
        <v/>
      </c>
      <c r="BO73" s="45" t="str">
        <f t="shared" si="191"/>
        <v/>
      </c>
      <c r="BP73" s="45" t="str">
        <f t="shared" si="191"/>
        <v/>
      </c>
      <c r="BQ73" s="45" t="str">
        <f t="shared" si="191"/>
        <v/>
      </c>
      <c r="BR73" s="45" t="str">
        <f t="shared" si="191"/>
        <v/>
      </c>
      <c r="BS73" s="45" t="str">
        <f t="shared" si="191"/>
        <v/>
      </c>
      <c r="BT73" s="45" t="str">
        <f t="shared" si="191"/>
        <v/>
      </c>
      <c r="BU73" s="45" t="str">
        <f t="shared" ref="BU73:BV73" si="192">IF(BU55="","",+BU55+(BU58*BU65/BU66))</f>
        <v/>
      </c>
      <c r="BV73" s="45" t="str">
        <f t="shared" si="192"/>
        <v/>
      </c>
    </row>
    <row r="74" spans="1:74" x14ac:dyDescent="0.35">
      <c r="A74" s="33" t="s">
        <v>31</v>
      </c>
      <c r="B74" s="31"/>
      <c r="C74" s="31"/>
      <c r="D74" s="44">
        <f>SUM(D69:D73)</f>
        <v>0</v>
      </c>
      <c r="E74" s="44">
        <f t="shared" ref="E74:AW74" si="193">SUM(E69:E73)</f>
        <v>0</v>
      </c>
      <c r="F74" s="44">
        <f t="shared" si="193"/>
        <v>42385.43</v>
      </c>
      <c r="G74" s="44">
        <f t="shared" si="193"/>
        <v>557603.83999999997</v>
      </c>
      <c r="H74" s="44">
        <f t="shared" si="193"/>
        <v>676036.05000000016</v>
      </c>
      <c r="I74" s="44">
        <f t="shared" si="193"/>
        <v>706998.17000000016</v>
      </c>
      <c r="J74" s="44">
        <f t="shared" si="193"/>
        <v>670246.85</v>
      </c>
      <c r="K74" s="44">
        <f t="shared" si="193"/>
        <v>574404.16999999993</v>
      </c>
      <c r="L74" s="44">
        <f t="shared" si="193"/>
        <v>514881.99000000005</v>
      </c>
      <c r="M74" s="44">
        <f t="shared" si="193"/>
        <v>639874.6</v>
      </c>
      <c r="N74" s="44">
        <f t="shared" si="193"/>
        <v>693023.25</v>
      </c>
      <c r="O74" s="44">
        <f t="shared" si="193"/>
        <v>705379.13</v>
      </c>
      <c r="P74" s="44">
        <f t="shared" si="193"/>
        <v>656045.50000000012</v>
      </c>
      <c r="Q74" s="44">
        <f t="shared" si="193"/>
        <v>537519.55000000005</v>
      </c>
      <c r="R74" s="44">
        <f t="shared" si="193"/>
        <v>488973.88</v>
      </c>
      <c r="S74" s="44">
        <f t="shared" si="193"/>
        <v>614590.80000000005</v>
      </c>
      <c r="T74" s="44">
        <f t="shared" si="193"/>
        <v>791820.69</v>
      </c>
      <c r="U74" s="44">
        <f t="shared" si="193"/>
        <v>759797.66999999993</v>
      </c>
      <c r="V74" s="44">
        <f t="shared" si="193"/>
        <v>707202.29999999993</v>
      </c>
      <c r="W74" s="44">
        <f t="shared" si="193"/>
        <v>523078.25</v>
      </c>
      <c r="X74" s="44">
        <f t="shared" si="193"/>
        <v>540041.10999999987</v>
      </c>
      <c r="Y74" s="44">
        <f t="shared" si="193"/>
        <v>664038.72</v>
      </c>
      <c r="Z74" s="44">
        <f t="shared" si="193"/>
        <v>811016.91999999993</v>
      </c>
      <c r="AA74" s="44">
        <f t="shared" si="193"/>
        <v>2076902.7599999998</v>
      </c>
      <c r="AB74" s="44">
        <f t="shared" si="193"/>
        <v>2924297.21</v>
      </c>
      <c r="AC74" s="44">
        <f t="shared" si="193"/>
        <v>2229866.6</v>
      </c>
      <c r="AD74" s="44">
        <f t="shared" si="193"/>
        <v>2168254.38</v>
      </c>
      <c r="AE74" s="44">
        <f t="shared" si="193"/>
        <v>2621890.16</v>
      </c>
      <c r="AF74" s="44">
        <f t="shared" si="193"/>
        <v>3329515.5199999996</v>
      </c>
      <c r="AG74" s="44">
        <f t="shared" si="193"/>
        <v>3339633.92</v>
      </c>
      <c r="AH74" s="44">
        <f t="shared" si="193"/>
        <v>3328981</v>
      </c>
      <c r="AI74" s="44">
        <f t="shared" si="193"/>
        <v>2544745.0799999996</v>
      </c>
      <c r="AJ74" s="44">
        <f t="shared" si="193"/>
        <v>2313567.6800000002</v>
      </c>
      <c r="AK74" s="44">
        <f t="shared" si="193"/>
        <v>2791286.27</v>
      </c>
      <c r="AL74" s="44">
        <f t="shared" si="193"/>
        <v>3345196.33</v>
      </c>
      <c r="AM74" s="44">
        <f t="shared" si="193"/>
        <v>2693584.13</v>
      </c>
      <c r="AN74" s="44">
        <f t="shared" si="193"/>
        <v>1313029.4299999997</v>
      </c>
      <c r="AO74" s="44">
        <f t="shared" si="193"/>
        <v>1059088.8899999999</v>
      </c>
      <c r="AP74" s="44">
        <f t="shared" si="193"/>
        <v>1067990.6700000002</v>
      </c>
      <c r="AQ74" s="44">
        <f t="shared" si="193"/>
        <v>1283730.6599999999</v>
      </c>
      <c r="AR74" s="44">
        <f t="shared" si="193"/>
        <v>1612267.4099999997</v>
      </c>
      <c r="AS74" s="44">
        <f t="shared" si="193"/>
        <v>1561342.09</v>
      </c>
      <c r="AT74" s="44">
        <f t="shared" si="193"/>
        <v>1380925.98</v>
      </c>
      <c r="AU74" s="44">
        <f t="shared" si="193"/>
        <v>1082294.4099999999</v>
      </c>
      <c r="AV74" s="44">
        <f t="shared" ref="AV74" si="194">SUM(AV69:AV73)</f>
        <v>1039274.52</v>
      </c>
      <c r="AW74" s="44">
        <f t="shared" si="193"/>
        <v>1374184.39</v>
      </c>
      <c r="AX74" s="44">
        <f t="shared" ref="AX74:AY74" si="195">SUM(AX69:AX73)</f>
        <v>1560107.74</v>
      </c>
      <c r="AY74" s="44">
        <f t="shared" si="195"/>
        <v>1696451.89</v>
      </c>
      <c r="AZ74" s="44">
        <f t="shared" ref="AZ74:BA74" si="196">SUM(AZ69:AZ73)</f>
        <v>2004809.71</v>
      </c>
      <c r="BA74" s="44">
        <f t="shared" si="196"/>
        <v>1848718.47</v>
      </c>
      <c r="BB74" s="44">
        <f t="shared" ref="BB74:BC74" si="197">SUM(BB69:BB73)</f>
        <v>1727734.2799999998</v>
      </c>
      <c r="BC74" s="44">
        <f t="shared" si="197"/>
        <v>2048568.73</v>
      </c>
      <c r="BD74" s="44">
        <f t="shared" ref="BD74:BE74" si="198">SUM(BD69:BD73)</f>
        <v>2394442.7800000003</v>
      </c>
      <c r="BE74" s="44">
        <f t="shared" si="198"/>
        <v>2495606.9500000002</v>
      </c>
      <c r="BF74" s="44">
        <f t="shared" ref="BF74:BG74" si="199">SUM(BF69:BF73)</f>
        <v>2399769.06</v>
      </c>
      <c r="BG74" s="44">
        <f t="shared" si="199"/>
        <v>1947531.27</v>
      </c>
      <c r="BH74" s="44">
        <f t="shared" ref="BH74:BT74" si="200">SUM(BH69:BH73)</f>
        <v>1819792.2150454868</v>
      </c>
      <c r="BI74" s="44">
        <f t="shared" si="200"/>
        <v>2162557.6876386586</v>
      </c>
      <c r="BJ74" s="44">
        <f t="shared" si="200"/>
        <v>2589339.8637087774</v>
      </c>
      <c r="BK74" s="44">
        <f t="shared" si="200"/>
        <v>0</v>
      </c>
      <c r="BL74" s="44">
        <f t="shared" si="200"/>
        <v>0</v>
      </c>
      <c r="BM74" s="44">
        <f t="shared" si="200"/>
        <v>0</v>
      </c>
      <c r="BN74" s="44">
        <f t="shared" si="200"/>
        <v>0</v>
      </c>
      <c r="BO74" s="44">
        <f t="shared" si="200"/>
        <v>0</v>
      </c>
      <c r="BP74" s="44">
        <f t="shared" si="200"/>
        <v>0</v>
      </c>
      <c r="BQ74" s="44">
        <f t="shared" si="200"/>
        <v>0</v>
      </c>
      <c r="BR74" s="44">
        <f t="shared" si="200"/>
        <v>0</v>
      </c>
      <c r="BS74" s="44">
        <f t="shared" si="200"/>
        <v>0</v>
      </c>
      <c r="BT74" s="44">
        <f t="shared" si="200"/>
        <v>0</v>
      </c>
      <c r="BU74" s="44">
        <f t="shared" ref="BU74:BV74" si="201">SUM(BU69:BU73)</f>
        <v>0</v>
      </c>
      <c r="BV74" s="44">
        <f t="shared" si="201"/>
        <v>0</v>
      </c>
    </row>
  </sheetData>
  <pageMargins left="0.7" right="0.7" top="0.75" bottom="0.75" header="0.3" footer="0.3"/>
  <pageSetup orientation="portrait" r:id="rId1"/>
  <headerFooter>
    <oddFooter>&amp;RSchedule JNG-D3</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2:AX37"/>
  <sheetViews>
    <sheetView workbookViewId="0">
      <pane xSplit="1" topLeftCell="AJ1" activePane="topRight" state="frozen"/>
      <selection pane="topRight" activeCell="O4" sqref="O4"/>
    </sheetView>
  </sheetViews>
  <sheetFormatPr defaultRowHeight="14.5" x14ac:dyDescent="0.35"/>
  <cols>
    <col min="2" max="2" width="29.1796875" customWidth="1"/>
    <col min="3" max="50" width="13.26953125" bestFit="1" customWidth="1"/>
  </cols>
  <sheetData>
    <row r="2" spans="1:50" x14ac:dyDescent="0.35">
      <c r="C2" s="10">
        <v>43862</v>
      </c>
      <c r="D2" s="10">
        <v>43891</v>
      </c>
      <c r="E2" s="10">
        <v>43922</v>
      </c>
      <c r="F2" s="10">
        <v>43952</v>
      </c>
      <c r="G2" s="10">
        <v>43983</v>
      </c>
      <c r="H2" s="10">
        <v>44013</v>
      </c>
      <c r="I2" s="10">
        <v>44044</v>
      </c>
      <c r="J2" s="10">
        <v>44075</v>
      </c>
      <c r="K2" s="10">
        <v>44105</v>
      </c>
      <c r="L2" s="10">
        <v>44136</v>
      </c>
      <c r="M2" s="10">
        <v>44166</v>
      </c>
      <c r="N2" s="10">
        <v>44197</v>
      </c>
      <c r="O2" s="10">
        <v>44228</v>
      </c>
      <c r="P2" s="10">
        <v>44256</v>
      </c>
      <c r="Q2" s="10">
        <v>44287</v>
      </c>
      <c r="R2" s="10">
        <v>44317</v>
      </c>
      <c r="S2" s="10">
        <v>44348</v>
      </c>
      <c r="T2" s="10">
        <v>44378</v>
      </c>
      <c r="U2" s="10">
        <v>44409</v>
      </c>
      <c r="V2" s="10">
        <v>44440</v>
      </c>
      <c r="W2" s="10">
        <v>44470</v>
      </c>
      <c r="X2" s="10">
        <v>44501</v>
      </c>
      <c r="Y2" s="10">
        <v>44531</v>
      </c>
      <c r="Z2" s="10">
        <v>44562</v>
      </c>
      <c r="AA2" s="10">
        <v>44593</v>
      </c>
      <c r="AB2" s="10">
        <v>44621</v>
      </c>
      <c r="AC2" s="10">
        <v>44652</v>
      </c>
      <c r="AD2" s="10">
        <v>44682</v>
      </c>
      <c r="AE2" s="10">
        <v>44713</v>
      </c>
      <c r="AF2" s="10">
        <v>44743</v>
      </c>
      <c r="AG2" s="10">
        <v>44774</v>
      </c>
      <c r="AH2" s="10">
        <v>44805</v>
      </c>
      <c r="AI2" s="10">
        <v>44835</v>
      </c>
      <c r="AJ2" s="10">
        <v>44866</v>
      </c>
      <c r="AK2" s="10">
        <v>44896</v>
      </c>
      <c r="AL2" s="10">
        <v>44927</v>
      </c>
      <c r="AM2" s="10">
        <v>44958</v>
      </c>
      <c r="AN2" s="10">
        <v>44986</v>
      </c>
      <c r="AO2" s="10">
        <v>45017</v>
      </c>
      <c r="AP2" s="10">
        <v>45047</v>
      </c>
      <c r="AQ2" s="10">
        <v>45078</v>
      </c>
      <c r="AR2" s="10">
        <v>45108</v>
      </c>
      <c r="AS2" s="10">
        <v>45139</v>
      </c>
      <c r="AT2" s="10">
        <v>45170</v>
      </c>
      <c r="AU2" s="10">
        <v>45200</v>
      </c>
      <c r="AV2" s="10">
        <v>45231</v>
      </c>
      <c r="AW2" s="10">
        <v>45261</v>
      </c>
      <c r="AX2" s="10">
        <v>45292</v>
      </c>
    </row>
    <row r="3" spans="1:50" x14ac:dyDescent="0.35">
      <c r="A3" s="308" t="s">
        <v>33</v>
      </c>
      <c r="B3" s="72" t="s">
        <v>53</v>
      </c>
      <c r="C3" s="63">
        <f>IF(+'M3 Allocations - TD'!O51="","",'M3 Allocations - TD'!O51)</f>
        <v>465524.23</v>
      </c>
      <c r="D3" s="63">
        <f>IF(+'M3 Allocations - TD'!P51="","",'M3 Allocations - TD'!P51)</f>
        <v>420640.46</v>
      </c>
      <c r="E3" s="63">
        <f>IF(+'M3 Allocations - TD'!Q51="","",'M3 Allocations - TD'!Q51)</f>
        <v>333131.02</v>
      </c>
      <c r="F3" s="63">
        <f>IF(+'M3 Allocations - TD'!R51="","",'M3 Allocations - TD'!R51)</f>
        <v>297680.28000000003</v>
      </c>
      <c r="G3" s="63">
        <f>IF(+'M3 Allocations - TD'!S51="","",'M3 Allocations - TD'!S51)</f>
        <v>393958.55</v>
      </c>
      <c r="H3" s="63">
        <f>IF(+'M3 Allocations - TD'!T51="","",'M3 Allocations - TD'!T51)</f>
        <v>529326.34</v>
      </c>
      <c r="I3" s="63">
        <f>IF(+'M3 Allocations - TD'!U51="","",'M3 Allocations - TD'!U51)</f>
        <v>496875.44</v>
      </c>
      <c r="J3" s="63">
        <f>IF(+'M3 Allocations - TD'!V51="","",'M3 Allocations - TD'!V51)</f>
        <v>447785.36</v>
      </c>
      <c r="K3" s="63">
        <f>IF(+'M3 Allocations - TD'!W51="","",'M3 Allocations - TD'!W51)</f>
        <v>302563.73</v>
      </c>
      <c r="L3" s="63">
        <f>IF(+'M3 Allocations - TD'!X51="","",'M3 Allocations - TD'!X51)</f>
        <v>322763.34999999998</v>
      </c>
      <c r="M3" s="63">
        <f>IF(+'M3 Allocations - TD'!Y51="","",'M3 Allocations - TD'!Y51)</f>
        <v>427989.89</v>
      </c>
      <c r="N3" s="63">
        <f>IF(+'M3 Allocations - TD'!Z51="","",'M3 Allocations - TD'!Z51)</f>
        <v>556980.75</v>
      </c>
      <c r="O3" s="63">
        <f>IF(+'M3 Allocations - TD'!AA51="","",'M3 Allocations - TD'!AA51)</f>
        <v>1353651.15</v>
      </c>
      <c r="P3" s="63">
        <f>IF(+'M3 Allocations - TD'!AB51="","",'M3 Allocations - TD'!AB51)</f>
        <v>1757169.11</v>
      </c>
      <c r="Q3" s="63">
        <f>IF(+'M3 Allocations - TD'!AC51="","",'M3 Allocations - TD'!AC51)</f>
        <v>1185680.5900000001</v>
      </c>
      <c r="R3" s="63">
        <f>IF(+'M3 Allocations - TD'!AD51="","",'M3 Allocations - TD'!AD51)</f>
        <v>1113985.45</v>
      </c>
      <c r="S3" s="63">
        <f>IF(+'M3 Allocations - TD'!AE51="","",'M3 Allocations - TD'!AE51)</f>
        <v>1461163.75</v>
      </c>
      <c r="T3" s="63">
        <f>IF(+'M3 Allocations - TD'!AF51="","",'M3 Allocations - TD'!AF51)</f>
        <v>1930056.97</v>
      </c>
      <c r="U3" s="63">
        <f>IF(+'M3 Allocations - TD'!AG51="","",'M3 Allocations - TD'!AG51)</f>
        <v>1969181.34</v>
      </c>
      <c r="V3" s="63">
        <f>IF(+'M3 Allocations - TD'!AH51="","",'M3 Allocations - TD'!AH51)</f>
        <v>1934282.8</v>
      </c>
      <c r="W3" s="63">
        <f>IF(+'M3 Allocations - TD'!AI51="","",'M3 Allocations - TD'!AI51)</f>
        <v>1339485.02</v>
      </c>
      <c r="X3" s="63">
        <f>IF(+'M3 Allocations - TD'!AJ51="","",'M3 Allocations - TD'!AJ51)</f>
        <v>1255189.19</v>
      </c>
      <c r="Y3" s="63">
        <f>IF(+'M3 Allocations - TD'!AK51="","",'M3 Allocations - TD'!AK51)</f>
        <v>1570523</v>
      </c>
      <c r="Z3" s="63">
        <f>IF(+'M3 Allocations - TD'!AL51="","",'M3 Allocations - TD'!AL51)</f>
        <v>2029998.28</v>
      </c>
      <c r="AA3" s="63">
        <f>IF(+'M3 Allocations - TD'!AM51="","",'M3 Allocations - TD'!AM51)</f>
        <v>1633369.11</v>
      </c>
      <c r="AB3" s="63">
        <f>IF(+'M3 Allocations - TD'!AN51="","",'M3 Allocations - TD'!AN51)</f>
        <v>714783.1</v>
      </c>
      <c r="AC3" s="63">
        <f>IF(+'M3 Allocations - TD'!AO51="","",'M3 Allocations - TD'!AO51)</f>
        <v>547759.59</v>
      </c>
      <c r="AD3" s="63">
        <f>IF(+'M3 Allocations - TD'!AP51="","",'M3 Allocations - TD'!AP51)</f>
        <v>512195.47</v>
      </c>
      <c r="AE3" s="63">
        <f>IF(+'M3 Allocations - TD'!AQ51="","",'M3 Allocations - TD'!AQ51)</f>
        <v>651024.82999999996</v>
      </c>
      <c r="AF3" s="63">
        <f>IF(+'M3 Allocations - TD'!AR51="","",'M3 Allocations - TD'!AR51)</f>
        <v>895488.58</v>
      </c>
      <c r="AG3" s="63">
        <f>IF(+'M3 Allocations - TD'!AS51="","",'M3 Allocations - TD'!AS51)</f>
        <v>853007.9</v>
      </c>
      <c r="AH3" s="63">
        <f>IF(+'M3 Allocations - TD'!AT51="","",'M3 Allocations - TD'!AT51)</f>
        <v>710408.72</v>
      </c>
      <c r="AI3" s="63">
        <f>IF(+'M3 Allocations - TD'!AU51="","",'M3 Allocations - TD'!AU51)</f>
        <v>511382.36</v>
      </c>
      <c r="AJ3" s="63">
        <f>IF(+'M3 Allocations - TD'!AV51="","",'M3 Allocations - TD'!AV51)</f>
        <v>484043.54</v>
      </c>
      <c r="AK3" s="63">
        <f>IF(+'M3 Allocations - TD'!AW51="","",'M3 Allocations - TD'!AW51)</f>
        <v>740070.25</v>
      </c>
      <c r="AL3" s="63">
        <f>IF(+'M3 Allocations - TD'!AX51="","",'M3 Allocations - TD'!AX51)</f>
        <v>888488.17</v>
      </c>
      <c r="AM3" s="63">
        <f>IF(+'M3 Allocations - TD'!AY51="","",'M3 Allocations - TD'!AY51)</f>
        <v>877032.36</v>
      </c>
      <c r="AN3" s="63">
        <f>IF(+'M3 Allocations - TD'!AZ51="","",'M3 Allocations - TD'!AZ51)</f>
        <v>866898.88</v>
      </c>
      <c r="AO3" s="63">
        <f>IF(+'M3 Allocations - TD'!BA51="","",'M3 Allocations - TD'!BA51)</f>
        <v>747574.22</v>
      </c>
      <c r="AP3" s="63">
        <f>IF(+'M3 Allocations - TD'!BB51="","",'M3 Allocations - TD'!BB51)</f>
        <v>639066.06000000006</v>
      </c>
      <c r="AQ3" s="63">
        <f>IF(+'M3 Allocations - TD'!BC51="","",'M3 Allocations - TD'!BC51)</f>
        <v>826550.17</v>
      </c>
      <c r="AR3" s="63">
        <f>IF(+'M3 Allocations - TD'!BD51="","",'M3 Allocations - TD'!BD51)</f>
        <v>1081582.31</v>
      </c>
      <c r="AS3" s="63">
        <f>IF(+'M3 Allocations - TD'!BE51="","",'M3 Allocations - TD'!BE51)</f>
        <v>1114808.79</v>
      </c>
      <c r="AT3" s="63">
        <f>IF(+'M3 Allocations - TD'!BF51="","",'M3 Allocations - TD'!BF51)</f>
        <v>1031141.02</v>
      </c>
      <c r="AU3" s="63">
        <f>IF(+'M3 Allocations - TD'!BG51="","",'M3 Allocations - TD'!BG51)</f>
        <v>747638.7</v>
      </c>
      <c r="AV3" s="63">
        <f>IF(+'M3 Allocations - TD'!BH51="","",'M3 Allocations - TD'!BH51)</f>
        <v>691965.26605756558</v>
      </c>
      <c r="AW3" s="63">
        <f>IF(+'M3 Allocations - TD'!BI51="","",'M3 Allocations - TD'!BI51)</f>
        <v>948129.45759044029</v>
      </c>
      <c r="AX3" s="63">
        <f>IF(+'M3 Allocations - TD'!BJ51="","",'M3 Allocations - TD'!BJ51)</f>
        <v>1244100.0805910944</v>
      </c>
    </row>
    <row r="4" spans="1:50" x14ac:dyDescent="0.35">
      <c r="A4" s="309"/>
      <c r="B4" s="73" t="s">
        <v>55</v>
      </c>
      <c r="C4" s="119">
        <v>4.8599964800191556E-4</v>
      </c>
      <c r="D4" s="71">
        <f t="shared" ref="D4:H5" si="0">IF(D3="","",C4)</f>
        <v>4.8599964800191556E-4</v>
      </c>
      <c r="E4" s="71">
        <f t="shared" si="0"/>
        <v>4.8599964800191556E-4</v>
      </c>
      <c r="F4" s="71">
        <f t="shared" si="0"/>
        <v>4.8599964800191556E-4</v>
      </c>
      <c r="G4" s="71">
        <f t="shared" si="0"/>
        <v>4.8599964800191556E-4</v>
      </c>
      <c r="H4" s="71">
        <f t="shared" si="0"/>
        <v>4.8599964800191556E-4</v>
      </c>
      <c r="I4" s="71">
        <f t="shared" ref="I4:Z5" si="1">IF(I3="","",H4)</f>
        <v>4.8599964800191556E-4</v>
      </c>
      <c r="J4" s="71">
        <f t="shared" si="1"/>
        <v>4.8599964800191556E-4</v>
      </c>
      <c r="K4" s="71">
        <f t="shared" si="1"/>
        <v>4.8599964800191556E-4</v>
      </c>
      <c r="L4" s="71">
        <f t="shared" si="1"/>
        <v>4.8599964800191556E-4</v>
      </c>
      <c r="M4" s="71">
        <f t="shared" si="1"/>
        <v>4.8599964800191556E-4</v>
      </c>
      <c r="N4" s="71">
        <f t="shared" si="1"/>
        <v>4.8599964800191556E-4</v>
      </c>
      <c r="O4" s="119">
        <v>1.2863998837670668E-3</v>
      </c>
      <c r="P4" s="71">
        <f t="shared" si="1"/>
        <v>1.2863998837670668E-3</v>
      </c>
      <c r="Q4" s="71">
        <f t="shared" ref="Q4:U4" si="2">IF(Q3="","",P4)</f>
        <v>1.2863998837670668E-3</v>
      </c>
      <c r="R4" s="71">
        <f t="shared" si="2"/>
        <v>1.2863998837670668E-3</v>
      </c>
      <c r="S4" s="71">
        <f t="shared" si="2"/>
        <v>1.2863998837670668E-3</v>
      </c>
      <c r="T4" s="71">
        <f t="shared" si="2"/>
        <v>1.2863998837670668E-3</v>
      </c>
      <c r="U4" s="71">
        <f t="shared" si="2"/>
        <v>1.2863998837670668E-3</v>
      </c>
      <c r="V4" s="71">
        <f>IF(V3="","",U4)</f>
        <v>1.2863998837670668E-3</v>
      </c>
      <c r="W4" s="71">
        <f>IF(W3="","",V4)</f>
        <v>1.2863998837670668E-3</v>
      </c>
      <c r="X4" s="71">
        <f>IF(X3="","",W4)</f>
        <v>1.2863998837670668E-3</v>
      </c>
      <c r="Y4" s="71">
        <f>IF(Y3="","",X4)</f>
        <v>1.2863998837670668E-3</v>
      </c>
      <c r="Z4" s="71">
        <f>IF(Z3="","",Y4)</f>
        <v>1.2863998837670668E-3</v>
      </c>
      <c r="AA4" s="119">
        <v>5.2763466985880809E-4</v>
      </c>
      <c r="AB4" s="71">
        <f t="shared" ref="AB4:AW5" si="3">IF(AB3="","",AA4)</f>
        <v>5.2763466985880809E-4</v>
      </c>
      <c r="AC4" s="71">
        <f t="shared" si="3"/>
        <v>5.2763466985880809E-4</v>
      </c>
      <c r="AD4" s="71">
        <f t="shared" si="3"/>
        <v>5.2763466985880809E-4</v>
      </c>
      <c r="AE4" s="71">
        <f t="shared" si="3"/>
        <v>5.2763466985880809E-4</v>
      </c>
      <c r="AF4" s="71">
        <f t="shared" si="3"/>
        <v>5.2763466985880809E-4</v>
      </c>
      <c r="AG4" s="71">
        <f t="shared" si="3"/>
        <v>5.2763466985880809E-4</v>
      </c>
      <c r="AH4" s="71">
        <f t="shared" si="3"/>
        <v>5.2763466985880809E-4</v>
      </c>
      <c r="AI4" s="71">
        <f t="shared" si="3"/>
        <v>5.2763466985880809E-4</v>
      </c>
      <c r="AJ4" s="71">
        <f t="shared" si="3"/>
        <v>5.2763466985880809E-4</v>
      </c>
      <c r="AK4" s="71">
        <f t="shared" si="3"/>
        <v>5.2763466985880809E-4</v>
      </c>
      <c r="AL4" s="71">
        <f t="shared" si="3"/>
        <v>5.2763466985880809E-4</v>
      </c>
      <c r="AM4" s="119">
        <v>5.9964549210922316E-4</v>
      </c>
      <c r="AN4" s="71">
        <f t="shared" si="3"/>
        <v>5.9964549210922316E-4</v>
      </c>
      <c r="AO4" s="71">
        <f t="shared" si="3"/>
        <v>5.9964549210922316E-4</v>
      </c>
      <c r="AP4" s="71">
        <f t="shared" si="3"/>
        <v>5.9964549210922316E-4</v>
      </c>
      <c r="AQ4" s="71">
        <f t="shared" si="3"/>
        <v>5.9964549210922316E-4</v>
      </c>
      <c r="AR4" s="71">
        <f t="shared" si="3"/>
        <v>5.9964549210922316E-4</v>
      </c>
      <c r="AS4" s="71">
        <f t="shared" si="3"/>
        <v>5.9964549210922316E-4</v>
      </c>
      <c r="AT4" s="71">
        <f t="shared" si="3"/>
        <v>5.9964549210922316E-4</v>
      </c>
      <c r="AU4" s="71">
        <f t="shared" si="3"/>
        <v>5.9964549210922316E-4</v>
      </c>
      <c r="AV4" s="71">
        <f t="shared" si="3"/>
        <v>5.9964549210922316E-4</v>
      </c>
      <c r="AW4" s="71">
        <f t="shared" si="3"/>
        <v>5.9964549210922316E-4</v>
      </c>
      <c r="AX4" s="71">
        <f>IF(AX3="","",AW4)</f>
        <v>5.9964549210922316E-4</v>
      </c>
    </row>
    <row r="5" spans="1:50" x14ac:dyDescent="0.35">
      <c r="A5" s="309"/>
      <c r="B5" s="73" t="s">
        <v>71</v>
      </c>
      <c r="C5" s="120">
        <v>-9.6766427460826909E-5</v>
      </c>
      <c r="D5" s="90">
        <f t="shared" si="0"/>
        <v>-9.6766427460826909E-5</v>
      </c>
      <c r="E5" s="90">
        <f t="shared" si="0"/>
        <v>-9.6766427460826909E-5</v>
      </c>
      <c r="F5" s="90">
        <f t="shared" si="0"/>
        <v>-9.6766427460826909E-5</v>
      </c>
      <c r="G5" s="90">
        <f t="shared" si="0"/>
        <v>-9.6766427460826909E-5</v>
      </c>
      <c r="H5" s="90">
        <f t="shared" si="0"/>
        <v>-9.6766427460826909E-5</v>
      </c>
      <c r="I5" s="90">
        <f t="shared" si="1"/>
        <v>-9.6766427460826909E-5</v>
      </c>
      <c r="J5" s="90">
        <f t="shared" si="1"/>
        <v>-9.6766427460826909E-5</v>
      </c>
      <c r="K5" s="90">
        <f t="shared" si="1"/>
        <v>-9.6766427460826909E-5</v>
      </c>
      <c r="L5" s="90">
        <f t="shared" si="1"/>
        <v>-9.6766427460826909E-5</v>
      </c>
      <c r="M5" s="90">
        <f t="shared" si="1"/>
        <v>-9.6766427460826909E-5</v>
      </c>
      <c r="N5" s="90">
        <f t="shared" si="1"/>
        <v>-9.6766427460826909E-5</v>
      </c>
      <c r="O5" s="120">
        <v>2.418373850290787E-4</v>
      </c>
      <c r="P5" s="90">
        <f t="shared" si="1"/>
        <v>2.418373850290787E-4</v>
      </c>
      <c r="Q5" s="90">
        <f t="shared" si="1"/>
        <v>2.418373850290787E-4</v>
      </c>
      <c r="R5" s="90">
        <f t="shared" si="1"/>
        <v>2.418373850290787E-4</v>
      </c>
      <c r="S5" s="90">
        <f t="shared" si="1"/>
        <v>2.418373850290787E-4</v>
      </c>
      <c r="T5" s="90">
        <f t="shared" si="1"/>
        <v>2.418373850290787E-4</v>
      </c>
      <c r="U5" s="90">
        <f t="shared" si="1"/>
        <v>2.418373850290787E-4</v>
      </c>
      <c r="V5" s="90">
        <f t="shared" si="1"/>
        <v>2.418373850290787E-4</v>
      </c>
      <c r="W5" s="90">
        <f t="shared" si="1"/>
        <v>2.418373850290787E-4</v>
      </c>
      <c r="X5" s="90">
        <f t="shared" si="1"/>
        <v>2.418373850290787E-4</v>
      </c>
      <c r="Y5" s="90">
        <f t="shared" si="1"/>
        <v>2.418373850290787E-4</v>
      </c>
      <c r="Z5" s="90">
        <f t="shared" si="1"/>
        <v>2.418373850290787E-4</v>
      </c>
      <c r="AA5" s="120">
        <v>1.0457350290741632E-4</v>
      </c>
      <c r="AB5" s="90">
        <f t="shared" si="3"/>
        <v>1.0457350290741632E-4</v>
      </c>
      <c r="AC5" s="90">
        <f t="shared" si="3"/>
        <v>1.0457350290741632E-4</v>
      </c>
      <c r="AD5" s="90">
        <f t="shared" si="3"/>
        <v>1.0457350290741632E-4</v>
      </c>
      <c r="AE5" s="90">
        <f t="shared" si="3"/>
        <v>1.0457350290741632E-4</v>
      </c>
      <c r="AF5" s="90">
        <f t="shared" si="3"/>
        <v>1.0457350290741632E-4</v>
      </c>
      <c r="AG5" s="90">
        <f t="shared" si="3"/>
        <v>1.0457350290741632E-4</v>
      </c>
      <c r="AH5" s="90">
        <f t="shared" si="3"/>
        <v>1.0457350290741632E-4</v>
      </c>
      <c r="AI5" s="90">
        <f t="shared" si="3"/>
        <v>1.0457350290741632E-4</v>
      </c>
      <c r="AJ5" s="90">
        <f t="shared" si="3"/>
        <v>1.0457350290741632E-4</v>
      </c>
      <c r="AK5" s="90">
        <f t="shared" si="3"/>
        <v>1.0457350290741632E-4</v>
      </c>
      <c r="AL5" s="90">
        <f t="shared" si="3"/>
        <v>1.0457350290741632E-4</v>
      </c>
      <c r="AM5" s="120">
        <v>2.7760427847349077E-4</v>
      </c>
      <c r="AN5" s="90">
        <f t="shared" si="3"/>
        <v>2.7760427847349077E-4</v>
      </c>
      <c r="AO5" s="90">
        <f t="shared" si="3"/>
        <v>2.7760427847349077E-4</v>
      </c>
      <c r="AP5" s="90">
        <f t="shared" si="3"/>
        <v>2.7760427847349077E-4</v>
      </c>
      <c r="AQ5" s="90">
        <f t="shared" si="3"/>
        <v>2.7760427847349077E-4</v>
      </c>
      <c r="AR5" s="90">
        <f t="shared" si="3"/>
        <v>2.7760427847349077E-4</v>
      </c>
      <c r="AS5" s="90">
        <f t="shared" si="3"/>
        <v>2.7760427847349077E-4</v>
      </c>
      <c r="AT5" s="90">
        <f t="shared" si="3"/>
        <v>2.7760427847349077E-4</v>
      </c>
      <c r="AU5" s="90">
        <f t="shared" si="3"/>
        <v>2.7760427847349077E-4</v>
      </c>
      <c r="AV5" s="90">
        <f t="shared" si="3"/>
        <v>2.7760427847349077E-4</v>
      </c>
      <c r="AW5" s="90">
        <f t="shared" si="3"/>
        <v>2.7760427847349077E-4</v>
      </c>
      <c r="AX5" s="90">
        <f>IF(AX4="","",AW5)</f>
        <v>2.7760427847349077E-4</v>
      </c>
    </row>
    <row r="6" spans="1:50" x14ac:dyDescent="0.35">
      <c r="A6" s="309"/>
      <c r="B6" s="73" t="s">
        <v>63</v>
      </c>
      <c r="C6" s="62">
        <f t="shared" ref="C6:D6" si="4">IF(C3="","",SUM(C4:C5))</f>
        <v>3.8923322054108865E-4</v>
      </c>
      <c r="D6" s="62">
        <f t="shared" si="4"/>
        <v>3.8923322054108865E-4</v>
      </c>
      <c r="E6" s="62">
        <f t="shared" ref="E6:F6" si="5">IF(E3="","",SUM(E4:E5))</f>
        <v>3.8923322054108865E-4</v>
      </c>
      <c r="F6" s="62">
        <f t="shared" si="5"/>
        <v>3.8923322054108865E-4</v>
      </c>
      <c r="G6" s="62">
        <f t="shared" ref="G6:H6" si="6">IF(G3="","",SUM(G4:G5))</f>
        <v>3.8923322054108865E-4</v>
      </c>
      <c r="H6" s="62">
        <f t="shared" si="6"/>
        <v>3.8923322054108865E-4</v>
      </c>
      <c r="I6" s="62">
        <f t="shared" ref="I6" si="7">IF(I3="","",SUM(I4:I5))</f>
        <v>3.8923322054108865E-4</v>
      </c>
      <c r="J6" s="62">
        <f t="shared" ref="J6:P6" si="8">IF(J3="","",SUM(J4:J5))</f>
        <v>3.8923322054108865E-4</v>
      </c>
      <c r="K6" s="62">
        <f t="shared" si="8"/>
        <v>3.8923322054108865E-4</v>
      </c>
      <c r="L6" s="62">
        <f t="shared" si="8"/>
        <v>3.8923322054108865E-4</v>
      </c>
      <c r="M6" s="62">
        <f t="shared" si="8"/>
        <v>3.8923322054108865E-4</v>
      </c>
      <c r="N6" s="62">
        <f t="shared" si="8"/>
        <v>3.8923322054108865E-4</v>
      </c>
      <c r="O6" s="62">
        <f t="shared" si="8"/>
        <v>1.5282372687961455E-3</v>
      </c>
      <c r="P6" s="62">
        <f t="shared" si="8"/>
        <v>1.5282372687961455E-3</v>
      </c>
      <c r="Q6" s="62">
        <f t="shared" ref="Q6:R6" si="9">IF(Q3="","",SUM(Q4:Q5))</f>
        <v>1.5282372687961455E-3</v>
      </c>
      <c r="R6" s="62">
        <f t="shared" si="9"/>
        <v>1.5282372687961455E-3</v>
      </c>
      <c r="S6" s="62">
        <f t="shared" ref="S6:T6" si="10">IF(S3="","",SUM(S4:S5))</f>
        <v>1.5282372687961455E-3</v>
      </c>
      <c r="T6" s="62">
        <f t="shared" si="10"/>
        <v>1.5282372687961455E-3</v>
      </c>
      <c r="U6" s="62">
        <f t="shared" ref="U6:V6" si="11">IF(U3="","",SUM(U4:U5))</f>
        <v>1.5282372687961455E-3</v>
      </c>
      <c r="V6" s="62">
        <f t="shared" si="11"/>
        <v>1.5282372687961455E-3</v>
      </c>
      <c r="W6" s="62">
        <f t="shared" ref="W6:AB6" si="12">IF(W3="","",SUM(W4:W5))</f>
        <v>1.5282372687961455E-3</v>
      </c>
      <c r="X6" s="62">
        <f t="shared" si="12"/>
        <v>1.5282372687961455E-3</v>
      </c>
      <c r="Y6" s="62">
        <f t="shared" si="12"/>
        <v>1.5282372687961455E-3</v>
      </c>
      <c r="Z6" s="62">
        <f t="shared" si="12"/>
        <v>1.5282372687961455E-3</v>
      </c>
      <c r="AA6" s="62">
        <f t="shared" si="12"/>
        <v>6.3220817276622438E-4</v>
      </c>
      <c r="AB6" s="62">
        <f t="shared" si="12"/>
        <v>6.3220817276622438E-4</v>
      </c>
      <c r="AC6" s="62">
        <f t="shared" ref="AC6:AD6" si="13">IF(AC3="","",SUM(AC4:AC5))</f>
        <v>6.3220817276622438E-4</v>
      </c>
      <c r="AD6" s="62">
        <f t="shared" si="13"/>
        <v>6.3220817276622438E-4</v>
      </c>
      <c r="AE6" s="62">
        <f t="shared" ref="AE6:AF6" si="14">IF(AE3="","",SUM(AE4:AE5))</f>
        <v>6.3220817276622438E-4</v>
      </c>
      <c r="AF6" s="62">
        <f t="shared" si="14"/>
        <v>6.3220817276622438E-4</v>
      </c>
      <c r="AG6" s="62">
        <f t="shared" ref="AG6:AH6" si="15">IF(AG3="","",SUM(AG4:AG5))</f>
        <v>6.3220817276622438E-4</v>
      </c>
      <c r="AH6" s="62">
        <f t="shared" si="15"/>
        <v>6.3220817276622438E-4</v>
      </c>
      <c r="AI6" s="62">
        <f t="shared" ref="AI6:AJ6" si="16">IF(AI3="","",SUM(AI4:AI5))</f>
        <v>6.3220817276622438E-4</v>
      </c>
      <c r="AJ6" s="62">
        <f t="shared" si="16"/>
        <v>6.3220817276622438E-4</v>
      </c>
      <c r="AK6" s="62">
        <f t="shared" ref="AK6:AL6" si="17">IF(AK3="","",SUM(AK4:AK5))</f>
        <v>6.3220817276622438E-4</v>
      </c>
      <c r="AL6" s="62">
        <f t="shared" si="17"/>
        <v>6.3220817276622438E-4</v>
      </c>
      <c r="AM6" s="62">
        <f t="shared" ref="AM6:AN6" si="18">IF(AM3="","",SUM(AM4:AM5))</f>
        <v>8.7724977058271393E-4</v>
      </c>
      <c r="AN6" s="62">
        <f t="shared" si="18"/>
        <v>8.7724977058271393E-4</v>
      </c>
      <c r="AO6" s="62">
        <f t="shared" ref="AO6:AP6" si="19">IF(AO3="","",SUM(AO4:AO5))</f>
        <v>8.7724977058271393E-4</v>
      </c>
      <c r="AP6" s="62">
        <f t="shared" si="19"/>
        <v>8.7724977058271393E-4</v>
      </c>
      <c r="AQ6" s="62">
        <f t="shared" ref="AQ6:AR6" si="20">IF(AQ3="","",SUM(AQ4:AQ5))</f>
        <v>8.7724977058271393E-4</v>
      </c>
      <c r="AR6" s="62">
        <f t="shared" si="20"/>
        <v>8.7724977058271393E-4</v>
      </c>
      <c r="AS6" s="62">
        <f t="shared" ref="AS6:AT6" si="21">IF(AS3="","",SUM(AS4:AS5))</f>
        <v>8.7724977058271393E-4</v>
      </c>
      <c r="AT6" s="62">
        <f t="shared" si="21"/>
        <v>8.7724977058271393E-4</v>
      </c>
      <c r="AU6" s="62">
        <f t="shared" ref="AU6:AV6" si="22">IF(AU3="","",SUM(AU4:AU5))</f>
        <v>8.7724977058271393E-4</v>
      </c>
      <c r="AV6" s="62">
        <f t="shared" si="22"/>
        <v>8.7724977058271393E-4</v>
      </c>
      <c r="AW6" s="62">
        <f t="shared" ref="AW6" si="23">IF(AW3="","",SUM(AW4:AW5))</f>
        <v>8.7724977058271393E-4</v>
      </c>
      <c r="AX6" s="62">
        <f>IF(AX3="","",SUM(AX4:AX5))</f>
        <v>8.7724977058271393E-4</v>
      </c>
    </row>
    <row r="7" spans="1:50" x14ac:dyDescent="0.35">
      <c r="A7" s="309"/>
      <c r="B7" s="73" t="s">
        <v>56</v>
      </c>
      <c r="C7" s="66">
        <f t="shared" ref="C7:D7" si="24">IF(C3="","",IFERROR(C5/C6,""))</f>
        <v>-0.24860783292419911</v>
      </c>
      <c r="D7" s="66">
        <f t="shared" si="24"/>
        <v>-0.24860783292419911</v>
      </c>
      <c r="E7" s="66">
        <f t="shared" ref="E7:F7" si="25">IF(E3="","",IFERROR(E5/E6,""))</f>
        <v>-0.24860783292419911</v>
      </c>
      <c r="F7" s="66">
        <f t="shared" si="25"/>
        <v>-0.24860783292419911</v>
      </c>
      <c r="G7" s="66">
        <f t="shared" ref="G7:H7" si="26">IF(G3="","",IFERROR(G5/G6,""))</f>
        <v>-0.24860783292419911</v>
      </c>
      <c r="H7" s="66">
        <f t="shared" si="26"/>
        <v>-0.24860783292419911</v>
      </c>
      <c r="I7" s="66">
        <f t="shared" ref="I7" si="27">IF(I3="","",IFERROR(I5/I6,""))</f>
        <v>-0.24860783292419911</v>
      </c>
      <c r="J7" s="66">
        <f t="shared" ref="J7:P7" si="28">IF(J3="","",IFERROR(J5/J6,""))</f>
        <v>-0.24860783292419911</v>
      </c>
      <c r="K7" s="66">
        <f t="shared" si="28"/>
        <v>-0.24860783292419911</v>
      </c>
      <c r="L7" s="66">
        <f t="shared" si="28"/>
        <v>-0.24860783292419911</v>
      </c>
      <c r="M7" s="66">
        <f t="shared" si="28"/>
        <v>-0.24860783292419911</v>
      </c>
      <c r="N7" s="66">
        <f t="shared" si="28"/>
        <v>-0.24860783292419911</v>
      </c>
      <c r="O7" s="66">
        <f t="shared" si="28"/>
        <v>0.15824596740765512</v>
      </c>
      <c r="P7" s="66">
        <f t="shared" si="28"/>
        <v>0.15824596740765512</v>
      </c>
      <c r="Q7" s="66">
        <f t="shared" ref="Q7:R7" si="29">IF(Q3="","",IFERROR(Q5/Q6,""))</f>
        <v>0.15824596740765512</v>
      </c>
      <c r="R7" s="66">
        <f t="shared" si="29"/>
        <v>0.15824596740765512</v>
      </c>
      <c r="S7" s="66">
        <f t="shared" ref="S7:T7" si="30">IF(S3="","",IFERROR(S5/S6,""))</f>
        <v>0.15824596740765512</v>
      </c>
      <c r="T7" s="66">
        <f t="shared" si="30"/>
        <v>0.15824596740765512</v>
      </c>
      <c r="U7" s="66">
        <f t="shared" ref="U7:V7" si="31">IF(U3="","",IFERROR(U5/U6,""))</f>
        <v>0.15824596740765512</v>
      </c>
      <c r="V7" s="66">
        <f t="shared" si="31"/>
        <v>0.15824596740765512</v>
      </c>
      <c r="W7" s="66">
        <f t="shared" ref="W7:X7" si="32">IF(W3="","",IFERROR(W5/W6,""))</f>
        <v>0.15824596740765512</v>
      </c>
      <c r="X7" s="66">
        <f t="shared" si="32"/>
        <v>0.15824596740765512</v>
      </c>
      <c r="Y7" s="66">
        <f t="shared" ref="Y7:Z7" si="33">IF(Y3="","",IFERROR(Y5/Y6,""))</f>
        <v>0.15824596740765512</v>
      </c>
      <c r="Z7" s="66">
        <f t="shared" si="33"/>
        <v>0.15824596740765512</v>
      </c>
      <c r="AA7" s="66">
        <f t="shared" ref="AA7:AB7" si="34">IF(AA3="","",IFERROR(AA5/AA6,""))</f>
        <v>0.16540991940970229</v>
      </c>
      <c r="AB7" s="66">
        <f t="shared" si="34"/>
        <v>0.16540991940970229</v>
      </c>
      <c r="AC7" s="66">
        <f t="shared" ref="AC7:AD7" si="35">IF(AC3="","",IFERROR(AC5/AC6,""))</f>
        <v>0.16540991940970229</v>
      </c>
      <c r="AD7" s="66">
        <f t="shared" si="35"/>
        <v>0.16540991940970229</v>
      </c>
      <c r="AE7" s="66">
        <f t="shared" ref="AE7:AF7" si="36">IF(AE3="","",IFERROR(AE5/AE6,""))</f>
        <v>0.16540991940970229</v>
      </c>
      <c r="AF7" s="66">
        <f t="shared" si="36"/>
        <v>0.16540991940970229</v>
      </c>
      <c r="AG7" s="66">
        <f t="shared" ref="AG7:AH7" si="37">IF(AG3="","",IFERROR(AG5/AG6,""))</f>
        <v>0.16540991940970229</v>
      </c>
      <c r="AH7" s="66">
        <f t="shared" si="37"/>
        <v>0.16540991940970229</v>
      </c>
      <c r="AI7" s="66">
        <f t="shared" ref="AI7:AJ7" si="38">IF(AI3="","",IFERROR(AI5/AI6,""))</f>
        <v>0.16540991940970229</v>
      </c>
      <c r="AJ7" s="66">
        <f t="shared" si="38"/>
        <v>0.16540991940970229</v>
      </c>
      <c r="AK7" s="66">
        <f t="shared" ref="AK7:AL7" si="39">IF(AK3="","",IFERROR(AK5/AK6,""))</f>
        <v>0.16540991940970229</v>
      </c>
      <c r="AL7" s="66">
        <f t="shared" si="39"/>
        <v>0.16540991940970229</v>
      </c>
      <c r="AM7" s="66">
        <f t="shared" ref="AM7:AN7" si="40">IF(AM3="","",IFERROR(AM5/AM6,""))</f>
        <v>0.31644839107691292</v>
      </c>
      <c r="AN7" s="66">
        <f t="shared" si="40"/>
        <v>0.31644839107691292</v>
      </c>
      <c r="AO7" s="66">
        <f t="shared" ref="AO7:AP7" si="41">IF(AO3="","",IFERROR(AO5/AO6,""))</f>
        <v>0.31644839107691292</v>
      </c>
      <c r="AP7" s="66">
        <f t="shared" si="41"/>
        <v>0.31644839107691292</v>
      </c>
      <c r="AQ7" s="66">
        <f t="shared" ref="AQ7:AR7" si="42">IF(AQ3="","",IFERROR(AQ5/AQ6,""))</f>
        <v>0.31644839107691292</v>
      </c>
      <c r="AR7" s="66">
        <f t="shared" si="42"/>
        <v>0.31644839107691292</v>
      </c>
      <c r="AS7" s="66">
        <f t="shared" ref="AS7:AT7" si="43">IF(AS3="","",IFERROR(AS5/AS6,""))</f>
        <v>0.31644839107691292</v>
      </c>
      <c r="AT7" s="66">
        <f t="shared" si="43"/>
        <v>0.31644839107691292</v>
      </c>
      <c r="AU7" s="66">
        <f t="shared" ref="AU7:AV7" si="44">IF(AU3="","",IFERROR(AU5/AU6,""))</f>
        <v>0.31644839107691292</v>
      </c>
      <c r="AV7" s="66">
        <f t="shared" si="44"/>
        <v>0.31644839107691292</v>
      </c>
      <c r="AW7" s="66">
        <f t="shared" ref="AW7" si="45">IF(AW3="","",IFERROR(AW5/AW6,""))</f>
        <v>0.31644839107691292</v>
      </c>
      <c r="AX7" s="66">
        <f>IF(AX3="","",IFERROR(AX5/AX6,""))</f>
        <v>0.31644839107691292</v>
      </c>
    </row>
    <row r="8" spans="1:50" x14ac:dyDescent="0.35">
      <c r="A8" s="309"/>
      <c r="B8" s="74" t="s">
        <v>57</v>
      </c>
      <c r="C8" s="64">
        <f t="shared" ref="C8:D8" si="46">IF(C3="","",ROUND(C7*C3,2))</f>
        <v>-115732.97</v>
      </c>
      <c r="D8" s="64">
        <f t="shared" si="46"/>
        <v>-104574.51</v>
      </c>
      <c r="E8" s="64">
        <f t="shared" ref="E8:F8" si="47">IF(E3="","",ROUND(E7*E3,2))</f>
        <v>-82818.98</v>
      </c>
      <c r="F8" s="64">
        <f t="shared" si="47"/>
        <v>-74005.649999999994</v>
      </c>
      <c r="G8" s="64">
        <f t="shared" ref="G8:H8" si="48">IF(G3="","",ROUND(G7*G3,2))</f>
        <v>-97941.18</v>
      </c>
      <c r="H8" s="64">
        <f t="shared" si="48"/>
        <v>-131594.67000000001</v>
      </c>
      <c r="I8" s="64">
        <f t="shared" ref="I8" si="49">IF(I3="","",ROUND(I7*I3,2))</f>
        <v>-123527.13</v>
      </c>
      <c r="J8" s="64">
        <f t="shared" ref="J8:P8" si="50">IF(J3="","",ROUND(J7*J3,2))</f>
        <v>-111322.95</v>
      </c>
      <c r="K8" s="64">
        <f t="shared" si="50"/>
        <v>-75219.710000000006</v>
      </c>
      <c r="L8" s="64">
        <f t="shared" si="50"/>
        <v>-80241.5</v>
      </c>
      <c r="M8" s="64">
        <f t="shared" si="50"/>
        <v>-106401.64</v>
      </c>
      <c r="N8" s="64">
        <f t="shared" si="50"/>
        <v>-138469.78</v>
      </c>
      <c r="O8" s="64">
        <f t="shared" si="50"/>
        <v>214209.84</v>
      </c>
      <c r="P8" s="64">
        <f t="shared" si="50"/>
        <v>278064.93</v>
      </c>
      <c r="Q8" s="64">
        <f t="shared" ref="Q8:R8" si="51">IF(Q3="","",ROUND(Q7*Q3,2))</f>
        <v>187629.17</v>
      </c>
      <c r="R8" s="64">
        <f t="shared" si="51"/>
        <v>176283.71</v>
      </c>
      <c r="S8" s="64">
        <f t="shared" ref="S8:T8" si="52">IF(S3="","",ROUND(S7*S3,2))</f>
        <v>231223.27</v>
      </c>
      <c r="T8" s="64">
        <f t="shared" si="52"/>
        <v>305423.73</v>
      </c>
      <c r="U8" s="64">
        <f t="shared" ref="U8:V8" si="53">IF(U3="","",ROUND(U7*U3,2))</f>
        <v>311615.01</v>
      </c>
      <c r="V8" s="64">
        <f t="shared" si="53"/>
        <v>306092.45</v>
      </c>
      <c r="W8" s="64">
        <f t="shared" ref="W8:AB8" si="54">IF(W3="","",ROUND(W7*W3,2))</f>
        <v>211968.1</v>
      </c>
      <c r="X8" s="64">
        <f t="shared" si="54"/>
        <v>198628.63</v>
      </c>
      <c r="Y8" s="64">
        <f t="shared" si="54"/>
        <v>248528.93</v>
      </c>
      <c r="Z8" s="64">
        <f t="shared" si="54"/>
        <v>321239.03999999998</v>
      </c>
      <c r="AA8" s="64">
        <f t="shared" si="54"/>
        <v>270175.45</v>
      </c>
      <c r="AB8" s="64">
        <f t="shared" si="54"/>
        <v>118232.21</v>
      </c>
      <c r="AC8" s="64">
        <f t="shared" ref="AC8:AD8" si="55">IF(AC3="","",ROUND(AC7*AC3,2))</f>
        <v>90604.87</v>
      </c>
      <c r="AD8" s="64">
        <f t="shared" si="55"/>
        <v>84722.21</v>
      </c>
      <c r="AE8" s="64">
        <f t="shared" ref="AE8:AF8" si="56">IF(AE3="","",ROUND(AE7*AE3,2))</f>
        <v>107685.96</v>
      </c>
      <c r="AF8" s="64">
        <f t="shared" si="56"/>
        <v>148122.69</v>
      </c>
      <c r="AG8" s="64">
        <f t="shared" ref="AG8:AL8" si="57">IF(AG3="","",ROUND(AG7*AG3,2))</f>
        <v>141095.97</v>
      </c>
      <c r="AH8" s="64">
        <f t="shared" si="57"/>
        <v>117508.65</v>
      </c>
      <c r="AI8" s="64">
        <f t="shared" si="57"/>
        <v>84587.71</v>
      </c>
      <c r="AJ8" s="64">
        <f t="shared" si="57"/>
        <v>80065.600000000006</v>
      </c>
      <c r="AK8" s="64">
        <f t="shared" si="57"/>
        <v>122414.96</v>
      </c>
      <c r="AL8" s="64">
        <f t="shared" si="57"/>
        <v>146964.76</v>
      </c>
      <c r="AM8" s="64">
        <f t="shared" ref="AM8:AN8" si="58">IF(AM3="","",ROUND(AM7*AM3,2))</f>
        <v>277535.48</v>
      </c>
      <c r="AN8" s="64">
        <f t="shared" si="58"/>
        <v>274328.76</v>
      </c>
      <c r="AO8" s="64">
        <f t="shared" ref="AO8:AP8" si="59">IF(AO3="","",ROUND(AO7*AO3,2))</f>
        <v>236568.66</v>
      </c>
      <c r="AP8" s="64">
        <f t="shared" si="59"/>
        <v>202231.43</v>
      </c>
      <c r="AQ8" s="64">
        <f t="shared" ref="AQ8:AR8" si="60">IF(AQ3="","",ROUND(AQ7*AQ3,2))</f>
        <v>261560.47</v>
      </c>
      <c r="AR8" s="64">
        <f t="shared" si="60"/>
        <v>342264.98</v>
      </c>
      <c r="AS8" s="64">
        <f t="shared" ref="AS8:AT8" si="61">IF(AS3="","",ROUND(AS7*AS3,2))</f>
        <v>352779.45</v>
      </c>
      <c r="AT8" s="64">
        <f t="shared" si="61"/>
        <v>326302.92</v>
      </c>
      <c r="AU8" s="64">
        <f t="shared" ref="AU8:AV8" si="62">IF(AU3="","",ROUND(AU7*AU3,2))</f>
        <v>236589.06</v>
      </c>
      <c r="AV8" s="64">
        <f t="shared" si="62"/>
        <v>218971.3</v>
      </c>
      <c r="AW8" s="64">
        <f t="shared" ref="AW8" si="63">IF(AW3="","",ROUND(AW7*AW3,2))</f>
        <v>300034.03999999998</v>
      </c>
      <c r="AX8" s="64">
        <f>IF(AX3="","",ROUND(AX7*AX3,2))</f>
        <v>393693.47</v>
      </c>
    </row>
    <row r="9" spans="1:50" x14ac:dyDescent="0.35">
      <c r="A9" s="77"/>
      <c r="B9" s="7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row>
    <row r="10" spans="1:50" x14ac:dyDescent="0.35">
      <c r="A10" s="309" t="s">
        <v>34</v>
      </c>
      <c r="B10" s="73" t="s">
        <v>53</v>
      </c>
      <c r="C10" s="63">
        <f>IF(+'M3 Allocations - TD'!O52="","",'M3 Allocations - TD'!O52)</f>
        <v>74514.039999999994</v>
      </c>
      <c r="D10" s="63">
        <f>IF(+'M3 Allocations - TD'!P52="","",'M3 Allocations - TD'!P52)</f>
        <v>73821.710000000006</v>
      </c>
      <c r="E10" s="63">
        <f>IF(+'M3 Allocations - TD'!Q52="","",'M3 Allocations - TD'!Q52)</f>
        <v>56719.11</v>
      </c>
      <c r="F10" s="63">
        <f>IF(+'M3 Allocations - TD'!R52="","",'M3 Allocations - TD'!R52)</f>
        <v>51424.73</v>
      </c>
      <c r="G10" s="63">
        <f>IF(+'M3 Allocations - TD'!S52="","",'M3 Allocations - TD'!S52)</f>
        <v>64574.18</v>
      </c>
      <c r="H10" s="63">
        <f>IF(+'M3 Allocations - TD'!T52="","",'M3 Allocations - TD'!T52)</f>
        <v>80406.710000000006</v>
      </c>
      <c r="I10" s="63">
        <f>IF(+'M3 Allocations - TD'!U52="","",'M3 Allocations - TD'!U52)</f>
        <v>78372.460000000006</v>
      </c>
      <c r="J10" s="63">
        <f>IF(+'M3 Allocations - TD'!V52="","",'M3 Allocations - TD'!V52)</f>
        <v>75020.86</v>
      </c>
      <c r="K10" s="63">
        <f>IF(+'M3 Allocations - TD'!W52="","",'M3 Allocations - TD'!W52)</f>
        <v>60809.53</v>
      </c>
      <c r="L10" s="63">
        <f>IF(+'M3 Allocations - TD'!X52="","",'M3 Allocations - TD'!X52)</f>
        <v>60774.8</v>
      </c>
      <c r="M10" s="63">
        <f>IF(+'M3 Allocations - TD'!Y52="","",'M3 Allocations - TD'!Y52)</f>
        <v>70212.570000000007</v>
      </c>
      <c r="N10" s="63">
        <f>IF(+'M3 Allocations - TD'!Z52="","",'M3 Allocations - TD'!Z52)</f>
        <v>83755.55</v>
      </c>
      <c r="O10" s="63">
        <f>IF(+'M3 Allocations - TD'!AA52="","",'M3 Allocations - TD'!AA52)</f>
        <v>247981.23</v>
      </c>
      <c r="P10" s="63">
        <f>IF(+'M3 Allocations - TD'!AB52="","",'M3 Allocations - TD'!AB52)</f>
        <v>383476.26</v>
      </c>
      <c r="Q10" s="63">
        <f>IF(+'M3 Allocations - TD'!AC52="","",'M3 Allocations - TD'!AC52)</f>
        <v>305019.12</v>
      </c>
      <c r="R10" s="63">
        <f>IF(+'M3 Allocations - TD'!AD52="","",'M3 Allocations - TD'!AD52)</f>
        <v>298211.62</v>
      </c>
      <c r="S10" s="63">
        <f>IF(+'M3 Allocations - TD'!AE52="","",'M3 Allocations - TD'!AE52)</f>
        <v>355738.71</v>
      </c>
      <c r="T10" s="63">
        <f>IF(+'M3 Allocations - TD'!AF52="","",'M3 Allocations - TD'!AF52)</f>
        <v>421100.95</v>
      </c>
      <c r="U10" s="63">
        <f>IF(+'M3 Allocations - TD'!AG52="","",'M3 Allocations - TD'!AG52)</f>
        <v>421260.25</v>
      </c>
      <c r="V10" s="63">
        <f>IF(+'M3 Allocations - TD'!AH52="","",'M3 Allocations - TD'!AH52)</f>
        <v>425647.35</v>
      </c>
      <c r="W10" s="63">
        <f>IF(+'M3 Allocations - TD'!AI52="","",'M3 Allocations - TD'!AI52)</f>
        <v>355043.17</v>
      </c>
      <c r="X10" s="63">
        <f>IF(+'M3 Allocations - TD'!AJ52="","",'M3 Allocations - TD'!AJ52)</f>
        <v>317440.44</v>
      </c>
      <c r="Y10" s="63">
        <f>IF(+'M3 Allocations - TD'!AK52="","",'M3 Allocations - TD'!AK52)</f>
        <v>361675.89</v>
      </c>
      <c r="Z10" s="63">
        <f>IF(+'M3 Allocations - TD'!AL52="","",'M3 Allocations - TD'!AL52)</f>
        <v>427108.58</v>
      </c>
      <c r="AA10" s="63">
        <f>IF(+'M3 Allocations - TD'!AM52="","",'M3 Allocations - TD'!AM52)</f>
        <v>352548.03</v>
      </c>
      <c r="AB10" s="63">
        <f>IF(+'M3 Allocations - TD'!AN52="","",'M3 Allocations - TD'!AN52)</f>
        <v>202576.3</v>
      </c>
      <c r="AC10" s="63">
        <f>IF(+'M3 Allocations - TD'!AO52="","",'M3 Allocations - TD'!AO52)</f>
        <v>179190.8</v>
      </c>
      <c r="AD10" s="63">
        <f>IF(+'M3 Allocations - TD'!AP52="","",'M3 Allocations - TD'!AP52)</f>
        <v>173555.15</v>
      </c>
      <c r="AE10" s="63">
        <f>IF(+'M3 Allocations - TD'!AQ52="","",'M3 Allocations - TD'!AQ52)</f>
        <v>201857.14</v>
      </c>
      <c r="AF10" s="63">
        <f>IF(+'M3 Allocations - TD'!AR52="","",'M3 Allocations - TD'!AR52)</f>
        <v>241561.15</v>
      </c>
      <c r="AG10" s="63">
        <f>IF(+'M3 Allocations - TD'!AS52="","",'M3 Allocations - TD'!AS52)</f>
        <v>236616.94</v>
      </c>
      <c r="AH10" s="63">
        <f>IF(+'M3 Allocations - TD'!AT52="","",'M3 Allocations - TD'!AT52)</f>
        <v>216950.84</v>
      </c>
      <c r="AI10" s="63">
        <f>IF(+'M3 Allocations - TD'!AU52="","",'M3 Allocations - TD'!AU52)</f>
        <v>178443.25</v>
      </c>
      <c r="AJ10" s="63">
        <f>IF(+'M3 Allocations - TD'!AV52="","",'M3 Allocations - TD'!AV52)</f>
        <v>170114.82</v>
      </c>
      <c r="AK10" s="63">
        <f>IF(+'M3 Allocations - TD'!AW52="","",'M3 Allocations - TD'!AW52)</f>
        <v>212488.19</v>
      </c>
      <c r="AL10" s="63">
        <f>IF(+'M3 Allocations - TD'!AX52="","",'M3 Allocations - TD'!AX52)</f>
        <v>243116.99</v>
      </c>
      <c r="AM10" s="63">
        <f>IF(+'M3 Allocations - TD'!AY52="","",'M3 Allocations - TD'!AY52)</f>
        <v>187551.07</v>
      </c>
      <c r="AN10" s="63">
        <f>IF(+'M3 Allocations - TD'!AZ52="","",'M3 Allocations - TD'!AZ52)</f>
        <v>136792.68</v>
      </c>
      <c r="AO10" s="63">
        <f>IF(+'M3 Allocations - TD'!BA52="","",'M3 Allocations - TD'!BA52)</f>
        <v>125661.64</v>
      </c>
      <c r="AP10" s="63">
        <f>IF(+'M3 Allocations - TD'!BB52="","",'M3 Allocations - TD'!BB52)</f>
        <v>115949.34</v>
      </c>
      <c r="AQ10" s="63">
        <f>IF(+'M3 Allocations - TD'!BC52="","",'M3 Allocations - TD'!BC52)</f>
        <v>139369.25</v>
      </c>
      <c r="AR10" s="63">
        <f>IF(+'M3 Allocations - TD'!BD52="","",'M3 Allocations - TD'!BD52)</f>
        <v>161718.04</v>
      </c>
      <c r="AS10" s="63">
        <f>IF(+'M3 Allocations - TD'!BE52="","",'M3 Allocations - TD'!BE52)</f>
        <v>165200.46</v>
      </c>
      <c r="AT10" s="63">
        <f>IF(+'M3 Allocations - TD'!BF52="","",'M3 Allocations - TD'!BF52)</f>
        <v>159904.26</v>
      </c>
      <c r="AU10" s="63">
        <f>IF(+'M3 Allocations - TD'!BG52="","",'M3 Allocations - TD'!BG52)</f>
        <v>135422.35</v>
      </c>
      <c r="AV10" s="63">
        <f>IF(+'M3 Allocations - TD'!BH52="","",'M3 Allocations - TD'!BH52)</f>
        <v>124538.76154898416</v>
      </c>
      <c r="AW10" s="63">
        <f>IF(+'M3 Allocations - TD'!BI52="","",'M3 Allocations - TD'!BI52)</f>
        <v>146194.47881837838</v>
      </c>
      <c r="AX10" s="63">
        <f>IF(+'M3 Allocations - TD'!BJ52="","",'M3 Allocations - TD'!BJ52)</f>
        <v>170387.77433612366</v>
      </c>
    </row>
    <row r="11" spans="1:50" x14ac:dyDescent="0.35">
      <c r="A11" s="309"/>
      <c r="B11" s="73" t="s">
        <v>55</v>
      </c>
      <c r="C11" s="119">
        <v>3.4644873094528316E-4</v>
      </c>
      <c r="D11" s="90">
        <f t="shared" ref="D11:Y12" si="64">IF(D10="","",C11)</f>
        <v>3.4644873094528316E-4</v>
      </c>
      <c r="E11" s="90">
        <f t="shared" si="64"/>
        <v>3.4644873094528316E-4</v>
      </c>
      <c r="F11" s="90">
        <f t="shared" si="64"/>
        <v>3.4644873094528316E-4</v>
      </c>
      <c r="G11" s="90">
        <f t="shared" si="64"/>
        <v>3.4644873094528316E-4</v>
      </c>
      <c r="H11" s="90">
        <f t="shared" si="64"/>
        <v>3.4644873094528316E-4</v>
      </c>
      <c r="I11" s="90">
        <f t="shared" si="64"/>
        <v>3.4644873094528316E-4</v>
      </c>
      <c r="J11" s="90">
        <f t="shared" si="64"/>
        <v>3.4644873094528316E-4</v>
      </c>
      <c r="K11" s="90">
        <f t="shared" si="64"/>
        <v>3.4644873094528316E-4</v>
      </c>
      <c r="L11" s="90">
        <f t="shared" si="64"/>
        <v>3.4644873094528316E-4</v>
      </c>
      <c r="M11" s="90">
        <f t="shared" si="64"/>
        <v>3.4644873094528316E-4</v>
      </c>
      <c r="N11" s="90">
        <f t="shared" si="64"/>
        <v>3.4644873094528316E-4</v>
      </c>
      <c r="O11" s="120">
        <v>1.2887847704183462E-3</v>
      </c>
      <c r="P11" s="90">
        <f t="shared" si="64"/>
        <v>1.2887847704183462E-3</v>
      </c>
      <c r="Q11" s="90">
        <f t="shared" si="64"/>
        <v>1.2887847704183462E-3</v>
      </c>
      <c r="R11" s="90">
        <f t="shared" si="64"/>
        <v>1.2887847704183462E-3</v>
      </c>
      <c r="S11" s="90">
        <f t="shared" si="64"/>
        <v>1.2887847704183462E-3</v>
      </c>
      <c r="T11" s="90">
        <f t="shared" si="64"/>
        <v>1.2887847704183462E-3</v>
      </c>
      <c r="U11" s="90">
        <f t="shared" si="64"/>
        <v>1.2887847704183462E-3</v>
      </c>
      <c r="V11" s="90">
        <f t="shared" si="64"/>
        <v>1.2887847704183462E-3</v>
      </c>
      <c r="W11" s="90">
        <f t="shared" si="64"/>
        <v>1.2887847704183462E-3</v>
      </c>
      <c r="X11" s="90">
        <f t="shared" si="64"/>
        <v>1.2887847704183462E-3</v>
      </c>
      <c r="Y11" s="90">
        <f t="shared" si="64"/>
        <v>1.2887847704183462E-3</v>
      </c>
      <c r="Z11" s="90">
        <f>IF(Z10="","",Y11)</f>
        <v>1.2887847704183462E-3</v>
      </c>
      <c r="AA11" s="120">
        <v>9.0707916632213985E-4</v>
      </c>
      <c r="AB11" s="90">
        <f t="shared" ref="AB11:AX12" si="65">IF(AB10="","",AA11)</f>
        <v>9.0707916632213985E-4</v>
      </c>
      <c r="AC11" s="90">
        <f t="shared" si="65"/>
        <v>9.0707916632213985E-4</v>
      </c>
      <c r="AD11" s="90">
        <f t="shared" si="65"/>
        <v>9.0707916632213985E-4</v>
      </c>
      <c r="AE11" s="90">
        <f t="shared" si="65"/>
        <v>9.0707916632213985E-4</v>
      </c>
      <c r="AF11" s="90">
        <f t="shared" si="65"/>
        <v>9.0707916632213985E-4</v>
      </c>
      <c r="AG11" s="90">
        <f t="shared" si="65"/>
        <v>9.0707916632213985E-4</v>
      </c>
      <c r="AH11" s="90">
        <f t="shared" si="65"/>
        <v>9.0707916632213985E-4</v>
      </c>
      <c r="AI11" s="90">
        <f t="shared" si="65"/>
        <v>9.0707916632213985E-4</v>
      </c>
      <c r="AJ11" s="90">
        <f t="shared" si="65"/>
        <v>9.0707916632213985E-4</v>
      </c>
      <c r="AK11" s="90">
        <f t="shared" si="65"/>
        <v>9.0707916632213985E-4</v>
      </c>
      <c r="AL11" s="90">
        <f t="shared" si="65"/>
        <v>9.0707916632213985E-4</v>
      </c>
      <c r="AM11" s="120">
        <v>7.0644729845400415E-4</v>
      </c>
      <c r="AN11" s="90">
        <f t="shared" si="65"/>
        <v>7.0644729845400415E-4</v>
      </c>
      <c r="AO11" s="90">
        <f t="shared" si="65"/>
        <v>7.0644729845400415E-4</v>
      </c>
      <c r="AP11" s="90">
        <f t="shared" si="65"/>
        <v>7.0644729845400415E-4</v>
      </c>
      <c r="AQ11" s="90">
        <f t="shared" si="65"/>
        <v>7.0644729845400415E-4</v>
      </c>
      <c r="AR11" s="90">
        <f t="shared" si="65"/>
        <v>7.0644729845400415E-4</v>
      </c>
      <c r="AS11" s="90">
        <f t="shared" si="65"/>
        <v>7.0644729845400415E-4</v>
      </c>
      <c r="AT11" s="90">
        <f t="shared" si="65"/>
        <v>7.0644729845400415E-4</v>
      </c>
      <c r="AU11" s="90">
        <f t="shared" si="65"/>
        <v>7.0644729845400415E-4</v>
      </c>
      <c r="AV11" s="90">
        <f t="shared" si="65"/>
        <v>7.0644729845400415E-4</v>
      </c>
      <c r="AW11" s="90">
        <f t="shared" si="65"/>
        <v>7.0644729845400415E-4</v>
      </c>
      <c r="AX11" s="90">
        <f t="shared" si="65"/>
        <v>7.0644729845400415E-4</v>
      </c>
    </row>
    <row r="12" spans="1:50" x14ac:dyDescent="0.35">
      <c r="A12" s="309"/>
      <c r="B12" s="73" t="s">
        <v>54</v>
      </c>
      <c r="C12" s="120">
        <v>-6.7394838749343863E-5</v>
      </c>
      <c r="D12" s="90">
        <f t="shared" si="64"/>
        <v>-6.7394838749343863E-5</v>
      </c>
      <c r="E12" s="90">
        <f t="shared" si="64"/>
        <v>-6.7394838749343863E-5</v>
      </c>
      <c r="F12" s="90">
        <f t="shared" si="64"/>
        <v>-6.7394838749343863E-5</v>
      </c>
      <c r="G12" s="90">
        <f t="shared" si="64"/>
        <v>-6.7394838749343863E-5</v>
      </c>
      <c r="H12" s="90">
        <f t="shared" si="64"/>
        <v>-6.7394838749343863E-5</v>
      </c>
      <c r="I12" s="90">
        <f t="shared" si="64"/>
        <v>-6.7394838749343863E-5</v>
      </c>
      <c r="J12" s="90">
        <f t="shared" si="64"/>
        <v>-6.7394838749343863E-5</v>
      </c>
      <c r="K12" s="90">
        <f t="shared" si="64"/>
        <v>-6.7394838749343863E-5</v>
      </c>
      <c r="L12" s="90">
        <f t="shared" si="64"/>
        <v>-6.7394838749343863E-5</v>
      </c>
      <c r="M12" s="90">
        <f t="shared" si="64"/>
        <v>-6.7394838749343863E-5</v>
      </c>
      <c r="N12" s="90">
        <f t="shared" si="64"/>
        <v>-6.7394838749343863E-5</v>
      </c>
      <c r="O12" s="120">
        <v>1.5796346253921996E-4</v>
      </c>
      <c r="P12" s="90">
        <f t="shared" si="64"/>
        <v>1.5796346253921996E-4</v>
      </c>
      <c r="Q12" s="90">
        <f t="shared" si="64"/>
        <v>1.5796346253921996E-4</v>
      </c>
      <c r="R12" s="90">
        <f t="shared" si="64"/>
        <v>1.5796346253921996E-4</v>
      </c>
      <c r="S12" s="90">
        <f t="shared" si="64"/>
        <v>1.5796346253921996E-4</v>
      </c>
      <c r="T12" s="90">
        <f t="shared" si="64"/>
        <v>1.5796346253921996E-4</v>
      </c>
      <c r="U12" s="90">
        <f t="shared" si="64"/>
        <v>1.5796346253921996E-4</v>
      </c>
      <c r="V12" s="90">
        <f t="shared" si="64"/>
        <v>1.5796346253921996E-4</v>
      </c>
      <c r="W12" s="90">
        <f t="shared" si="64"/>
        <v>1.5796346253921996E-4</v>
      </c>
      <c r="X12" s="90">
        <f t="shared" si="64"/>
        <v>1.5796346253921996E-4</v>
      </c>
      <c r="Y12" s="90">
        <f t="shared" si="64"/>
        <v>1.5796346253921996E-4</v>
      </c>
      <c r="Z12" s="90">
        <f>IF(Z11="","",Y12)</f>
        <v>1.5796346253921996E-4</v>
      </c>
      <c r="AA12" s="120">
        <v>-1.3187057849960824E-4</v>
      </c>
      <c r="AB12" s="90">
        <f t="shared" si="65"/>
        <v>-1.3187057849960824E-4</v>
      </c>
      <c r="AC12" s="90">
        <f t="shared" si="65"/>
        <v>-1.3187057849960824E-4</v>
      </c>
      <c r="AD12" s="90">
        <f t="shared" si="65"/>
        <v>-1.3187057849960824E-4</v>
      </c>
      <c r="AE12" s="90">
        <f t="shared" si="65"/>
        <v>-1.3187057849960824E-4</v>
      </c>
      <c r="AF12" s="90">
        <f t="shared" si="65"/>
        <v>-1.3187057849960824E-4</v>
      </c>
      <c r="AG12" s="90">
        <f t="shared" si="65"/>
        <v>-1.3187057849960824E-4</v>
      </c>
      <c r="AH12" s="90">
        <f t="shared" si="65"/>
        <v>-1.3187057849960824E-4</v>
      </c>
      <c r="AI12" s="90">
        <f t="shared" si="65"/>
        <v>-1.3187057849960824E-4</v>
      </c>
      <c r="AJ12" s="90">
        <f t="shared" si="65"/>
        <v>-1.3187057849960824E-4</v>
      </c>
      <c r="AK12" s="90">
        <f t="shared" si="65"/>
        <v>-1.3187057849960824E-4</v>
      </c>
      <c r="AL12" s="90">
        <f t="shared" si="65"/>
        <v>-1.3187057849960824E-4</v>
      </c>
      <c r="AM12" s="120">
        <v>-1.5169971121427729E-4</v>
      </c>
      <c r="AN12" s="90">
        <f t="shared" si="65"/>
        <v>-1.5169971121427729E-4</v>
      </c>
      <c r="AO12" s="90">
        <f t="shared" si="65"/>
        <v>-1.5169971121427729E-4</v>
      </c>
      <c r="AP12" s="90">
        <f t="shared" si="65"/>
        <v>-1.5169971121427729E-4</v>
      </c>
      <c r="AQ12" s="90">
        <f t="shared" si="65"/>
        <v>-1.5169971121427729E-4</v>
      </c>
      <c r="AR12" s="90">
        <f t="shared" si="65"/>
        <v>-1.5169971121427729E-4</v>
      </c>
      <c r="AS12" s="90">
        <f t="shared" si="65"/>
        <v>-1.5169971121427729E-4</v>
      </c>
      <c r="AT12" s="90">
        <f t="shared" si="65"/>
        <v>-1.5169971121427729E-4</v>
      </c>
      <c r="AU12" s="90">
        <f t="shared" si="65"/>
        <v>-1.5169971121427729E-4</v>
      </c>
      <c r="AV12" s="90">
        <f t="shared" si="65"/>
        <v>-1.5169971121427729E-4</v>
      </c>
      <c r="AW12" s="90">
        <f t="shared" si="65"/>
        <v>-1.5169971121427729E-4</v>
      </c>
      <c r="AX12" s="90">
        <f t="shared" si="65"/>
        <v>-1.5169971121427729E-4</v>
      </c>
    </row>
    <row r="13" spans="1:50" x14ac:dyDescent="0.35">
      <c r="A13" s="309"/>
      <c r="B13" s="73" t="s">
        <v>63</v>
      </c>
      <c r="C13" s="62">
        <f t="shared" ref="C13:D13" si="66">IF(C10="","",SUM(C11:C12))</f>
        <v>2.7905389219593928E-4</v>
      </c>
      <c r="D13" s="62">
        <f t="shared" si="66"/>
        <v>2.7905389219593928E-4</v>
      </c>
      <c r="E13" s="62">
        <f t="shared" ref="E13:F13" si="67">IF(E10="","",SUM(E11:E12))</f>
        <v>2.7905389219593928E-4</v>
      </c>
      <c r="F13" s="62">
        <f t="shared" si="67"/>
        <v>2.7905389219593928E-4</v>
      </c>
      <c r="G13" s="62">
        <f t="shared" ref="G13:H13" si="68">IF(G10="","",SUM(G11:G12))</f>
        <v>2.7905389219593928E-4</v>
      </c>
      <c r="H13" s="62">
        <f t="shared" si="68"/>
        <v>2.7905389219593928E-4</v>
      </c>
      <c r="I13" s="62">
        <f t="shared" ref="I13:J13" si="69">IF(I10="","",SUM(I11:I12))</f>
        <v>2.7905389219593928E-4</v>
      </c>
      <c r="J13" s="62">
        <f t="shared" si="69"/>
        <v>2.7905389219593928E-4</v>
      </c>
      <c r="K13" s="62">
        <f t="shared" ref="K13:L13" si="70">IF(K10="","",SUM(K11:K12))</f>
        <v>2.7905389219593928E-4</v>
      </c>
      <c r="L13" s="62">
        <f t="shared" si="70"/>
        <v>2.7905389219593928E-4</v>
      </c>
      <c r="M13" s="62">
        <f t="shared" ref="M13:N13" si="71">IF(M10="","",SUM(M11:M12))</f>
        <v>2.7905389219593928E-4</v>
      </c>
      <c r="N13" s="62">
        <f t="shared" si="71"/>
        <v>2.7905389219593928E-4</v>
      </c>
      <c r="O13" s="62">
        <f t="shared" ref="O13:P13" si="72">IF(O10="","",SUM(O11:O12))</f>
        <v>1.4467482329575661E-3</v>
      </c>
      <c r="P13" s="62">
        <f t="shared" si="72"/>
        <v>1.4467482329575661E-3</v>
      </c>
      <c r="Q13" s="62">
        <f t="shared" ref="Q13:R13" si="73">IF(Q10="","",SUM(Q11:Q12))</f>
        <v>1.4467482329575661E-3</v>
      </c>
      <c r="R13" s="62">
        <f t="shared" si="73"/>
        <v>1.4467482329575661E-3</v>
      </c>
      <c r="S13" s="62">
        <f t="shared" ref="S13:T13" si="74">IF(S10="","",SUM(S11:S12))</f>
        <v>1.4467482329575661E-3</v>
      </c>
      <c r="T13" s="62">
        <f t="shared" si="74"/>
        <v>1.4467482329575661E-3</v>
      </c>
      <c r="U13" s="62">
        <f t="shared" ref="U13:V13" si="75">IF(U10="","",SUM(U11:U12))</f>
        <v>1.4467482329575661E-3</v>
      </c>
      <c r="V13" s="62">
        <f t="shared" si="75"/>
        <v>1.4467482329575661E-3</v>
      </c>
      <c r="W13" s="62">
        <f t="shared" ref="W13:X13" si="76">IF(W10="","",SUM(W11:W12))</f>
        <v>1.4467482329575661E-3</v>
      </c>
      <c r="X13" s="62">
        <f t="shared" si="76"/>
        <v>1.4467482329575661E-3</v>
      </c>
      <c r="Y13" s="62">
        <f t="shared" ref="Y13:Z13" si="77">IF(Y10="","",SUM(Y11:Y12))</f>
        <v>1.4467482329575661E-3</v>
      </c>
      <c r="Z13" s="62">
        <f t="shared" si="77"/>
        <v>1.4467482329575661E-3</v>
      </c>
      <c r="AA13" s="62">
        <f t="shared" ref="AA13:AF13" si="78">IF(AA10="","",SUM(AA11:AA12))</f>
        <v>7.7520858782253164E-4</v>
      </c>
      <c r="AB13" s="62">
        <f t="shared" si="78"/>
        <v>7.7520858782253164E-4</v>
      </c>
      <c r="AC13" s="62">
        <f t="shared" si="78"/>
        <v>7.7520858782253164E-4</v>
      </c>
      <c r="AD13" s="62">
        <f t="shared" si="78"/>
        <v>7.7520858782253164E-4</v>
      </c>
      <c r="AE13" s="62">
        <f t="shared" si="78"/>
        <v>7.7520858782253164E-4</v>
      </c>
      <c r="AF13" s="62">
        <f t="shared" si="78"/>
        <v>7.7520858782253164E-4</v>
      </c>
      <c r="AG13" s="62">
        <f t="shared" ref="AG13:AH13" si="79">IF(AG10="","",SUM(AG11:AG12))</f>
        <v>7.7520858782253164E-4</v>
      </c>
      <c r="AH13" s="62">
        <f t="shared" si="79"/>
        <v>7.7520858782253164E-4</v>
      </c>
      <c r="AI13" s="62">
        <f t="shared" ref="AI13:AJ13" si="80">IF(AI10="","",SUM(AI11:AI12))</f>
        <v>7.7520858782253164E-4</v>
      </c>
      <c r="AJ13" s="62">
        <f t="shared" si="80"/>
        <v>7.7520858782253164E-4</v>
      </c>
      <c r="AK13" s="62">
        <f t="shared" ref="AK13:AL13" si="81">IF(AK10="","",SUM(AK11:AK12))</f>
        <v>7.7520858782253164E-4</v>
      </c>
      <c r="AL13" s="62">
        <f t="shared" si="81"/>
        <v>7.7520858782253164E-4</v>
      </c>
      <c r="AM13" s="62">
        <f t="shared" ref="AM13:AN13" si="82">IF(AM10="","",SUM(AM11:AM12))</f>
        <v>5.5474758723972686E-4</v>
      </c>
      <c r="AN13" s="62">
        <f t="shared" si="82"/>
        <v>5.5474758723972686E-4</v>
      </c>
      <c r="AO13" s="62">
        <f t="shared" ref="AO13:AP13" si="83">IF(AO10="","",SUM(AO11:AO12))</f>
        <v>5.5474758723972686E-4</v>
      </c>
      <c r="AP13" s="62">
        <f t="shared" si="83"/>
        <v>5.5474758723972686E-4</v>
      </c>
      <c r="AQ13" s="62">
        <f t="shared" ref="AQ13:AR13" si="84">IF(AQ10="","",SUM(AQ11:AQ12))</f>
        <v>5.5474758723972686E-4</v>
      </c>
      <c r="AR13" s="62">
        <f t="shared" si="84"/>
        <v>5.5474758723972686E-4</v>
      </c>
      <c r="AS13" s="62">
        <f t="shared" ref="AS13:AT13" si="85">IF(AS10="","",SUM(AS11:AS12))</f>
        <v>5.5474758723972686E-4</v>
      </c>
      <c r="AT13" s="62">
        <f t="shared" si="85"/>
        <v>5.5474758723972686E-4</v>
      </c>
      <c r="AU13" s="62">
        <f t="shared" ref="AU13:AV13" si="86">IF(AU10="","",SUM(AU11:AU12))</f>
        <v>5.5474758723972686E-4</v>
      </c>
      <c r="AV13" s="62">
        <f t="shared" si="86"/>
        <v>5.5474758723972686E-4</v>
      </c>
      <c r="AW13" s="62">
        <f t="shared" ref="AW13:AX13" si="87">IF(AW10="","",SUM(AW11:AW12))</f>
        <v>5.5474758723972686E-4</v>
      </c>
      <c r="AX13" s="62">
        <f t="shared" si="87"/>
        <v>5.5474758723972686E-4</v>
      </c>
    </row>
    <row r="14" spans="1:50" x14ac:dyDescent="0.35">
      <c r="A14" s="309"/>
      <c r="B14" s="73" t="s">
        <v>56</v>
      </c>
      <c r="C14" s="66">
        <f t="shared" ref="C14:D14" si="88">IF(C10="","",IFERROR(C12/C13,""))</f>
        <v>-0.24151191090365509</v>
      </c>
      <c r="D14" s="66">
        <f t="shared" si="88"/>
        <v>-0.24151191090365509</v>
      </c>
      <c r="E14" s="66">
        <f t="shared" ref="E14:F14" si="89">IF(E10="","",IFERROR(E12/E13,""))</f>
        <v>-0.24151191090365509</v>
      </c>
      <c r="F14" s="66">
        <f t="shared" si="89"/>
        <v>-0.24151191090365509</v>
      </c>
      <c r="G14" s="66">
        <f t="shared" ref="G14:H14" si="90">IF(G10="","",IFERROR(G12/G13,""))</f>
        <v>-0.24151191090365509</v>
      </c>
      <c r="H14" s="66">
        <f t="shared" si="90"/>
        <v>-0.24151191090365509</v>
      </c>
      <c r="I14" s="66">
        <f t="shared" ref="I14:J14" si="91">IF(I10="","",IFERROR(I12/I13,""))</f>
        <v>-0.24151191090365509</v>
      </c>
      <c r="J14" s="66">
        <f t="shared" si="91"/>
        <v>-0.24151191090365509</v>
      </c>
      <c r="K14" s="66">
        <f t="shared" ref="K14:L14" si="92">IF(K10="","",IFERROR(K12/K13,""))</f>
        <v>-0.24151191090365509</v>
      </c>
      <c r="L14" s="66">
        <f t="shared" si="92"/>
        <v>-0.24151191090365509</v>
      </c>
      <c r="M14" s="66">
        <f t="shared" ref="M14:N14" si="93">IF(M10="","",IFERROR(M12/M13,""))</f>
        <v>-0.24151191090365509</v>
      </c>
      <c r="N14" s="66">
        <f t="shared" si="93"/>
        <v>-0.24151191090365509</v>
      </c>
      <c r="O14" s="66">
        <f t="shared" ref="O14:P14" si="94">IF(O10="","",IFERROR(O12/O13,""))</f>
        <v>0.1091851774488071</v>
      </c>
      <c r="P14" s="66">
        <f t="shared" si="94"/>
        <v>0.1091851774488071</v>
      </c>
      <c r="Q14" s="66">
        <f t="shared" ref="Q14:R14" si="95">IF(Q10="","",IFERROR(Q12/Q13,""))</f>
        <v>0.1091851774488071</v>
      </c>
      <c r="R14" s="66">
        <f t="shared" si="95"/>
        <v>0.1091851774488071</v>
      </c>
      <c r="S14" s="66">
        <f t="shared" ref="S14:T14" si="96">IF(S10="","",IFERROR(S12/S13,""))</f>
        <v>0.1091851774488071</v>
      </c>
      <c r="T14" s="66">
        <f t="shared" si="96"/>
        <v>0.1091851774488071</v>
      </c>
      <c r="U14" s="66">
        <f t="shared" ref="U14:V14" si="97">IF(U10="","",IFERROR(U12/U13,""))</f>
        <v>0.1091851774488071</v>
      </c>
      <c r="V14" s="66">
        <f t="shared" si="97"/>
        <v>0.1091851774488071</v>
      </c>
      <c r="W14" s="66">
        <f t="shared" ref="W14:X14" si="98">IF(W10="","",IFERROR(W12/W13,""))</f>
        <v>0.1091851774488071</v>
      </c>
      <c r="X14" s="66">
        <f t="shared" si="98"/>
        <v>0.1091851774488071</v>
      </c>
      <c r="Y14" s="66">
        <f t="shared" ref="Y14:Z14" si="99">IF(Y10="","",IFERROR(Y12/Y13,""))</f>
        <v>0.1091851774488071</v>
      </c>
      <c r="Z14" s="66">
        <f t="shared" si="99"/>
        <v>0.1091851774488071</v>
      </c>
      <c r="AA14" s="66">
        <f t="shared" ref="AA14:AB14" si="100">IF(AA10="","",IFERROR(AA12/AA13,""))</f>
        <v>-0.17010980086020067</v>
      </c>
      <c r="AB14" s="66">
        <f t="shared" si="100"/>
        <v>-0.17010980086020067</v>
      </c>
      <c r="AC14" s="66">
        <f t="shared" ref="AC14:AD14" si="101">IF(AC10="","",IFERROR(AC12/AC13,""))</f>
        <v>-0.17010980086020067</v>
      </c>
      <c r="AD14" s="66">
        <f t="shared" si="101"/>
        <v>-0.17010980086020067</v>
      </c>
      <c r="AE14" s="66">
        <f t="shared" ref="AE14:AF14" si="102">IF(AE10="","",IFERROR(AE12/AE13,""))</f>
        <v>-0.17010980086020067</v>
      </c>
      <c r="AF14" s="66">
        <f t="shared" si="102"/>
        <v>-0.17010980086020067</v>
      </c>
      <c r="AG14" s="66">
        <f t="shared" ref="AG14:AH14" si="103">IF(AG10="","",IFERROR(AG12/AG13,""))</f>
        <v>-0.17010980086020067</v>
      </c>
      <c r="AH14" s="66">
        <f t="shared" si="103"/>
        <v>-0.17010980086020067</v>
      </c>
      <c r="AI14" s="66">
        <f t="shared" ref="AI14:AJ14" si="104">IF(AI10="","",IFERROR(AI12/AI13,""))</f>
        <v>-0.17010980086020067</v>
      </c>
      <c r="AJ14" s="66">
        <f t="shared" si="104"/>
        <v>-0.17010980086020067</v>
      </c>
      <c r="AK14" s="66">
        <f t="shared" ref="AK14:AL14" si="105">IF(AK10="","",IFERROR(AK12/AK13,""))</f>
        <v>-0.17010980086020067</v>
      </c>
      <c r="AL14" s="66">
        <f t="shared" si="105"/>
        <v>-0.17010980086020067</v>
      </c>
      <c r="AM14" s="66">
        <f t="shared" ref="AM14:AN14" si="106">IF(AM10="","",IFERROR(AM12/AM13,""))</f>
        <v>-0.27345718071365355</v>
      </c>
      <c r="AN14" s="66">
        <f t="shared" si="106"/>
        <v>-0.27345718071365355</v>
      </c>
      <c r="AO14" s="66">
        <f t="shared" ref="AO14:AP14" si="107">IF(AO10="","",IFERROR(AO12/AO13,""))</f>
        <v>-0.27345718071365355</v>
      </c>
      <c r="AP14" s="66">
        <f t="shared" si="107"/>
        <v>-0.27345718071365355</v>
      </c>
      <c r="AQ14" s="66">
        <f t="shared" ref="AQ14:AR14" si="108">IF(AQ10="","",IFERROR(AQ12/AQ13,""))</f>
        <v>-0.27345718071365355</v>
      </c>
      <c r="AR14" s="66">
        <f t="shared" si="108"/>
        <v>-0.27345718071365355</v>
      </c>
      <c r="AS14" s="66">
        <f t="shared" ref="AS14:AT14" si="109">IF(AS10="","",IFERROR(AS12/AS13,""))</f>
        <v>-0.27345718071365355</v>
      </c>
      <c r="AT14" s="66">
        <f t="shared" si="109"/>
        <v>-0.27345718071365355</v>
      </c>
      <c r="AU14" s="66">
        <f t="shared" ref="AU14:AV14" si="110">IF(AU10="","",IFERROR(AU12/AU13,""))</f>
        <v>-0.27345718071365355</v>
      </c>
      <c r="AV14" s="66">
        <f t="shared" si="110"/>
        <v>-0.27345718071365355</v>
      </c>
      <c r="AW14" s="66">
        <f t="shared" ref="AW14:AX14" si="111">IF(AW10="","",IFERROR(AW12/AW13,""))</f>
        <v>-0.27345718071365355</v>
      </c>
      <c r="AX14" s="66">
        <f t="shared" si="111"/>
        <v>-0.27345718071365355</v>
      </c>
    </row>
    <row r="15" spans="1:50" x14ac:dyDescent="0.35">
      <c r="A15" s="309"/>
      <c r="B15" s="74" t="s">
        <v>57</v>
      </c>
      <c r="C15" s="64">
        <f t="shared" ref="C15:D15" si="112">IF(C10="","",ROUND(C14*C10,2))</f>
        <v>-17996.03</v>
      </c>
      <c r="D15" s="64">
        <f t="shared" si="112"/>
        <v>-17828.82</v>
      </c>
      <c r="E15" s="64">
        <f t="shared" ref="E15:F15" si="113">IF(E10="","",ROUND(E14*E10,2))</f>
        <v>-13698.34</v>
      </c>
      <c r="F15" s="64">
        <f t="shared" si="113"/>
        <v>-12419.68</v>
      </c>
      <c r="G15" s="64">
        <f t="shared" ref="G15:H15" si="114">IF(G10="","",ROUND(G14*G10,2))</f>
        <v>-15595.43</v>
      </c>
      <c r="H15" s="64">
        <f t="shared" si="114"/>
        <v>-19419.18</v>
      </c>
      <c r="I15" s="64">
        <f t="shared" ref="I15:J15" si="115">IF(I10="","",ROUND(I14*I10,2))</f>
        <v>-18927.88</v>
      </c>
      <c r="J15" s="64">
        <f t="shared" si="115"/>
        <v>-18118.43</v>
      </c>
      <c r="K15" s="64">
        <f t="shared" ref="K15:L15" si="116">IF(K10="","",ROUND(K14*K10,2))</f>
        <v>-14686.23</v>
      </c>
      <c r="L15" s="64">
        <f t="shared" si="116"/>
        <v>-14677.84</v>
      </c>
      <c r="M15" s="64">
        <f t="shared" ref="M15:N15" si="117">IF(M10="","",ROUND(M14*M10,2))</f>
        <v>-16957.169999999998</v>
      </c>
      <c r="N15" s="64">
        <f t="shared" si="117"/>
        <v>-20227.96</v>
      </c>
      <c r="O15" s="64">
        <f t="shared" ref="O15:P15" si="118">IF(O10="","",ROUND(O14*O10,2))</f>
        <v>27075.87</v>
      </c>
      <c r="P15" s="64">
        <f t="shared" si="118"/>
        <v>41869.919999999998</v>
      </c>
      <c r="Q15" s="64">
        <f t="shared" ref="Q15:R15" si="119">IF(Q10="","",ROUND(Q14*Q10,2))</f>
        <v>33303.57</v>
      </c>
      <c r="R15" s="64">
        <f t="shared" si="119"/>
        <v>32560.29</v>
      </c>
      <c r="S15" s="64">
        <f t="shared" ref="S15:T15" si="120">IF(S10="","",ROUND(S14*S10,2))</f>
        <v>38841.39</v>
      </c>
      <c r="T15" s="64">
        <f t="shared" si="120"/>
        <v>45977.98</v>
      </c>
      <c r="U15" s="64">
        <f t="shared" ref="U15:V15" si="121">IF(U10="","",ROUND(U14*U10,2))</f>
        <v>45995.38</v>
      </c>
      <c r="V15" s="64">
        <f t="shared" si="121"/>
        <v>46474.38</v>
      </c>
      <c r="W15" s="64">
        <f t="shared" ref="W15:X15" si="122">IF(W10="","",ROUND(W14*W10,2))</f>
        <v>38765.449999999997</v>
      </c>
      <c r="X15" s="64">
        <f t="shared" si="122"/>
        <v>34659.79</v>
      </c>
      <c r="Y15" s="64">
        <f t="shared" ref="Y15:Z15" si="123">IF(Y10="","",ROUND(Y14*Y10,2))</f>
        <v>39489.65</v>
      </c>
      <c r="Z15" s="64">
        <f t="shared" si="123"/>
        <v>46633.93</v>
      </c>
      <c r="AA15" s="64">
        <f t="shared" ref="AA15:AB15" si="124">IF(AA10="","",ROUND(AA14*AA10,2))</f>
        <v>-59971.88</v>
      </c>
      <c r="AB15" s="64">
        <f t="shared" si="124"/>
        <v>-34460.21</v>
      </c>
      <c r="AC15" s="64">
        <f t="shared" ref="AC15:AD15" si="125">IF(AC10="","",ROUND(AC14*AC10,2))</f>
        <v>-30482.11</v>
      </c>
      <c r="AD15" s="64">
        <f t="shared" si="125"/>
        <v>-29523.43</v>
      </c>
      <c r="AE15" s="64">
        <f t="shared" ref="AE15:AF15" si="126">IF(AE10="","",ROUND(AE14*AE10,2))</f>
        <v>-34337.879999999997</v>
      </c>
      <c r="AF15" s="64">
        <f t="shared" si="126"/>
        <v>-41091.919999999998</v>
      </c>
      <c r="AG15" s="64">
        <f t="shared" ref="AG15:AH15" si="127">IF(AG10="","",ROUND(AG14*AG10,2))</f>
        <v>-40250.86</v>
      </c>
      <c r="AH15" s="64">
        <f t="shared" si="127"/>
        <v>-36905.46</v>
      </c>
      <c r="AI15" s="64">
        <f t="shared" ref="AI15:AJ15" si="128">IF(AI10="","",ROUND(AI14*AI10,2))</f>
        <v>-30354.95</v>
      </c>
      <c r="AJ15" s="64">
        <f t="shared" si="128"/>
        <v>-28938.2</v>
      </c>
      <c r="AK15" s="64">
        <f t="shared" ref="AK15:AL15" si="129">IF(AK10="","",ROUND(AK14*AK10,2))</f>
        <v>-36146.32</v>
      </c>
      <c r="AL15" s="64">
        <f t="shared" si="129"/>
        <v>-41356.58</v>
      </c>
      <c r="AM15" s="64">
        <f t="shared" ref="AM15:AN15" si="130">IF(AM10="","",ROUND(AM14*AM10,2))</f>
        <v>-51287.19</v>
      </c>
      <c r="AN15" s="64">
        <f t="shared" si="130"/>
        <v>-37406.94</v>
      </c>
      <c r="AO15" s="64">
        <f t="shared" ref="AO15:AP15" si="131">IF(AO10="","",ROUND(AO14*AO10,2))</f>
        <v>-34363.08</v>
      </c>
      <c r="AP15" s="64">
        <f t="shared" si="131"/>
        <v>-31707.18</v>
      </c>
      <c r="AQ15" s="64">
        <f t="shared" ref="AQ15:AR15" si="132">IF(AQ10="","",ROUND(AQ14*AQ10,2))</f>
        <v>-38111.519999999997</v>
      </c>
      <c r="AR15" s="64">
        <f t="shared" si="132"/>
        <v>-44222.96</v>
      </c>
      <c r="AS15" s="64">
        <f t="shared" ref="AS15:AT15" si="133">IF(AS10="","",ROUND(AS14*AS10,2))</f>
        <v>-45175.25</v>
      </c>
      <c r="AT15" s="64">
        <f t="shared" si="133"/>
        <v>-43726.97</v>
      </c>
      <c r="AU15" s="64">
        <f t="shared" ref="AU15:AV15" si="134">IF(AU10="","",ROUND(AU14*AU10,2))</f>
        <v>-37032.21</v>
      </c>
      <c r="AV15" s="64">
        <f t="shared" si="134"/>
        <v>-34056.019999999997</v>
      </c>
      <c r="AW15" s="64">
        <f t="shared" ref="AW15:AX15" si="135">IF(AW10="","",ROUND(AW14*AW10,2))</f>
        <v>-39977.93</v>
      </c>
      <c r="AX15" s="64">
        <f t="shared" si="135"/>
        <v>-46593.760000000002</v>
      </c>
    </row>
    <row r="16" spans="1:50" x14ac:dyDescent="0.35">
      <c r="A16" s="77"/>
      <c r="B16" s="7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row>
    <row r="17" spans="1:50" x14ac:dyDescent="0.35">
      <c r="A17" s="309" t="s">
        <v>35</v>
      </c>
      <c r="B17" s="73" t="s">
        <v>53</v>
      </c>
      <c r="C17" s="63">
        <f>IF(+'M3 Allocations - TD'!O53="","",'M3 Allocations - TD'!O53)</f>
        <v>108510.2</v>
      </c>
      <c r="D17" s="63">
        <f>IF(+'M3 Allocations - TD'!P53="","",'M3 Allocations - TD'!P53)</f>
        <v>102469.35</v>
      </c>
      <c r="E17" s="63">
        <f>IF(+'M3 Allocations - TD'!Q53="","",'M3 Allocations - TD'!Q53)</f>
        <v>87569.04</v>
      </c>
      <c r="F17" s="63">
        <f>IF(+'M3 Allocations - TD'!R53="","",'M3 Allocations - TD'!R53)</f>
        <v>81676.990000000005</v>
      </c>
      <c r="G17" s="63">
        <f>IF(+'M3 Allocations - TD'!S53="","",'M3 Allocations - TD'!S53)</f>
        <v>96788.800000000003</v>
      </c>
      <c r="H17" s="63">
        <f>IF(+'M3 Allocations - TD'!T53="","",'M3 Allocations - TD'!T53)</f>
        <v>113009.35</v>
      </c>
      <c r="I17" s="63">
        <f>IF(+'M3 Allocations - TD'!U53="","",'M3 Allocations - TD'!U53)</f>
        <v>112596.34</v>
      </c>
      <c r="J17" s="63">
        <f>IF(+'M3 Allocations - TD'!V53="","",'M3 Allocations - TD'!V53)</f>
        <v>112065.74</v>
      </c>
      <c r="K17" s="63">
        <f>IF(+'M3 Allocations - TD'!W53="","",'M3 Allocations - TD'!W53)</f>
        <v>95621.75</v>
      </c>
      <c r="L17" s="63">
        <f>IF(+'M3 Allocations - TD'!X53="","",'M3 Allocations - TD'!X53)</f>
        <v>93151.01</v>
      </c>
      <c r="M17" s="63">
        <f>IF(+'M3 Allocations - TD'!Y53="","",'M3 Allocations - TD'!Y53)</f>
        <v>100114.88</v>
      </c>
      <c r="N17" s="63">
        <f>IF(+'M3 Allocations - TD'!Z53="","",'M3 Allocations - TD'!Z53)</f>
        <v>107296.64</v>
      </c>
      <c r="O17" s="63">
        <f>IF(+'M3 Allocations - TD'!AA53="","",'M3 Allocations - TD'!AA53)</f>
        <v>327311.55</v>
      </c>
      <c r="P17" s="63">
        <f>IF(+'M3 Allocations - TD'!AB53="","",'M3 Allocations - TD'!AB53)</f>
        <v>570755.55000000005</v>
      </c>
      <c r="Q17" s="63">
        <f>IF(+'M3 Allocations - TD'!AC53="","",'M3 Allocations - TD'!AC53)</f>
        <v>508276</v>
      </c>
      <c r="R17" s="63">
        <f>IF(+'M3 Allocations - TD'!AD53="","",'M3 Allocations - TD'!AD53)</f>
        <v>517711.44</v>
      </c>
      <c r="S17" s="63">
        <f>IF(+'M3 Allocations - TD'!AE53="","",'M3 Allocations - TD'!AE53)</f>
        <v>575315.39</v>
      </c>
      <c r="T17" s="63">
        <f>IF(+'M3 Allocations - TD'!AF53="","",'M3 Allocations - TD'!AF53)</f>
        <v>673826.02</v>
      </c>
      <c r="U17" s="63">
        <f>IF(+'M3 Allocations - TD'!AG53="","",'M3 Allocations - TD'!AG53)</f>
        <v>667802.68999999994</v>
      </c>
      <c r="V17" s="63">
        <f>IF(+'M3 Allocations - TD'!AH53="","",'M3 Allocations - TD'!AH53)</f>
        <v>680633.38</v>
      </c>
      <c r="W17" s="63">
        <f>IF(+'M3 Allocations - TD'!AI53="","",'M3 Allocations - TD'!AI53)</f>
        <v>598281.09</v>
      </c>
      <c r="X17" s="63">
        <f>IF(+'M3 Allocations - TD'!AJ53="","",'M3 Allocations - TD'!AJ53)</f>
        <v>531580.77</v>
      </c>
      <c r="Y17" s="63">
        <f>IF(+'M3 Allocations - TD'!AK53="","",'M3 Allocations - TD'!AK53)</f>
        <v>580996.63</v>
      </c>
      <c r="Z17" s="63">
        <f>IF(+'M3 Allocations - TD'!AL53="","",'M3 Allocations - TD'!AL53)</f>
        <v>621109.79</v>
      </c>
      <c r="AA17" s="63">
        <f>IF(+'M3 Allocations - TD'!AM53="","",'M3 Allocations - TD'!AM53)</f>
        <v>504253.87</v>
      </c>
      <c r="AB17" s="63">
        <f>IF(+'M3 Allocations - TD'!AN53="","",'M3 Allocations - TD'!AN53)</f>
        <v>301892.69</v>
      </c>
      <c r="AC17" s="63">
        <f>IF(+'M3 Allocations - TD'!AO53="","",'M3 Allocations - TD'!AO53)</f>
        <v>280545.46999999997</v>
      </c>
      <c r="AD17" s="63">
        <f>IF(+'M3 Allocations - TD'!AP53="","",'M3 Allocations - TD'!AP53)</f>
        <v>290164.87</v>
      </c>
      <c r="AE17" s="63">
        <f>IF(+'M3 Allocations - TD'!AQ53="","",'M3 Allocations - TD'!AQ53)</f>
        <v>325613.77</v>
      </c>
      <c r="AF17" s="63">
        <f>IF(+'M3 Allocations - TD'!AR53="","",'M3 Allocations - TD'!AR53)</f>
        <v>365143.97</v>
      </c>
      <c r="AG17" s="63">
        <f>IF(+'M3 Allocations - TD'!AS53="","",'M3 Allocations - TD'!AS53)</f>
        <v>362549.21</v>
      </c>
      <c r="AH17" s="63">
        <f>IF(+'M3 Allocations - TD'!AT53="","",'M3 Allocations - TD'!AT53)</f>
        <v>346741.86</v>
      </c>
      <c r="AI17" s="63">
        <f>IF(+'M3 Allocations - TD'!AU53="","",'M3 Allocations - TD'!AU53)</f>
        <v>297961.13</v>
      </c>
      <c r="AJ17" s="63">
        <f>IF(+'M3 Allocations - TD'!AV53="","",'M3 Allocations - TD'!AV53)</f>
        <v>289745.45</v>
      </c>
      <c r="AK17" s="63">
        <f>IF(+'M3 Allocations - TD'!AW53="","",'M3 Allocations - TD'!AW53)</f>
        <v>322981.7</v>
      </c>
      <c r="AL17" s="63">
        <f>IF(+'M3 Allocations - TD'!AX53="","",'M3 Allocations - TD'!AX53)</f>
        <v>335255.09999999998</v>
      </c>
      <c r="AM17" s="63">
        <f>IF(+'M3 Allocations - TD'!AY53="","",'M3 Allocations - TD'!AY53)</f>
        <v>503655.97</v>
      </c>
      <c r="AN17" s="63">
        <f>IF(+'M3 Allocations - TD'!AZ53="","",'M3 Allocations - TD'!AZ53)</f>
        <v>786219.87</v>
      </c>
      <c r="AO17" s="63">
        <f>IF(+'M3 Allocations - TD'!BA53="","",'M3 Allocations - TD'!BA53)</f>
        <v>753502.02</v>
      </c>
      <c r="AP17" s="63">
        <f>IF(+'M3 Allocations - TD'!BB53="","",'M3 Allocations - TD'!BB53)</f>
        <v>749883.21</v>
      </c>
      <c r="AQ17" s="63">
        <f>IF(+'M3 Allocations - TD'!BC53="","",'M3 Allocations - TD'!BC53)</f>
        <v>846049.12</v>
      </c>
      <c r="AR17" s="63">
        <f>IF(+'M3 Allocations - TD'!BD53="","",'M3 Allocations - TD'!BD53)</f>
        <v>910940.94</v>
      </c>
      <c r="AS17" s="63">
        <f>IF(+'M3 Allocations - TD'!BE53="","",'M3 Allocations - TD'!BE53)</f>
        <v>943469.07</v>
      </c>
      <c r="AT17" s="63">
        <f>IF(+'M3 Allocations - TD'!BF53="","",'M3 Allocations - TD'!BF53)</f>
        <v>944687.32</v>
      </c>
      <c r="AU17" s="63">
        <f>IF(+'M3 Allocations - TD'!BG53="","",'M3 Allocations - TD'!BG53)</f>
        <v>830714.65</v>
      </c>
      <c r="AV17" s="63">
        <f>IF(+'M3 Allocations - TD'!BH53="","",'M3 Allocations - TD'!BH53)</f>
        <v>777113.75099495554</v>
      </c>
      <c r="AW17" s="63">
        <f>IF(+'M3 Allocations - TD'!BI53="","",'M3 Allocations - TD'!BI53)</f>
        <v>835336.31387201196</v>
      </c>
      <c r="AX17" s="63">
        <f>IF(+'M3 Allocations - TD'!BJ53="","",'M3 Allocations - TD'!BJ53)</f>
        <v>930827.2688275103</v>
      </c>
    </row>
    <row r="18" spans="1:50" x14ac:dyDescent="0.35">
      <c r="A18" s="309"/>
      <c r="B18" s="73" t="s">
        <v>55</v>
      </c>
      <c r="C18" s="119">
        <v>2.4889105871721853E-4</v>
      </c>
      <c r="D18" s="90">
        <f t="shared" ref="D18:AX19" si="136">IF(D17="","",C18)</f>
        <v>2.4889105871721853E-4</v>
      </c>
      <c r="E18" s="90">
        <f t="shared" si="136"/>
        <v>2.4889105871721853E-4</v>
      </c>
      <c r="F18" s="90">
        <f t="shared" si="136"/>
        <v>2.4889105871721853E-4</v>
      </c>
      <c r="G18" s="90">
        <f t="shared" si="136"/>
        <v>2.4889105871721853E-4</v>
      </c>
      <c r="H18" s="90">
        <f t="shared" si="136"/>
        <v>2.4889105871721853E-4</v>
      </c>
      <c r="I18" s="90">
        <f t="shared" si="136"/>
        <v>2.4889105871721853E-4</v>
      </c>
      <c r="J18" s="90">
        <f t="shared" si="136"/>
        <v>2.4889105871721853E-4</v>
      </c>
      <c r="K18" s="90">
        <f t="shared" si="136"/>
        <v>2.4889105871721853E-4</v>
      </c>
      <c r="L18" s="90">
        <f t="shared" si="136"/>
        <v>2.4889105871721853E-4</v>
      </c>
      <c r="M18" s="90">
        <f t="shared" si="136"/>
        <v>2.4889105871721853E-4</v>
      </c>
      <c r="N18" s="90">
        <f t="shared" si="136"/>
        <v>2.4889105871721853E-4</v>
      </c>
      <c r="O18" s="120">
        <v>9.6618899912876528E-4</v>
      </c>
      <c r="P18" s="90">
        <f t="shared" si="136"/>
        <v>9.6618899912876528E-4</v>
      </c>
      <c r="Q18" s="90">
        <f t="shared" si="136"/>
        <v>9.6618899912876528E-4</v>
      </c>
      <c r="R18" s="90">
        <f t="shared" si="136"/>
        <v>9.6618899912876528E-4</v>
      </c>
      <c r="S18" s="90">
        <f t="shared" si="136"/>
        <v>9.6618899912876528E-4</v>
      </c>
      <c r="T18" s="90">
        <f t="shared" si="136"/>
        <v>9.6618899912876528E-4</v>
      </c>
      <c r="U18" s="90">
        <f t="shared" si="136"/>
        <v>9.6618899912876528E-4</v>
      </c>
      <c r="V18" s="90">
        <f t="shared" si="136"/>
        <v>9.6618899912876528E-4</v>
      </c>
      <c r="W18" s="90">
        <f t="shared" si="136"/>
        <v>9.6618899912876528E-4</v>
      </c>
      <c r="X18" s="90">
        <f t="shared" si="136"/>
        <v>9.6618899912876528E-4</v>
      </c>
      <c r="Y18" s="90">
        <f t="shared" si="136"/>
        <v>9.6618899912876528E-4</v>
      </c>
      <c r="Z18" s="90">
        <f t="shared" si="136"/>
        <v>9.6618899912876528E-4</v>
      </c>
      <c r="AA18" s="120">
        <v>6.0468274277493688E-4</v>
      </c>
      <c r="AB18" s="90">
        <f t="shared" si="136"/>
        <v>6.0468274277493688E-4</v>
      </c>
      <c r="AC18" s="90">
        <f t="shared" si="136"/>
        <v>6.0468274277493688E-4</v>
      </c>
      <c r="AD18" s="90">
        <f t="shared" si="136"/>
        <v>6.0468274277493688E-4</v>
      </c>
      <c r="AE18" s="90">
        <f t="shared" si="136"/>
        <v>6.0468274277493688E-4</v>
      </c>
      <c r="AF18" s="90">
        <f t="shared" si="136"/>
        <v>6.0468274277493688E-4</v>
      </c>
      <c r="AG18" s="90">
        <f t="shared" si="136"/>
        <v>6.0468274277493688E-4</v>
      </c>
      <c r="AH18" s="90">
        <f t="shared" si="136"/>
        <v>6.0468274277493688E-4</v>
      </c>
      <c r="AI18" s="90">
        <f t="shared" si="136"/>
        <v>6.0468274277493688E-4</v>
      </c>
      <c r="AJ18" s="90">
        <f t="shared" si="136"/>
        <v>6.0468274277493688E-4</v>
      </c>
      <c r="AK18" s="90">
        <f t="shared" si="136"/>
        <v>6.0468274277493688E-4</v>
      </c>
      <c r="AL18" s="90">
        <f t="shared" si="136"/>
        <v>6.0468274277493688E-4</v>
      </c>
      <c r="AM18" s="120">
        <v>1.1096507899411036E-3</v>
      </c>
      <c r="AN18" s="90">
        <f t="shared" si="136"/>
        <v>1.1096507899411036E-3</v>
      </c>
      <c r="AO18" s="90">
        <f t="shared" si="136"/>
        <v>1.1096507899411036E-3</v>
      </c>
      <c r="AP18" s="90">
        <f t="shared" si="136"/>
        <v>1.1096507899411036E-3</v>
      </c>
      <c r="AQ18" s="90">
        <f t="shared" si="136"/>
        <v>1.1096507899411036E-3</v>
      </c>
      <c r="AR18" s="90">
        <f t="shared" si="136"/>
        <v>1.1096507899411036E-3</v>
      </c>
      <c r="AS18" s="90">
        <f t="shared" si="136"/>
        <v>1.1096507899411036E-3</v>
      </c>
      <c r="AT18" s="90">
        <f t="shared" si="136"/>
        <v>1.1096507899411036E-3</v>
      </c>
      <c r="AU18" s="90">
        <f t="shared" si="136"/>
        <v>1.1096507899411036E-3</v>
      </c>
      <c r="AV18" s="90">
        <f t="shared" si="136"/>
        <v>1.1096507899411036E-3</v>
      </c>
      <c r="AW18" s="90">
        <f t="shared" si="136"/>
        <v>1.1096507899411036E-3</v>
      </c>
      <c r="AX18" s="90">
        <f t="shared" si="136"/>
        <v>1.1096507899411036E-3</v>
      </c>
    </row>
    <row r="19" spans="1:50" x14ac:dyDescent="0.35">
      <c r="A19" s="309"/>
      <c r="B19" s="73" t="s">
        <v>54</v>
      </c>
      <c r="C19" s="120">
        <v>-6.7783107808315319E-5</v>
      </c>
      <c r="D19" s="90">
        <f t="shared" si="136"/>
        <v>-6.7783107808315319E-5</v>
      </c>
      <c r="E19" s="90">
        <f t="shared" si="136"/>
        <v>-6.7783107808315319E-5</v>
      </c>
      <c r="F19" s="90">
        <f t="shared" si="136"/>
        <v>-6.7783107808315319E-5</v>
      </c>
      <c r="G19" s="90">
        <f t="shared" si="136"/>
        <v>-6.7783107808315319E-5</v>
      </c>
      <c r="H19" s="90">
        <f t="shared" si="136"/>
        <v>-6.7783107808315319E-5</v>
      </c>
      <c r="I19" s="90">
        <f t="shared" si="136"/>
        <v>-6.7783107808315319E-5</v>
      </c>
      <c r="J19" s="90">
        <f t="shared" si="136"/>
        <v>-6.7783107808315319E-5</v>
      </c>
      <c r="K19" s="90">
        <f t="shared" si="136"/>
        <v>-6.7783107808315319E-5</v>
      </c>
      <c r="L19" s="90">
        <f t="shared" si="136"/>
        <v>-6.7783107808315319E-5</v>
      </c>
      <c r="M19" s="90">
        <f t="shared" si="136"/>
        <v>-6.7783107808315319E-5</v>
      </c>
      <c r="N19" s="90">
        <f t="shared" si="136"/>
        <v>-6.7783107808315319E-5</v>
      </c>
      <c r="O19" s="120">
        <v>8.6183052517347037E-5</v>
      </c>
      <c r="P19" s="90">
        <f t="shared" si="136"/>
        <v>8.6183052517347037E-5</v>
      </c>
      <c r="Q19" s="90">
        <f t="shared" si="136"/>
        <v>8.6183052517347037E-5</v>
      </c>
      <c r="R19" s="90">
        <f t="shared" si="136"/>
        <v>8.6183052517347037E-5</v>
      </c>
      <c r="S19" s="90">
        <f t="shared" si="136"/>
        <v>8.6183052517347037E-5</v>
      </c>
      <c r="T19" s="90">
        <f t="shared" si="136"/>
        <v>8.6183052517347037E-5</v>
      </c>
      <c r="U19" s="90">
        <f t="shared" si="136"/>
        <v>8.6183052517347037E-5</v>
      </c>
      <c r="V19" s="90">
        <f t="shared" si="136"/>
        <v>8.6183052517347037E-5</v>
      </c>
      <c r="W19" s="90">
        <f t="shared" si="136"/>
        <v>8.6183052517347037E-5</v>
      </c>
      <c r="X19" s="90">
        <f t="shared" si="136"/>
        <v>8.6183052517347037E-5</v>
      </c>
      <c r="Y19" s="90">
        <f t="shared" si="136"/>
        <v>8.6183052517347037E-5</v>
      </c>
      <c r="Z19" s="90">
        <f t="shared" si="136"/>
        <v>8.6183052517347037E-5</v>
      </c>
      <c r="AA19" s="120">
        <v>-4.2938209831744348E-5</v>
      </c>
      <c r="AB19" s="90">
        <f t="shared" si="136"/>
        <v>-4.2938209831744348E-5</v>
      </c>
      <c r="AC19" s="90">
        <f t="shared" si="136"/>
        <v>-4.2938209831744348E-5</v>
      </c>
      <c r="AD19" s="90">
        <f t="shared" si="136"/>
        <v>-4.2938209831744348E-5</v>
      </c>
      <c r="AE19" s="90">
        <f t="shared" si="136"/>
        <v>-4.2938209831744348E-5</v>
      </c>
      <c r="AF19" s="90">
        <f t="shared" si="136"/>
        <v>-4.2938209831744348E-5</v>
      </c>
      <c r="AG19" s="90">
        <f t="shared" si="136"/>
        <v>-4.2938209831744348E-5</v>
      </c>
      <c r="AH19" s="90">
        <f t="shared" si="136"/>
        <v>-4.2938209831744348E-5</v>
      </c>
      <c r="AI19" s="90">
        <f t="shared" si="136"/>
        <v>-4.2938209831744348E-5</v>
      </c>
      <c r="AJ19" s="90">
        <f t="shared" si="136"/>
        <v>-4.2938209831744348E-5</v>
      </c>
      <c r="AK19" s="90">
        <f t="shared" si="136"/>
        <v>-4.2938209831744348E-5</v>
      </c>
      <c r="AL19" s="90">
        <f t="shared" si="136"/>
        <v>-4.2938209831744348E-5</v>
      </c>
      <c r="AM19" s="120">
        <v>4.2852071559616349E-4</v>
      </c>
      <c r="AN19" s="90">
        <f t="shared" si="136"/>
        <v>4.2852071559616349E-4</v>
      </c>
      <c r="AO19" s="90">
        <f t="shared" si="136"/>
        <v>4.2852071559616349E-4</v>
      </c>
      <c r="AP19" s="90">
        <f t="shared" si="136"/>
        <v>4.2852071559616349E-4</v>
      </c>
      <c r="AQ19" s="90">
        <f t="shared" si="136"/>
        <v>4.2852071559616349E-4</v>
      </c>
      <c r="AR19" s="90">
        <f t="shared" si="136"/>
        <v>4.2852071559616349E-4</v>
      </c>
      <c r="AS19" s="90">
        <f t="shared" si="136"/>
        <v>4.2852071559616349E-4</v>
      </c>
      <c r="AT19" s="90">
        <f t="shared" si="136"/>
        <v>4.2852071559616349E-4</v>
      </c>
      <c r="AU19" s="90">
        <f t="shared" si="136"/>
        <v>4.2852071559616349E-4</v>
      </c>
      <c r="AV19" s="90">
        <f t="shared" si="136"/>
        <v>4.2852071559616349E-4</v>
      </c>
      <c r="AW19" s="90">
        <f t="shared" si="136"/>
        <v>4.2852071559616349E-4</v>
      </c>
      <c r="AX19" s="90">
        <f t="shared" si="136"/>
        <v>4.2852071559616349E-4</v>
      </c>
    </row>
    <row r="20" spans="1:50" x14ac:dyDescent="0.35">
      <c r="A20" s="309"/>
      <c r="B20" s="73" t="s">
        <v>63</v>
      </c>
      <c r="C20" s="62">
        <f t="shared" ref="C20:D20" si="137">IF(C17="","",SUM(C18:C19))</f>
        <v>1.8110795090890323E-4</v>
      </c>
      <c r="D20" s="62">
        <f t="shared" si="137"/>
        <v>1.8110795090890323E-4</v>
      </c>
      <c r="E20" s="62">
        <f t="shared" ref="E20:F20" si="138">IF(E17="","",SUM(E18:E19))</f>
        <v>1.8110795090890323E-4</v>
      </c>
      <c r="F20" s="62">
        <f t="shared" si="138"/>
        <v>1.8110795090890323E-4</v>
      </c>
      <c r="G20" s="62">
        <f t="shared" ref="G20:H20" si="139">IF(G17="","",SUM(G18:G19))</f>
        <v>1.8110795090890323E-4</v>
      </c>
      <c r="H20" s="62">
        <f t="shared" si="139"/>
        <v>1.8110795090890323E-4</v>
      </c>
      <c r="I20" s="62">
        <f t="shared" ref="I20:J20" si="140">IF(I17="","",SUM(I18:I19))</f>
        <v>1.8110795090890323E-4</v>
      </c>
      <c r="J20" s="62">
        <f t="shared" si="140"/>
        <v>1.8110795090890323E-4</v>
      </c>
      <c r="K20" s="62">
        <f t="shared" ref="K20:L20" si="141">IF(K17="","",SUM(K18:K19))</f>
        <v>1.8110795090890323E-4</v>
      </c>
      <c r="L20" s="62">
        <f t="shared" si="141"/>
        <v>1.8110795090890323E-4</v>
      </c>
      <c r="M20" s="62">
        <f t="shared" ref="M20:N20" si="142">IF(M17="","",SUM(M18:M19))</f>
        <v>1.8110795090890323E-4</v>
      </c>
      <c r="N20" s="62">
        <f t="shared" si="142"/>
        <v>1.8110795090890323E-4</v>
      </c>
      <c r="O20" s="62">
        <f t="shared" ref="O20:P20" si="143">IF(O17="","",SUM(O18:O19))</f>
        <v>1.0523720516461123E-3</v>
      </c>
      <c r="P20" s="62">
        <f t="shared" si="143"/>
        <v>1.0523720516461123E-3</v>
      </c>
      <c r="Q20" s="62">
        <f t="shared" ref="Q20:R20" si="144">IF(Q17="","",SUM(Q18:Q19))</f>
        <v>1.0523720516461123E-3</v>
      </c>
      <c r="R20" s="62">
        <f t="shared" si="144"/>
        <v>1.0523720516461123E-3</v>
      </c>
      <c r="S20" s="62">
        <f t="shared" ref="S20:T20" si="145">IF(S17="","",SUM(S18:S19))</f>
        <v>1.0523720516461123E-3</v>
      </c>
      <c r="T20" s="62">
        <f t="shared" si="145"/>
        <v>1.0523720516461123E-3</v>
      </c>
      <c r="U20" s="62">
        <f t="shared" ref="U20:V20" si="146">IF(U17="","",SUM(U18:U19))</f>
        <v>1.0523720516461123E-3</v>
      </c>
      <c r="V20" s="62">
        <f t="shared" si="146"/>
        <v>1.0523720516461123E-3</v>
      </c>
      <c r="W20" s="62">
        <f t="shared" ref="W20:X20" si="147">IF(W17="","",SUM(W18:W19))</f>
        <v>1.0523720516461123E-3</v>
      </c>
      <c r="X20" s="62">
        <f t="shared" si="147"/>
        <v>1.0523720516461123E-3</v>
      </c>
      <c r="Y20" s="62">
        <f t="shared" ref="Y20:Z20" si="148">IF(Y17="","",SUM(Y18:Y19))</f>
        <v>1.0523720516461123E-3</v>
      </c>
      <c r="Z20" s="62">
        <f t="shared" si="148"/>
        <v>1.0523720516461123E-3</v>
      </c>
      <c r="AA20" s="62">
        <f t="shared" ref="AA20:AB20" si="149">IF(AA17="","",SUM(AA18:AA19))</f>
        <v>5.6174453294319249E-4</v>
      </c>
      <c r="AB20" s="62">
        <f t="shared" si="149"/>
        <v>5.6174453294319249E-4</v>
      </c>
      <c r="AC20" s="62">
        <f t="shared" ref="AC20:AD20" si="150">IF(AC17="","",SUM(AC18:AC19))</f>
        <v>5.6174453294319249E-4</v>
      </c>
      <c r="AD20" s="62">
        <f t="shared" si="150"/>
        <v>5.6174453294319249E-4</v>
      </c>
      <c r="AE20" s="62">
        <f t="shared" ref="AE20:AF20" si="151">IF(AE17="","",SUM(AE18:AE19))</f>
        <v>5.6174453294319249E-4</v>
      </c>
      <c r="AF20" s="62">
        <f t="shared" si="151"/>
        <v>5.6174453294319249E-4</v>
      </c>
      <c r="AG20" s="62">
        <f t="shared" ref="AG20:AH20" si="152">IF(AG17="","",SUM(AG18:AG19))</f>
        <v>5.6174453294319249E-4</v>
      </c>
      <c r="AH20" s="62">
        <f t="shared" si="152"/>
        <v>5.6174453294319249E-4</v>
      </c>
      <c r="AI20" s="62">
        <f t="shared" ref="AI20:AJ20" si="153">IF(AI17="","",SUM(AI18:AI19))</f>
        <v>5.6174453294319249E-4</v>
      </c>
      <c r="AJ20" s="62">
        <f t="shared" si="153"/>
        <v>5.6174453294319249E-4</v>
      </c>
      <c r="AK20" s="62">
        <f t="shared" ref="AK20:AL20" si="154">IF(AK17="","",SUM(AK18:AK19))</f>
        <v>5.6174453294319249E-4</v>
      </c>
      <c r="AL20" s="62">
        <f t="shared" si="154"/>
        <v>5.6174453294319249E-4</v>
      </c>
      <c r="AM20" s="62">
        <f t="shared" ref="AM20:AN20" si="155">IF(AM17="","",SUM(AM18:AM19))</f>
        <v>1.5381715055372671E-3</v>
      </c>
      <c r="AN20" s="62">
        <f t="shared" si="155"/>
        <v>1.5381715055372671E-3</v>
      </c>
      <c r="AO20" s="62">
        <f t="shared" ref="AO20:AP20" si="156">IF(AO17="","",SUM(AO18:AO19))</f>
        <v>1.5381715055372671E-3</v>
      </c>
      <c r="AP20" s="62">
        <f t="shared" si="156"/>
        <v>1.5381715055372671E-3</v>
      </c>
      <c r="AQ20" s="62">
        <f t="shared" ref="AQ20:AR20" si="157">IF(AQ17="","",SUM(AQ18:AQ19))</f>
        <v>1.5381715055372671E-3</v>
      </c>
      <c r="AR20" s="62">
        <f t="shared" si="157"/>
        <v>1.5381715055372671E-3</v>
      </c>
      <c r="AS20" s="62">
        <f t="shared" ref="AS20:AT20" si="158">IF(AS17="","",SUM(AS18:AS19))</f>
        <v>1.5381715055372671E-3</v>
      </c>
      <c r="AT20" s="62">
        <f t="shared" si="158"/>
        <v>1.5381715055372671E-3</v>
      </c>
      <c r="AU20" s="62">
        <f t="shared" ref="AU20:AV20" si="159">IF(AU17="","",SUM(AU18:AU19))</f>
        <v>1.5381715055372671E-3</v>
      </c>
      <c r="AV20" s="62">
        <f t="shared" si="159"/>
        <v>1.5381715055372671E-3</v>
      </c>
      <c r="AW20" s="62">
        <f t="shared" ref="AW20:AX20" si="160">IF(AW17="","",SUM(AW18:AW19))</f>
        <v>1.5381715055372671E-3</v>
      </c>
      <c r="AX20" s="62">
        <f t="shared" si="160"/>
        <v>1.5381715055372671E-3</v>
      </c>
    </row>
    <row r="21" spans="1:50" x14ac:dyDescent="0.35">
      <c r="A21" s="309"/>
      <c r="B21" s="73" t="s">
        <v>56</v>
      </c>
      <c r="C21" s="66">
        <f t="shared" ref="C21:D21" si="161">IF(C17="","",IFERROR(C19/C20,""))</f>
        <v>-0.37426908906064554</v>
      </c>
      <c r="D21" s="66">
        <f t="shared" si="161"/>
        <v>-0.37426908906064554</v>
      </c>
      <c r="E21" s="66">
        <f t="shared" ref="E21:F21" si="162">IF(E17="","",IFERROR(E19/E20,""))</f>
        <v>-0.37426908906064554</v>
      </c>
      <c r="F21" s="66">
        <f t="shared" si="162"/>
        <v>-0.37426908906064554</v>
      </c>
      <c r="G21" s="66">
        <f t="shared" ref="G21:H21" si="163">IF(G17="","",IFERROR(G19/G20,""))</f>
        <v>-0.37426908906064554</v>
      </c>
      <c r="H21" s="66">
        <f t="shared" si="163"/>
        <v>-0.37426908906064554</v>
      </c>
      <c r="I21" s="66">
        <f t="shared" ref="I21:J21" si="164">IF(I17="","",IFERROR(I19/I20,""))</f>
        <v>-0.37426908906064554</v>
      </c>
      <c r="J21" s="66">
        <f t="shared" si="164"/>
        <v>-0.37426908906064554</v>
      </c>
      <c r="K21" s="66">
        <f t="shared" ref="K21:L21" si="165">IF(K17="","",IFERROR(K19/K20,""))</f>
        <v>-0.37426908906064554</v>
      </c>
      <c r="L21" s="66">
        <f t="shared" si="165"/>
        <v>-0.37426908906064554</v>
      </c>
      <c r="M21" s="66">
        <f t="shared" ref="M21:N21" si="166">IF(M17="","",IFERROR(M19/M20,""))</f>
        <v>-0.37426908906064554</v>
      </c>
      <c r="N21" s="66">
        <f t="shared" si="166"/>
        <v>-0.37426908906064554</v>
      </c>
      <c r="O21" s="66">
        <f t="shared" ref="O21:P21" si="167">IF(O17="","",IFERROR(O19/O20,""))</f>
        <v>8.189409095627366E-2</v>
      </c>
      <c r="P21" s="66">
        <f t="shared" si="167"/>
        <v>8.189409095627366E-2</v>
      </c>
      <c r="Q21" s="66">
        <f t="shared" ref="Q21:R21" si="168">IF(Q17="","",IFERROR(Q19/Q20,""))</f>
        <v>8.189409095627366E-2</v>
      </c>
      <c r="R21" s="66">
        <f t="shared" si="168"/>
        <v>8.189409095627366E-2</v>
      </c>
      <c r="S21" s="66">
        <f t="shared" ref="S21:T21" si="169">IF(S17="","",IFERROR(S19/S20,""))</f>
        <v>8.189409095627366E-2</v>
      </c>
      <c r="T21" s="66">
        <f t="shared" si="169"/>
        <v>8.189409095627366E-2</v>
      </c>
      <c r="U21" s="66">
        <f t="shared" ref="U21:V21" si="170">IF(U17="","",IFERROR(U19/U20,""))</f>
        <v>8.189409095627366E-2</v>
      </c>
      <c r="V21" s="66">
        <f t="shared" si="170"/>
        <v>8.189409095627366E-2</v>
      </c>
      <c r="W21" s="66">
        <f t="shared" ref="W21:X21" si="171">IF(W17="","",IFERROR(W19/W20,""))</f>
        <v>8.189409095627366E-2</v>
      </c>
      <c r="X21" s="66">
        <f t="shared" si="171"/>
        <v>8.189409095627366E-2</v>
      </c>
      <c r="Y21" s="66">
        <f t="shared" ref="Y21:Z21" si="172">IF(Y17="","",IFERROR(Y19/Y20,""))</f>
        <v>8.189409095627366E-2</v>
      </c>
      <c r="Z21" s="66">
        <f t="shared" si="172"/>
        <v>8.189409095627366E-2</v>
      </c>
      <c r="AA21" s="66">
        <f t="shared" ref="AA21:AB21" si="173">IF(AA17="","",IFERROR(AA19/AA20,""))</f>
        <v>-7.643725450566434E-2</v>
      </c>
      <c r="AB21" s="66">
        <f t="shared" si="173"/>
        <v>-7.643725450566434E-2</v>
      </c>
      <c r="AC21" s="66">
        <f t="shared" ref="AC21:AD21" si="174">IF(AC17="","",IFERROR(AC19/AC20,""))</f>
        <v>-7.643725450566434E-2</v>
      </c>
      <c r="AD21" s="66">
        <f t="shared" si="174"/>
        <v>-7.643725450566434E-2</v>
      </c>
      <c r="AE21" s="66">
        <f t="shared" ref="AE21:AF21" si="175">IF(AE17="","",IFERROR(AE19/AE20,""))</f>
        <v>-7.643725450566434E-2</v>
      </c>
      <c r="AF21" s="66">
        <f t="shared" si="175"/>
        <v>-7.643725450566434E-2</v>
      </c>
      <c r="AG21" s="66">
        <f t="shared" ref="AG21:AH21" si="176">IF(AG17="","",IFERROR(AG19/AG20,""))</f>
        <v>-7.643725450566434E-2</v>
      </c>
      <c r="AH21" s="66">
        <f t="shared" si="176"/>
        <v>-7.643725450566434E-2</v>
      </c>
      <c r="AI21" s="66">
        <f t="shared" ref="AI21:AJ21" si="177">IF(AI17="","",IFERROR(AI19/AI20,""))</f>
        <v>-7.643725450566434E-2</v>
      </c>
      <c r="AJ21" s="66">
        <f t="shared" si="177"/>
        <v>-7.643725450566434E-2</v>
      </c>
      <c r="AK21" s="66">
        <f t="shared" ref="AK21:AL21" si="178">IF(AK17="","",IFERROR(AK19/AK20,""))</f>
        <v>-7.643725450566434E-2</v>
      </c>
      <c r="AL21" s="66">
        <f t="shared" si="178"/>
        <v>-7.643725450566434E-2</v>
      </c>
      <c r="AM21" s="66">
        <f t="shared" ref="AM21:AN21" si="179">IF(AM17="","",IFERROR(AM19/AM20,""))</f>
        <v>0.27859098550033645</v>
      </c>
      <c r="AN21" s="66">
        <f t="shared" si="179"/>
        <v>0.27859098550033645</v>
      </c>
      <c r="AO21" s="66">
        <f t="shared" ref="AO21:AP21" si="180">IF(AO17="","",IFERROR(AO19/AO20,""))</f>
        <v>0.27859098550033645</v>
      </c>
      <c r="AP21" s="66">
        <f t="shared" si="180"/>
        <v>0.27859098550033645</v>
      </c>
      <c r="AQ21" s="66">
        <f t="shared" ref="AQ21:AR21" si="181">IF(AQ17="","",IFERROR(AQ19/AQ20,""))</f>
        <v>0.27859098550033645</v>
      </c>
      <c r="AR21" s="66">
        <f t="shared" si="181"/>
        <v>0.27859098550033645</v>
      </c>
      <c r="AS21" s="66">
        <f t="shared" ref="AS21:AT21" si="182">IF(AS17="","",IFERROR(AS19/AS20,""))</f>
        <v>0.27859098550033645</v>
      </c>
      <c r="AT21" s="66">
        <f t="shared" si="182"/>
        <v>0.27859098550033645</v>
      </c>
      <c r="AU21" s="66">
        <f t="shared" ref="AU21:AV21" si="183">IF(AU17="","",IFERROR(AU19/AU20,""))</f>
        <v>0.27859098550033645</v>
      </c>
      <c r="AV21" s="66">
        <f t="shared" si="183"/>
        <v>0.27859098550033645</v>
      </c>
      <c r="AW21" s="66">
        <f t="shared" ref="AW21:AX21" si="184">IF(AW17="","",IFERROR(AW19/AW20,""))</f>
        <v>0.27859098550033645</v>
      </c>
      <c r="AX21" s="66">
        <f t="shared" si="184"/>
        <v>0.27859098550033645</v>
      </c>
    </row>
    <row r="22" spans="1:50" x14ac:dyDescent="0.35">
      <c r="A22" s="309"/>
      <c r="B22" s="74" t="s">
        <v>57</v>
      </c>
      <c r="C22" s="64">
        <f t="shared" ref="C22:D22" si="185">IF(C17="","",ROUND(C21*C17,2))</f>
        <v>-40612.01</v>
      </c>
      <c r="D22" s="64">
        <f t="shared" si="185"/>
        <v>-38351.11</v>
      </c>
      <c r="E22" s="64">
        <f t="shared" ref="E22:F22" si="186">IF(E17="","",ROUND(E21*E17,2))</f>
        <v>-32774.379999999997</v>
      </c>
      <c r="F22" s="64">
        <f t="shared" si="186"/>
        <v>-30569.17</v>
      </c>
      <c r="G22" s="64">
        <f t="shared" ref="G22:H22" si="187">IF(G17="","",ROUND(G21*G17,2))</f>
        <v>-36225.06</v>
      </c>
      <c r="H22" s="64">
        <f t="shared" si="187"/>
        <v>-42295.91</v>
      </c>
      <c r="I22" s="64">
        <f t="shared" ref="I22:J22" si="188">IF(I17="","",ROUND(I21*I17,2))</f>
        <v>-42141.33</v>
      </c>
      <c r="J22" s="64">
        <f t="shared" si="188"/>
        <v>-41942.74</v>
      </c>
      <c r="K22" s="64">
        <f t="shared" ref="K22:L22" si="189">IF(K17="","",ROUND(K21*K17,2))</f>
        <v>-35788.269999999997</v>
      </c>
      <c r="L22" s="64">
        <f t="shared" si="189"/>
        <v>-34863.54</v>
      </c>
      <c r="M22" s="64">
        <f t="shared" ref="M22:N22" si="190">IF(M17="","",ROUND(M21*M17,2))</f>
        <v>-37469.9</v>
      </c>
      <c r="N22" s="64">
        <f t="shared" si="190"/>
        <v>-40157.82</v>
      </c>
      <c r="O22" s="64">
        <f t="shared" ref="O22:P22" si="191">IF(O17="","",ROUND(O21*O17,2))</f>
        <v>26804.880000000001</v>
      </c>
      <c r="P22" s="64">
        <f t="shared" si="191"/>
        <v>46741.51</v>
      </c>
      <c r="Q22" s="64">
        <f t="shared" ref="Q22:R22" si="192">IF(Q17="","",ROUND(Q21*Q17,2))</f>
        <v>41624.800000000003</v>
      </c>
      <c r="R22" s="64">
        <f t="shared" si="192"/>
        <v>42397.51</v>
      </c>
      <c r="S22" s="64">
        <f t="shared" ref="S22:T22" si="193">IF(S17="","",ROUND(S21*S17,2))</f>
        <v>47114.93</v>
      </c>
      <c r="T22" s="64">
        <f t="shared" si="193"/>
        <v>55182.37</v>
      </c>
      <c r="U22" s="64">
        <f t="shared" ref="U22:V22" si="194">IF(U17="","",ROUND(U21*U17,2))</f>
        <v>54689.09</v>
      </c>
      <c r="V22" s="64">
        <f t="shared" si="194"/>
        <v>55739.85</v>
      </c>
      <c r="W22" s="64">
        <f t="shared" ref="W22:X22" si="195">IF(W17="","",ROUND(W21*W17,2))</f>
        <v>48995.69</v>
      </c>
      <c r="X22" s="64">
        <f t="shared" si="195"/>
        <v>43533.32</v>
      </c>
      <c r="Y22" s="64">
        <f t="shared" ref="Y22:Z22" si="196">IF(Y17="","",ROUND(Y21*Y17,2))</f>
        <v>47580.19</v>
      </c>
      <c r="Z22" s="64">
        <f t="shared" si="196"/>
        <v>50865.22</v>
      </c>
      <c r="AA22" s="64">
        <f t="shared" ref="AA22:AB22" si="197">IF(AA17="","",ROUND(AA21*AA17,2))</f>
        <v>-38543.78</v>
      </c>
      <c r="AB22" s="64">
        <f t="shared" si="197"/>
        <v>-23075.85</v>
      </c>
      <c r="AC22" s="64">
        <f t="shared" ref="AC22:AD22" si="198">IF(AC17="","",ROUND(AC21*AC17,2))</f>
        <v>-21444.13</v>
      </c>
      <c r="AD22" s="64">
        <f t="shared" si="198"/>
        <v>-22179.41</v>
      </c>
      <c r="AE22" s="64">
        <f t="shared" ref="AE22:AF22" si="199">IF(AE17="","",ROUND(AE21*AE17,2))</f>
        <v>-24889.02</v>
      </c>
      <c r="AF22" s="64">
        <f t="shared" si="199"/>
        <v>-27910.6</v>
      </c>
      <c r="AG22" s="64">
        <f t="shared" ref="AG22:AH22" si="200">IF(AG17="","",ROUND(AG21*AG17,2))</f>
        <v>-27712.27</v>
      </c>
      <c r="AH22" s="64">
        <f t="shared" si="200"/>
        <v>-26504</v>
      </c>
      <c r="AI22" s="64">
        <f t="shared" ref="AI22:AJ22" si="201">IF(AI17="","",ROUND(AI21*AI17,2))</f>
        <v>-22775.33</v>
      </c>
      <c r="AJ22" s="64">
        <f t="shared" si="201"/>
        <v>-22147.35</v>
      </c>
      <c r="AK22" s="64">
        <f t="shared" ref="AK22:AL22" si="202">IF(AK17="","",ROUND(AK21*AK17,2))</f>
        <v>-24687.83</v>
      </c>
      <c r="AL22" s="64">
        <f t="shared" si="202"/>
        <v>-25625.98</v>
      </c>
      <c r="AM22" s="64">
        <f t="shared" ref="AM22:AN22" si="203">IF(AM17="","",ROUND(AM21*AM17,2))</f>
        <v>140314.01</v>
      </c>
      <c r="AN22" s="64">
        <f t="shared" si="203"/>
        <v>219033.77</v>
      </c>
      <c r="AO22" s="64">
        <f t="shared" ref="AO22:AP22" si="204">IF(AO17="","",ROUND(AO21*AO17,2))</f>
        <v>209918.87</v>
      </c>
      <c r="AP22" s="64">
        <f t="shared" si="204"/>
        <v>208910.7</v>
      </c>
      <c r="AQ22" s="64">
        <f t="shared" ref="AQ22:AR22" si="205">IF(AQ17="","",ROUND(AQ21*AQ17,2))</f>
        <v>235701.66</v>
      </c>
      <c r="AR22" s="64">
        <f t="shared" si="205"/>
        <v>253779.93</v>
      </c>
      <c r="AS22" s="64">
        <f t="shared" ref="AS22:AT22" si="206">IF(AS17="","",ROUND(AS21*AS17,2))</f>
        <v>262841.98</v>
      </c>
      <c r="AT22" s="64">
        <f t="shared" si="206"/>
        <v>263181.37</v>
      </c>
      <c r="AU22" s="64">
        <f t="shared" ref="AU22:AV22" si="207">IF(AU17="","",ROUND(AU21*AU17,2))</f>
        <v>231429.61</v>
      </c>
      <c r="AV22" s="64">
        <f t="shared" si="207"/>
        <v>216496.89</v>
      </c>
      <c r="AW22" s="64">
        <f t="shared" ref="AW22:AX22" si="208">IF(AW17="","",ROUND(AW21*AW17,2))</f>
        <v>232717.17</v>
      </c>
      <c r="AX22" s="64">
        <f t="shared" si="208"/>
        <v>259320.09</v>
      </c>
    </row>
    <row r="23" spans="1:50" x14ac:dyDescent="0.35">
      <c r="A23" s="77"/>
      <c r="B23" s="7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row>
    <row r="24" spans="1:50" x14ac:dyDescent="0.35">
      <c r="A24" s="309" t="s">
        <v>36</v>
      </c>
      <c r="B24" s="73" t="s">
        <v>53</v>
      </c>
      <c r="C24" s="63">
        <f>IF(+'M3 Allocations - TD'!O54="","",'M3 Allocations - TD'!O54)</f>
        <v>45259.54</v>
      </c>
      <c r="D24" s="63">
        <f>IF(+'M3 Allocations - TD'!P54="","",'M3 Allocations - TD'!P54)</f>
        <v>39182.19</v>
      </c>
      <c r="E24" s="63">
        <f>IF(+'M3 Allocations - TD'!Q54="","",'M3 Allocations - TD'!Q54)</f>
        <v>38273.29</v>
      </c>
      <c r="F24" s="63">
        <f>IF(+'M3 Allocations - TD'!R54="","",'M3 Allocations - TD'!R54)</f>
        <v>36030.870000000003</v>
      </c>
      <c r="G24" s="63">
        <f>IF(+'M3 Allocations - TD'!S54="","",'M3 Allocations - TD'!S54)</f>
        <v>41962.67</v>
      </c>
      <c r="H24" s="63">
        <f>IF(+'M3 Allocations - TD'!T54="","",'M3 Allocations - TD'!T54)</f>
        <v>44167.05</v>
      </c>
      <c r="I24" s="63">
        <f>IF(+'M3 Allocations - TD'!U54="","",'M3 Allocations - TD'!U54)</f>
        <v>46294.41</v>
      </c>
      <c r="J24" s="63">
        <f>IF(+'M3 Allocations - TD'!V54="","",'M3 Allocations - TD'!V54)</f>
        <v>46306.19</v>
      </c>
      <c r="K24" s="63">
        <f>IF(+'M3 Allocations - TD'!W54="","",'M3 Allocations - TD'!W54)</f>
        <v>41160.14</v>
      </c>
      <c r="L24" s="63">
        <f>IF(+'M3 Allocations - TD'!X54="","",'M3 Allocations - TD'!X54)</f>
        <v>40868.620000000003</v>
      </c>
      <c r="M24" s="63">
        <f>IF(+'M3 Allocations - TD'!Y54="","",'M3 Allocations - TD'!Y54)</f>
        <v>42762.14</v>
      </c>
      <c r="N24" s="63">
        <f>IF(+'M3 Allocations - TD'!Z54="","",'M3 Allocations - TD'!Z54)</f>
        <v>41986.66</v>
      </c>
      <c r="O24" s="63">
        <f>IF(+'M3 Allocations - TD'!AA54="","",'M3 Allocations - TD'!AA54)</f>
        <v>113037.43</v>
      </c>
      <c r="P24" s="63">
        <f>IF(+'M3 Allocations - TD'!AB54="","",'M3 Allocations - TD'!AB54)</f>
        <v>187949.41</v>
      </c>
      <c r="Q24" s="63">
        <f>IF(+'M3 Allocations - TD'!AC54="","",'M3 Allocations - TD'!AC54)</f>
        <v>188602.4</v>
      </c>
      <c r="R24" s="63">
        <f>IF(+'M3 Allocations - TD'!AD54="","",'M3 Allocations - TD'!AD54)</f>
        <v>195382.67</v>
      </c>
      <c r="S24" s="63">
        <f>IF(+'M3 Allocations - TD'!AE54="","",'M3 Allocations - TD'!AE54)</f>
        <v>188207.84</v>
      </c>
      <c r="T24" s="63">
        <f>IF(+'M3 Allocations - TD'!AF54="","",'M3 Allocations - TD'!AF54)</f>
        <v>251615.09</v>
      </c>
      <c r="U24" s="63">
        <f>IF(+'M3 Allocations - TD'!AG54="","",'M3 Allocations - TD'!AG54)</f>
        <v>231015.31</v>
      </c>
      <c r="V24" s="63">
        <f>IF(+'M3 Allocations - TD'!AH54="","",'M3 Allocations - TD'!AH54)</f>
        <v>233947.55</v>
      </c>
      <c r="W24" s="63">
        <f>IF(+'M3 Allocations - TD'!AI54="","",'M3 Allocations - TD'!AI54)</f>
        <v>202010.25</v>
      </c>
      <c r="X24" s="63">
        <f>IF(+'M3 Allocations - TD'!AJ54="","",'M3 Allocations - TD'!AJ54)</f>
        <v>176212.48000000001</v>
      </c>
      <c r="Y24" s="63">
        <f>IF(+'M3 Allocations - TD'!AK54="","",'M3 Allocations - TD'!AK54)</f>
        <v>231619.08</v>
      </c>
      <c r="Z24" s="63">
        <f>IF(+'M3 Allocations - TD'!AL54="","",'M3 Allocations - TD'!AL54)</f>
        <v>223678.57</v>
      </c>
      <c r="AA24" s="63">
        <f>IF(+'M3 Allocations - TD'!AM54="","",'M3 Allocations - TD'!AM54)</f>
        <v>167453.84</v>
      </c>
      <c r="AB24" s="63">
        <f>IF(+'M3 Allocations - TD'!AN54="","",'M3 Allocations - TD'!AN54)</f>
        <v>87280.08</v>
      </c>
      <c r="AC24" s="63">
        <f>IF(+'M3 Allocations - TD'!AO54="","",'M3 Allocations - TD'!AO54)</f>
        <v>74518.28</v>
      </c>
      <c r="AD24" s="63">
        <f>IF(+'M3 Allocations - TD'!AP54="","",'M3 Allocations - TD'!AP54)</f>
        <v>87009.31</v>
      </c>
      <c r="AE24" s="63">
        <f>IF(+'M3 Allocations - TD'!AQ54="","",'M3 Allocations - TD'!AQ54)</f>
        <v>99059.55</v>
      </c>
      <c r="AF24" s="63">
        <f>IF(+'M3 Allocations - TD'!AR54="","",'M3 Allocations - TD'!AR54)</f>
        <v>102989.08</v>
      </c>
      <c r="AG24" s="63">
        <f>IF(+'M3 Allocations - TD'!AS54="","",'M3 Allocations - TD'!AS54)</f>
        <v>102162.93</v>
      </c>
      <c r="AH24" s="63">
        <f>IF(+'M3 Allocations - TD'!AT54="","",'M3 Allocations - TD'!AT54)</f>
        <v>99521.61</v>
      </c>
      <c r="AI24" s="63">
        <f>IF(+'M3 Allocations - TD'!AU54="","",'M3 Allocations - TD'!AU54)</f>
        <v>88233.75</v>
      </c>
      <c r="AJ24" s="63">
        <f>IF(+'M3 Allocations - TD'!AV54="","",'M3 Allocations - TD'!AV54)</f>
        <v>89104.03</v>
      </c>
      <c r="AK24" s="63">
        <f>IF(+'M3 Allocations - TD'!AW54="","",'M3 Allocations - TD'!AW54)</f>
        <v>92492.2</v>
      </c>
      <c r="AL24" s="63">
        <f>IF(+'M3 Allocations - TD'!AX54="","",'M3 Allocations - TD'!AX54)</f>
        <v>88054.05</v>
      </c>
      <c r="AM24" s="63">
        <f>IF(+'M3 Allocations - TD'!AY54="","",'M3 Allocations - TD'!AY54)</f>
        <v>120533.48</v>
      </c>
      <c r="AN24" s="63">
        <f>IF(+'M3 Allocations - TD'!AZ54="","",'M3 Allocations - TD'!AZ54)</f>
        <v>193175.07</v>
      </c>
      <c r="AO24" s="63">
        <f>IF(+'M3 Allocations - TD'!BA54="","",'M3 Allocations - TD'!BA54)</f>
        <v>200125.64</v>
      </c>
      <c r="AP24" s="63">
        <f>IF(+'M3 Allocations - TD'!BB54="","",'M3 Allocations - TD'!BB54)</f>
        <v>199975.26</v>
      </c>
      <c r="AQ24" s="63">
        <f>IF(+'M3 Allocations - TD'!BC54="","",'M3 Allocations - TD'!BC54)</f>
        <v>209103.63</v>
      </c>
      <c r="AR24" s="63">
        <f>IF(+'M3 Allocations - TD'!BD54="","",'M3 Allocations - TD'!BD54)</f>
        <v>214447.91</v>
      </c>
      <c r="AS24" s="63">
        <f>IF(+'M3 Allocations - TD'!BE54="","",'M3 Allocations - TD'!BE54)</f>
        <v>242601.69</v>
      </c>
      <c r="AT24" s="63">
        <f>IF(+'M3 Allocations - TD'!BF54="","",'M3 Allocations - TD'!BF54)</f>
        <v>231833.74</v>
      </c>
      <c r="AU24" s="63">
        <f>IF(+'M3 Allocations - TD'!BG54="","",'M3 Allocations - TD'!BG54)</f>
        <v>201281.09</v>
      </c>
      <c r="AV24" s="63">
        <f>IF(+'M3 Allocations - TD'!BH54="","",'M3 Allocations - TD'!BH54)</f>
        <v>200353.60661038759</v>
      </c>
      <c r="AW24" s="63">
        <f>IF(+'M3 Allocations - TD'!BI54="","",'M3 Allocations - TD'!BI54)</f>
        <v>207608.02010232591</v>
      </c>
      <c r="AX24" s="63">
        <f>IF(+'M3 Allocations - TD'!BJ54="","",'M3 Allocations - TD'!BJ54)</f>
        <v>217780.98652118864</v>
      </c>
    </row>
    <row r="25" spans="1:50" x14ac:dyDescent="0.35">
      <c r="A25" s="309"/>
      <c r="B25" s="73" t="s">
        <v>55</v>
      </c>
      <c r="C25" s="119">
        <v>2.5367471035843018E-4</v>
      </c>
      <c r="D25" s="90">
        <f t="shared" ref="D25:AX26" si="209">IF(D24="","",C25)</f>
        <v>2.5367471035843018E-4</v>
      </c>
      <c r="E25" s="90">
        <f t="shared" si="209"/>
        <v>2.5367471035843018E-4</v>
      </c>
      <c r="F25" s="90">
        <f t="shared" si="209"/>
        <v>2.5367471035843018E-4</v>
      </c>
      <c r="G25" s="90">
        <f t="shared" si="209"/>
        <v>2.5367471035843018E-4</v>
      </c>
      <c r="H25" s="90">
        <f t="shared" si="209"/>
        <v>2.5367471035843018E-4</v>
      </c>
      <c r="I25" s="90">
        <f t="shared" si="209"/>
        <v>2.5367471035843018E-4</v>
      </c>
      <c r="J25" s="90">
        <f t="shared" si="209"/>
        <v>2.5367471035843018E-4</v>
      </c>
      <c r="K25" s="90">
        <f t="shared" si="209"/>
        <v>2.5367471035843018E-4</v>
      </c>
      <c r="L25" s="90">
        <f t="shared" si="209"/>
        <v>2.5367471035843018E-4</v>
      </c>
      <c r="M25" s="90">
        <f t="shared" si="209"/>
        <v>2.5367471035843018E-4</v>
      </c>
      <c r="N25" s="90">
        <f t="shared" si="209"/>
        <v>2.5367471035843018E-4</v>
      </c>
      <c r="O25" s="120">
        <v>8.3774060384398373E-4</v>
      </c>
      <c r="P25" s="90">
        <f t="shared" si="209"/>
        <v>8.3774060384398373E-4</v>
      </c>
      <c r="Q25" s="90">
        <f t="shared" si="209"/>
        <v>8.3774060384398373E-4</v>
      </c>
      <c r="R25" s="90">
        <f t="shared" si="209"/>
        <v>8.3774060384398373E-4</v>
      </c>
      <c r="S25" s="90">
        <f t="shared" si="209"/>
        <v>8.3774060384398373E-4</v>
      </c>
      <c r="T25" s="90">
        <f t="shared" si="209"/>
        <v>8.3774060384398373E-4</v>
      </c>
      <c r="U25" s="90">
        <f t="shared" si="209"/>
        <v>8.3774060384398373E-4</v>
      </c>
      <c r="V25" s="90">
        <f t="shared" si="209"/>
        <v>8.3774060384398373E-4</v>
      </c>
      <c r="W25" s="90">
        <f t="shared" si="209"/>
        <v>8.3774060384398373E-4</v>
      </c>
      <c r="X25" s="90">
        <f t="shared" si="209"/>
        <v>8.3774060384398373E-4</v>
      </c>
      <c r="Y25" s="90">
        <f t="shared" si="209"/>
        <v>8.3774060384398373E-4</v>
      </c>
      <c r="Z25" s="90">
        <f t="shared" si="209"/>
        <v>8.3774060384398373E-4</v>
      </c>
      <c r="AA25" s="120">
        <v>5.200153279680842E-4</v>
      </c>
      <c r="AB25" s="90">
        <f t="shared" si="209"/>
        <v>5.200153279680842E-4</v>
      </c>
      <c r="AC25" s="90">
        <f t="shared" si="209"/>
        <v>5.200153279680842E-4</v>
      </c>
      <c r="AD25" s="90">
        <f t="shared" si="209"/>
        <v>5.200153279680842E-4</v>
      </c>
      <c r="AE25" s="90">
        <f t="shared" si="209"/>
        <v>5.200153279680842E-4</v>
      </c>
      <c r="AF25" s="90">
        <f t="shared" si="209"/>
        <v>5.200153279680842E-4</v>
      </c>
      <c r="AG25" s="90">
        <f t="shared" si="209"/>
        <v>5.200153279680842E-4</v>
      </c>
      <c r="AH25" s="90">
        <f t="shared" si="209"/>
        <v>5.200153279680842E-4</v>
      </c>
      <c r="AI25" s="90">
        <f t="shared" si="209"/>
        <v>5.200153279680842E-4</v>
      </c>
      <c r="AJ25" s="90">
        <f t="shared" si="209"/>
        <v>5.200153279680842E-4</v>
      </c>
      <c r="AK25" s="90">
        <f t="shared" si="209"/>
        <v>5.200153279680842E-4</v>
      </c>
      <c r="AL25" s="90">
        <f t="shared" si="209"/>
        <v>5.200153279680842E-4</v>
      </c>
      <c r="AM25" s="120">
        <v>9.0916157952495972E-4</v>
      </c>
      <c r="AN25" s="90">
        <f t="shared" si="209"/>
        <v>9.0916157952495972E-4</v>
      </c>
      <c r="AO25" s="90">
        <f t="shared" si="209"/>
        <v>9.0916157952495972E-4</v>
      </c>
      <c r="AP25" s="90">
        <f t="shared" si="209"/>
        <v>9.0916157952495972E-4</v>
      </c>
      <c r="AQ25" s="90">
        <f t="shared" si="209"/>
        <v>9.0916157952495972E-4</v>
      </c>
      <c r="AR25" s="90">
        <f t="shared" si="209"/>
        <v>9.0916157952495972E-4</v>
      </c>
      <c r="AS25" s="90">
        <f t="shared" si="209"/>
        <v>9.0916157952495972E-4</v>
      </c>
      <c r="AT25" s="90">
        <f t="shared" si="209"/>
        <v>9.0916157952495972E-4</v>
      </c>
      <c r="AU25" s="90">
        <f t="shared" si="209"/>
        <v>9.0916157952495972E-4</v>
      </c>
      <c r="AV25" s="90">
        <f t="shared" si="209"/>
        <v>9.0916157952495972E-4</v>
      </c>
      <c r="AW25" s="90">
        <f t="shared" si="209"/>
        <v>9.0916157952495972E-4</v>
      </c>
      <c r="AX25" s="90">
        <f t="shared" si="209"/>
        <v>9.0916157952495972E-4</v>
      </c>
    </row>
    <row r="26" spans="1:50" x14ac:dyDescent="0.35">
      <c r="A26" s="309"/>
      <c r="B26" s="73" t="s">
        <v>54</v>
      </c>
      <c r="C26" s="120">
        <v>-7.9632920155371304E-5</v>
      </c>
      <c r="D26" s="90">
        <f t="shared" si="209"/>
        <v>-7.9632920155371304E-5</v>
      </c>
      <c r="E26" s="90">
        <f t="shared" si="209"/>
        <v>-7.9632920155371304E-5</v>
      </c>
      <c r="F26" s="90">
        <f t="shared" si="209"/>
        <v>-7.9632920155371304E-5</v>
      </c>
      <c r="G26" s="90">
        <f t="shared" si="209"/>
        <v>-7.9632920155371304E-5</v>
      </c>
      <c r="H26" s="90">
        <f t="shared" si="209"/>
        <v>-7.9632920155371304E-5</v>
      </c>
      <c r="I26" s="90">
        <f t="shared" si="209"/>
        <v>-7.9632920155371304E-5</v>
      </c>
      <c r="J26" s="90">
        <f t="shared" si="209"/>
        <v>-7.9632920155371304E-5</v>
      </c>
      <c r="K26" s="90">
        <f t="shared" si="209"/>
        <v>-7.9632920155371304E-5</v>
      </c>
      <c r="L26" s="90">
        <f t="shared" si="209"/>
        <v>-7.9632920155371304E-5</v>
      </c>
      <c r="M26" s="90">
        <f t="shared" si="209"/>
        <v>-7.9632920155371304E-5</v>
      </c>
      <c r="N26" s="90">
        <f t="shared" si="209"/>
        <v>-7.9632920155371304E-5</v>
      </c>
      <c r="O26" s="120">
        <v>4.0604417384412134E-5</v>
      </c>
      <c r="P26" s="90">
        <f t="shared" si="209"/>
        <v>4.0604417384412134E-5</v>
      </c>
      <c r="Q26" s="90">
        <f t="shared" si="209"/>
        <v>4.0604417384412134E-5</v>
      </c>
      <c r="R26" s="90">
        <f t="shared" si="209"/>
        <v>4.0604417384412134E-5</v>
      </c>
      <c r="S26" s="90">
        <f t="shared" si="209"/>
        <v>4.0604417384412134E-5</v>
      </c>
      <c r="T26" s="90">
        <f t="shared" si="209"/>
        <v>4.0604417384412134E-5</v>
      </c>
      <c r="U26" s="90">
        <f t="shared" si="209"/>
        <v>4.0604417384412134E-5</v>
      </c>
      <c r="V26" s="90">
        <f t="shared" si="209"/>
        <v>4.0604417384412134E-5</v>
      </c>
      <c r="W26" s="90">
        <f t="shared" si="209"/>
        <v>4.0604417384412134E-5</v>
      </c>
      <c r="X26" s="90">
        <f t="shared" si="209"/>
        <v>4.0604417384412134E-5</v>
      </c>
      <c r="Y26" s="90">
        <f t="shared" si="209"/>
        <v>4.0604417384412134E-5</v>
      </c>
      <c r="Z26" s="90">
        <f t="shared" si="209"/>
        <v>4.0604417384412134E-5</v>
      </c>
      <c r="AA26" s="120">
        <v>-1.3502250027566654E-4</v>
      </c>
      <c r="AB26" s="90">
        <f t="shared" si="209"/>
        <v>-1.3502250027566654E-4</v>
      </c>
      <c r="AC26" s="90">
        <f t="shared" si="209"/>
        <v>-1.3502250027566654E-4</v>
      </c>
      <c r="AD26" s="90">
        <f t="shared" si="209"/>
        <v>-1.3502250027566654E-4</v>
      </c>
      <c r="AE26" s="90">
        <f t="shared" si="209"/>
        <v>-1.3502250027566654E-4</v>
      </c>
      <c r="AF26" s="90">
        <f t="shared" si="209"/>
        <v>-1.3502250027566654E-4</v>
      </c>
      <c r="AG26" s="90">
        <f t="shared" si="209"/>
        <v>-1.3502250027566654E-4</v>
      </c>
      <c r="AH26" s="90">
        <f t="shared" si="209"/>
        <v>-1.3502250027566654E-4</v>
      </c>
      <c r="AI26" s="90">
        <f t="shared" si="209"/>
        <v>-1.3502250027566654E-4</v>
      </c>
      <c r="AJ26" s="90">
        <f t="shared" si="209"/>
        <v>-1.3502250027566654E-4</v>
      </c>
      <c r="AK26" s="90">
        <f t="shared" si="209"/>
        <v>-1.3502250027566654E-4</v>
      </c>
      <c r="AL26" s="90">
        <f t="shared" si="209"/>
        <v>-1.3502250027566654E-4</v>
      </c>
      <c r="AM26" s="120">
        <v>2.3817613824927264E-6</v>
      </c>
      <c r="AN26" s="90">
        <f t="shared" si="209"/>
        <v>2.3817613824927264E-6</v>
      </c>
      <c r="AO26" s="90">
        <f t="shared" si="209"/>
        <v>2.3817613824927264E-6</v>
      </c>
      <c r="AP26" s="90">
        <f t="shared" si="209"/>
        <v>2.3817613824927264E-6</v>
      </c>
      <c r="AQ26" s="90">
        <f t="shared" si="209"/>
        <v>2.3817613824927264E-6</v>
      </c>
      <c r="AR26" s="90">
        <f t="shared" si="209"/>
        <v>2.3817613824927264E-6</v>
      </c>
      <c r="AS26" s="90">
        <f t="shared" si="209"/>
        <v>2.3817613824927264E-6</v>
      </c>
      <c r="AT26" s="90">
        <f t="shared" si="209"/>
        <v>2.3817613824927264E-6</v>
      </c>
      <c r="AU26" s="90">
        <f t="shared" si="209"/>
        <v>2.3817613824927264E-6</v>
      </c>
      <c r="AV26" s="90">
        <f t="shared" si="209"/>
        <v>2.3817613824927264E-6</v>
      </c>
      <c r="AW26" s="90">
        <f t="shared" si="209"/>
        <v>2.3817613824927264E-6</v>
      </c>
      <c r="AX26" s="90">
        <f t="shared" si="209"/>
        <v>2.3817613824927264E-6</v>
      </c>
    </row>
    <row r="27" spans="1:50" x14ac:dyDescent="0.35">
      <c r="A27" s="309"/>
      <c r="B27" s="73" t="s">
        <v>63</v>
      </c>
      <c r="C27" s="62">
        <f t="shared" ref="C27:D27" si="210">IF(C24="","",SUM(C25:C26))</f>
        <v>1.7404179020305888E-4</v>
      </c>
      <c r="D27" s="62">
        <f t="shared" si="210"/>
        <v>1.7404179020305888E-4</v>
      </c>
      <c r="E27" s="62">
        <f t="shared" ref="E27:F27" si="211">IF(E24="","",SUM(E25:E26))</f>
        <v>1.7404179020305888E-4</v>
      </c>
      <c r="F27" s="62">
        <f t="shared" si="211"/>
        <v>1.7404179020305888E-4</v>
      </c>
      <c r="G27" s="62">
        <f t="shared" ref="G27:H27" si="212">IF(G24="","",SUM(G25:G26))</f>
        <v>1.7404179020305888E-4</v>
      </c>
      <c r="H27" s="62">
        <f t="shared" si="212"/>
        <v>1.7404179020305888E-4</v>
      </c>
      <c r="I27" s="62">
        <f t="shared" ref="I27:J27" si="213">IF(I24="","",SUM(I25:I26))</f>
        <v>1.7404179020305888E-4</v>
      </c>
      <c r="J27" s="62">
        <f t="shared" si="213"/>
        <v>1.7404179020305888E-4</v>
      </c>
      <c r="K27" s="62">
        <f t="shared" ref="K27:L27" si="214">IF(K24="","",SUM(K25:K26))</f>
        <v>1.7404179020305888E-4</v>
      </c>
      <c r="L27" s="62">
        <f t="shared" si="214"/>
        <v>1.7404179020305888E-4</v>
      </c>
      <c r="M27" s="62">
        <f t="shared" ref="M27:N27" si="215">IF(M24="","",SUM(M25:M26))</f>
        <v>1.7404179020305888E-4</v>
      </c>
      <c r="N27" s="62">
        <f t="shared" si="215"/>
        <v>1.7404179020305888E-4</v>
      </c>
      <c r="O27" s="62">
        <f t="shared" ref="O27:P27" si="216">IF(O24="","",SUM(O25:O26))</f>
        <v>8.7834502122839588E-4</v>
      </c>
      <c r="P27" s="62">
        <f t="shared" si="216"/>
        <v>8.7834502122839588E-4</v>
      </c>
      <c r="Q27" s="62">
        <f t="shared" ref="Q27:R27" si="217">IF(Q24="","",SUM(Q25:Q26))</f>
        <v>8.7834502122839588E-4</v>
      </c>
      <c r="R27" s="62">
        <f t="shared" si="217"/>
        <v>8.7834502122839588E-4</v>
      </c>
      <c r="S27" s="62">
        <f t="shared" ref="S27:T27" si="218">IF(S24="","",SUM(S25:S26))</f>
        <v>8.7834502122839588E-4</v>
      </c>
      <c r="T27" s="62">
        <f t="shared" si="218"/>
        <v>8.7834502122839588E-4</v>
      </c>
      <c r="U27" s="62">
        <f t="shared" ref="U27:V27" si="219">IF(U24="","",SUM(U25:U26))</f>
        <v>8.7834502122839588E-4</v>
      </c>
      <c r="V27" s="62">
        <f t="shared" si="219"/>
        <v>8.7834502122839588E-4</v>
      </c>
      <c r="W27" s="62">
        <f t="shared" ref="W27:X27" si="220">IF(W24="","",SUM(W25:W26))</f>
        <v>8.7834502122839588E-4</v>
      </c>
      <c r="X27" s="62">
        <f t="shared" si="220"/>
        <v>8.7834502122839588E-4</v>
      </c>
      <c r="Y27" s="62">
        <f t="shared" ref="Y27" si="221">IF(Y24="","",SUM(Y25:Y26))</f>
        <v>8.7834502122839588E-4</v>
      </c>
      <c r="Z27" s="62">
        <f>IF(Z24="","",SUM(Z25:Z26))</f>
        <v>8.7834502122839588E-4</v>
      </c>
      <c r="AA27" s="62">
        <f t="shared" ref="AA27:AB27" si="222">IF(AA24="","",SUM(AA25:AA26))</f>
        <v>3.8499282769241766E-4</v>
      </c>
      <c r="AB27" s="62">
        <f t="shared" si="222"/>
        <v>3.8499282769241766E-4</v>
      </c>
      <c r="AC27" s="62">
        <f t="shared" ref="AC27:AD27" si="223">IF(AC24="","",SUM(AC25:AC26))</f>
        <v>3.8499282769241766E-4</v>
      </c>
      <c r="AD27" s="62">
        <f t="shared" si="223"/>
        <v>3.8499282769241766E-4</v>
      </c>
      <c r="AE27" s="62">
        <f t="shared" ref="AE27:AF27" si="224">IF(AE24="","",SUM(AE25:AE26))</f>
        <v>3.8499282769241766E-4</v>
      </c>
      <c r="AF27" s="62">
        <f t="shared" si="224"/>
        <v>3.8499282769241766E-4</v>
      </c>
      <c r="AG27" s="62">
        <f t="shared" ref="AG27:AH27" si="225">IF(AG24="","",SUM(AG25:AG26))</f>
        <v>3.8499282769241766E-4</v>
      </c>
      <c r="AH27" s="62">
        <f t="shared" si="225"/>
        <v>3.8499282769241766E-4</v>
      </c>
      <c r="AI27" s="62">
        <f t="shared" ref="AI27:AJ27" si="226">IF(AI24="","",SUM(AI25:AI26))</f>
        <v>3.8499282769241766E-4</v>
      </c>
      <c r="AJ27" s="62">
        <f t="shared" si="226"/>
        <v>3.8499282769241766E-4</v>
      </c>
      <c r="AK27" s="62">
        <f t="shared" ref="AK27:AL27" si="227">IF(AK24="","",SUM(AK25:AK26))</f>
        <v>3.8499282769241766E-4</v>
      </c>
      <c r="AL27" s="62">
        <f t="shared" si="227"/>
        <v>3.8499282769241766E-4</v>
      </c>
      <c r="AM27" s="62">
        <f t="shared" ref="AM27:AN27" si="228">IF(AM24="","",SUM(AM25:AM26))</f>
        <v>9.1154334090745245E-4</v>
      </c>
      <c r="AN27" s="62">
        <f t="shared" si="228"/>
        <v>9.1154334090745245E-4</v>
      </c>
      <c r="AO27" s="62">
        <f t="shared" ref="AO27:AP27" si="229">IF(AO24="","",SUM(AO25:AO26))</f>
        <v>9.1154334090745245E-4</v>
      </c>
      <c r="AP27" s="62">
        <f t="shared" si="229"/>
        <v>9.1154334090745245E-4</v>
      </c>
      <c r="AQ27" s="62">
        <f t="shared" ref="AQ27:AR27" si="230">IF(AQ24="","",SUM(AQ25:AQ26))</f>
        <v>9.1154334090745245E-4</v>
      </c>
      <c r="AR27" s="62">
        <f t="shared" si="230"/>
        <v>9.1154334090745245E-4</v>
      </c>
      <c r="AS27" s="62">
        <f t="shared" ref="AS27:AT27" si="231">IF(AS24="","",SUM(AS25:AS26))</f>
        <v>9.1154334090745245E-4</v>
      </c>
      <c r="AT27" s="62">
        <f t="shared" si="231"/>
        <v>9.1154334090745245E-4</v>
      </c>
      <c r="AU27" s="62">
        <f t="shared" ref="AU27:AV27" si="232">IF(AU24="","",SUM(AU25:AU26))</f>
        <v>9.1154334090745245E-4</v>
      </c>
      <c r="AV27" s="62">
        <f t="shared" si="232"/>
        <v>9.1154334090745245E-4</v>
      </c>
      <c r="AW27" s="62">
        <f t="shared" ref="AW27:AX27" si="233">IF(AW24="","",SUM(AW25:AW26))</f>
        <v>9.1154334090745245E-4</v>
      </c>
      <c r="AX27" s="62">
        <f t="shared" si="233"/>
        <v>9.1154334090745245E-4</v>
      </c>
    </row>
    <row r="28" spans="1:50" x14ac:dyDescent="0.35">
      <c r="A28" s="309"/>
      <c r="B28" s="73" t="s">
        <v>56</v>
      </c>
      <c r="C28" s="66">
        <f t="shared" ref="C28:D28" si="234">IF(C24="","",IFERROR(C26/C27,""))</f>
        <v>-0.45755056910447539</v>
      </c>
      <c r="D28" s="66">
        <f t="shared" si="234"/>
        <v>-0.45755056910447539</v>
      </c>
      <c r="E28" s="66">
        <f t="shared" ref="E28:F28" si="235">IF(E24="","",IFERROR(E26/E27,""))</f>
        <v>-0.45755056910447539</v>
      </c>
      <c r="F28" s="66">
        <f t="shared" si="235"/>
        <v>-0.45755056910447539</v>
      </c>
      <c r="G28" s="66">
        <f t="shared" ref="G28:H28" si="236">IF(G24="","",IFERROR(G26/G27,""))</f>
        <v>-0.45755056910447539</v>
      </c>
      <c r="H28" s="66">
        <f t="shared" si="236"/>
        <v>-0.45755056910447539</v>
      </c>
      <c r="I28" s="66">
        <f t="shared" ref="I28:J28" si="237">IF(I24="","",IFERROR(I26/I27,""))</f>
        <v>-0.45755056910447539</v>
      </c>
      <c r="J28" s="66">
        <f t="shared" si="237"/>
        <v>-0.45755056910447539</v>
      </c>
      <c r="K28" s="66">
        <f t="shared" ref="K28:L28" si="238">IF(K24="","",IFERROR(K26/K27,""))</f>
        <v>-0.45755056910447539</v>
      </c>
      <c r="L28" s="66">
        <f t="shared" si="238"/>
        <v>-0.45755056910447539</v>
      </c>
      <c r="M28" s="66">
        <f t="shared" ref="M28:N28" si="239">IF(M24="","",IFERROR(M26/M27,""))</f>
        <v>-0.45755056910447539</v>
      </c>
      <c r="N28" s="66">
        <f t="shared" si="239"/>
        <v>-0.45755056910447539</v>
      </c>
      <c r="O28" s="66">
        <f t="shared" ref="O28:P28" si="240">IF(O24="","",IFERROR(O26/O27,""))</f>
        <v>4.6228323042835098E-2</v>
      </c>
      <c r="P28" s="66">
        <f t="shared" si="240"/>
        <v>4.6228323042835098E-2</v>
      </c>
      <c r="Q28" s="66">
        <f t="shared" ref="Q28:R28" si="241">IF(Q24="","",IFERROR(Q26/Q27,""))</f>
        <v>4.6228323042835098E-2</v>
      </c>
      <c r="R28" s="66">
        <f t="shared" si="241"/>
        <v>4.6228323042835098E-2</v>
      </c>
      <c r="S28" s="66">
        <f t="shared" ref="S28:T28" si="242">IF(S24="","",IFERROR(S26/S27,""))</f>
        <v>4.6228323042835098E-2</v>
      </c>
      <c r="T28" s="66">
        <f t="shared" si="242"/>
        <v>4.6228323042835098E-2</v>
      </c>
      <c r="U28" s="66">
        <f t="shared" ref="U28:V28" si="243">IF(U24="","",IFERROR(U26/U27,""))</f>
        <v>4.6228323042835098E-2</v>
      </c>
      <c r="V28" s="66">
        <f t="shared" si="243"/>
        <v>4.6228323042835098E-2</v>
      </c>
      <c r="W28" s="66">
        <f t="shared" ref="W28:X28" si="244">IF(W24="","",IFERROR(W26/W27,""))</f>
        <v>4.6228323042835098E-2</v>
      </c>
      <c r="X28" s="66">
        <f t="shared" si="244"/>
        <v>4.6228323042835098E-2</v>
      </c>
      <c r="Y28" s="66">
        <f t="shared" ref="Y28:Z28" si="245">IF(Y24="","",IFERROR(Y26/Y27,""))</f>
        <v>4.6228323042835098E-2</v>
      </c>
      <c r="Z28" s="66">
        <f t="shared" si="245"/>
        <v>4.6228323042835098E-2</v>
      </c>
      <c r="AA28" s="66">
        <f t="shared" ref="AA28:AB28" si="246">IF(AA24="","",IFERROR(AA26/AA27,""))</f>
        <v>-0.35071432651088263</v>
      </c>
      <c r="AB28" s="66">
        <f t="shared" si="246"/>
        <v>-0.35071432651088263</v>
      </c>
      <c r="AC28" s="66">
        <f t="shared" ref="AC28:AD28" si="247">IF(AC24="","",IFERROR(AC26/AC27,""))</f>
        <v>-0.35071432651088263</v>
      </c>
      <c r="AD28" s="66">
        <f t="shared" si="247"/>
        <v>-0.35071432651088263</v>
      </c>
      <c r="AE28" s="66">
        <f t="shared" ref="AE28:AF28" si="248">IF(AE24="","",IFERROR(AE26/AE27,""))</f>
        <v>-0.35071432651088263</v>
      </c>
      <c r="AF28" s="66">
        <f t="shared" si="248"/>
        <v>-0.35071432651088263</v>
      </c>
      <c r="AG28" s="66">
        <f t="shared" ref="AG28:AH28" si="249">IF(AG24="","",IFERROR(AG26/AG27,""))</f>
        <v>-0.35071432651088263</v>
      </c>
      <c r="AH28" s="66">
        <f t="shared" si="249"/>
        <v>-0.35071432651088263</v>
      </c>
      <c r="AI28" s="66">
        <f t="shared" ref="AI28:AJ28" si="250">IF(AI24="","",IFERROR(AI26/AI27,""))</f>
        <v>-0.35071432651088263</v>
      </c>
      <c r="AJ28" s="66">
        <f t="shared" si="250"/>
        <v>-0.35071432651088263</v>
      </c>
      <c r="AK28" s="66">
        <f t="shared" ref="AK28:AL28" si="251">IF(AK24="","",IFERROR(AK26/AK27,""))</f>
        <v>-0.35071432651088263</v>
      </c>
      <c r="AL28" s="66">
        <f t="shared" si="251"/>
        <v>-0.35071432651088263</v>
      </c>
      <c r="AM28" s="66">
        <f t="shared" ref="AM28:AN28" si="252">IF(AM24="","",IFERROR(AM26/AM27,""))</f>
        <v>2.6128887959640558E-3</v>
      </c>
      <c r="AN28" s="66">
        <f t="shared" si="252"/>
        <v>2.6128887959640558E-3</v>
      </c>
      <c r="AO28" s="66">
        <f t="shared" ref="AO28:AP28" si="253">IF(AO24="","",IFERROR(AO26/AO27,""))</f>
        <v>2.6128887959640558E-3</v>
      </c>
      <c r="AP28" s="66">
        <f t="shared" si="253"/>
        <v>2.6128887959640558E-3</v>
      </c>
      <c r="AQ28" s="66">
        <f t="shared" ref="AQ28:AR28" si="254">IF(AQ24="","",IFERROR(AQ26/AQ27,""))</f>
        <v>2.6128887959640558E-3</v>
      </c>
      <c r="AR28" s="66">
        <f t="shared" si="254"/>
        <v>2.6128887959640558E-3</v>
      </c>
      <c r="AS28" s="66">
        <f t="shared" ref="AS28:AT28" si="255">IF(AS24="","",IFERROR(AS26/AS27,""))</f>
        <v>2.6128887959640558E-3</v>
      </c>
      <c r="AT28" s="66">
        <f t="shared" si="255"/>
        <v>2.6128887959640558E-3</v>
      </c>
      <c r="AU28" s="66">
        <f t="shared" ref="AU28:AV28" si="256">IF(AU24="","",IFERROR(AU26/AU27,""))</f>
        <v>2.6128887959640558E-3</v>
      </c>
      <c r="AV28" s="66">
        <f t="shared" si="256"/>
        <v>2.6128887959640558E-3</v>
      </c>
      <c r="AW28" s="66">
        <f t="shared" ref="AW28:AX28" si="257">IF(AW24="","",IFERROR(AW26/AW27,""))</f>
        <v>2.6128887959640558E-3</v>
      </c>
      <c r="AX28" s="66">
        <f t="shared" si="257"/>
        <v>2.6128887959640558E-3</v>
      </c>
    </row>
    <row r="29" spans="1:50" x14ac:dyDescent="0.35">
      <c r="A29" s="309"/>
      <c r="B29" s="74" t="s">
        <v>57</v>
      </c>
      <c r="C29" s="64">
        <f t="shared" ref="C29:D29" si="258">IF(C24="","",ROUND(C28*C24,2))</f>
        <v>-20708.53</v>
      </c>
      <c r="D29" s="64">
        <f t="shared" si="258"/>
        <v>-17927.830000000002</v>
      </c>
      <c r="E29" s="64">
        <f t="shared" ref="E29:F29" si="259">IF(E24="","",ROUND(E28*E24,2))</f>
        <v>-17511.97</v>
      </c>
      <c r="F29" s="64">
        <f t="shared" si="259"/>
        <v>-16485.95</v>
      </c>
      <c r="G29" s="64">
        <f t="shared" ref="G29:H29" si="260">IF(G24="","",ROUND(G28*G24,2))</f>
        <v>-19200.04</v>
      </c>
      <c r="H29" s="64">
        <f t="shared" si="260"/>
        <v>-20208.66</v>
      </c>
      <c r="I29" s="64">
        <f t="shared" ref="I29:J29" si="261">IF(I24="","",ROUND(I28*I24,2))</f>
        <v>-21182.03</v>
      </c>
      <c r="J29" s="64">
        <f t="shared" si="261"/>
        <v>-21187.42</v>
      </c>
      <c r="K29" s="64">
        <f t="shared" ref="K29:L29" si="262">IF(K24="","",ROUND(K28*K24,2))</f>
        <v>-18832.849999999999</v>
      </c>
      <c r="L29" s="64">
        <f t="shared" si="262"/>
        <v>-18699.46</v>
      </c>
      <c r="M29" s="64">
        <f t="shared" ref="M29:N29" si="263">IF(M24="","",ROUND(M28*M24,2))</f>
        <v>-19565.84</v>
      </c>
      <c r="N29" s="64">
        <f t="shared" si="263"/>
        <v>-19211.02</v>
      </c>
      <c r="O29" s="64">
        <f t="shared" ref="O29:P29" si="264">IF(O24="","",ROUND(O28*O24,2))</f>
        <v>5225.53</v>
      </c>
      <c r="P29" s="64">
        <f t="shared" si="264"/>
        <v>8688.59</v>
      </c>
      <c r="Q29" s="64">
        <f t="shared" ref="Q29:R29" si="265">IF(Q24="","",ROUND(Q28*Q24,2))</f>
        <v>8718.77</v>
      </c>
      <c r="R29" s="64">
        <f t="shared" si="265"/>
        <v>9032.2099999999991</v>
      </c>
      <c r="S29" s="64">
        <f t="shared" ref="S29:T29" si="266">IF(S24="","",ROUND(S28*S24,2))</f>
        <v>8700.5300000000007</v>
      </c>
      <c r="T29" s="64">
        <f t="shared" si="266"/>
        <v>11631.74</v>
      </c>
      <c r="U29" s="64">
        <f t="shared" ref="U29:V29" si="267">IF(U24="","",ROUND(U28*U24,2))</f>
        <v>10679.45</v>
      </c>
      <c r="V29" s="64">
        <f t="shared" si="267"/>
        <v>10815</v>
      </c>
      <c r="W29" s="64">
        <f t="shared" ref="W29:X29" si="268">IF(W24="","",ROUND(W28*W24,2))</f>
        <v>9338.6</v>
      </c>
      <c r="X29" s="64">
        <f t="shared" si="268"/>
        <v>8146.01</v>
      </c>
      <c r="Y29" s="64">
        <f t="shared" ref="Y29:Z29" si="269">IF(Y24="","",ROUND(Y28*Y24,2))</f>
        <v>10707.36</v>
      </c>
      <c r="Z29" s="64">
        <f t="shared" si="269"/>
        <v>10340.290000000001</v>
      </c>
      <c r="AA29" s="64">
        <f t="shared" ref="AA29:AB29" si="270">IF(AA24="","",ROUND(AA28*AA24,2))</f>
        <v>-58728.46</v>
      </c>
      <c r="AB29" s="64">
        <f t="shared" si="270"/>
        <v>-30610.37</v>
      </c>
      <c r="AC29" s="64">
        <f t="shared" ref="AC29:AD29" si="271">IF(AC24="","",ROUND(AC28*AC24,2))</f>
        <v>-26134.63</v>
      </c>
      <c r="AD29" s="64">
        <f t="shared" si="271"/>
        <v>-30515.41</v>
      </c>
      <c r="AE29" s="64">
        <f t="shared" ref="AE29:AF29" si="272">IF(AE24="","",ROUND(AE28*AE24,2))</f>
        <v>-34741.599999999999</v>
      </c>
      <c r="AF29" s="64">
        <f t="shared" si="272"/>
        <v>-36119.75</v>
      </c>
      <c r="AG29" s="64">
        <f t="shared" ref="AG29:AH29" si="273">IF(AG24="","",ROUND(AG28*AG24,2))</f>
        <v>-35830</v>
      </c>
      <c r="AH29" s="64">
        <f t="shared" si="273"/>
        <v>-34903.65</v>
      </c>
      <c r="AI29" s="64">
        <f t="shared" ref="AI29:AJ29" si="274">IF(AI24="","",ROUND(AI28*AI24,2))</f>
        <v>-30944.84</v>
      </c>
      <c r="AJ29" s="64">
        <f t="shared" si="274"/>
        <v>-31250.06</v>
      </c>
      <c r="AK29" s="64">
        <f t="shared" ref="AK29:AL29" si="275">IF(AK24="","",ROUND(AK28*AK24,2))</f>
        <v>-32438.34</v>
      </c>
      <c r="AL29" s="64">
        <f t="shared" si="275"/>
        <v>-30881.82</v>
      </c>
      <c r="AM29" s="64">
        <f t="shared" ref="AM29:AN29" si="276">IF(AM24="","",ROUND(AM28*AM24,2))</f>
        <v>314.94</v>
      </c>
      <c r="AN29" s="64">
        <f t="shared" si="276"/>
        <v>504.74</v>
      </c>
      <c r="AO29" s="64">
        <f t="shared" ref="AO29:AP29" si="277">IF(AO24="","",ROUND(AO28*AO24,2))</f>
        <v>522.91</v>
      </c>
      <c r="AP29" s="64">
        <f t="shared" si="277"/>
        <v>522.51</v>
      </c>
      <c r="AQ29" s="64">
        <f t="shared" ref="AQ29:AR29" si="278">IF(AQ24="","",ROUND(AQ28*AQ24,2))</f>
        <v>546.36</v>
      </c>
      <c r="AR29" s="64">
        <f t="shared" si="278"/>
        <v>560.33000000000004</v>
      </c>
      <c r="AS29" s="64">
        <f t="shared" ref="AS29:AT29" si="279">IF(AS24="","",ROUND(AS28*AS24,2))</f>
        <v>633.89</v>
      </c>
      <c r="AT29" s="64">
        <f t="shared" si="279"/>
        <v>605.76</v>
      </c>
      <c r="AU29" s="64">
        <f t="shared" ref="AU29:AV29" si="280">IF(AU24="","",ROUND(AU28*AU24,2))</f>
        <v>525.92999999999995</v>
      </c>
      <c r="AV29" s="64">
        <f t="shared" si="280"/>
        <v>523.5</v>
      </c>
      <c r="AW29" s="64">
        <f t="shared" ref="AW29:AX29" si="281">IF(AW24="","",ROUND(AW28*AW24,2))</f>
        <v>542.46</v>
      </c>
      <c r="AX29" s="64">
        <f t="shared" si="281"/>
        <v>569.04</v>
      </c>
    </row>
    <row r="30" spans="1:50" x14ac:dyDescent="0.35">
      <c r="A30" s="77"/>
      <c r="B30" s="7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row>
    <row r="31" spans="1:50" x14ac:dyDescent="0.35">
      <c r="A31" s="309" t="s">
        <v>37</v>
      </c>
      <c r="B31" s="73" t="s">
        <v>53</v>
      </c>
      <c r="C31" s="63">
        <f>IF(+'M3 Allocations - TD'!O55="","",'M3 Allocations - TD'!O55)</f>
        <v>11571.12</v>
      </c>
      <c r="D31" s="63">
        <f>IF(+'M3 Allocations - TD'!P55="","",'M3 Allocations - TD'!P55)</f>
        <v>19931.79</v>
      </c>
      <c r="E31" s="63">
        <f>IF(+'M3 Allocations - TD'!Q55="","",'M3 Allocations - TD'!Q55)</f>
        <v>21827.09</v>
      </c>
      <c r="F31" s="63">
        <f>IF(+'M3 Allocations - TD'!R55="","",'M3 Allocations - TD'!R55)</f>
        <v>22161.01</v>
      </c>
      <c r="G31" s="63">
        <f>IF(+'M3 Allocations - TD'!S55="","",'M3 Allocations - TD'!S55)</f>
        <v>17306.599999999999</v>
      </c>
      <c r="H31" s="63">
        <f>IF(+'M3 Allocations - TD'!T55="","",'M3 Allocations - TD'!T55)</f>
        <v>24911.24</v>
      </c>
      <c r="I31" s="63">
        <f>IF(+'M3 Allocations - TD'!U55="","",'M3 Allocations - TD'!U55)</f>
        <v>25659.02</v>
      </c>
      <c r="J31" s="63">
        <f>IF(+'M3 Allocations - TD'!V55="","",'M3 Allocations - TD'!V55)</f>
        <v>26024.15</v>
      </c>
      <c r="K31" s="63">
        <f>IF(+'M3 Allocations - TD'!W55="","",'M3 Allocations - TD'!W55)</f>
        <v>22923.1</v>
      </c>
      <c r="L31" s="63">
        <f>IF(+'M3 Allocations - TD'!X55="","",'M3 Allocations - TD'!X55)</f>
        <v>22483.33</v>
      </c>
      <c r="M31" s="63">
        <f>IF(+'M3 Allocations - TD'!Y55="","",'M3 Allocations - TD'!Y55)</f>
        <v>22959.24</v>
      </c>
      <c r="N31" s="63">
        <f>IF(+'M3 Allocations - TD'!Z55="","",'M3 Allocations - TD'!Z55)</f>
        <v>20997.32</v>
      </c>
      <c r="O31" s="63">
        <f>IF(+'M3 Allocations - TD'!AA55="","",'M3 Allocations - TD'!AA55)</f>
        <v>34921.4</v>
      </c>
      <c r="P31" s="63">
        <f>IF(+'M3 Allocations - TD'!AB55="","",'M3 Allocations - TD'!AB55)</f>
        <v>24946.880000000001</v>
      </c>
      <c r="Q31" s="63">
        <f>IF(+'M3 Allocations - TD'!AC55="","",'M3 Allocations - TD'!AC55)</f>
        <v>42288.49</v>
      </c>
      <c r="R31" s="63">
        <f>IF(+'M3 Allocations - TD'!AD55="","",'M3 Allocations - TD'!AD55)</f>
        <v>42963.199999999997</v>
      </c>
      <c r="S31" s="63">
        <f>IF(+'M3 Allocations - TD'!AE55="","",'M3 Allocations - TD'!AE55)</f>
        <v>41464.47</v>
      </c>
      <c r="T31" s="63">
        <f>IF(+'M3 Allocations - TD'!AF55="","",'M3 Allocations - TD'!AF55)</f>
        <v>52916.49</v>
      </c>
      <c r="U31" s="63">
        <f>IF(+'M3 Allocations - TD'!AG55="","",'M3 Allocations - TD'!AG55)</f>
        <v>50374.33</v>
      </c>
      <c r="V31" s="63">
        <f>IF(+'M3 Allocations - TD'!AH55="","",'M3 Allocations - TD'!AH55)</f>
        <v>54469.919999999998</v>
      </c>
      <c r="W31" s="63">
        <f>IF(+'M3 Allocations - TD'!AI55="","",'M3 Allocations - TD'!AI55)</f>
        <v>49925.55</v>
      </c>
      <c r="X31" s="63">
        <f>IF(+'M3 Allocations - TD'!AJ55="","",'M3 Allocations - TD'!AJ55)</f>
        <v>33144.800000000003</v>
      </c>
      <c r="Y31" s="63">
        <f>IF(+'M3 Allocations - TD'!AK55="","",'M3 Allocations - TD'!AK55)</f>
        <v>46471.67</v>
      </c>
      <c r="Z31" s="63">
        <f>IF(+'M3 Allocations - TD'!AL55="","",'M3 Allocations - TD'!AL55)</f>
        <v>43301.11</v>
      </c>
      <c r="AA31" s="63">
        <f>IF(+'M3 Allocations - TD'!AM55="","",'M3 Allocations - TD'!AM55)</f>
        <v>35959.279999999999</v>
      </c>
      <c r="AB31" s="63">
        <f>IF(+'M3 Allocations - TD'!AN55="","",'M3 Allocations - TD'!AN55)</f>
        <v>6497.26</v>
      </c>
      <c r="AC31" s="63">
        <f>IF(+'M3 Allocations - TD'!AO55="","",'M3 Allocations - TD'!AO55)</f>
        <v>-22925.25</v>
      </c>
      <c r="AD31" s="63">
        <f>IF(+'M3 Allocations - TD'!AP55="","",'M3 Allocations - TD'!AP55)</f>
        <v>5065.87</v>
      </c>
      <c r="AE31" s="63">
        <f>IF(+'M3 Allocations - TD'!AQ55="","",'M3 Allocations - TD'!AQ55)</f>
        <v>6175.37</v>
      </c>
      <c r="AF31" s="63">
        <f>IF(+'M3 Allocations - TD'!AR55="","",'M3 Allocations - TD'!AR55)</f>
        <v>7084.63</v>
      </c>
      <c r="AG31" s="63">
        <f>IF(+'M3 Allocations - TD'!AS55="","",'M3 Allocations - TD'!AS55)</f>
        <v>7005.11</v>
      </c>
      <c r="AH31" s="63">
        <f>IF(+'M3 Allocations - TD'!AT55="","",'M3 Allocations - TD'!AT55)</f>
        <v>7302.95</v>
      </c>
      <c r="AI31" s="63">
        <f>IF(+'M3 Allocations - TD'!AU55="","",'M3 Allocations - TD'!AU55)</f>
        <v>6273.92</v>
      </c>
      <c r="AJ31" s="63">
        <f>IF(+'M3 Allocations - TD'!AV55="","",'M3 Allocations - TD'!AV55)</f>
        <v>6266.68</v>
      </c>
      <c r="AK31" s="63">
        <f>IF(+'M3 Allocations - TD'!AW55="","",'M3 Allocations - TD'!AW55)</f>
        <v>6152.05</v>
      </c>
      <c r="AL31" s="63">
        <f>IF(+'M3 Allocations - TD'!AX55="","",'M3 Allocations - TD'!AX55)</f>
        <v>5193.43</v>
      </c>
      <c r="AM31" s="63">
        <f>IF(+'M3 Allocations - TD'!AY55="","",'M3 Allocations - TD'!AY55)</f>
        <v>7679.01</v>
      </c>
      <c r="AN31" s="63">
        <f>IF(+'M3 Allocations - TD'!AZ55="","",'M3 Allocations - TD'!AZ55)</f>
        <v>21723.21</v>
      </c>
      <c r="AO31" s="63">
        <f>IF(+'M3 Allocations - TD'!BA55="","",'M3 Allocations - TD'!BA55)</f>
        <v>21854.95</v>
      </c>
      <c r="AP31" s="63">
        <f>IF(+'M3 Allocations - TD'!BB55="","",'M3 Allocations - TD'!BB55)</f>
        <v>22860.41</v>
      </c>
      <c r="AQ31" s="63">
        <f>IF(+'M3 Allocations - TD'!BC55="","",'M3 Allocations - TD'!BC55)</f>
        <v>27496.560000000001</v>
      </c>
      <c r="AR31" s="63">
        <f>IF(+'M3 Allocations - TD'!BD55="","",'M3 Allocations - TD'!BD55)</f>
        <v>25753.58</v>
      </c>
      <c r="AS31" s="63">
        <f>IF(+'M3 Allocations - TD'!BE55="","",'M3 Allocations - TD'!BE55)</f>
        <v>29526.94</v>
      </c>
      <c r="AT31" s="63">
        <f>IF(+'M3 Allocations - TD'!BF55="","",'M3 Allocations - TD'!BF55)</f>
        <v>32202.720000000001</v>
      </c>
      <c r="AU31" s="63">
        <f>IF(+'M3 Allocations - TD'!BG55="","",'M3 Allocations - TD'!BG55)</f>
        <v>32474.48</v>
      </c>
      <c r="AV31" s="63">
        <f>IF(+'M3 Allocations - TD'!BH55="","",'M3 Allocations - TD'!BH55)</f>
        <v>25820.82983359382</v>
      </c>
      <c r="AW31" s="63">
        <f>IF(+'M3 Allocations - TD'!BI55="","",'M3 Allocations - TD'!BI55)</f>
        <v>25289.417255502107</v>
      </c>
      <c r="AX31" s="63">
        <f>IF(+'M3 Allocations - TD'!BJ55="","",'M3 Allocations - TD'!BJ55)</f>
        <v>26243.753432860034</v>
      </c>
    </row>
    <row r="32" spans="1:50" x14ac:dyDescent="0.35">
      <c r="A32" s="309"/>
      <c r="B32" s="73" t="s">
        <v>55</v>
      </c>
      <c r="C32" s="119">
        <v>2.6814564034692313E-4</v>
      </c>
      <c r="D32" s="90">
        <f t="shared" ref="D32:AX33" si="282">IF(D31="","",C32)</f>
        <v>2.6814564034692313E-4</v>
      </c>
      <c r="E32" s="90">
        <f t="shared" si="282"/>
        <v>2.6814564034692313E-4</v>
      </c>
      <c r="F32" s="90">
        <f t="shared" si="282"/>
        <v>2.6814564034692313E-4</v>
      </c>
      <c r="G32" s="90">
        <f t="shared" si="282"/>
        <v>2.6814564034692313E-4</v>
      </c>
      <c r="H32" s="90">
        <f t="shared" si="282"/>
        <v>2.6814564034692313E-4</v>
      </c>
      <c r="I32" s="90">
        <f t="shared" si="282"/>
        <v>2.6814564034692313E-4</v>
      </c>
      <c r="J32" s="90">
        <f t="shared" si="282"/>
        <v>2.6814564034692313E-4</v>
      </c>
      <c r="K32" s="90">
        <f t="shared" si="282"/>
        <v>2.6814564034692313E-4</v>
      </c>
      <c r="L32" s="90">
        <f t="shared" si="282"/>
        <v>2.6814564034692313E-4</v>
      </c>
      <c r="M32" s="90">
        <f t="shared" si="282"/>
        <v>2.6814564034692313E-4</v>
      </c>
      <c r="N32" s="90">
        <f t="shared" si="282"/>
        <v>2.6814564034692313E-4</v>
      </c>
      <c r="O32" s="120">
        <v>5.2795056041353157E-4</v>
      </c>
      <c r="P32" s="90">
        <f t="shared" si="282"/>
        <v>5.2795056041353157E-4</v>
      </c>
      <c r="Q32" s="90">
        <f t="shared" si="282"/>
        <v>5.2795056041353157E-4</v>
      </c>
      <c r="R32" s="90">
        <f t="shared" si="282"/>
        <v>5.2795056041353157E-4</v>
      </c>
      <c r="S32" s="90">
        <f t="shared" si="282"/>
        <v>5.2795056041353157E-4</v>
      </c>
      <c r="T32" s="90">
        <f t="shared" si="282"/>
        <v>5.2795056041353157E-4</v>
      </c>
      <c r="U32" s="90">
        <f t="shared" si="282"/>
        <v>5.2795056041353157E-4</v>
      </c>
      <c r="V32" s="90">
        <f t="shared" si="282"/>
        <v>5.2795056041353157E-4</v>
      </c>
      <c r="W32" s="90">
        <f t="shared" si="282"/>
        <v>5.2795056041353157E-4</v>
      </c>
      <c r="X32" s="90">
        <f t="shared" si="282"/>
        <v>5.2795056041353157E-4</v>
      </c>
      <c r="Y32" s="90">
        <f t="shared" si="282"/>
        <v>5.2795056041353157E-4</v>
      </c>
      <c r="Z32" s="90">
        <f t="shared" si="282"/>
        <v>5.2795056041353157E-4</v>
      </c>
      <c r="AA32" s="120">
        <v>2.1982208585506456E-4</v>
      </c>
      <c r="AB32" s="90">
        <f t="shared" si="282"/>
        <v>2.1982208585506456E-4</v>
      </c>
      <c r="AC32" s="90">
        <f t="shared" si="282"/>
        <v>2.1982208585506456E-4</v>
      </c>
      <c r="AD32" s="90">
        <f t="shared" si="282"/>
        <v>2.1982208585506456E-4</v>
      </c>
      <c r="AE32" s="90">
        <f t="shared" si="282"/>
        <v>2.1982208585506456E-4</v>
      </c>
      <c r="AF32" s="90">
        <f t="shared" si="282"/>
        <v>2.1982208585506456E-4</v>
      </c>
      <c r="AG32" s="90">
        <f t="shared" si="282"/>
        <v>2.1982208585506456E-4</v>
      </c>
      <c r="AH32" s="90">
        <f t="shared" si="282"/>
        <v>2.1982208585506456E-4</v>
      </c>
      <c r="AI32" s="90">
        <f t="shared" si="282"/>
        <v>2.1982208585506456E-4</v>
      </c>
      <c r="AJ32" s="90">
        <f t="shared" si="282"/>
        <v>2.1982208585506456E-4</v>
      </c>
      <c r="AK32" s="90">
        <f t="shared" si="282"/>
        <v>2.1982208585506456E-4</v>
      </c>
      <c r="AL32" s="90">
        <f t="shared" si="282"/>
        <v>2.1982208585506456E-4</v>
      </c>
      <c r="AM32" s="120">
        <v>3.849686811407282E-4</v>
      </c>
      <c r="AN32" s="90">
        <f t="shared" si="282"/>
        <v>3.849686811407282E-4</v>
      </c>
      <c r="AO32" s="90">
        <f t="shared" si="282"/>
        <v>3.849686811407282E-4</v>
      </c>
      <c r="AP32" s="90">
        <f t="shared" si="282"/>
        <v>3.849686811407282E-4</v>
      </c>
      <c r="AQ32" s="90">
        <f t="shared" si="282"/>
        <v>3.849686811407282E-4</v>
      </c>
      <c r="AR32" s="90">
        <f t="shared" si="282"/>
        <v>3.849686811407282E-4</v>
      </c>
      <c r="AS32" s="90">
        <f t="shared" si="282"/>
        <v>3.849686811407282E-4</v>
      </c>
      <c r="AT32" s="90">
        <f t="shared" si="282"/>
        <v>3.849686811407282E-4</v>
      </c>
      <c r="AU32" s="90">
        <f t="shared" si="282"/>
        <v>3.849686811407282E-4</v>
      </c>
      <c r="AV32" s="90">
        <f t="shared" si="282"/>
        <v>3.849686811407282E-4</v>
      </c>
      <c r="AW32" s="90">
        <f t="shared" si="282"/>
        <v>3.849686811407282E-4</v>
      </c>
      <c r="AX32" s="90">
        <f t="shared" si="282"/>
        <v>3.849686811407282E-4</v>
      </c>
    </row>
    <row r="33" spans="1:50" x14ac:dyDescent="0.35">
      <c r="A33" s="309"/>
      <c r="B33" s="73" t="s">
        <v>54</v>
      </c>
      <c r="C33" s="120">
        <v>-3.0856536516336082E-5</v>
      </c>
      <c r="D33" s="90">
        <f t="shared" si="282"/>
        <v>-3.0856536516336082E-5</v>
      </c>
      <c r="E33" s="90">
        <f t="shared" si="282"/>
        <v>-3.0856536516336082E-5</v>
      </c>
      <c r="F33" s="90">
        <f t="shared" si="282"/>
        <v>-3.0856536516336082E-5</v>
      </c>
      <c r="G33" s="90">
        <f t="shared" si="282"/>
        <v>-3.0856536516336082E-5</v>
      </c>
      <c r="H33" s="90">
        <f t="shared" si="282"/>
        <v>-3.0856536516336082E-5</v>
      </c>
      <c r="I33" s="90">
        <f t="shared" si="282"/>
        <v>-3.0856536516336082E-5</v>
      </c>
      <c r="J33" s="90">
        <f t="shared" si="282"/>
        <v>-3.0856536516336082E-5</v>
      </c>
      <c r="K33" s="90">
        <f t="shared" si="282"/>
        <v>-3.0856536516336082E-5</v>
      </c>
      <c r="L33" s="90">
        <f t="shared" si="282"/>
        <v>-3.0856536516336082E-5</v>
      </c>
      <c r="M33" s="90">
        <f t="shared" si="282"/>
        <v>-3.0856536516336082E-5</v>
      </c>
      <c r="N33" s="90">
        <f t="shared" si="282"/>
        <v>-3.0856536516336082E-5</v>
      </c>
      <c r="O33" s="120">
        <v>-5.3003111271666544E-5</v>
      </c>
      <c r="P33" s="90">
        <f t="shared" si="282"/>
        <v>-5.3003111271666544E-5</v>
      </c>
      <c r="Q33" s="90">
        <f t="shared" si="282"/>
        <v>-5.3003111271666544E-5</v>
      </c>
      <c r="R33" s="90">
        <f t="shared" si="282"/>
        <v>-5.3003111271666544E-5</v>
      </c>
      <c r="S33" s="90">
        <f t="shared" si="282"/>
        <v>-5.3003111271666544E-5</v>
      </c>
      <c r="T33" s="90">
        <f t="shared" si="282"/>
        <v>-5.3003111271666544E-5</v>
      </c>
      <c r="U33" s="90">
        <f t="shared" si="282"/>
        <v>-5.3003111271666544E-5</v>
      </c>
      <c r="V33" s="90">
        <f t="shared" si="282"/>
        <v>-5.3003111271666544E-5</v>
      </c>
      <c r="W33" s="90">
        <f t="shared" si="282"/>
        <v>-5.3003111271666544E-5</v>
      </c>
      <c r="X33" s="90">
        <f t="shared" si="282"/>
        <v>-5.3003111271666544E-5</v>
      </c>
      <c r="Y33" s="90">
        <f t="shared" si="282"/>
        <v>-5.3003111271666544E-5</v>
      </c>
      <c r="Z33" s="90">
        <f t="shared" si="282"/>
        <v>-5.3003111271666544E-5</v>
      </c>
      <c r="AA33" s="120">
        <v>-1.488660565499755E-4</v>
      </c>
      <c r="AB33" s="90">
        <f t="shared" si="282"/>
        <v>-1.488660565499755E-4</v>
      </c>
      <c r="AC33" s="90">
        <f t="shared" si="282"/>
        <v>-1.488660565499755E-4</v>
      </c>
      <c r="AD33" s="90">
        <f t="shared" si="282"/>
        <v>-1.488660565499755E-4</v>
      </c>
      <c r="AE33" s="90">
        <f t="shared" si="282"/>
        <v>-1.488660565499755E-4</v>
      </c>
      <c r="AF33" s="90">
        <f t="shared" si="282"/>
        <v>-1.488660565499755E-4</v>
      </c>
      <c r="AG33" s="90">
        <f t="shared" si="282"/>
        <v>-1.488660565499755E-4</v>
      </c>
      <c r="AH33" s="90">
        <f t="shared" si="282"/>
        <v>-1.488660565499755E-4</v>
      </c>
      <c r="AI33" s="90">
        <f t="shared" si="282"/>
        <v>-1.488660565499755E-4</v>
      </c>
      <c r="AJ33" s="90">
        <f t="shared" si="282"/>
        <v>-1.488660565499755E-4</v>
      </c>
      <c r="AK33" s="90">
        <f t="shared" si="282"/>
        <v>-1.488660565499755E-4</v>
      </c>
      <c r="AL33" s="90">
        <f t="shared" si="282"/>
        <v>-1.488660565499755E-4</v>
      </c>
      <c r="AM33" s="120">
        <v>-4.6945712688070091E-5</v>
      </c>
      <c r="AN33" s="90">
        <f t="shared" si="282"/>
        <v>-4.6945712688070091E-5</v>
      </c>
      <c r="AO33" s="90">
        <f t="shared" si="282"/>
        <v>-4.6945712688070091E-5</v>
      </c>
      <c r="AP33" s="90">
        <f t="shared" si="282"/>
        <v>-4.6945712688070091E-5</v>
      </c>
      <c r="AQ33" s="90">
        <f t="shared" si="282"/>
        <v>-4.6945712688070091E-5</v>
      </c>
      <c r="AR33" s="90">
        <f t="shared" si="282"/>
        <v>-4.6945712688070091E-5</v>
      </c>
      <c r="AS33" s="90">
        <f t="shared" si="282"/>
        <v>-4.6945712688070091E-5</v>
      </c>
      <c r="AT33" s="90">
        <f t="shared" si="282"/>
        <v>-4.6945712688070091E-5</v>
      </c>
      <c r="AU33" s="90">
        <f t="shared" si="282"/>
        <v>-4.6945712688070091E-5</v>
      </c>
      <c r="AV33" s="90">
        <f t="shared" si="282"/>
        <v>-4.6945712688070091E-5</v>
      </c>
      <c r="AW33" s="90">
        <f t="shared" si="282"/>
        <v>-4.6945712688070091E-5</v>
      </c>
      <c r="AX33" s="90">
        <f t="shared" si="282"/>
        <v>-4.6945712688070091E-5</v>
      </c>
    </row>
    <row r="34" spans="1:50" x14ac:dyDescent="0.35">
      <c r="A34" s="309"/>
      <c r="B34" s="73" t="s">
        <v>63</v>
      </c>
      <c r="C34" s="62">
        <f t="shared" ref="C34:D34" si="283">IF(C31="","",SUM(C32:C33))</f>
        <v>2.3728910383058704E-4</v>
      </c>
      <c r="D34" s="62">
        <f t="shared" si="283"/>
        <v>2.3728910383058704E-4</v>
      </c>
      <c r="E34" s="62">
        <f t="shared" ref="E34:F34" si="284">IF(E31="","",SUM(E32:E33))</f>
        <v>2.3728910383058704E-4</v>
      </c>
      <c r="F34" s="62">
        <f t="shared" si="284"/>
        <v>2.3728910383058704E-4</v>
      </c>
      <c r="G34" s="62">
        <f t="shared" ref="G34:H34" si="285">IF(G31="","",SUM(G32:G33))</f>
        <v>2.3728910383058704E-4</v>
      </c>
      <c r="H34" s="62">
        <f t="shared" si="285"/>
        <v>2.3728910383058704E-4</v>
      </c>
      <c r="I34" s="62">
        <f t="shared" ref="I34:J34" si="286">IF(I31="","",SUM(I32:I33))</f>
        <v>2.3728910383058704E-4</v>
      </c>
      <c r="J34" s="62">
        <f t="shared" si="286"/>
        <v>2.3728910383058704E-4</v>
      </c>
      <c r="K34" s="62">
        <f t="shared" ref="K34:L34" si="287">IF(K31="","",SUM(K32:K33))</f>
        <v>2.3728910383058704E-4</v>
      </c>
      <c r="L34" s="62">
        <f t="shared" si="287"/>
        <v>2.3728910383058704E-4</v>
      </c>
      <c r="M34" s="62">
        <f t="shared" ref="M34:N34" si="288">IF(M31="","",SUM(M32:M33))</f>
        <v>2.3728910383058704E-4</v>
      </c>
      <c r="N34" s="62">
        <f t="shared" si="288"/>
        <v>2.3728910383058704E-4</v>
      </c>
      <c r="O34" s="62">
        <f t="shared" ref="O34:P34" si="289">IF(O31="","",SUM(O32:O33))</f>
        <v>4.7494744914186501E-4</v>
      </c>
      <c r="P34" s="62">
        <f t="shared" si="289"/>
        <v>4.7494744914186501E-4</v>
      </c>
      <c r="Q34" s="62">
        <f t="shared" ref="Q34:R34" si="290">IF(Q31="","",SUM(Q32:Q33))</f>
        <v>4.7494744914186501E-4</v>
      </c>
      <c r="R34" s="62">
        <f t="shared" si="290"/>
        <v>4.7494744914186501E-4</v>
      </c>
      <c r="S34" s="62">
        <f t="shared" ref="S34:T34" si="291">IF(S31="","",SUM(S32:S33))</f>
        <v>4.7494744914186501E-4</v>
      </c>
      <c r="T34" s="62">
        <f t="shared" si="291"/>
        <v>4.7494744914186501E-4</v>
      </c>
      <c r="U34" s="62">
        <f t="shared" ref="U34:V34" si="292">IF(U31="","",SUM(U32:U33))</f>
        <v>4.7494744914186501E-4</v>
      </c>
      <c r="V34" s="62">
        <f t="shared" si="292"/>
        <v>4.7494744914186501E-4</v>
      </c>
      <c r="W34" s="62">
        <f t="shared" ref="W34:X34" si="293">IF(W31="","",SUM(W32:W33))</f>
        <v>4.7494744914186501E-4</v>
      </c>
      <c r="X34" s="62">
        <f t="shared" si="293"/>
        <v>4.7494744914186501E-4</v>
      </c>
      <c r="Y34" s="62">
        <f t="shared" ref="Y34:Z34" si="294">IF(Y31="","",SUM(Y32:Y33))</f>
        <v>4.7494744914186501E-4</v>
      </c>
      <c r="Z34" s="62">
        <f t="shared" si="294"/>
        <v>4.7494744914186501E-4</v>
      </c>
      <c r="AA34" s="62">
        <f t="shared" ref="AA34:AB34" si="295">IF(AA31="","",SUM(AA32:AA33))</f>
        <v>7.0956029305089066E-5</v>
      </c>
      <c r="AB34" s="62">
        <f t="shared" si="295"/>
        <v>7.0956029305089066E-5</v>
      </c>
      <c r="AC34" s="62">
        <f t="shared" ref="AC34:AD34" si="296">IF(AC31="","",SUM(AC32:AC33))</f>
        <v>7.0956029305089066E-5</v>
      </c>
      <c r="AD34" s="62">
        <f t="shared" si="296"/>
        <v>7.0956029305089066E-5</v>
      </c>
      <c r="AE34" s="62">
        <f t="shared" ref="AE34:AF34" si="297">IF(AE31="","",SUM(AE32:AE33))</f>
        <v>7.0956029305089066E-5</v>
      </c>
      <c r="AF34" s="62">
        <f t="shared" si="297"/>
        <v>7.0956029305089066E-5</v>
      </c>
      <c r="AG34" s="62">
        <f t="shared" ref="AG34:AH34" si="298">IF(AG31="","",SUM(AG32:AG33))</f>
        <v>7.0956029305089066E-5</v>
      </c>
      <c r="AH34" s="62">
        <f t="shared" si="298"/>
        <v>7.0956029305089066E-5</v>
      </c>
      <c r="AI34" s="62">
        <f t="shared" ref="AI34:AJ34" si="299">IF(AI31="","",SUM(AI32:AI33))</f>
        <v>7.0956029305089066E-5</v>
      </c>
      <c r="AJ34" s="62">
        <f t="shared" si="299"/>
        <v>7.0956029305089066E-5</v>
      </c>
      <c r="AK34" s="62">
        <f t="shared" ref="AK34:AL34" si="300">IF(AK31="","",SUM(AK32:AK33))</f>
        <v>7.0956029305089066E-5</v>
      </c>
      <c r="AL34" s="62">
        <f t="shared" si="300"/>
        <v>7.0956029305089066E-5</v>
      </c>
      <c r="AM34" s="62">
        <f t="shared" ref="AM34:AN34" si="301">IF(AM31="","",SUM(AM32:AM33))</f>
        <v>3.3802296845265813E-4</v>
      </c>
      <c r="AN34" s="62">
        <f t="shared" si="301"/>
        <v>3.3802296845265813E-4</v>
      </c>
      <c r="AO34" s="62">
        <f t="shared" ref="AO34:AP34" si="302">IF(AO31="","",SUM(AO32:AO33))</f>
        <v>3.3802296845265813E-4</v>
      </c>
      <c r="AP34" s="62">
        <f t="shared" si="302"/>
        <v>3.3802296845265813E-4</v>
      </c>
      <c r="AQ34" s="62">
        <f t="shared" ref="AQ34:AR34" si="303">IF(AQ31="","",SUM(AQ32:AQ33))</f>
        <v>3.3802296845265813E-4</v>
      </c>
      <c r="AR34" s="62">
        <f t="shared" si="303"/>
        <v>3.3802296845265813E-4</v>
      </c>
      <c r="AS34" s="62">
        <f t="shared" ref="AS34:AT34" si="304">IF(AS31="","",SUM(AS32:AS33))</f>
        <v>3.3802296845265813E-4</v>
      </c>
      <c r="AT34" s="62">
        <f t="shared" si="304"/>
        <v>3.3802296845265813E-4</v>
      </c>
      <c r="AU34" s="62">
        <f t="shared" ref="AU34:AV34" si="305">IF(AU31="","",SUM(AU32:AU33))</f>
        <v>3.3802296845265813E-4</v>
      </c>
      <c r="AV34" s="62">
        <f t="shared" si="305"/>
        <v>3.3802296845265813E-4</v>
      </c>
      <c r="AW34" s="62">
        <f t="shared" ref="AW34:AX34" si="306">IF(AW31="","",SUM(AW32:AW33))</f>
        <v>3.3802296845265813E-4</v>
      </c>
      <c r="AX34" s="62">
        <f t="shared" si="306"/>
        <v>3.3802296845265813E-4</v>
      </c>
    </row>
    <row r="35" spans="1:50" x14ac:dyDescent="0.35">
      <c r="A35" s="309"/>
      <c r="B35" s="73" t="s">
        <v>56</v>
      </c>
      <c r="C35" s="66">
        <f t="shared" ref="C35:D35" si="307">IF(C31="","",IFERROR(C33/C34,""))</f>
        <v>-0.13003773042341699</v>
      </c>
      <c r="D35" s="66">
        <f t="shared" si="307"/>
        <v>-0.13003773042341699</v>
      </c>
      <c r="E35" s="66">
        <f t="shared" ref="E35:F35" si="308">IF(E31="","",IFERROR(E33/E34,""))</f>
        <v>-0.13003773042341699</v>
      </c>
      <c r="F35" s="66">
        <f t="shared" si="308"/>
        <v>-0.13003773042341699</v>
      </c>
      <c r="G35" s="66">
        <f t="shared" ref="G35:H35" si="309">IF(G31="","",IFERROR(G33/G34,""))</f>
        <v>-0.13003773042341699</v>
      </c>
      <c r="H35" s="66">
        <f t="shared" si="309"/>
        <v>-0.13003773042341699</v>
      </c>
      <c r="I35" s="66">
        <f t="shared" ref="I35:J35" si="310">IF(I31="","",IFERROR(I33/I34,""))</f>
        <v>-0.13003773042341699</v>
      </c>
      <c r="J35" s="66">
        <f t="shared" si="310"/>
        <v>-0.13003773042341699</v>
      </c>
      <c r="K35" s="66">
        <f t="shared" ref="K35:L35" si="311">IF(K31="","",IFERROR(K33/K34,""))</f>
        <v>-0.13003773042341699</v>
      </c>
      <c r="L35" s="66">
        <f t="shared" si="311"/>
        <v>-0.13003773042341699</v>
      </c>
      <c r="M35" s="66">
        <f t="shared" ref="M35:N35" si="312">IF(M31="","",IFERROR(M33/M34,""))</f>
        <v>-0.13003773042341699</v>
      </c>
      <c r="N35" s="66">
        <f t="shared" si="312"/>
        <v>-0.13003773042341699</v>
      </c>
      <c r="O35" s="66">
        <f t="shared" ref="O35:P35" si="313">IF(O31="","",IFERROR(O33/O34,""))</f>
        <v>-0.11159784386132099</v>
      </c>
      <c r="P35" s="66">
        <f t="shared" si="313"/>
        <v>-0.11159784386132099</v>
      </c>
      <c r="Q35" s="66">
        <f t="shared" ref="Q35:R35" si="314">IF(Q31="","",IFERROR(Q33/Q34,""))</f>
        <v>-0.11159784386132099</v>
      </c>
      <c r="R35" s="66">
        <f t="shared" si="314"/>
        <v>-0.11159784386132099</v>
      </c>
      <c r="S35" s="66">
        <f t="shared" ref="S35:T35" si="315">IF(S31="","",IFERROR(S33/S34,""))</f>
        <v>-0.11159784386132099</v>
      </c>
      <c r="T35" s="66">
        <f t="shared" si="315"/>
        <v>-0.11159784386132099</v>
      </c>
      <c r="U35" s="66">
        <f t="shared" ref="U35:V35" si="316">IF(U31="","",IFERROR(U33/U34,""))</f>
        <v>-0.11159784386132099</v>
      </c>
      <c r="V35" s="66">
        <f t="shared" si="316"/>
        <v>-0.11159784386132099</v>
      </c>
      <c r="W35" s="66">
        <f t="shared" ref="W35:X35" si="317">IF(W31="","",IFERROR(W33/W34,""))</f>
        <v>-0.11159784386132099</v>
      </c>
      <c r="X35" s="66">
        <f t="shared" si="317"/>
        <v>-0.11159784386132099</v>
      </c>
      <c r="Y35" s="66">
        <f t="shared" ref="Y35:Z35" si="318">IF(Y31="","",IFERROR(Y33/Y34,""))</f>
        <v>-0.11159784386132099</v>
      </c>
      <c r="Z35" s="66">
        <f t="shared" si="318"/>
        <v>-0.11159784386132099</v>
      </c>
      <c r="AA35" s="66">
        <f t="shared" ref="AA35:AB35" si="319">IF(AA31="","",IFERROR(AA33/AA34,""))</f>
        <v>-2.098004327580075</v>
      </c>
      <c r="AB35" s="66">
        <f t="shared" si="319"/>
        <v>-2.098004327580075</v>
      </c>
      <c r="AC35" s="66">
        <f t="shared" ref="AC35:AD35" si="320">IF(AC31="","",IFERROR(AC33/AC34,""))</f>
        <v>-2.098004327580075</v>
      </c>
      <c r="AD35" s="66">
        <f t="shared" si="320"/>
        <v>-2.098004327580075</v>
      </c>
      <c r="AE35" s="66">
        <f t="shared" ref="AE35:AF35" si="321">IF(AE31="","",IFERROR(AE33/AE34,""))</f>
        <v>-2.098004327580075</v>
      </c>
      <c r="AF35" s="66">
        <f t="shared" si="321"/>
        <v>-2.098004327580075</v>
      </c>
      <c r="AG35" s="66">
        <f t="shared" ref="AG35:AH35" si="322">IF(AG31="","",IFERROR(AG33/AG34,""))</f>
        <v>-2.098004327580075</v>
      </c>
      <c r="AH35" s="66">
        <f t="shared" si="322"/>
        <v>-2.098004327580075</v>
      </c>
      <c r="AI35" s="66">
        <f t="shared" ref="AI35:AJ35" si="323">IF(AI31="","",IFERROR(AI33/AI34,""))</f>
        <v>-2.098004327580075</v>
      </c>
      <c r="AJ35" s="66">
        <f t="shared" si="323"/>
        <v>-2.098004327580075</v>
      </c>
      <c r="AK35" s="66">
        <f t="shared" ref="AK35:AL35" si="324">IF(AK31="","",IFERROR(AK33/AK34,""))</f>
        <v>-2.098004327580075</v>
      </c>
      <c r="AL35" s="66">
        <f t="shared" si="324"/>
        <v>-2.098004327580075</v>
      </c>
      <c r="AM35" s="66">
        <f t="shared" ref="AM35:AN35" si="325">IF(AM31="","",IFERROR(AM33/AM34,""))</f>
        <v>-0.13888320341948918</v>
      </c>
      <c r="AN35" s="66">
        <f t="shared" si="325"/>
        <v>-0.13888320341948918</v>
      </c>
      <c r="AO35" s="66">
        <f t="shared" ref="AO35:AP35" si="326">IF(AO31="","",IFERROR(AO33/AO34,""))</f>
        <v>-0.13888320341948918</v>
      </c>
      <c r="AP35" s="66">
        <f t="shared" si="326"/>
        <v>-0.13888320341948918</v>
      </c>
      <c r="AQ35" s="66">
        <f t="shared" ref="AQ35:AR35" si="327">IF(AQ31="","",IFERROR(AQ33/AQ34,""))</f>
        <v>-0.13888320341948918</v>
      </c>
      <c r="AR35" s="66">
        <f t="shared" si="327"/>
        <v>-0.13888320341948918</v>
      </c>
      <c r="AS35" s="66">
        <f t="shared" ref="AS35:AT35" si="328">IF(AS31="","",IFERROR(AS33/AS34,""))</f>
        <v>-0.13888320341948918</v>
      </c>
      <c r="AT35" s="66">
        <f t="shared" si="328"/>
        <v>-0.13888320341948918</v>
      </c>
      <c r="AU35" s="66">
        <f t="shared" ref="AU35:AV35" si="329">IF(AU31="","",IFERROR(AU33/AU34,""))</f>
        <v>-0.13888320341948918</v>
      </c>
      <c r="AV35" s="66">
        <f t="shared" si="329"/>
        <v>-0.13888320341948918</v>
      </c>
      <c r="AW35" s="66">
        <f t="shared" ref="AW35:AX35" si="330">IF(AW31="","",IFERROR(AW33/AW34,""))</f>
        <v>-0.13888320341948918</v>
      </c>
      <c r="AX35" s="66">
        <f t="shared" si="330"/>
        <v>-0.13888320341948918</v>
      </c>
    </row>
    <row r="36" spans="1:50" x14ac:dyDescent="0.35">
      <c r="A36" s="309"/>
      <c r="B36" s="74" t="s">
        <v>57</v>
      </c>
      <c r="C36" s="64">
        <f t="shared" ref="C36:D36" si="331">IF(C31="","",ROUND(C35*C31,2))</f>
        <v>-1504.68</v>
      </c>
      <c r="D36" s="64">
        <f t="shared" si="331"/>
        <v>-2591.88</v>
      </c>
      <c r="E36" s="64">
        <f t="shared" ref="E36:F36" si="332">IF(E31="","",ROUND(E35*E31,2))</f>
        <v>-2838.35</v>
      </c>
      <c r="F36" s="64">
        <f t="shared" si="332"/>
        <v>-2881.77</v>
      </c>
      <c r="G36" s="64">
        <f t="shared" ref="G36:H36" si="333">IF(G31="","",ROUND(G35*G31,2))</f>
        <v>-2250.5100000000002</v>
      </c>
      <c r="H36" s="64">
        <f t="shared" si="333"/>
        <v>-3239.4</v>
      </c>
      <c r="I36" s="64">
        <f t="shared" ref="I36:J36" si="334">IF(I31="","",ROUND(I35*I31,2))</f>
        <v>-3336.64</v>
      </c>
      <c r="J36" s="64">
        <f t="shared" si="334"/>
        <v>-3384.12</v>
      </c>
      <c r="K36" s="64">
        <f t="shared" ref="K36:L36" si="335">IF(K31="","",ROUND(K35*K31,2))</f>
        <v>-2980.87</v>
      </c>
      <c r="L36" s="64">
        <f t="shared" si="335"/>
        <v>-2923.68</v>
      </c>
      <c r="M36" s="64">
        <f t="shared" ref="M36:N36" si="336">IF(M31="","",ROUND(M35*M31,2))</f>
        <v>-2985.57</v>
      </c>
      <c r="N36" s="64">
        <f t="shared" si="336"/>
        <v>-2730.44</v>
      </c>
      <c r="O36" s="64">
        <f t="shared" ref="O36:P36" si="337">IF(O31="","",ROUND(O35*O31,2))</f>
        <v>-3897.15</v>
      </c>
      <c r="P36" s="64">
        <f t="shared" si="337"/>
        <v>-2784.02</v>
      </c>
      <c r="Q36" s="64">
        <f t="shared" ref="Q36:R36" si="338">IF(Q31="","",ROUND(Q35*Q31,2))</f>
        <v>-4719.3</v>
      </c>
      <c r="R36" s="64">
        <f t="shared" si="338"/>
        <v>-4794.6000000000004</v>
      </c>
      <c r="S36" s="64">
        <f t="shared" ref="S36:T36" si="339">IF(S31="","",ROUND(S35*S31,2))</f>
        <v>-4627.3500000000004</v>
      </c>
      <c r="T36" s="64">
        <f t="shared" si="339"/>
        <v>-5905.37</v>
      </c>
      <c r="U36" s="64">
        <f t="shared" ref="U36:V36" si="340">IF(U31="","",ROUND(U35*U31,2))</f>
        <v>-5621.67</v>
      </c>
      <c r="V36" s="64">
        <f t="shared" si="340"/>
        <v>-6078.73</v>
      </c>
      <c r="W36" s="64">
        <f t="shared" ref="W36:X36" si="341">IF(W31="","",ROUND(W35*W31,2))</f>
        <v>-5571.58</v>
      </c>
      <c r="X36" s="64">
        <f t="shared" si="341"/>
        <v>-3698.89</v>
      </c>
      <c r="Y36" s="64">
        <f t="shared" ref="Y36:Z36" si="342">IF(Y31="","",ROUND(Y35*Y31,2))</f>
        <v>-5186.1400000000003</v>
      </c>
      <c r="Z36" s="64">
        <f t="shared" si="342"/>
        <v>-4832.3100000000004</v>
      </c>
      <c r="AA36" s="64">
        <f t="shared" ref="AA36:AB36" si="343">IF(AA31="","",ROUND(AA35*AA31,2))</f>
        <v>-75442.73</v>
      </c>
      <c r="AB36" s="64">
        <f t="shared" si="343"/>
        <v>-13631.28</v>
      </c>
      <c r="AC36" s="64">
        <f t="shared" ref="AC36:AD36" si="344">IF(AC31="","",ROUND(AC35*AC31,2))</f>
        <v>48097.27</v>
      </c>
      <c r="AD36" s="64">
        <f t="shared" si="344"/>
        <v>-10628.22</v>
      </c>
      <c r="AE36" s="64">
        <f t="shared" ref="AE36:AF36" si="345">IF(AE31="","",ROUND(AE35*AE31,2))</f>
        <v>-12955.95</v>
      </c>
      <c r="AF36" s="64">
        <f t="shared" si="345"/>
        <v>-14863.58</v>
      </c>
      <c r="AG36" s="64">
        <f t="shared" ref="AG36:AH36" si="346">IF(AG31="","",ROUND(AG35*AG31,2))</f>
        <v>-14696.75</v>
      </c>
      <c r="AH36" s="64">
        <f t="shared" si="346"/>
        <v>-15321.62</v>
      </c>
      <c r="AI36" s="64">
        <f t="shared" ref="AI36:AJ36" si="347">IF(AI31="","",ROUND(AI35*AI31,2))</f>
        <v>-13162.71</v>
      </c>
      <c r="AJ36" s="64">
        <f t="shared" si="347"/>
        <v>-13147.52</v>
      </c>
      <c r="AK36" s="64">
        <f t="shared" ref="AK36:AL36" si="348">IF(AK31="","",ROUND(AK35*AK31,2))</f>
        <v>-12907.03</v>
      </c>
      <c r="AL36" s="64">
        <f t="shared" si="348"/>
        <v>-10895.84</v>
      </c>
      <c r="AM36" s="64">
        <f t="shared" ref="AM36:AN36" si="349">IF(AM31="","",ROUND(AM35*AM31,2))</f>
        <v>-1066.49</v>
      </c>
      <c r="AN36" s="64">
        <f t="shared" si="349"/>
        <v>-3016.99</v>
      </c>
      <c r="AO36" s="64">
        <f t="shared" ref="AO36:AP36" si="350">IF(AO31="","",ROUND(AO35*AO31,2))</f>
        <v>-3035.29</v>
      </c>
      <c r="AP36" s="64">
        <f t="shared" si="350"/>
        <v>-3174.93</v>
      </c>
      <c r="AQ36" s="64">
        <f t="shared" ref="AQ36:AR36" si="351">IF(AQ31="","",ROUND(AQ35*AQ31,2))</f>
        <v>-3818.81</v>
      </c>
      <c r="AR36" s="64">
        <f t="shared" si="351"/>
        <v>-3576.74</v>
      </c>
      <c r="AS36" s="64">
        <f t="shared" ref="AS36:AT36" si="352">IF(AS31="","",ROUND(AS35*AS31,2))</f>
        <v>-4100.8</v>
      </c>
      <c r="AT36" s="64">
        <f t="shared" si="352"/>
        <v>-4472.42</v>
      </c>
      <c r="AU36" s="64">
        <f t="shared" ref="AU36:AV36" si="353">IF(AU31="","",ROUND(AU35*AU31,2))</f>
        <v>-4510.16</v>
      </c>
      <c r="AV36" s="64">
        <f t="shared" si="353"/>
        <v>-3586.08</v>
      </c>
      <c r="AW36" s="64">
        <f t="shared" ref="AW36:AX36" si="354">IF(AW31="","",ROUND(AW35*AW31,2))</f>
        <v>-3512.28</v>
      </c>
      <c r="AX36" s="64">
        <f t="shared" si="354"/>
        <v>-3644.82</v>
      </c>
    </row>
    <row r="37" spans="1:50" x14ac:dyDescent="0.35">
      <c r="A37" s="78"/>
      <c r="B37" s="76"/>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row>
  </sheetData>
  <mergeCells count="5">
    <mergeCell ref="A3:A8"/>
    <mergeCell ref="A10:A15"/>
    <mergeCell ref="A17:A22"/>
    <mergeCell ref="A24:A29"/>
    <mergeCell ref="A31:A36"/>
  </mergeCells>
  <pageMargins left="0.7" right="0.7" top="0.75" bottom="0.75" header="0.3" footer="0.3"/>
  <pageSetup orientation="portrait" r:id="rId1"/>
  <headerFooter>
    <oddFooter>&amp;RSchedule JNG-D3</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CU184"/>
  <sheetViews>
    <sheetView zoomScaleNormal="100" zoomScaleSheetLayoutView="80" workbookViewId="0">
      <pane xSplit="2" ySplit="4" topLeftCell="CF5" activePane="bottomRight" state="frozen"/>
      <selection activeCell="AL26" sqref="AL26"/>
      <selection pane="topRight" activeCell="AL26" sqref="AL26"/>
      <selection pane="bottomLeft" activeCell="AL26" sqref="AL26"/>
      <selection pane="bottomRight" activeCell="CI32" sqref="CI32:CU32"/>
    </sheetView>
  </sheetViews>
  <sheetFormatPr defaultColWidth="9.1796875" defaultRowHeight="14.5" zeroHeight="1" outlineLevelRow="1" outlineLevelCol="1" x14ac:dyDescent="0.35"/>
  <cols>
    <col min="1" max="1" width="3.1796875" style="1" customWidth="1"/>
    <col min="2" max="2" width="50" customWidth="1"/>
    <col min="3" max="3" width="7.81640625" customWidth="1" outlineLevel="1"/>
    <col min="4" max="4" width="7.1796875" customWidth="1" outlineLevel="1"/>
    <col min="5" max="14" width="18.7265625" customWidth="1" outlineLevel="1"/>
    <col min="15" max="15" width="17.81640625" customWidth="1" outlineLevel="1" collapsed="1"/>
    <col min="16" max="26" width="18.7265625" customWidth="1" outlineLevel="1"/>
    <col min="27" max="41" width="18.7265625" customWidth="1"/>
    <col min="42" max="46" width="16" customWidth="1"/>
    <col min="47" max="58" width="13.81640625" bestFit="1" customWidth="1"/>
    <col min="59" max="70" width="13.81640625" customWidth="1"/>
    <col min="71" max="99" width="13.81640625" bestFit="1" customWidth="1"/>
  </cols>
  <sheetData>
    <row r="1" spans="1:99" ht="15.5" x14ac:dyDescent="0.35">
      <c r="A1" s="46" t="s">
        <v>1</v>
      </c>
    </row>
    <row r="2" spans="1:99" ht="15.5" x14ac:dyDescent="0.35">
      <c r="A2" s="46" t="s">
        <v>7</v>
      </c>
      <c r="B2" s="33"/>
      <c r="C2" s="33"/>
      <c r="D2" s="33"/>
      <c r="W2" s="39"/>
      <c r="X2" s="39"/>
      <c r="Y2" s="39"/>
      <c r="BA2" s="39"/>
      <c r="BE2" s="39"/>
    </row>
    <row r="3" spans="1:99" x14ac:dyDescent="0.35">
      <c r="AH3" s="39"/>
      <c r="BA3" s="39"/>
    </row>
    <row r="4" spans="1:99" x14ac:dyDescent="0.35">
      <c r="C4" s="10">
        <v>42370</v>
      </c>
      <c r="D4" s="10">
        <v>42401</v>
      </c>
      <c r="E4" s="10">
        <v>42430</v>
      </c>
      <c r="F4" s="10">
        <v>42461</v>
      </c>
      <c r="G4" s="10">
        <v>42491</v>
      </c>
      <c r="H4" s="10">
        <v>42522</v>
      </c>
      <c r="I4" s="10">
        <v>42552</v>
      </c>
      <c r="J4" s="10">
        <v>42583</v>
      </c>
      <c r="K4" s="10">
        <v>42614</v>
      </c>
      <c r="L4" s="10">
        <v>42644</v>
      </c>
      <c r="M4" s="10">
        <v>42675</v>
      </c>
      <c r="N4" s="10">
        <v>42705</v>
      </c>
      <c r="O4" s="10">
        <v>42736</v>
      </c>
      <c r="P4" s="10">
        <v>42767</v>
      </c>
      <c r="Q4" s="10">
        <v>42795</v>
      </c>
      <c r="R4" s="10">
        <v>42826</v>
      </c>
      <c r="S4" s="10">
        <v>42856</v>
      </c>
      <c r="T4" s="10">
        <v>42887</v>
      </c>
      <c r="U4" s="10">
        <v>42917</v>
      </c>
      <c r="V4" s="10">
        <v>42948</v>
      </c>
      <c r="W4" s="10">
        <v>42979</v>
      </c>
      <c r="X4" s="10">
        <v>43009</v>
      </c>
      <c r="Y4" s="10">
        <v>43040</v>
      </c>
      <c r="Z4" s="10">
        <v>43070</v>
      </c>
      <c r="AA4" s="10">
        <v>43101</v>
      </c>
      <c r="AB4" s="10">
        <v>43132</v>
      </c>
      <c r="AC4" s="10">
        <v>43160</v>
      </c>
      <c r="AD4" s="10">
        <v>43191</v>
      </c>
      <c r="AE4" s="10">
        <v>43221</v>
      </c>
      <c r="AF4" s="10">
        <v>43252</v>
      </c>
      <c r="AG4" s="10">
        <v>43282</v>
      </c>
      <c r="AH4" s="10">
        <v>43313</v>
      </c>
      <c r="AI4" s="10">
        <v>43344</v>
      </c>
      <c r="AJ4" s="10">
        <v>43374</v>
      </c>
      <c r="AK4" s="10">
        <v>43405</v>
      </c>
      <c r="AL4" s="10">
        <v>43435</v>
      </c>
      <c r="AM4" s="10">
        <v>43466</v>
      </c>
      <c r="AN4" s="10">
        <v>43497</v>
      </c>
      <c r="AO4" s="10">
        <v>43525</v>
      </c>
      <c r="AP4" s="10">
        <v>43556</v>
      </c>
      <c r="AQ4" s="10">
        <v>43586</v>
      </c>
      <c r="AR4" s="10">
        <v>43617</v>
      </c>
      <c r="AS4" s="10">
        <v>43647</v>
      </c>
      <c r="AT4" s="10">
        <v>43678</v>
      </c>
      <c r="AU4" s="10">
        <v>43709</v>
      </c>
      <c r="AV4" s="10">
        <v>43739</v>
      </c>
      <c r="AW4" s="10">
        <v>43770</v>
      </c>
      <c r="AX4" s="10">
        <v>43800</v>
      </c>
      <c r="AY4" s="10">
        <v>43831</v>
      </c>
      <c r="AZ4" s="10">
        <v>43862</v>
      </c>
      <c r="BA4" s="10">
        <v>43891</v>
      </c>
      <c r="BB4" s="10">
        <v>43922</v>
      </c>
      <c r="BC4" s="10">
        <v>43952</v>
      </c>
      <c r="BD4" s="10">
        <v>43983</v>
      </c>
      <c r="BE4" s="10">
        <v>44013</v>
      </c>
      <c r="BF4" s="10">
        <v>44044</v>
      </c>
      <c r="BG4" s="10">
        <v>44075</v>
      </c>
      <c r="BH4" s="10">
        <v>44105</v>
      </c>
      <c r="BI4" s="10">
        <v>44136</v>
      </c>
      <c r="BJ4" s="10">
        <v>44166</v>
      </c>
      <c r="BK4" s="10">
        <v>44197</v>
      </c>
      <c r="BL4" s="10">
        <v>44228</v>
      </c>
      <c r="BM4" s="10">
        <v>44256</v>
      </c>
      <c r="BN4" s="10">
        <v>44287</v>
      </c>
      <c r="BO4" s="10">
        <v>44317</v>
      </c>
      <c r="BP4" s="10">
        <v>44348</v>
      </c>
      <c r="BQ4" s="10">
        <v>44378</v>
      </c>
      <c r="BR4" s="10">
        <v>44409</v>
      </c>
      <c r="BS4" s="10">
        <v>44440</v>
      </c>
      <c r="BT4" s="10">
        <v>44470</v>
      </c>
      <c r="BU4" s="10">
        <v>44501</v>
      </c>
      <c r="BV4" s="10">
        <v>44531</v>
      </c>
      <c r="BW4" s="10">
        <v>44562</v>
      </c>
      <c r="BX4" s="10">
        <v>44593</v>
      </c>
      <c r="BY4" s="10">
        <v>44621</v>
      </c>
      <c r="BZ4" s="10">
        <v>44652</v>
      </c>
      <c r="CA4" s="10">
        <v>44682</v>
      </c>
      <c r="CB4" s="10">
        <v>44713</v>
      </c>
      <c r="CC4" s="10">
        <v>44743</v>
      </c>
      <c r="CD4" s="10">
        <v>44774</v>
      </c>
      <c r="CE4" s="10">
        <v>44805</v>
      </c>
      <c r="CF4" s="10">
        <v>44835</v>
      </c>
      <c r="CG4" s="10">
        <v>44866</v>
      </c>
      <c r="CH4" s="10">
        <v>44896</v>
      </c>
      <c r="CI4" s="10">
        <v>44927</v>
      </c>
      <c r="CJ4" s="10">
        <v>44958</v>
      </c>
      <c r="CK4" s="10">
        <v>44986</v>
      </c>
      <c r="CL4" s="10">
        <v>45017</v>
      </c>
      <c r="CM4" s="10">
        <v>45047</v>
      </c>
      <c r="CN4" s="10">
        <v>45078</v>
      </c>
      <c r="CO4" s="10">
        <v>45108</v>
      </c>
      <c r="CP4" s="10">
        <v>45139</v>
      </c>
      <c r="CQ4" s="10">
        <v>45170</v>
      </c>
      <c r="CR4" s="10">
        <v>45200</v>
      </c>
      <c r="CS4" s="10">
        <v>45231</v>
      </c>
      <c r="CT4" s="10">
        <v>45261</v>
      </c>
      <c r="CU4" s="10">
        <v>45292</v>
      </c>
    </row>
    <row r="5" spans="1:99" ht="15" customHeight="1" x14ac:dyDescent="0.35">
      <c r="A5" s="298" t="s">
        <v>0</v>
      </c>
      <c r="B5" s="5"/>
      <c r="C5" s="24"/>
      <c r="D5" s="24"/>
      <c r="E5" s="29"/>
      <c r="F5" s="29"/>
      <c r="G5" s="29"/>
      <c r="H5" s="29"/>
      <c r="I5" s="29"/>
      <c r="J5" s="29"/>
      <c r="K5" s="29"/>
      <c r="L5" s="29"/>
      <c r="M5" s="29"/>
      <c r="N5" s="29"/>
      <c r="O5" s="29"/>
      <c r="P5" s="68">
        <v>2696725.74</v>
      </c>
      <c r="Q5" s="29"/>
      <c r="R5" s="29"/>
      <c r="S5" s="29"/>
      <c r="T5" s="29"/>
      <c r="U5" s="29"/>
      <c r="V5" s="29"/>
      <c r="W5" s="29"/>
      <c r="X5" s="29"/>
      <c r="Y5" s="68">
        <f>+'MEEIA 2 adjs'!Q12</f>
        <v>-3196.0980622343154</v>
      </c>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151">
        <f>'MEEIA 2 adjs'!BM1+'MEEIA 2 adjs'!BY11</f>
        <v>-3340.5820431405446</v>
      </c>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row>
    <row r="6" spans="1:99" s="3" customFormat="1" ht="15" customHeight="1" x14ac:dyDescent="0.35">
      <c r="A6" s="298"/>
      <c r="B6" s="5" t="s">
        <v>9</v>
      </c>
      <c r="C6" s="24"/>
      <c r="D6" s="24"/>
      <c r="E6" s="21">
        <v>489577.71</v>
      </c>
      <c r="F6" s="21">
        <v>596039.34</v>
      </c>
      <c r="G6" s="21">
        <v>1517252.46</v>
      </c>
      <c r="H6" s="21">
        <v>1813501.32</v>
      </c>
      <c r="I6" s="21">
        <v>2186924.08</v>
      </c>
      <c r="J6" s="21">
        <v>3901790.85</v>
      </c>
      <c r="K6" s="21">
        <v>2101305.48</v>
      </c>
      <c r="L6" s="21">
        <v>3473901.82</v>
      </c>
      <c r="M6" s="22">
        <v>3971572.65</v>
      </c>
      <c r="N6" s="21">
        <v>3484429.82</v>
      </c>
      <c r="O6" s="21">
        <v>3674638.82</v>
      </c>
      <c r="P6" s="22">
        <v>4414025.79</v>
      </c>
      <c r="Q6" s="22">
        <v>2991594.54</v>
      </c>
      <c r="R6" s="21">
        <v>2590304.3199999998</v>
      </c>
      <c r="S6" s="21">
        <v>4657810.8899999997</v>
      </c>
      <c r="T6" s="21">
        <v>4977110.7899999982</v>
      </c>
      <c r="U6" s="21">
        <v>3348927.8400000003</v>
      </c>
      <c r="V6" s="21">
        <v>5546241.8499999996</v>
      </c>
      <c r="W6" s="21">
        <v>4343353.6899999995</v>
      </c>
      <c r="X6" s="21">
        <v>4663448.7899999991</v>
      </c>
      <c r="Y6" s="21">
        <v>3579807.37</v>
      </c>
      <c r="Z6" s="21">
        <v>5420569.8299999982</v>
      </c>
      <c r="AA6" s="21">
        <v>3574752.5799999991</v>
      </c>
      <c r="AB6" s="21">
        <v>3331489.5699999994</v>
      </c>
      <c r="AC6" s="21">
        <v>4263249.9299999988</v>
      </c>
      <c r="AD6" s="21">
        <v>4115174.5300000017</v>
      </c>
      <c r="AE6" s="21">
        <v>4740998.6900000004</v>
      </c>
      <c r="AF6" s="21">
        <v>5145804.7499999991</v>
      </c>
      <c r="AG6" s="21">
        <v>6107814.71</v>
      </c>
      <c r="AH6" s="21">
        <v>6553231.54</v>
      </c>
      <c r="AI6" s="21">
        <v>5114734.95</v>
      </c>
      <c r="AJ6" s="21">
        <v>4801059.09</v>
      </c>
      <c r="AK6" s="21">
        <v>6475373.9700000007</v>
      </c>
      <c r="AL6" s="21">
        <v>8029360.29</v>
      </c>
      <c r="AM6" s="21">
        <v>1571431.2300000002</v>
      </c>
      <c r="AN6" s="21">
        <v>9564900.9000000004</v>
      </c>
      <c r="AO6" s="21">
        <v>7004423.3000000007</v>
      </c>
      <c r="AP6" s="21">
        <v>197376.2899999998</v>
      </c>
      <c r="AQ6" s="21">
        <v>257011.13999999996</v>
      </c>
      <c r="AR6" s="21">
        <v>211431.85000000024</v>
      </c>
      <c r="AS6" s="21">
        <v>1180808.6699999997</v>
      </c>
      <c r="AT6" s="21">
        <v>-1350523.8200000005</v>
      </c>
      <c r="AU6" s="21">
        <v>85629.37000000001</v>
      </c>
      <c r="AV6" s="21">
        <v>459064.35000000003</v>
      </c>
      <c r="AW6" s="21">
        <v>41006.47</v>
      </c>
      <c r="AX6" s="21">
        <v>159031.65</v>
      </c>
      <c r="AY6" s="21">
        <v>83120.979999999952</v>
      </c>
      <c r="AZ6" s="21">
        <v>139855.28</v>
      </c>
      <c r="BA6" s="21">
        <v>209941.13000000003</v>
      </c>
      <c r="BB6" s="21">
        <v>-1300.0800000000563</v>
      </c>
      <c r="BC6" s="21">
        <v>14255.75</v>
      </c>
      <c r="BD6" s="21">
        <v>253360.02999999997</v>
      </c>
      <c r="BE6" s="21">
        <v>60801.639999999985</v>
      </c>
      <c r="BF6" s="21">
        <v>700403.20000000019</v>
      </c>
      <c r="BG6" s="21">
        <v>126526.49999999997</v>
      </c>
      <c r="BH6" s="21">
        <v>21848.7</v>
      </c>
      <c r="BI6" s="21">
        <v>5996.8600000000006</v>
      </c>
      <c r="BJ6" s="21">
        <v>-279762.15999999992</v>
      </c>
      <c r="BK6" s="21">
        <v>95606.290000000008</v>
      </c>
      <c r="BL6" s="21">
        <v>153442.74</v>
      </c>
      <c r="BM6" s="21">
        <f>225.280000000005</f>
        <v>225.280000000005</v>
      </c>
      <c r="BN6" s="21">
        <v>99299.199999999997</v>
      </c>
      <c r="BO6" s="21">
        <v>19536.79</v>
      </c>
      <c r="BP6" s="21">
        <v>3441.95</v>
      </c>
      <c r="BQ6" s="21">
        <v>-107676.22</v>
      </c>
      <c r="BR6" s="21">
        <v>405</v>
      </c>
      <c r="BS6" s="21">
        <v>0</v>
      </c>
      <c r="BT6" s="21">
        <v>0</v>
      </c>
      <c r="BU6" s="21">
        <v>73760.72</v>
      </c>
      <c r="BV6" s="21">
        <v>0</v>
      </c>
      <c r="BW6" s="21">
        <v>-96364.57</v>
      </c>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row>
    <row r="7" spans="1:99" s="3" customFormat="1" x14ac:dyDescent="0.35">
      <c r="A7" s="298"/>
      <c r="B7" s="5" t="s">
        <v>10</v>
      </c>
      <c r="C7" s="24"/>
      <c r="D7" s="24"/>
      <c r="E7" s="22">
        <v>0</v>
      </c>
      <c r="F7" s="22">
        <v>0</v>
      </c>
      <c r="G7" s="22">
        <v>261356.59</v>
      </c>
      <c r="H7" s="22">
        <v>3948687.99</v>
      </c>
      <c r="I7" s="22">
        <v>5065072.49</v>
      </c>
      <c r="J7" s="22">
        <v>5065949.9800000004</v>
      </c>
      <c r="K7" s="22">
        <v>4872398.21</v>
      </c>
      <c r="L7" s="22">
        <v>3865806.8</v>
      </c>
      <c r="M7" s="21">
        <v>3385376.18</v>
      </c>
      <c r="N7" s="22">
        <v>4206736.6500000004</v>
      </c>
      <c r="O7" s="22">
        <v>5036008.79</v>
      </c>
      <c r="P7" s="21">
        <f>3600039.75-11959.19</f>
        <v>3588080.56</v>
      </c>
      <c r="Q7" s="22">
        <v>2991302.79</v>
      </c>
      <c r="R7" s="22">
        <v>2782459.66</v>
      </c>
      <c r="S7" s="22">
        <v>2731333.13</v>
      </c>
      <c r="T7" s="22">
        <v>3426060.95</v>
      </c>
      <c r="U7" s="22">
        <v>4159412.58</v>
      </c>
      <c r="V7" s="22">
        <v>4243344.03</v>
      </c>
      <c r="W7" s="22">
        <v>3595829.47</v>
      </c>
      <c r="X7" s="22">
        <v>3284010.57</v>
      </c>
      <c r="Y7" s="22">
        <v>2912003.78</v>
      </c>
      <c r="Z7" s="22">
        <v>3426009.82</v>
      </c>
      <c r="AA7" s="22">
        <v>5038749.5</v>
      </c>
      <c r="AB7" s="22">
        <v>6592700.7599999998</v>
      </c>
      <c r="AC7" s="22">
        <v>6048408.1600000001</v>
      </c>
      <c r="AD7" s="22">
        <v>5896451.8300000001</v>
      </c>
      <c r="AE7" s="22">
        <v>5602655.8799999999</v>
      </c>
      <c r="AF7" s="22">
        <v>7075374.6299999999</v>
      </c>
      <c r="AG7" s="22">
        <v>7704127.9100000001</v>
      </c>
      <c r="AH7" s="22">
        <v>7271988.1200000001</v>
      </c>
      <c r="AI7" s="22">
        <v>7138278.0300000003</v>
      </c>
      <c r="AJ7" s="22">
        <v>6192975.21</v>
      </c>
      <c r="AK7" s="22">
        <v>5652712.79</v>
      </c>
      <c r="AL7" s="22">
        <v>6720370.3499999996</v>
      </c>
      <c r="AM7" s="22">
        <v>6281361.5700000003</v>
      </c>
      <c r="AN7" s="22">
        <v>111085.01</v>
      </c>
      <c r="AO7" s="22">
        <v>-36362.01</v>
      </c>
      <c r="AP7" s="22">
        <v>124962.2</v>
      </c>
      <c r="AQ7" s="22">
        <v>216142.69</v>
      </c>
      <c r="AR7" s="22">
        <v>164533.09</v>
      </c>
      <c r="AS7" s="22">
        <v>52414.7</v>
      </c>
      <c r="AT7" s="22">
        <v>41132.15</v>
      </c>
      <c r="AU7" s="22">
        <v>99790.34</v>
      </c>
      <c r="AV7" s="21">
        <v>162041.60999999999</v>
      </c>
      <c r="AW7" s="22">
        <v>143971.22</v>
      </c>
      <c r="AX7" s="22">
        <v>8571.3799999999992</v>
      </c>
      <c r="AY7" s="22">
        <v>-35370.6</v>
      </c>
      <c r="AZ7" s="22">
        <v>118298.99</v>
      </c>
      <c r="BA7" s="22">
        <v>171428.03</v>
      </c>
      <c r="BB7" s="22">
        <v>133296.92000000001</v>
      </c>
      <c r="BC7" s="22">
        <v>117655.75</v>
      </c>
      <c r="BD7" s="22">
        <v>130053.22</v>
      </c>
      <c r="BE7" s="22">
        <v>209735.52</v>
      </c>
      <c r="BF7" s="22">
        <v>197790.51</v>
      </c>
      <c r="BG7" s="22">
        <v>179959.96</v>
      </c>
      <c r="BH7" s="22">
        <v>125626.02</v>
      </c>
      <c r="BI7" s="22">
        <v>131893.51</v>
      </c>
      <c r="BJ7" s="22">
        <v>171081.87</v>
      </c>
      <c r="BK7" s="22">
        <v>221573.25</v>
      </c>
      <c r="BL7" s="22">
        <v>139999.91</v>
      </c>
      <c r="BM7" s="22">
        <v>69598.7</v>
      </c>
      <c r="BN7" s="22">
        <v>79661.600000000006</v>
      </c>
      <c r="BO7" s="22">
        <v>83734.06</v>
      </c>
      <c r="BP7" s="22">
        <v>81721.8</v>
      </c>
      <c r="BQ7" s="22">
        <v>93432.28</v>
      </c>
      <c r="BR7" s="22">
        <v>87748.09</v>
      </c>
      <c r="BS7" s="22">
        <v>92364.89</v>
      </c>
      <c r="BT7" s="22">
        <v>92883.25</v>
      </c>
      <c r="BU7" s="22">
        <v>76286.48</v>
      </c>
      <c r="BV7" s="22">
        <v>85855.96</v>
      </c>
      <c r="BW7" s="22">
        <v>77650.67</v>
      </c>
      <c r="BX7" s="12"/>
      <c r="BY7" s="12"/>
      <c r="BZ7" s="12"/>
      <c r="CA7" s="12"/>
      <c r="CB7" s="12"/>
      <c r="CC7" s="12"/>
      <c r="CD7" s="12"/>
      <c r="CE7" s="12"/>
      <c r="CF7" s="12"/>
      <c r="CG7" s="12"/>
      <c r="CH7" s="12"/>
      <c r="CI7" s="12"/>
      <c r="CJ7" s="12"/>
      <c r="CK7" s="12"/>
      <c r="CL7" s="12"/>
      <c r="CM7" s="12"/>
      <c r="CN7" s="12"/>
      <c r="CO7" s="12"/>
      <c r="CP7" s="12"/>
      <c r="CQ7" s="12"/>
      <c r="CR7" s="12"/>
      <c r="CS7" s="12"/>
      <c r="CT7" s="12"/>
      <c r="CU7" s="12"/>
    </row>
    <row r="8" spans="1:99" s="3" customFormat="1" x14ac:dyDescent="0.35">
      <c r="A8" s="298"/>
      <c r="B8" s="5" t="s">
        <v>11</v>
      </c>
      <c r="C8" s="24"/>
      <c r="D8" s="24"/>
      <c r="E8" s="7">
        <f t="shared" ref="E8:AX8" si="0">IF(OR(E6="",E7=""),"",E6-E7)</f>
        <v>489577.71</v>
      </c>
      <c r="F8" s="7">
        <f t="shared" si="0"/>
        <v>596039.34</v>
      </c>
      <c r="G8" s="7">
        <f t="shared" si="0"/>
        <v>1255895.8699999999</v>
      </c>
      <c r="H8" s="7">
        <f t="shared" si="0"/>
        <v>-2135186.67</v>
      </c>
      <c r="I8" s="7">
        <f>IF(OR(I6="",I7=""),"",I6-I7)</f>
        <v>-2878148.41</v>
      </c>
      <c r="J8" s="8">
        <f t="shared" si="0"/>
        <v>-1164159.1300000004</v>
      </c>
      <c r="K8" s="8">
        <f t="shared" si="0"/>
        <v>-2771092.73</v>
      </c>
      <c r="L8" s="8">
        <f t="shared" si="0"/>
        <v>-391904.98</v>
      </c>
      <c r="M8" s="8">
        <f t="shared" si="0"/>
        <v>586196.46999999974</v>
      </c>
      <c r="N8" s="8">
        <f t="shared" si="0"/>
        <v>-722306.83000000054</v>
      </c>
      <c r="O8" s="8">
        <f t="shared" si="0"/>
        <v>-1361369.9700000002</v>
      </c>
      <c r="P8" s="8">
        <f>IF(OR(P6="",P7=""),"",P6-P7)</f>
        <v>825945.23</v>
      </c>
      <c r="Q8" s="8">
        <f t="shared" si="0"/>
        <v>291.75</v>
      </c>
      <c r="R8" s="8">
        <f t="shared" si="0"/>
        <v>-192155.34000000032</v>
      </c>
      <c r="S8" s="8">
        <f t="shared" si="0"/>
        <v>1926477.7599999998</v>
      </c>
      <c r="T8" s="8">
        <f t="shared" si="0"/>
        <v>1551049.839999998</v>
      </c>
      <c r="U8" s="8">
        <f t="shared" si="0"/>
        <v>-810484.73999999976</v>
      </c>
      <c r="V8" s="8">
        <f t="shared" si="0"/>
        <v>1302897.8199999994</v>
      </c>
      <c r="W8" s="8">
        <f t="shared" si="0"/>
        <v>747524.21999999927</v>
      </c>
      <c r="X8" s="8">
        <f>IF(OR(X6="",X7=""),"",X6-X7)</f>
        <v>1379438.2199999993</v>
      </c>
      <c r="Y8" s="8">
        <f>IF(OR(Y6="",Y7=""),"",Y6-Y7)</f>
        <v>667803.59000000032</v>
      </c>
      <c r="Z8" s="8">
        <f t="shared" si="0"/>
        <v>1994560.0099999984</v>
      </c>
      <c r="AA8" s="8">
        <f t="shared" si="0"/>
        <v>-1463996.9200000009</v>
      </c>
      <c r="AB8" s="8">
        <f t="shared" si="0"/>
        <v>-3261211.1900000004</v>
      </c>
      <c r="AC8" s="8">
        <f t="shared" si="0"/>
        <v>-1785158.2300000014</v>
      </c>
      <c r="AD8" s="8">
        <f t="shared" si="0"/>
        <v>-1781277.2999999984</v>
      </c>
      <c r="AE8" s="8">
        <f t="shared" si="0"/>
        <v>-861657.18999999948</v>
      </c>
      <c r="AF8" s="8">
        <f t="shared" si="0"/>
        <v>-1929569.8800000008</v>
      </c>
      <c r="AG8" s="8">
        <f t="shared" si="0"/>
        <v>-1596313.2000000002</v>
      </c>
      <c r="AH8" s="8">
        <f t="shared" si="0"/>
        <v>-718756.58000000007</v>
      </c>
      <c r="AI8" s="8">
        <f t="shared" si="0"/>
        <v>-2023543.08</v>
      </c>
      <c r="AJ8" s="8">
        <f t="shared" si="0"/>
        <v>-1391916.12</v>
      </c>
      <c r="AK8" s="8">
        <f t="shared" si="0"/>
        <v>822661.18000000063</v>
      </c>
      <c r="AL8" s="8">
        <f t="shared" si="0"/>
        <v>1308989.9400000004</v>
      </c>
      <c r="AM8" s="8">
        <f t="shared" si="0"/>
        <v>-4709930.34</v>
      </c>
      <c r="AN8" s="8">
        <f t="shared" si="0"/>
        <v>9453815.8900000006</v>
      </c>
      <c r="AO8" s="8">
        <f t="shared" si="0"/>
        <v>7040785.3100000005</v>
      </c>
      <c r="AP8" s="8">
        <f t="shared" si="0"/>
        <v>72414.089999999807</v>
      </c>
      <c r="AQ8" s="8">
        <f t="shared" si="0"/>
        <v>40868.449999999953</v>
      </c>
      <c r="AR8" s="8">
        <f t="shared" si="0"/>
        <v>46898.760000000242</v>
      </c>
      <c r="AS8" s="8">
        <f t="shared" si="0"/>
        <v>1128393.9699999997</v>
      </c>
      <c r="AT8" s="8">
        <f t="shared" si="0"/>
        <v>-1391655.9700000004</v>
      </c>
      <c r="AU8" s="8">
        <f t="shared" si="0"/>
        <v>-14160.969999999987</v>
      </c>
      <c r="AV8" s="8">
        <f t="shared" si="0"/>
        <v>297022.74000000005</v>
      </c>
      <c r="AW8" s="8">
        <f t="shared" si="0"/>
        <v>-102964.75</v>
      </c>
      <c r="AX8" s="8">
        <f t="shared" si="0"/>
        <v>150460.26999999999</v>
      </c>
      <c r="AY8" s="8">
        <f>IF(OR(AY6="",AY7=""),"",AY6-AY7)</f>
        <v>118491.57999999996</v>
      </c>
      <c r="AZ8" s="8">
        <f t="shared" ref="AZ8:BH8" si="1">IF(OR(AZ6="",AZ7=""),"",AZ6-AZ7)</f>
        <v>21556.289999999994</v>
      </c>
      <c r="BA8" s="8">
        <f t="shared" si="1"/>
        <v>38513.100000000035</v>
      </c>
      <c r="BB8" s="8">
        <f t="shared" si="1"/>
        <v>-134597.00000000006</v>
      </c>
      <c r="BC8" s="8">
        <f t="shared" si="1"/>
        <v>-103400</v>
      </c>
      <c r="BD8" s="8">
        <f t="shared" si="1"/>
        <v>123306.80999999997</v>
      </c>
      <c r="BE8" s="8">
        <f t="shared" si="1"/>
        <v>-148933.88</v>
      </c>
      <c r="BF8" s="8">
        <f t="shared" si="1"/>
        <v>502612.69000000018</v>
      </c>
      <c r="BG8" s="8">
        <f t="shared" si="1"/>
        <v>-53433.460000000021</v>
      </c>
      <c r="BH8" s="8">
        <f t="shared" si="1"/>
        <v>-103777.32</v>
      </c>
      <c r="BI8" s="8">
        <f t="shared" ref="BI8:BN8" si="2">IF(OR(BI6="",BI7=""),"",BI6-BI7)</f>
        <v>-125896.65000000001</v>
      </c>
      <c r="BJ8" s="8">
        <f t="shared" si="2"/>
        <v>-450844.02999999991</v>
      </c>
      <c r="BK8" s="8">
        <f t="shared" si="2"/>
        <v>-125966.95999999999</v>
      </c>
      <c r="BL8" s="8">
        <f t="shared" si="2"/>
        <v>13442.829999999987</v>
      </c>
      <c r="BM8" s="8">
        <f>IF(OR(BM6="",BM7=""),"",BM6-BM7)</f>
        <v>-69373.42</v>
      </c>
      <c r="BN8" s="8">
        <f t="shared" si="2"/>
        <v>19637.599999999991</v>
      </c>
      <c r="BO8" s="8">
        <f t="shared" ref="BO8:BP8" si="3">IF(OR(BO6="",BO7=""),"",BO6-BO7)</f>
        <v>-64197.27</v>
      </c>
      <c r="BP8" s="8">
        <f t="shared" si="3"/>
        <v>-78279.850000000006</v>
      </c>
      <c r="BQ8" s="8">
        <f t="shared" ref="BQ8:BR8" si="4">IF(OR(BQ6="",BQ7=""),"",BQ6-BQ7)</f>
        <v>-201108.5</v>
      </c>
      <c r="BR8" s="8">
        <f t="shared" si="4"/>
        <v>-87343.09</v>
      </c>
      <c r="BS8" s="8">
        <f t="shared" ref="BS8:BT8" si="5">IF(OR(BS6="",BS7=""),"",BS6-BS7)</f>
        <v>-92364.89</v>
      </c>
      <c r="BT8" s="8">
        <f t="shared" si="5"/>
        <v>-92883.25</v>
      </c>
      <c r="BU8" s="8">
        <f t="shared" ref="BU8:BV8" si="6">IF(OR(BU6="",BU7=""),"",BU6-BU7)</f>
        <v>-2525.7599999999948</v>
      </c>
      <c r="BV8" s="8">
        <f t="shared" si="6"/>
        <v>-85855.96</v>
      </c>
      <c r="BW8" s="8">
        <f t="shared" ref="BW8:BX8" si="7">IF(OR(BW6="",BW7=""),"",BW6-BW7)</f>
        <v>-174015.24</v>
      </c>
      <c r="BX8" s="12" t="str">
        <f t="shared" si="7"/>
        <v/>
      </c>
      <c r="BY8" s="12" t="str">
        <f t="shared" ref="BY8:BZ8" si="8">IF(OR(BY6="",BY7=""),"",BY6-BY7)</f>
        <v/>
      </c>
      <c r="BZ8" s="12" t="str">
        <f t="shared" si="8"/>
        <v/>
      </c>
      <c r="CA8" s="12" t="str">
        <f t="shared" ref="CA8:CB8" si="9">IF(OR(CA6="",CA7=""),"",CA6-CA7)</f>
        <v/>
      </c>
      <c r="CB8" s="12" t="str">
        <f t="shared" si="9"/>
        <v/>
      </c>
      <c r="CC8" s="12" t="str">
        <f t="shared" ref="CC8:CD8" si="10">IF(OR(CC6="",CC7=""),"",CC6-CC7)</f>
        <v/>
      </c>
      <c r="CD8" s="12" t="str">
        <f t="shared" si="10"/>
        <v/>
      </c>
      <c r="CE8" s="12" t="str">
        <f t="shared" ref="CE8:CF8" si="11">IF(OR(CE6="",CE7=""),"",CE6-CE7)</f>
        <v/>
      </c>
      <c r="CF8" s="12" t="str">
        <f t="shared" si="11"/>
        <v/>
      </c>
      <c r="CG8" s="12" t="str">
        <f t="shared" ref="CG8:CH8" si="12">IF(OR(CG6="",CG7=""),"",CG6-CG7)</f>
        <v/>
      </c>
      <c r="CH8" s="12" t="str">
        <f t="shared" si="12"/>
        <v/>
      </c>
      <c r="CI8" s="12" t="str">
        <f t="shared" ref="CI8:CJ8" si="13">IF(OR(CI6="",CI7=""),"",CI6-CI7)</f>
        <v/>
      </c>
      <c r="CJ8" s="12" t="str">
        <f t="shared" si="13"/>
        <v/>
      </c>
      <c r="CK8" s="12" t="str">
        <f t="shared" ref="CK8:CL8" si="14">IF(OR(CK6="",CK7=""),"",CK6-CK7)</f>
        <v/>
      </c>
      <c r="CL8" s="12" t="str">
        <f t="shared" si="14"/>
        <v/>
      </c>
      <c r="CM8" s="12" t="str">
        <f t="shared" ref="CM8:CN8" si="15">IF(OR(CM6="",CM7=""),"",CM6-CM7)</f>
        <v/>
      </c>
      <c r="CN8" s="12" t="str">
        <f t="shared" si="15"/>
        <v/>
      </c>
      <c r="CO8" s="12" t="str">
        <f t="shared" ref="CO8:CP8" si="16">IF(OR(CO6="",CO7=""),"",CO6-CO7)</f>
        <v/>
      </c>
      <c r="CP8" s="12" t="str">
        <f t="shared" si="16"/>
        <v/>
      </c>
      <c r="CQ8" s="12" t="str">
        <f t="shared" ref="CQ8:CR8" si="17">IF(OR(CQ6="",CQ7=""),"",CQ6-CQ7)</f>
        <v/>
      </c>
      <c r="CR8" s="12" t="str">
        <f t="shared" si="17"/>
        <v/>
      </c>
      <c r="CS8" s="12" t="str">
        <f t="shared" ref="CS8:CU8" si="18">IF(OR(CS6="",CS7=""),"",CS6-CS7)</f>
        <v/>
      </c>
      <c r="CT8" s="12" t="str">
        <f t="shared" si="18"/>
        <v/>
      </c>
      <c r="CU8" s="12" t="str">
        <f t="shared" si="18"/>
        <v/>
      </c>
    </row>
    <row r="9" spans="1:99" s="3" customFormat="1" x14ac:dyDescent="0.35">
      <c r="A9" s="298"/>
      <c r="B9" s="5" t="s">
        <v>4</v>
      </c>
      <c r="C9" s="24"/>
      <c r="D9" s="24"/>
      <c r="E9" s="23">
        <v>7.31972E-3</v>
      </c>
      <c r="F9" s="23">
        <v>7.4556900000000001E-3</v>
      </c>
      <c r="G9" s="23">
        <v>7.55794E-3</v>
      </c>
      <c r="H9" s="23">
        <v>6.2632199999999999E-3</v>
      </c>
      <c r="I9" s="23">
        <v>6.2904299999999996E-3</v>
      </c>
      <c r="J9" s="23">
        <v>7.6456600000000003E-3</v>
      </c>
      <c r="K9" s="23">
        <v>7.5545970550536697E-3</v>
      </c>
      <c r="L9" s="23">
        <v>7.6017000000000003E-3</v>
      </c>
      <c r="M9" s="23">
        <v>7.6414500000000002E-3</v>
      </c>
      <c r="N9" s="23">
        <v>9.6220400000000001E-3</v>
      </c>
      <c r="O9" s="23">
        <v>8.9999999999999993E-3</v>
      </c>
      <c r="P9" s="23">
        <v>8.9999999999999993E-3</v>
      </c>
      <c r="Q9" s="23">
        <v>1.15E-2</v>
      </c>
      <c r="R9" s="23">
        <v>1.15E-2</v>
      </c>
      <c r="S9" s="23">
        <v>1.15E-2</v>
      </c>
      <c r="T9" s="23">
        <v>1.41E-2</v>
      </c>
      <c r="U9" s="23">
        <v>1.39185E-2</v>
      </c>
      <c r="V9" s="23">
        <v>1.466976E-2</v>
      </c>
      <c r="W9" s="23">
        <v>1.4482760000000001E-2</v>
      </c>
      <c r="X9" s="23">
        <v>1.45083E-2</v>
      </c>
      <c r="Y9" s="23">
        <v>1.4428689E-2</v>
      </c>
      <c r="Z9" s="23">
        <v>1.773541E-2</v>
      </c>
      <c r="AA9" s="23">
        <v>1.715386E-2</v>
      </c>
      <c r="AB9" s="23">
        <v>1.8275659999999999E-2</v>
      </c>
      <c r="AC9" s="23">
        <v>2.0539459999999999E-2</v>
      </c>
      <c r="AD9" s="23">
        <v>2.3111960000000001E-2</v>
      </c>
      <c r="AE9" s="23">
        <v>2.1987949999999999E-2</v>
      </c>
      <c r="AF9" s="23">
        <v>2.2795610000000001E-2</v>
      </c>
      <c r="AG9" s="23">
        <v>2.347169E-2</v>
      </c>
      <c r="AH9" s="23">
        <v>2.3254460000000001E-2</v>
      </c>
      <c r="AI9" s="23">
        <v>2.328962E-2</v>
      </c>
      <c r="AJ9" s="23">
        <v>2.457413E-2</v>
      </c>
      <c r="AK9" s="23">
        <v>2.5271160000000001E-2</v>
      </c>
      <c r="AL9" s="23">
        <v>2.7545790000000001E-2</v>
      </c>
      <c r="AM9" s="23">
        <v>2.8696949999999999E-2</v>
      </c>
      <c r="AN9" s="23">
        <v>2.8403910000000001E-2</v>
      </c>
      <c r="AO9" s="23">
        <v>2.7878150000000001E-2</v>
      </c>
      <c r="AP9" s="23">
        <v>2.6622739999999999E-2</v>
      </c>
      <c r="AQ9" s="23">
        <v>2.677361E-2</v>
      </c>
      <c r="AR9" s="23">
        <v>2.6500570000000001E-2</v>
      </c>
      <c r="AS9" s="23">
        <v>2.594869E-2</v>
      </c>
      <c r="AT9" s="23">
        <v>2.3511899999999999E-2</v>
      </c>
      <c r="AU9" s="23">
        <v>2.21687E-2</v>
      </c>
      <c r="AV9" s="23">
        <v>2.113932E-2</v>
      </c>
      <c r="AW9" s="23">
        <v>1.8159890000000001E-2</v>
      </c>
      <c r="AX9" s="23">
        <v>1.9151990000000001E-2</v>
      </c>
      <c r="AY9" s="23">
        <v>1.8890779999999999E-2</v>
      </c>
      <c r="AZ9" s="23">
        <v>1.8035829999999999E-2</v>
      </c>
      <c r="BA9" s="23">
        <v>1.888592E-2</v>
      </c>
      <c r="BB9" s="23">
        <v>9.3845999999999999E-3</v>
      </c>
      <c r="BC9" s="23">
        <v>1.2906700000000001E-3</v>
      </c>
      <c r="BD9" s="23">
        <v>1.2563100000000001E-3</v>
      </c>
      <c r="BE9" s="23">
        <v>1.9366299999999999E-3</v>
      </c>
      <c r="BF9" s="23">
        <v>1.3658500000000001E-3</v>
      </c>
      <c r="BG9" s="23">
        <v>1.23916E-3</v>
      </c>
      <c r="BH9" s="23">
        <v>2E-3</v>
      </c>
      <c r="BI9" s="23">
        <v>2.5244400000000002E-3</v>
      </c>
      <c r="BJ9" s="23">
        <v>2.8469900000000002E-3</v>
      </c>
      <c r="BK9" s="23">
        <v>2.0613900000000002E-3</v>
      </c>
      <c r="BL9" s="23">
        <v>2.3221700000000001E-3</v>
      </c>
      <c r="BM9" s="23">
        <v>2.1367399999999998E-3</v>
      </c>
      <c r="BN9" s="23">
        <v>2.2512299999999999E-3</v>
      </c>
      <c r="BO9" s="23">
        <v>2.2427200000000001E-3</v>
      </c>
      <c r="BP9" s="23">
        <v>2.01659E-3</v>
      </c>
      <c r="BQ9" s="23">
        <v>1.3954900000000001E-3</v>
      </c>
      <c r="BR9" s="23">
        <v>2.0509899999999999E-3</v>
      </c>
      <c r="BS9" s="23">
        <v>1.9323299999999999E-3</v>
      </c>
      <c r="BT9" s="23">
        <v>1.5E-3</v>
      </c>
      <c r="BU9" s="23">
        <v>1.5320900000000001E-3</v>
      </c>
      <c r="BV9" s="23">
        <v>2.6046400000000001E-3</v>
      </c>
      <c r="BW9" s="23">
        <v>2.3444999999999998E-3</v>
      </c>
      <c r="BX9" s="23">
        <v>2.9584899999999998E-3</v>
      </c>
      <c r="BY9" s="23">
        <v>6.8829599999999996E-3</v>
      </c>
      <c r="BZ9" s="23">
        <v>6.0041599999999997E-3</v>
      </c>
      <c r="CA9" s="23">
        <v>9.4970499999999999E-3</v>
      </c>
      <c r="CB9" s="23">
        <v>1.4858659999999999E-2</v>
      </c>
      <c r="CC9" s="23">
        <v>2.0566899999999999E-2</v>
      </c>
      <c r="CD9" s="23">
        <v>2.564054E-2</v>
      </c>
      <c r="CE9" s="23">
        <v>2.8416960000000002E-2</v>
      </c>
      <c r="CF9" s="23">
        <v>3.4701200000000001E-2</v>
      </c>
      <c r="CG9" s="23">
        <v>4.286098E-2</v>
      </c>
      <c r="CH9" s="23">
        <v>4.617603E-2</v>
      </c>
      <c r="CI9" s="23">
        <v>4.7842519999999999E-2</v>
      </c>
      <c r="CJ9" s="23">
        <v>4.847945E-2</v>
      </c>
      <c r="CK9" s="23">
        <v>4.9894139999999997E-2</v>
      </c>
      <c r="CL9" s="23">
        <v>5.2487209999999999E-2</v>
      </c>
      <c r="CM9" s="23">
        <v>5.3267839534246943E-2</v>
      </c>
      <c r="CN9" s="23">
        <v>5.3948219999999998E-2</v>
      </c>
      <c r="CO9" s="23">
        <v>5.4426639999999998E-2</v>
      </c>
      <c r="CP9" s="23">
        <v>5.5204789999999997E-2</v>
      </c>
      <c r="CQ9" s="23">
        <v>5.5351270000000001E-2</v>
      </c>
      <c r="CR9" s="23">
        <v>5.5174559999999997E-2</v>
      </c>
      <c r="CS9" s="23">
        <v>5.5174559999999997E-2</v>
      </c>
      <c r="CT9" s="23">
        <v>5.5174559999999997E-2</v>
      </c>
      <c r="CU9" s="23">
        <v>5.5174559999999997E-2</v>
      </c>
    </row>
    <row r="10" spans="1:99" s="3" customFormat="1" x14ac:dyDescent="0.35">
      <c r="A10" s="298"/>
      <c r="B10" s="5" t="s">
        <v>5</v>
      </c>
      <c r="C10" s="24"/>
      <c r="D10" s="24"/>
      <c r="E10" s="8">
        <f>IF(OR(E9="",E8=""),"",(E9*E8)/12)</f>
        <v>298.63097962010005</v>
      </c>
      <c r="F10" s="8">
        <f>IF(OR(F9="",F8="",E13=""),"",((E13+F8)*F9)/12)</f>
        <v>674.68755696024539</v>
      </c>
      <c r="G10" s="8">
        <f>IF(OR(G9="",G8="",F13=""),"",((F13+G8)*G9)/12)</f>
        <v>1475.3642034737634</v>
      </c>
      <c r="H10" s="8">
        <f>IF(OR(H9="",H8="",G13=""),"",((G13+H8)*H9)/12)</f>
        <v>108.96694451968013</v>
      </c>
      <c r="I10" s="8">
        <f t="shared" ref="I10:AL10" si="19">IF(OR(I9="",I8="",H13=""),"",((H13+I8)*I9)/12)</f>
        <v>-1399.2351294686221</v>
      </c>
      <c r="J10" s="8">
        <f t="shared" si="19"/>
        <v>-2443.3126554895016</v>
      </c>
      <c r="K10" s="8">
        <f t="shared" si="19"/>
        <v>-4160.2907351182357</v>
      </c>
      <c r="L10" s="8">
        <f>IF(OR(L9="",L8="",K13=""),"",((K13+L8)*L9)/12)</f>
        <v>-4437.1276130225706</v>
      </c>
      <c r="M10" s="8">
        <f t="shared" si="19"/>
        <v>-4089.8726909078409</v>
      </c>
      <c r="N10" s="8">
        <f>IF(OR(N9="",N8="",M13=""),"",((M13+N8)*N9)/12)</f>
        <v>-5732.3796823568009</v>
      </c>
      <c r="O10" s="8">
        <f>IF(OR(O9="",O8="",N13=""),"",((N13+O8)*O9)/12)</f>
        <v>-6387.1229241163428</v>
      </c>
      <c r="P10" s="8">
        <f>IF(OR(P9="",P8="",O13=""),"",((O13+P5+P8)*P9)/12)</f>
        <v>-3749.9100388094298</v>
      </c>
      <c r="Q10" s="8">
        <f t="shared" si="19"/>
        <v>-4794.8657862936871</v>
      </c>
      <c r="R10" s="8">
        <f t="shared" si="19"/>
        <v>-4983.609733505551</v>
      </c>
      <c r="S10" s="8">
        <f t="shared" si="19"/>
        <v>-3142.1778395001616</v>
      </c>
      <c r="T10" s="8">
        <f t="shared" si="19"/>
        <v>-2033.7917610442216</v>
      </c>
      <c r="U10" s="8">
        <f t="shared" si="19"/>
        <v>-2950.032033167759</v>
      </c>
      <c r="V10" s="8">
        <f t="shared" si="19"/>
        <v>-1520.1017399300081</v>
      </c>
      <c r="W10" s="8">
        <f t="shared" si="19"/>
        <v>-600.37464592803713</v>
      </c>
      <c r="X10" s="8">
        <f t="shared" si="19"/>
        <v>1065.6160337585422</v>
      </c>
      <c r="Y10" s="8">
        <f>IF(OR(Y9="",Y8="",X13=""),"",((X13+Y8)*Y9)/12)</f>
        <v>1864.0108541734644</v>
      </c>
      <c r="Z10" s="8">
        <f t="shared" si="19"/>
        <v>5237.0917957096526</v>
      </c>
      <c r="AA10" s="8">
        <f t="shared" si="19"/>
        <v>2980.0856561618343</v>
      </c>
      <c r="AB10" s="8">
        <f t="shared" si="19"/>
        <v>-1787.2212454908315</v>
      </c>
      <c r="AC10" s="8">
        <f t="shared" si="19"/>
        <v>-5067.1783055076858</v>
      </c>
      <c r="AD10" s="8">
        <f t="shared" si="19"/>
        <v>-9142.3192797550983</v>
      </c>
      <c r="AE10" s="8">
        <f t="shared" si="19"/>
        <v>-10293.28981248618</v>
      </c>
      <c r="AF10" s="8">
        <f t="shared" si="19"/>
        <v>-14356.412644169563</v>
      </c>
      <c r="AG10" s="8">
        <f t="shared" si="19"/>
        <v>-17932.628195218407</v>
      </c>
      <c r="AH10" s="8">
        <f t="shared" si="19"/>
        <v>-19194.271240063452</v>
      </c>
      <c r="AI10" s="8">
        <f t="shared" si="19"/>
        <v>-23187.840420324708</v>
      </c>
      <c r="AJ10" s="8">
        <f t="shared" si="19"/>
        <v>-27364.649284877389</v>
      </c>
      <c r="AK10" s="8">
        <f t="shared" si="19"/>
        <v>-26465.991815715159</v>
      </c>
      <c r="AL10" s="8">
        <f t="shared" si="19"/>
        <v>-25904.156066711101</v>
      </c>
      <c r="AM10" s="8">
        <f>IF(OR(AM9="",AM8="",AL13=""),"",((AL13+AM8)*AM9)/12)</f>
        <v>-38312.044718958496</v>
      </c>
      <c r="AN10" s="8">
        <f>IF(OR(AN9="",AN8="",AM13=""),"",((AM13+AN8)*AN9)/12)</f>
        <v>-15634.392826822654</v>
      </c>
      <c r="AO10" s="8">
        <f t="shared" ref="AO10:AX10" si="20">IF(OR(AO9="",AO8="",AN13=""),"",((AN13+AO8)*AO9)/12)</f>
        <v>975.68603367557773</v>
      </c>
      <c r="AP10" s="8">
        <f>IF(OR(AP9="",AP8="",AO13=""),"",((AO13+AP8)*AP9)/12)</f>
        <v>1094.5686438206917</v>
      </c>
      <c r="AQ10" s="8">
        <f>IF(OR(AQ9="",AQ8="",AP13=""),"",((AP13+AQ8)*AQ9)/12)</f>
        <v>1194.3966450653857</v>
      </c>
      <c r="AR10" s="8">
        <f t="shared" si="20"/>
        <v>1288.4240718537685</v>
      </c>
      <c r="AS10" s="8">
        <f t="shared" si="20"/>
        <v>3704.4072203651453</v>
      </c>
      <c r="AT10" s="8">
        <f t="shared" si="20"/>
        <v>637.0854914873712</v>
      </c>
      <c r="AU10" s="8">
        <f t="shared" si="20"/>
        <v>575.7058300414684</v>
      </c>
      <c r="AV10" s="8">
        <f t="shared" si="20"/>
        <v>1073.2259404553306</v>
      </c>
      <c r="AW10" s="8">
        <f t="shared" si="20"/>
        <v>767.76781699004562</v>
      </c>
      <c r="AX10" s="8">
        <f t="shared" si="20"/>
        <v>1051.0718609690841</v>
      </c>
      <c r="AY10" s="8">
        <f t="shared" ref="AY10" si="21">IF(OR(AY9="",AY8="",AX13=""),"",((AX13+AY8)*AY9)/12)</f>
        <v>1224.9243389959495</v>
      </c>
      <c r="AZ10" s="8">
        <f t="shared" ref="AZ10" si="22">IF(OR(AZ9="",AZ8="",AY13=""),"",((AY13+AZ8)*AZ9)/12)</f>
        <v>1203.7271341543144</v>
      </c>
      <c r="BA10" s="8">
        <f t="shared" ref="BA10" si="23">IF(OR(BA9="",BA8="",AZ13=""),"",((AZ13+BA8)*BA9)/12)</f>
        <v>1322.9702890043484</v>
      </c>
      <c r="BB10" s="8">
        <f>IF(OR(BB9="",BB8="",BA13=""),"",((BA13+BB8)*BB9)/12)</f>
        <v>553.17003574276748</v>
      </c>
      <c r="BC10" s="8">
        <f t="shared" ref="BC10" si="24">IF(OR(BC9="",BC8="",BB13=""),"",((BB13+BC8)*BC9)/12)</f>
        <v>65.016049939984811</v>
      </c>
      <c r="BD10" s="8">
        <f t="shared" ref="BD10" si="25">IF(OR(BD9="",BD8="",BC13=""),"",((BC13+BD8)*BD9)/12)</f>
        <v>76.201308475249661</v>
      </c>
      <c r="BE10" s="8">
        <f t="shared" ref="BE10" si="26">IF(OR(BE9="",BE8="",BD13=""),"",((BD13+BE8)*BE9)/12)</f>
        <v>93.442503015415454</v>
      </c>
      <c r="BF10" s="8">
        <f t="shared" ref="BF10" si="27">IF(OR(BF9="",BF8="",BE13=""),"",((BE13+BF8)*BF9)/12)</f>
        <v>123.12076784028865</v>
      </c>
      <c r="BG10" s="8">
        <f t="shared" ref="BG10" si="28">IF(OR(BG9="",BG8="",BF13=""),"",((BF13+BG8)*BG9)/12)</f>
        <v>106.19564511356218</v>
      </c>
      <c r="BH10" s="8">
        <f t="shared" ref="BH10" si="29">IF(OR(BH9="",BH8="",BG13=""),"",((BG13+BH8)*BH9)/12)</f>
        <v>154.12088712073029</v>
      </c>
      <c r="BI10" s="8">
        <f t="shared" ref="BI10" si="30">IF(OR(BI9="",BI8="",BH13=""),"",((BH13+BI8)*BI9)/12)</f>
        <v>168.08201029205179</v>
      </c>
      <c r="BJ10" s="8">
        <f t="shared" ref="BJ10:BL10" si="31">IF(OR(BJ9="",BJ8="",BI13=""),"",((BI13+BJ8)*BJ9)/12)</f>
        <v>82.635508868066111</v>
      </c>
      <c r="BK10" s="8">
        <f t="shared" si="31"/>
        <v>38.208296736128084</v>
      </c>
      <c r="BL10" s="8">
        <f t="shared" si="31"/>
        <v>45.650680716293579</v>
      </c>
      <c r="BM10" s="8">
        <f>IF(OR(BM9="",BM8="",BL13=""),"",((BL13+BM5+BM8)*BM9)/12)+'MEEIA 2 adjs'!BY11</f>
        <v>-37.536109937093315</v>
      </c>
      <c r="BN10" s="8">
        <f t="shared" ref="BN10:CR10" si="32">IF(OR(BN9="",BN8="",BM13=""),"",((BM13+BN5+BN8)*BN9)/12)</f>
        <v>34.312848816743816</v>
      </c>
      <c r="BO10" s="8">
        <f t="shared" si="32"/>
        <v>22.19151196592497</v>
      </c>
      <c r="BP10" s="8">
        <f t="shared" si="32"/>
        <v>6.8028417328419382</v>
      </c>
      <c r="BQ10" s="8">
        <f t="shared" si="32"/>
        <v>-18.67868467833663</v>
      </c>
      <c r="BR10" s="8">
        <f t="shared" si="32"/>
        <v>-42.384085643964262</v>
      </c>
      <c r="BS10" s="8">
        <f t="shared" si="32"/>
        <v>-54.812067243452852</v>
      </c>
      <c r="BT10" s="8">
        <f t="shared" si="32"/>
        <v>-54.165942954608617</v>
      </c>
      <c r="BU10" s="8">
        <f t="shared" si="32"/>
        <v>-55.654122922379315</v>
      </c>
      <c r="BV10" s="8">
        <f t="shared" si="32"/>
        <v>-113.26257151462666</v>
      </c>
      <c r="BW10" s="8">
        <f t="shared" si="32"/>
        <v>-135.97075966833361</v>
      </c>
      <c r="BX10" s="12" t="str">
        <f t="shared" si="32"/>
        <v/>
      </c>
      <c r="BY10" s="12" t="str">
        <f t="shared" si="32"/>
        <v/>
      </c>
      <c r="BZ10" s="12" t="str">
        <f t="shared" si="32"/>
        <v/>
      </c>
      <c r="CA10" s="12" t="str">
        <f t="shared" si="32"/>
        <v/>
      </c>
      <c r="CB10" s="12" t="str">
        <f t="shared" si="32"/>
        <v/>
      </c>
      <c r="CC10" s="12" t="str">
        <f t="shared" si="32"/>
        <v/>
      </c>
      <c r="CD10" s="12" t="str">
        <f t="shared" si="32"/>
        <v/>
      </c>
      <c r="CE10" s="12" t="str">
        <f t="shared" si="32"/>
        <v/>
      </c>
      <c r="CF10" s="12" t="str">
        <f t="shared" si="32"/>
        <v/>
      </c>
      <c r="CG10" s="12" t="str">
        <f t="shared" si="32"/>
        <v/>
      </c>
      <c r="CH10" s="12" t="str">
        <f t="shared" si="32"/>
        <v/>
      </c>
      <c r="CI10" s="12" t="str">
        <f t="shared" si="32"/>
        <v/>
      </c>
      <c r="CJ10" s="12" t="str">
        <f t="shared" si="32"/>
        <v/>
      </c>
      <c r="CK10" s="12" t="str">
        <f t="shared" si="32"/>
        <v/>
      </c>
      <c r="CL10" s="12" t="str">
        <f t="shared" si="32"/>
        <v/>
      </c>
      <c r="CM10" s="12" t="str">
        <f t="shared" si="32"/>
        <v/>
      </c>
      <c r="CN10" s="12" t="str">
        <f t="shared" si="32"/>
        <v/>
      </c>
      <c r="CO10" s="12" t="str">
        <f t="shared" si="32"/>
        <v/>
      </c>
      <c r="CP10" s="12" t="str">
        <f t="shared" si="32"/>
        <v/>
      </c>
      <c r="CQ10" s="12" t="str">
        <f t="shared" si="32"/>
        <v/>
      </c>
      <c r="CR10" s="12" t="str">
        <f t="shared" si="32"/>
        <v/>
      </c>
      <c r="CS10" s="12" t="str">
        <f t="shared" ref="CS10" si="33">IF(OR(CS9="",CS8="",CR13=""),"",((CR13+CS5+CS8)*CS9)/12)</f>
        <v/>
      </c>
      <c r="CT10" s="12" t="str">
        <f t="shared" ref="CT10" si="34">IF(OR(CT9="",CT8="",CS13=""),"",((CS13+CT5+CT8)*CT9)/12)</f>
        <v/>
      </c>
      <c r="CU10" s="12" t="str">
        <f t="shared" ref="CU10" si="35">IF(OR(CU9="",CU8="",CT13=""),"",((CT13+CU5+CU8)*CU9)/12)</f>
        <v/>
      </c>
    </row>
    <row r="11" spans="1:99" s="3" customFormat="1" x14ac:dyDescent="0.35">
      <c r="A11" s="298"/>
      <c r="B11" s="6" t="s">
        <v>6</v>
      </c>
      <c r="C11" s="28"/>
      <c r="D11" s="28"/>
      <c r="E11" s="8">
        <f>E10</f>
        <v>298.63097962010005</v>
      </c>
      <c r="F11" s="8">
        <f>IF(OR(E11="",F10=""),"",E11+F10)</f>
        <v>973.31853658034538</v>
      </c>
      <c r="G11" s="8">
        <f t="shared" ref="G11:AX11" si="36">IF(OR(F11="",G10=""),"",F11+G10)</f>
        <v>2448.6827400541088</v>
      </c>
      <c r="H11" s="8">
        <f t="shared" si="36"/>
        <v>2557.6496845737888</v>
      </c>
      <c r="I11" s="8">
        <f t="shared" si="36"/>
        <v>1158.4145551051668</v>
      </c>
      <c r="J11" s="8">
        <f t="shared" si="36"/>
        <v>-1284.8981003843348</v>
      </c>
      <c r="K11" s="8">
        <f t="shared" si="36"/>
        <v>-5445.1888355025703</v>
      </c>
      <c r="L11" s="8">
        <f t="shared" si="36"/>
        <v>-9882.31644852514</v>
      </c>
      <c r="M11" s="8">
        <f t="shared" si="36"/>
        <v>-13972.189139432981</v>
      </c>
      <c r="N11" s="8">
        <f t="shared" si="36"/>
        <v>-19704.568821789784</v>
      </c>
      <c r="O11" s="8">
        <f t="shared" si="36"/>
        <v>-26091.691745906126</v>
      </c>
      <c r="P11" s="8">
        <f>IF(OR(O11="",P10=""),"",O11+P10)</f>
        <v>-29841.601784715556</v>
      </c>
      <c r="Q11" s="8">
        <f t="shared" si="36"/>
        <v>-34636.467571009242</v>
      </c>
      <c r="R11" s="8">
        <f t="shared" si="36"/>
        <v>-39620.077304514794</v>
      </c>
      <c r="S11" s="8">
        <f t="shared" si="36"/>
        <v>-42762.255144014955</v>
      </c>
      <c r="T11" s="8">
        <f t="shared" si="36"/>
        <v>-44796.046905059178</v>
      </c>
      <c r="U11" s="8">
        <f t="shared" si="36"/>
        <v>-47746.078938226936</v>
      </c>
      <c r="V11" s="8">
        <f t="shared" si="36"/>
        <v>-49266.180678156947</v>
      </c>
      <c r="W11" s="8">
        <f t="shared" si="36"/>
        <v>-49866.555324084984</v>
      </c>
      <c r="X11" s="8">
        <f t="shared" si="36"/>
        <v>-48800.939290326445</v>
      </c>
      <c r="Y11" s="8">
        <f>IF(OR(X11="",Y10=""),"",X11+Y10+Y5)</f>
        <v>-50133.026498387291</v>
      </c>
      <c r="Z11" s="8">
        <f t="shared" si="36"/>
        <v>-44895.934702677638</v>
      </c>
      <c r="AA11" s="8">
        <f t="shared" si="36"/>
        <v>-41915.849046515803</v>
      </c>
      <c r="AB11" s="8">
        <f t="shared" si="36"/>
        <v>-43703.070292006632</v>
      </c>
      <c r="AC11" s="8">
        <f t="shared" si="36"/>
        <v>-48770.248597514321</v>
      </c>
      <c r="AD11" s="8">
        <f t="shared" si="36"/>
        <v>-57912.567877269423</v>
      </c>
      <c r="AE11" s="8">
        <f t="shared" si="36"/>
        <v>-68205.857689755605</v>
      </c>
      <c r="AF11" s="8">
        <f t="shared" si="36"/>
        <v>-82562.270333925175</v>
      </c>
      <c r="AG11" s="8">
        <f t="shared" si="36"/>
        <v>-100494.89852914358</v>
      </c>
      <c r="AH11" s="8">
        <f t="shared" si="36"/>
        <v>-119689.16976920703</v>
      </c>
      <c r="AI11" s="8">
        <f t="shared" si="36"/>
        <v>-142877.01018953175</v>
      </c>
      <c r="AJ11" s="8">
        <f t="shared" si="36"/>
        <v>-170241.65947440913</v>
      </c>
      <c r="AK11" s="8">
        <f t="shared" si="36"/>
        <v>-196707.65129012428</v>
      </c>
      <c r="AL11" s="8">
        <f t="shared" si="36"/>
        <v>-222611.80735683537</v>
      </c>
      <c r="AM11" s="8">
        <f t="shared" si="36"/>
        <v>-260923.85207579387</v>
      </c>
      <c r="AN11" s="8">
        <f>IF(OR(AM11="",AN10=""),"",AM11+AN10)</f>
        <v>-276558.24490261654</v>
      </c>
      <c r="AO11" s="8">
        <f t="shared" si="36"/>
        <v>-275582.55886894098</v>
      </c>
      <c r="AP11" s="8">
        <f t="shared" si="36"/>
        <v>-274487.99022512027</v>
      </c>
      <c r="AQ11" s="8">
        <f>IF(OR(AP11="",AQ10=""),"",AP11+AQ10)</f>
        <v>-273293.59358005488</v>
      </c>
      <c r="AR11" s="8">
        <f t="shared" si="36"/>
        <v>-272005.16950820113</v>
      </c>
      <c r="AS11" s="8">
        <f t="shared" si="36"/>
        <v>-268300.762287836</v>
      </c>
      <c r="AT11" s="8">
        <f t="shared" si="36"/>
        <v>-267663.67679634865</v>
      </c>
      <c r="AU11" s="8">
        <f t="shared" si="36"/>
        <v>-267087.97096630716</v>
      </c>
      <c r="AV11" s="8">
        <f t="shared" si="36"/>
        <v>-266014.74502585182</v>
      </c>
      <c r="AW11" s="8">
        <f t="shared" si="36"/>
        <v>-265246.97720886179</v>
      </c>
      <c r="AX11" s="8">
        <f t="shared" si="36"/>
        <v>-264195.90534789272</v>
      </c>
      <c r="AY11" s="8">
        <f t="shared" ref="AY11" si="37">IF(OR(AX11="",AY10=""),"",AX11+AY10)</f>
        <v>-262970.98100889678</v>
      </c>
      <c r="AZ11" s="8">
        <f t="shared" ref="AZ11" si="38">IF(OR(AY11="",AZ10=""),"",AY11+AZ10)</f>
        <v>-261767.25387474246</v>
      </c>
      <c r="BA11" s="8">
        <f t="shared" ref="BA11" si="39">IF(OR(AZ11="",BA10=""),"",AZ11+BA10)</f>
        <v>-260444.2835857381</v>
      </c>
      <c r="BB11" s="8">
        <f t="shared" ref="BB11" si="40">IF(OR(BA11="",BB10=""),"",BA11+BB10)</f>
        <v>-259891.11354999532</v>
      </c>
      <c r="BC11" s="8">
        <f t="shared" ref="BC11" si="41">IF(OR(BB11="",BC10=""),"",BB11+BC10)</f>
        <v>-259826.09750005533</v>
      </c>
      <c r="BD11" s="8">
        <f t="shared" ref="BD11" si="42">IF(OR(BC11="",BD10=""),"",BC11+BD10)</f>
        <v>-259749.89619158008</v>
      </c>
      <c r="BE11" s="8">
        <f t="shared" ref="BE11" si="43">IF(OR(BD11="",BE10=""),"",BD11+BE10)</f>
        <v>-259656.45368856465</v>
      </c>
      <c r="BF11" s="8">
        <f t="shared" ref="BF11" si="44">IF(OR(BE11="",BF10=""),"",BE11+BF10)</f>
        <v>-259533.33292072435</v>
      </c>
      <c r="BG11" s="8">
        <f t="shared" ref="BG11" si="45">IF(OR(BF11="",BG10=""),"",BF11+BG10)</f>
        <v>-259427.13727561079</v>
      </c>
      <c r="BH11" s="8">
        <f t="shared" ref="BH11" si="46">IF(OR(BG11="",BH10=""),"",BG11+BH10)</f>
        <v>-259273.01638849007</v>
      </c>
      <c r="BI11" s="8">
        <f t="shared" ref="BI11" si="47">IF(OR(BH11="",BI10=""),"",BH11+BI10)</f>
        <v>-259104.93437819803</v>
      </c>
      <c r="BJ11" s="8">
        <f t="shared" ref="BJ11:CR11" si="48">IF(OR(BI11="",BJ10=""),"",BI11+BJ10)</f>
        <v>-259022.29886932997</v>
      </c>
      <c r="BK11" s="8">
        <f t="shared" si="48"/>
        <v>-258984.09057259385</v>
      </c>
      <c r="BL11" s="8">
        <f t="shared" si="48"/>
        <v>-258938.43989187756</v>
      </c>
      <c r="BM11" s="8">
        <f>IF(OR(BL11="",BM10=""),"",BL11+BM10)</f>
        <v>-258975.97600181465</v>
      </c>
      <c r="BN11" s="8">
        <f t="shared" si="48"/>
        <v>-258941.66315299791</v>
      </c>
      <c r="BO11" s="8">
        <f t="shared" si="48"/>
        <v>-258919.47164103197</v>
      </c>
      <c r="BP11" s="8">
        <f t="shared" si="48"/>
        <v>-258912.66879929914</v>
      </c>
      <c r="BQ11" s="8">
        <f t="shared" si="48"/>
        <v>-258931.34748397747</v>
      </c>
      <c r="BR11" s="8">
        <f>IF(OR(BQ11="",BR10=""),"",BQ11+BR10)</f>
        <v>-258973.73156962145</v>
      </c>
      <c r="BS11" s="8">
        <f t="shared" si="48"/>
        <v>-259028.5436368649</v>
      </c>
      <c r="BT11" s="8">
        <f t="shared" si="48"/>
        <v>-259082.70957981949</v>
      </c>
      <c r="BU11" s="8">
        <f t="shared" si="48"/>
        <v>-259138.36370274186</v>
      </c>
      <c r="BV11" s="8">
        <f t="shared" si="48"/>
        <v>-259251.62627425647</v>
      </c>
      <c r="BW11" s="8">
        <f t="shared" si="48"/>
        <v>-259387.5970339248</v>
      </c>
      <c r="BX11" s="12" t="str">
        <f t="shared" si="48"/>
        <v/>
      </c>
      <c r="BY11" s="12" t="str">
        <f t="shared" si="48"/>
        <v/>
      </c>
      <c r="BZ11" s="12" t="str">
        <f t="shared" si="48"/>
        <v/>
      </c>
      <c r="CA11" s="12" t="str">
        <f t="shared" si="48"/>
        <v/>
      </c>
      <c r="CB11" s="12" t="str">
        <f t="shared" si="48"/>
        <v/>
      </c>
      <c r="CC11" s="12" t="str">
        <f t="shared" si="48"/>
        <v/>
      </c>
      <c r="CD11" s="12" t="str">
        <f t="shared" si="48"/>
        <v/>
      </c>
      <c r="CE11" s="12" t="str">
        <f t="shared" si="48"/>
        <v/>
      </c>
      <c r="CF11" s="12" t="str">
        <f t="shared" si="48"/>
        <v/>
      </c>
      <c r="CG11" s="12" t="str">
        <f t="shared" si="48"/>
        <v/>
      </c>
      <c r="CH11" s="12" t="str">
        <f t="shared" si="48"/>
        <v/>
      </c>
      <c r="CI11" s="12" t="str">
        <f t="shared" si="48"/>
        <v/>
      </c>
      <c r="CJ11" s="12" t="str">
        <f t="shared" si="48"/>
        <v/>
      </c>
      <c r="CK11" s="12" t="str">
        <f t="shared" si="48"/>
        <v/>
      </c>
      <c r="CL11" s="12" t="str">
        <f t="shared" si="48"/>
        <v/>
      </c>
      <c r="CM11" s="12" t="str">
        <f t="shared" si="48"/>
        <v/>
      </c>
      <c r="CN11" s="12" t="str">
        <f t="shared" si="48"/>
        <v/>
      </c>
      <c r="CO11" s="12" t="str">
        <f t="shared" si="48"/>
        <v/>
      </c>
      <c r="CP11" s="12" t="str">
        <f t="shared" si="48"/>
        <v/>
      </c>
      <c r="CQ11" s="12" t="str">
        <f t="shared" si="48"/>
        <v/>
      </c>
      <c r="CR11" s="12" t="str">
        <f t="shared" si="48"/>
        <v/>
      </c>
      <c r="CS11" s="12" t="str">
        <f t="shared" ref="CS11" si="49">IF(OR(CR11="",CS10=""),"",CR11+CS10)</f>
        <v/>
      </c>
      <c r="CT11" s="12" t="str">
        <f t="shared" ref="CT11" si="50">IF(OR(CS11="",CT10=""),"",CS11+CT10)</f>
        <v/>
      </c>
      <c r="CU11" s="12" t="str">
        <f t="shared" ref="CU11" si="51">IF(OR(CT11="",CU10=""),"",CT11+CU10)</f>
        <v/>
      </c>
    </row>
    <row r="12" spans="1:99" s="3" customFormat="1" x14ac:dyDescent="0.35">
      <c r="A12" s="298"/>
      <c r="B12" s="5" t="s">
        <v>12</v>
      </c>
      <c r="C12" s="24"/>
      <c r="D12" s="24"/>
      <c r="E12" s="8">
        <f>IF(OR(E10="",E8=""),"",E8+E10)</f>
        <v>489876.34097962012</v>
      </c>
      <c r="F12" s="8">
        <f>IF(OR(F10="",F8=""),"",F8+F10)</f>
        <v>596714.02755696024</v>
      </c>
      <c r="G12" s="8">
        <f t="shared" ref="G12:I12" si="52">IF(OR(G10="",G8=""),"",G8+G10)</f>
        <v>1257371.2342034737</v>
      </c>
      <c r="H12" s="8">
        <f>IF(OR(H10="",H8=""),"",H8+H10)</f>
        <v>-2135077.70305548</v>
      </c>
      <c r="I12" s="8">
        <f t="shared" si="52"/>
        <v>-2879547.6451294688</v>
      </c>
      <c r="J12" s="8">
        <f>IF(OR(J10="",J8=""),"",J8+J10)</f>
        <v>-1166602.4426554898</v>
      </c>
      <c r="K12" s="8">
        <f t="shared" ref="K12:N12" si="53">IF(OR(K10="",K8=""),"",K8+K10)</f>
        <v>-2775253.0207351181</v>
      </c>
      <c r="L12" s="8">
        <f>IF(OR(L10="",L8=""),"",L8+L10)</f>
        <v>-396342.10761302256</v>
      </c>
      <c r="M12" s="8">
        <f t="shared" si="53"/>
        <v>582106.59730909194</v>
      </c>
      <c r="N12" s="8">
        <f t="shared" si="53"/>
        <v>-728039.20968235738</v>
      </c>
      <c r="O12" s="8">
        <f>IF(OR(O10="",O8=""),"",O8+O10)</f>
        <v>-1367757.0929241166</v>
      </c>
      <c r="P12" s="8">
        <f>IF(OR(P10="",P8=""),"",P8+P10)</f>
        <v>822195.31996119057</v>
      </c>
      <c r="Q12" s="8">
        <f t="shared" ref="Q12:X12" si="54">IF(OR(Q10="",Q8=""),"",Q8+Q10)</f>
        <v>-4503.1157862936871</v>
      </c>
      <c r="R12" s="8">
        <f t="shared" si="54"/>
        <v>-197138.94973350587</v>
      </c>
      <c r="S12" s="8">
        <f t="shared" si="54"/>
        <v>1923335.5821604996</v>
      </c>
      <c r="T12" s="8">
        <f t="shared" si="54"/>
        <v>1549016.0482389538</v>
      </c>
      <c r="U12" s="8">
        <f>IF(OR(U10="",U8=""),"",U8+U10)</f>
        <v>-813434.77203316754</v>
      </c>
      <c r="V12" s="8">
        <f t="shared" si="54"/>
        <v>1301377.7182600694</v>
      </c>
      <c r="W12" s="8">
        <f>IF(OR(W10="",W8=""),"",W8+W10)</f>
        <v>746923.84535407124</v>
      </c>
      <c r="X12" s="8">
        <f t="shared" si="54"/>
        <v>1380503.8360337578</v>
      </c>
      <c r="Y12" s="8">
        <f>IF(OR(Y10="",Y8=""),"",Y8+Y10)</f>
        <v>669667.60085417377</v>
      </c>
      <c r="Z12" s="8">
        <f>IF(OR(Z10="",Z8=""),"",Z8+Z10)</f>
        <v>1999797.1017957081</v>
      </c>
      <c r="AA12" s="8">
        <f t="shared" ref="AA12:AX12" si="55">IF(OR(AA10="",AA8=""),"",AA8+AA10)</f>
        <v>-1461016.834343839</v>
      </c>
      <c r="AB12" s="8">
        <f t="shared" si="55"/>
        <v>-3262998.4112454914</v>
      </c>
      <c r="AC12" s="8">
        <f t="shared" si="55"/>
        <v>-1790225.408305509</v>
      </c>
      <c r="AD12" s="8">
        <f t="shared" si="55"/>
        <v>-1790419.6192797534</v>
      </c>
      <c r="AE12" s="8">
        <f t="shared" si="55"/>
        <v>-871950.47981248563</v>
      </c>
      <c r="AF12" s="8">
        <f t="shared" si="55"/>
        <v>-1943926.2926441703</v>
      </c>
      <c r="AG12" s="8">
        <f t="shared" si="55"/>
        <v>-1614245.8281952187</v>
      </c>
      <c r="AH12" s="8">
        <f t="shared" si="55"/>
        <v>-737950.85124006355</v>
      </c>
      <c r="AI12" s="8">
        <f t="shared" si="55"/>
        <v>-2046730.9204203249</v>
      </c>
      <c r="AJ12" s="8">
        <f t="shared" si="55"/>
        <v>-1419280.7692848775</v>
      </c>
      <c r="AK12" s="8">
        <f t="shared" si="55"/>
        <v>796195.18818428542</v>
      </c>
      <c r="AL12" s="8">
        <f t="shared" si="55"/>
        <v>1283085.7839332893</v>
      </c>
      <c r="AM12" s="8">
        <f t="shared" si="55"/>
        <v>-4748242.3847189583</v>
      </c>
      <c r="AN12" s="8">
        <f>IF(OR(AN10="",AN8=""),"",AN8+AN10)</f>
        <v>9438181.4971731771</v>
      </c>
      <c r="AO12" s="8">
        <f t="shared" si="55"/>
        <v>7041760.996033676</v>
      </c>
      <c r="AP12" s="8">
        <f t="shared" si="55"/>
        <v>73508.658643820498</v>
      </c>
      <c r="AQ12" s="8">
        <f t="shared" si="55"/>
        <v>42062.846645065336</v>
      </c>
      <c r="AR12" s="8">
        <f t="shared" si="55"/>
        <v>48187.184071854012</v>
      </c>
      <c r="AS12" s="8">
        <f t="shared" si="55"/>
        <v>1132098.377220365</v>
      </c>
      <c r="AT12" s="8">
        <f t="shared" si="55"/>
        <v>-1391018.8845085131</v>
      </c>
      <c r="AU12" s="8">
        <f t="shared" si="55"/>
        <v>-13585.264169958518</v>
      </c>
      <c r="AV12" s="8">
        <f t="shared" si="55"/>
        <v>298095.96594045538</v>
      </c>
      <c r="AW12" s="8">
        <f t="shared" si="55"/>
        <v>-102196.98218300995</v>
      </c>
      <c r="AX12" s="8">
        <f t="shared" si="55"/>
        <v>151511.34186096909</v>
      </c>
      <c r="AY12" s="8">
        <f t="shared" ref="AY12:BI12" si="56">IF(OR(AY10="",AY8=""),"",AY8+AY10)</f>
        <v>119716.5043389959</v>
      </c>
      <c r="AZ12" s="8">
        <f t="shared" si="56"/>
        <v>22760.017134154306</v>
      </c>
      <c r="BA12" s="8">
        <f t="shared" si="56"/>
        <v>39836.070289004383</v>
      </c>
      <c r="BB12" s="8">
        <f t="shared" si="56"/>
        <v>-134043.82996425728</v>
      </c>
      <c r="BC12" s="8">
        <f t="shared" si="56"/>
        <v>-103334.98395006002</v>
      </c>
      <c r="BD12" s="8">
        <f t="shared" si="56"/>
        <v>123383.01130847522</v>
      </c>
      <c r="BE12" s="8">
        <f t="shared" si="56"/>
        <v>-148840.43749698458</v>
      </c>
      <c r="BF12" s="8">
        <f t="shared" si="56"/>
        <v>502735.81076784048</v>
      </c>
      <c r="BG12" s="8">
        <f t="shared" si="56"/>
        <v>-53327.264354886458</v>
      </c>
      <c r="BH12" s="8">
        <f t="shared" si="56"/>
        <v>-103623.19911287927</v>
      </c>
      <c r="BI12" s="8">
        <f t="shared" si="56"/>
        <v>-125728.56798970795</v>
      </c>
      <c r="BJ12" s="8">
        <f t="shared" ref="BJ12:BO12" si="57">IF(OR(BJ10="",BJ8=""),"",BJ8+BJ10)</f>
        <v>-450761.39449113182</v>
      </c>
      <c r="BK12" s="8">
        <f t="shared" si="57"/>
        <v>-125928.75170326386</v>
      </c>
      <c r="BL12" s="8">
        <f t="shared" si="57"/>
        <v>13488.48068071628</v>
      </c>
      <c r="BM12" s="8">
        <f>IF(OR(BM10="",BM8=""),"",BM8+BM10)+'MEEIA 2 adjs'!BM1</f>
        <v>-72684.936109933813</v>
      </c>
      <c r="BN12" s="8">
        <f t="shared" si="57"/>
        <v>19671.912848816733</v>
      </c>
      <c r="BO12" s="8">
        <f t="shared" si="57"/>
        <v>-64175.078488034073</v>
      </c>
      <c r="BP12" s="8">
        <f t="shared" ref="BP12:BQ12" si="58">IF(OR(BP10="",BP8=""),"",BP8+BP10)</f>
        <v>-78273.04715826716</v>
      </c>
      <c r="BQ12" s="8">
        <f t="shared" si="58"/>
        <v>-201127.17868467834</v>
      </c>
      <c r="BR12" s="8">
        <f t="shared" ref="BR12:BS12" si="59">IF(OR(BR10="",BR8=""),"",BR8+BR10)</f>
        <v>-87385.47408564396</v>
      </c>
      <c r="BS12" s="8">
        <f t="shared" si="59"/>
        <v>-92419.702067243459</v>
      </c>
      <c r="BT12" s="8">
        <f t="shared" ref="BT12:BU12" si="60">IF(OR(BT10="",BT8=""),"",BT8+BT10)</f>
        <v>-92937.415942954613</v>
      </c>
      <c r="BU12" s="8">
        <f t="shared" si="60"/>
        <v>-2581.4141229223742</v>
      </c>
      <c r="BV12" s="8">
        <f t="shared" ref="BV12:BW12" si="61">IF(OR(BV10="",BV8=""),"",BV8+BV10)</f>
        <v>-85969.222571514634</v>
      </c>
      <c r="BW12" s="8">
        <f t="shared" si="61"/>
        <v>-174151.21075966832</v>
      </c>
      <c r="BX12" s="12" t="str">
        <f t="shared" ref="BX12:BY12" si="62">IF(OR(BX10="",BX8=""),"",BX8+BX10)</f>
        <v/>
      </c>
      <c r="BY12" s="12" t="str">
        <f t="shared" si="62"/>
        <v/>
      </c>
      <c r="BZ12" s="12" t="str">
        <f t="shared" ref="BZ12:CA12" si="63">IF(OR(BZ10="",BZ8=""),"",BZ8+BZ10)</f>
        <v/>
      </c>
      <c r="CA12" s="12" t="str">
        <f t="shared" si="63"/>
        <v/>
      </c>
      <c r="CB12" s="12" t="str">
        <f t="shared" ref="CB12:CC12" si="64">IF(OR(CB10="",CB8=""),"",CB8+CB10)</f>
        <v/>
      </c>
      <c r="CC12" s="12" t="str">
        <f t="shared" si="64"/>
        <v/>
      </c>
      <c r="CD12" s="12" t="str">
        <f t="shared" ref="CD12:CE12" si="65">IF(OR(CD10="",CD8=""),"",CD8+CD10)</f>
        <v/>
      </c>
      <c r="CE12" s="12" t="str">
        <f t="shared" si="65"/>
        <v/>
      </c>
      <c r="CF12" s="12" t="str">
        <f t="shared" ref="CF12:CG12" si="66">IF(OR(CF10="",CF8=""),"",CF8+CF10)</f>
        <v/>
      </c>
      <c r="CG12" s="12" t="str">
        <f t="shared" si="66"/>
        <v/>
      </c>
      <c r="CH12" s="12" t="str">
        <f t="shared" ref="CH12:CI12" si="67">IF(OR(CH10="",CH8=""),"",CH8+CH10)</f>
        <v/>
      </c>
      <c r="CI12" s="12" t="str">
        <f t="shared" si="67"/>
        <v/>
      </c>
      <c r="CJ12" s="12" t="str">
        <f t="shared" ref="CJ12:CK12" si="68">IF(OR(CJ10="",CJ8=""),"",CJ8+CJ10)</f>
        <v/>
      </c>
      <c r="CK12" s="12" t="str">
        <f t="shared" si="68"/>
        <v/>
      </c>
      <c r="CL12" s="12" t="str">
        <f t="shared" ref="CL12:CM12" si="69">IF(OR(CL10="",CL8=""),"",CL8+CL10)</f>
        <v/>
      </c>
      <c r="CM12" s="12" t="str">
        <f t="shared" si="69"/>
        <v/>
      </c>
      <c r="CN12" s="12" t="str">
        <f t="shared" ref="CN12:CO12" si="70">IF(OR(CN10="",CN8=""),"",CN8+CN10)</f>
        <v/>
      </c>
      <c r="CO12" s="12" t="str">
        <f t="shared" si="70"/>
        <v/>
      </c>
      <c r="CP12" s="12" t="str">
        <f t="shared" ref="CP12:CQ12" si="71">IF(OR(CP10="",CP8=""),"",CP8+CP10)</f>
        <v/>
      </c>
      <c r="CQ12" s="12" t="str">
        <f t="shared" si="71"/>
        <v/>
      </c>
      <c r="CR12" s="12" t="str">
        <f t="shared" ref="CR12:CU12" si="72">IF(OR(CR10="",CR8=""),"",CR8+CR10)</f>
        <v/>
      </c>
      <c r="CS12" s="12" t="str">
        <f t="shared" si="72"/>
        <v/>
      </c>
      <c r="CT12" s="12" t="str">
        <f t="shared" si="72"/>
        <v/>
      </c>
      <c r="CU12" s="12" t="str">
        <f t="shared" si="72"/>
        <v/>
      </c>
    </row>
    <row r="13" spans="1:99" s="3" customFormat="1" x14ac:dyDescent="0.35">
      <c r="A13" s="298"/>
      <c r="B13" s="9" t="s">
        <v>3</v>
      </c>
      <c r="C13" s="26"/>
      <c r="D13" s="26"/>
      <c r="E13" s="8">
        <f>E12</f>
        <v>489876.34097962012</v>
      </c>
      <c r="F13" s="8">
        <f>IF(OR(F12="",E13=""),"",F12+E13)</f>
        <v>1086590.3685365804</v>
      </c>
      <c r="G13" s="8">
        <f t="shared" ref="G13:AM13" si="73">IF(OR(G12="",F13=""),"",G12+F13)</f>
        <v>2343961.602740054</v>
      </c>
      <c r="H13" s="8">
        <f t="shared" si="73"/>
        <v>208883.89968457399</v>
      </c>
      <c r="I13" s="8">
        <f t="shared" si="73"/>
        <v>-2670663.7454448948</v>
      </c>
      <c r="J13" s="8">
        <f t="shared" si="73"/>
        <v>-3837266.1881003845</v>
      </c>
      <c r="K13" s="8">
        <f t="shared" si="73"/>
        <v>-6612519.2088355031</v>
      </c>
      <c r="L13" s="8">
        <f>IF(OR(L12="",K13=""),"",L12+K13)</f>
        <v>-7008861.3164485255</v>
      </c>
      <c r="M13" s="8">
        <f t="shared" si="73"/>
        <v>-6426754.7191394335</v>
      </c>
      <c r="N13" s="8">
        <f t="shared" si="73"/>
        <v>-7154793.928821791</v>
      </c>
      <c r="O13" s="8">
        <f>IF(OR(O12="",N13=""),"",O12+N13)</f>
        <v>-8522551.0217459071</v>
      </c>
      <c r="P13" s="8">
        <f>IF(OR(P12="",O13=""),"",P12+O13+P5)</f>
        <v>-5003629.9617847167</v>
      </c>
      <c r="Q13" s="8">
        <f t="shared" si="73"/>
        <v>-5008133.0775710102</v>
      </c>
      <c r="R13" s="8">
        <f t="shared" si="73"/>
        <v>-5205272.0273045162</v>
      </c>
      <c r="S13" s="8">
        <f t="shared" si="73"/>
        <v>-3281936.4451440163</v>
      </c>
      <c r="T13" s="8">
        <f t="shared" si="73"/>
        <v>-1732920.3969050625</v>
      </c>
      <c r="U13" s="8">
        <f t="shared" si="73"/>
        <v>-2546355.1689382298</v>
      </c>
      <c r="V13" s="8">
        <f t="shared" si="73"/>
        <v>-1244977.4506781604</v>
      </c>
      <c r="W13" s="8">
        <f>IF(OR(W12="",V13=""),"",W12+V13)</f>
        <v>-498053.60532408918</v>
      </c>
      <c r="X13" s="8">
        <f t="shared" si="73"/>
        <v>882450.2307096686</v>
      </c>
      <c r="Y13" s="8">
        <f>IF(OR(Y12="",X13=""),"",Y12+X13+Y5)</f>
        <v>1548921.7335016083</v>
      </c>
      <c r="Z13" s="8">
        <f t="shared" si="73"/>
        <v>3548718.8352973163</v>
      </c>
      <c r="AA13" s="8">
        <f t="shared" si="73"/>
        <v>2087702.0009534773</v>
      </c>
      <c r="AB13" s="8">
        <f t="shared" si="73"/>
        <v>-1175296.410292014</v>
      </c>
      <c r="AC13" s="8">
        <f t="shared" si="73"/>
        <v>-2965521.818597523</v>
      </c>
      <c r="AD13" s="8">
        <f t="shared" si="73"/>
        <v>-4755941.4378772769</v>
      </c>
      <c r="AE13" s="8">
        <f t="shared" si="73"/>
        <v>-5627891.917689763</v>
      </c>
      <c r="AF13" s="8">
        <f t="shared" si="73"/>
        <v>-7571818.2103339331</v>
      </c>
      <c r="AG13" s="8">
        <f t="shared" si="73"/>
        <v>-9186064.0385291521</v>
      </c>
      <c r="AH13" s="8">
        <f t="shared" si="73"/>
        <v>-9924014.8897692151</v>
      </c>
      <c r="AI13" s="8">
        <f t="shared" si="73"/>
        <v>-11970745.81018954</v>
      </c>
      <c r="AJ13" s="8">
        <f t="shared" si="73"/>
        <v>-13390026.579474417</v>
      </c>
      <c r="AK13" s="8">
        <f t="shared" si="73"/>
        <v>-12593831.391290132</v>
      </c>
      <c r="AL13" s="8">
        <f t="shared" si="73"/>
        <v>-11310745.607356843</v>
      </c>
      <c r="AM13" s="8">
        <f t="shared" si="73"/>
        <v>-16058987.992075801</v>
      </c>
      <c r="AN13" s="8">
        <f>IF(OR(AN12="",AM13=""),"",AN12+AM13)</f>
        <v>-6620806.4949026238</v>
      </c>
      <c r="AO13" s="8">
        <f t="shared" ref="AO13:AX13" si="74">IF(OR(AO12="",AN13=""),"",AO12+AN13)</f>
        <v>420954.50113105215</v>
      </c>
      <c r="AP13" s="8">
        <f t="shared" si="74"/>
        <v>494463.15977487265</v>
      </c>
      <c r="AQ13" s="8">
        <f t="shared" si="74"/>
        <v>536526.00641993794</v>
      </c>
      <c r="AR13" s="8">
        <f t="shared" si="74"/>
        <v>584713.19049179193</v>
      </c>
      <c r="AS13" s="8">
        <f t="shared" si="74"/>
        <v>1716811.567712157</v>
      </c>
      <c r="AT13" s="8">
        <f t="shared" si="74"/>
        <v>325792.68320364389</v>
      </c>
      <c r="AU13" s="8">
        <f t="shared" si="74"/>
        <v>312207.41903368535</v>
      </c>
      <c r="AV13" s="8">
        <f t="shared" si="74"/>
        <v>610303.38497414067</v>
      </c>
      <c r="AW13" s="8">
        <f t="shared" si="74"/>
        <v>508106.40279113071</v>
      </c>
      <c r="AX13" s="8">
        <f t="shared" si="74"/>
        <v>659617.74465209979</v>
      </c>
      <c r="AY13" s="8">
        <f t="shared" ref="AY13" si="75">IF(OR(AY12="",AX13=""),"",AY12+AX13)</f>
        <v>779334.24899109569</v>
      </c>
      <c r="AZ13" s="8">
        <f t="shared" ref="AZ13" si="76">IF(OR(AZ12="",AY13=""),"",AZ12+AY13)</f>
        <v>802094.26612525003</v>
      </c>
      <c r="BA13" s="8">
        <f t="shared" ref="BA13" si="77">IF(OR(BA12="",AZ13=""),"",BA12+AZ13)</f>
        <v>841930.33641425439</v>
      </c>
      <c r="BB13" s="8">
        <f t="shared" ref="BB13" si="78">IF(OR(BB12="",BA13=""),"",BB12+BA13)</f>
        <v>707886.50644999708</v>
      </c>
      <c r="BC13" s="8">
        <f t="shared" ref="BC13" si="79">IF(OR(BC12="",BB13=""),"",BC12+BB13)</f>
        <v>604551.5224999371</v>
      </c>
      <c r="BD13" s="8">
        <f t="shared" ref="BD13" si="80">IF(OR(BD12="",BC13=""),"",BD12+BC13)</f>
        <v>727934.53380841226</v>
      </c>
      <c r="BE13" s="8">
        <f t="shared" ref="BE13" si="81">IF(OR(BE12="",BD13=""),"",BE12+BD13)</f>
        <v>579094.09631142765</v>
      </c>
      <c r="BF13" s="8">
        <f t="shared" ref="BF13" si="82">IF(OR(BF12="",BE13=""),"",BF12+BE13)</f>
        <v>1081829.9070792682</v>
      </c>
      <c r="BG13" s="8">
        <f t="shared" ref="BG13" si="83">IF(OR(BG12="",BF13=""),"",BG12+BF13)</f>
        <v>1028502.6427243818</v>
      </c>
      <c r="BH13" s="8">
        <f t="shared" ref="BH13" si="84">IF(OR(BH12="",BG13=""),"",BH12+BG13)</f>
        <v>924879.44361150253</v>
      </c>
      <c r="BI13" s="8">
        <f t="shared" ref="BI13" si="85">IF(OR(BI12="",BH13=""),"",BI12+BH13)</f>
        <v>799150.87562179461</v>
      </c>
      <c r="BJ13" s="8">
        <f t="shared" ref="BJ13:BL13" si="86">IF(OR(BJ12="",BI13=""),"",BJ12+BI13)</f>
        <v>348389.48113066278</v>
      </c>
      <c r="BK13" s="8">
        <f t="shared" si="86"/>
        <v>222460.72942739894</v>
      </c>
      <c r="BL13" s="8">
        <f t="shared" si="86"/>
        <v>235949.21010811522</v>
      </c>
      <c r="BM13" s="8">
        <f>IF(OR(BM12="",BL13=""),"",BM12+BL13)</f>
        <v>163264.27399818139</v>
      </c>
      <c r="BN13" s="8">
        <f t="shared" ref="BN13:CR13" si="87">IF(OR(BN12="",BM13=""),"",BN12+BM13+BN5)</f>
        <v>182936.18684699811</v>
      </c>
      <c r="BO13" s="8">
        <f t="shared" si="87"/>
        <v>118761.10835896403</v>
      </c>
      <c r="BP13" s="8">
        <f t="shared" si="87"/>
        <v>40488.061200696873</v>
      </c>
      <c r="BQ13" s="8">
        <f t="shared" si="87"/>
        <v>-160639.11748398148</v>
      </c>
      <c r="BR13" s="8">
        <f t="shared" si="87"/>
        <v>-248024.59156962542</v>
      </c>
      <c r="BS13" s="8">
        <f t="shared" si="87"/>
        <v>-340444.29363686888</v>
      </c>
      <c r="BT13" s="8">
        <f t="shared" si="87"/>
        <v>-433381.70957982348</v>
      </c>
      <c r="BU13" s="8">
        <f t="shared" si="87"/>
        <v>-435963.12370274583</v>
      </c>
      <c r="BV13" s="8">
        <f t="shared" si="87"/>
        <v>-521932.34627426043</v>
      </c>
      <c r="BW13" s="8">
        <f t="shared" si="87"/>
        <v>-696083.55703392881</v>
      </c>
      <c r="BX13" s="12" t="str">
        <f t="shared" si="87"/>
        <v/>
      </c>
      <c r="BY13" s="12" t="str">
        <f t="shared" si="87"/>
        <v/>
      </c>
      <c r="BZ13" s="12" t="str">
        <f t="shared" si="87"/>
        <v/>
      </c>
      <c r="CA13" s="12" t="str">
        <f t="shared" si="87"/>
        <v/>
      </c>
      <c r="CB13" s="12" t="str">
        <f t="shared" si="87"/>
        <v/>
      </c>
      <c r="CC13" s="12" t="str">
        <f t="shared" si="87"/>
        <v/>
      </c>
      <c r="CD13" s="12" t="str">
        <f t="shared" si="87"/>
        <v/>
      </c>
      <c r="CE13" s="12" t="str">
        <f t="shared" si="87"/>
        <v/>
      </c>
      <c r="CF13" s="12" t="str">
        <f t="shared" si="87"/>
        <v/>
      </c>
      <c r="CG13" s="12" t="str">
        <f t="shared" si="87"/>
        <v/>
      </c>
      <c r="CH13" s="12" t="str">
        <f t="shared" si="87"/>
        <v/>
      </c>
      <c r="CI13" s="12" t="str">
        <f t="shared" si="87"/>
        <v/>
      </c>
      <c r="CJ13" s="12" t="str">
        <f t="shared" si="87"/>
        <v/>
      </c>
      <c r="CK13" s="12" t="str">
        <f t="shared" si="87"/>
        <v/>
      </c>
      <c r="CL13" s="12" t="str">
        <f t="shared" si="87"/>
        <v/>
      </c>
      <c r="CM13" s="12" t="str">
        <f t="shared" si="87"/>
        <v/>
      </c>
      <c r="CN13" s="12" t="str">
        <f t="shared" si="87"/>
        <v/>
      </c>
      <c r="CO13" s="12" t="str">
        <f t="shared" si="87"/>
        <v/>
      </c>
      <c r="CP13" s="12" t="str">
        <f t="shared" si="87"/>
        <v/>
      </c>
      <c r="CQ13" s="12" t="str">
        <f t="shared" si="87"/>
        <v/>
      </c>
      <c r="CR13" s="12" t="str">
        <f t="shared" si="87"/>
        <v/>
      </c>
      <c r="CS13" s="12" t="str">
        <f t="shared" ref="CS13" si="88">IF(OR(CS12="",CR13=""),"",CS12+CR13+CS5)</f>
        <v/>
      </c>
      <c r="CT13" s="12" t="str">
        <f t="shared" ref="CT13" si="89">IF(OR(CT12="",CS13=""),"",CT12+CS13+CT5)</f>
        <v/>
      </c>
      <c r="CU13" s="12" t="str">
        <f t="shared" ref="CU13" si="90">IF(OR(CU12="",CT13=""),"",CU12+CT13+CU5)</f>
        <v/>
      </c>
    </row>
    <row r="14" spans="1:99" s="4" customFormat="1" ht="8.25" customHeight="1" x14ac:dyDescent="0.35">
      <c r="A14" s="40"/>
      <c r="B14" s="11"/>
      <c r="C14" s="11"/>
      <c r="D14" s="11"/>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row>
    <row r="15" spans="1:99" s="4" customFormat="1" ht="15" customHeight="1" x14ac:dyDescent="0.35">
      <c r="A15" s="295" t="s">
        <v>25</v>
      </c>
      <c r="B15" s="15"/>
      <c r="C15" s="30"/>
      <c r="D15" s="30"/>
      <c r="E15" s="7"/>
      <c r="F15" s="7"/>
      <c r="G15" s="7"/>
      <c r="H15" s="7"/>
      <c r="I15" s="7"/>
      <c r="J15" s="7"/>
      <c r="K15" s="7"/>
      <c r="L15" s="7"/>
      <c r="M15" s="7"/>
      <c r="N15" s="7"/>
      <c r="O15" s="7"/>
      <c r="P15" s="68">
        <f>+SUM(P26,P36,P46,P56,P66)</f>
        <v>13541921.743700374</v>
      </c>
      <c r="Q15" s="7"/>
      <c r="R15" s="7"/>
      <c r="S15" s="7"/>
      <c r="T15" s="7"/>
      <c r="U15" s="7"/>
      <c r="V15" s="7"/>
      <c r="W15" s="7"/>
      <c r="X15" s="7"/>
      <c r="Y15" s="7"/>
      <c r="Z15" s="7"/>
      <c r="AA15" s="7"/>
      <c r="AB15" s="7"/>
      <c r="AC15" s="7"/>
      <c r="AD15" s="7"/>
      <c r="AE15" s="7"/>
      <c r="AF15" s="7"/>
      <c r="AG15" s="7"/>
      <c r="AH15" s="7"/>
      <c r="AI15" s="7"/>
      <c r="AJ15" s="7"/>
      <c r="AK15" s="7"/>
      <c r="AL15" s="7"/>
      <c r="AM15" s="7"/>
      <c r="AN15" s="7"/>
      <c r="AO15" s="7"/>
      <c r="AP15" s="67"/>
      <c r="AQ15" s="67"/>
      <c r="AR15" s="67"/>
      <c r="AS15" s="68">
        <f>+'MEEIA 2 adjs'!AT37</f>
        <v>-9652.3205640208907</v>
      </c>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117">
        <f>CI26+CI36+CI46+CI56+CI66</f>
        <v>461.98306154853339</v>
      </c>
      <c r="CJ15" s="67"/>
      <c r="CK15" s="67"/>
      <c r="CL15" s="67"/>
      <c r="CM15" s="67"/>
      <c r="CN15" s="67"/>
      <c r="CO15" s="67"/>
      <c r="CP15" s="67"/>
      <c r="CQ15" s="67"/>
      <c r="CR15" s="67"/>
      <c r="CS15" s="67"/>
      <c r="CT15" s="67"/>
      <c r="CU15" s="67"/>
    </row>
    <row r="16" spans="1:99" s="2" customFormat="1" ht="15" customHeight="1" x14ac:dyDescent="0.35">
      <c r="A16" s="295"/>
      <c r="B16" s="15" t="s">
        <v>28</v>
      </c>
      <c r="C16" s="30"/>
      <c r="D16" s="30"/>
      <c r="E16" s="19">
        <f t="shared" ref="E16:AX16" si="91">IF(E67="","",SUM(E67,E57,E47,E37,E27))</f>
        <v>0</v>
      </c>
      <c r="F16" s="19">
        <f t="shared" si="91"/>
        <v>1328.78</v>
      </c>
      <c r="G16" s="19">
        <f t="shared" si="91"/>
        <v>9526.5299999999988</v>
      </c>
      <c r="H16" s="19">
        <f t="shared" si="91"/>
        <v>131900.43</v>
      </c>
      <c r="I16" s="19">
        <f t="shared" si="91"/>
        <v>295999.55000000005</v>
      </c>
      <c r="J16" s="19">
        <f t="shared" si="91"/>
        <v>425553.79999999993</v>
      </c>
      <c r="K16" s="19">
        <f t="shared" si="91"/>
        <v>758519.65</v>
      </c>
      <c r="L16" s="19">
        <f t="shared" si="91"/>
        <v>199350.73000000013</v>
      </c>
      <c r="M16" s="19">
        <f t="shared" si="91"/>
        <v>279108.34999999986</v>
      </c>
      <c r="N16" s="19">
        <f t="shared" si="91"/>
        <v>438307.65</v>
      </c>
      <c r="O16" s="19">
        <f t="shared" si="91"/>
        <v>509660.87999999995</v>
      </c>
      <c r="P16" s="19">
        <f t="shared" si="91"/>
        <v>486201.49000000022</v>
      </c>
      <c r="Q16" s="19">
        <f t="shared" si="91"/>
        <v>514839.35999999993</v>
      </c>
      <c r="R16" s="19">
        <f t="shared" si="91"/>
        <v>312695.84999999969</v>
      </c>
      <c r="S16" s="19">
        <f t="shared" si="91"/>
        <v>392474.24999999977</v>
      </c>
      <c r="T16" s="19">
        <f t="shared" si="91"/>
        <v>1348848.3600000003</v>
      </c>
      <c r="U16" s="19">
        <f t="shared" si="91"/>
        <v>1958770.0699999998</v>
      </c>
      <c r="V16" s="19">
        <f t="shared" si="91"/>
        <v>2119352.19</v>
      </c>
      <c r="W16" s="19">
        <f t="shared" si="91"/>
        <v>1653005.4399999997</v>
      </c>
      <c r="X16" s="19">
        <f>IF(X67="","",SUM(X67,X57,X47,X37,X27))</f>
        <v>750637.88000000059</v>
      </c>
      <c r="Y16" s="19">
        <f t="shared" si="91"/>
        <v>825052.10999999894</v>
      </c>
      <c r="Z16" s="19">
        <f t="shared" si="91"/>
        <v>1097101.9800000007</v>
      </c>
      <c r="AA16" s="19">
        <f t="shared" si="91"/>
        <v>1233427.4099999992</v>
      </c>
      <c r="AB16" s="19">
        <f t="shared" si="91"/>
        <v>1062738.5799999998</v>
      </c>
      <c r="AC16" s="19">
        <f t="shared" si="91"/>
        <v>1116457.6900000016</v>
      </c>
      <c r="AD16" s="19">
        <f t="shared" si="91"/>
        <v>959793.47999999963</v>
      </c>
      <c r="AE16" s="19">
        <f t="shared" si="91"/>
        <v>1424231.0999999994</v>
      </c>
      <c r="AF16" s="19">
        <f t="shared" si="91"/>
        <v>3804569.2400000021</v>
      </c>
      <c r="AG16" s="19">
        <f t="shared" si="91"/>
        <v>5112749.5900000017</v>
      </c>
      <c r="AH16" s="19">
        <f t="shared" si="91"/>
        <v>4713867.5500000026</v>
      </c>
      <c r="AI16" s="19">
        <f t="shared" si="91"/>
        <v>3598339.959999999</v>
      </c>
      <c r="AJ16" s="19">
        <f t="shared" si="91"/>
        <v>1714525.5399999977</v>
      </c>
      <c r="AK16" s="19">
        <f t="shared" si="91"/>
        <v>1571421.2499999984</v>
      </c>
      <c r="AL16" s="19">
        <f t="shared" si="91"/>
        <v>1919519.9299999997</v>
      </c>
      <c r="AM16" s="19">
        <f t="shared" si="91"/>
        <v>2060434.7699999972</v>
      </c>
      <c r="AN16" s="19">
        <f t="shared" si="91"/>
        <v>1799627.3200000026</v>
      </c>
      <c r="AO16" s="19">
        <f t="shared" si="91"/>
        <v>2312591.7700000047</v>
      </c>
      <c r="AP16" s="19">
        <f t="shared" si="91"/>
        <v>2109913.9999999995</v>
      </c>
      <c r="AQ16" s="19">
        <f t="shared" si="91"/>
        <v>1887985.9599999981</v>
      </c>
      <c r="AR16" s="19">
        <f t="shared" si="91"/>
        <v>6123794.6400000015</v>
      </c>
      <c r="AS16" s="19">
        <f t="shared" si="91"/>
        <v>7375311.7899999972</v>
      </c>
      <c r="AT16" s="19">
        <f t="shared" si="91"/>
        <v>6969272.2200000016</v>
      </c>
      <c r="AU16" s="19">
        <f t="shared" si="91"/>
        <v>5125287.4899999984</v>
      </c>
      <c r="AV16" s="19">
        <f t="shared" si="91"/>
        <v>2223308.9999999981</v>
      </c>
      <c r="AW16" s="19">
        <f t="shared" si="91"/>
        <v>2078395.7300000028</v>
      </c>
      <c r="AX16" s="19">
        <f t="shared" si="91"/>
        <v>2228734.6799999988</v>
      </c>
      <c r="AY16" s="19">
        <f t="shared" ref="AY16:BI16" si="92">IF(AY67="","",SUM(AY67,AY57,AY47,AY37,AY27))</f>
        <v>2369847.9499999993</v>
      </c>
      <c r="AZ16" s="19">
        <f t="shared" si="92"/>
        <v>217555.38999999897</v>
      </c>
      <c r="BA16" s="19">
        <f t="shared" si="92"/>
        <v>1940172.8499999971</v>
      </c>
      <c r="BB16" s="19">
        <f>IF(BB67="","",SUM(BB67,BB57,BB47,BB37,BB27))</f>
        <v>2286.3100000023842</v>
      </c>
      <c r="BC16" s="19">
        <f t="shared" si="92"/>
        <v>33.38999999733619</v>
      </c>
      <c r="BD16" s="19">
        <f t="shared" si="92"/>
        <v>12223.310000002384</v>
      </c>
      <c r="BE16" s="19">
        <f t="shared" si="92"/>
        <v>22853.179999999702</v>
      </c>
      <c r="BF16" s="19">
        <f t="shared" si="92"/>
        <v>37353.849999999627</v>
      </c>
      <c r="BG16" s="19">
        <f t="shared" si="92"/>
        <v>34409.610000001267</v>
      </c>
      <c r="BH16" s="19">
        <f t="shared" si="92"/>
        <v>13496.160000000149</v>
      </c>
      <c r="BI16" s="19">
        <f t="shared" si="92"/>
        <v>12870.069999998435</v>
      </c>
      <c r="BJ16" s="19">
        <f>IF(BJ67="","",SUM(BJ67,BJ57,BJ47,BJ37,BJ27))</f>
        <v>17714.029999999329</v>
      </c>
      <c r="BK16" s="19">
        <f t="shared" ref="BK16:BL16" si="93">IF(BK67="","",SUM(BK67,BK57,BK47,BK37,BK27))</f>
        <v>20826.88000000082</v>
      </c>
      <c r="BL16" s="19">
        <f t="shared" si="93"/>
        <v>19099.220000000671</v>
      </c>
      <c r="BM16" s="19">
        <f t="shared" ref="BM16:BN16" si="94">IF(BM67="","",SUM(BM67,BM57,BM47,BM37,BM27))</f>
        <v>21421.460000000894</v>
      </c>
      <c r="BN16" s="19">
        <f t="shared" si="94"/>
        <v>19168.38000000082</v>
      </c>
      <c r="BO16" s="19">
        <f t="shared" ref="BO16:BP16" si="95">IF(BO67="","",SUM(BO67,BO57,BO47,BO37,BO27))</f>
        <v>25465.089999996126</v>
      </c>
      <c r="BP16" s="19">
        <f t="shared" si="95"/>
        <v>70360.550000002608</v>
      </c>
      <c r="BQ16" s="19">
        <f t="shared" ref="BQ16:BR16" si="96">IF(BQ67="","",SUM(BQ67,BQ57,BQ47,BQ37,BQ27))</f>
        <v>91202.140000000596</v>
      </c>
      <c r="BR16" s="19">
        <f t="shared" si="96"/>
        <v>84499.239999998827</v>
      </c>
      <c r="BS16" s="19">
        <f t="shared" ref="BS16:BT16" si="97">IF(BS67="","",SUM(BS67,BS57,BS47,BS37,BS27))</f>
        <v>53951.849999999627</v>
      </c>
      <c r="BT16" s="19">
        <f t="shared" si="97"/>
        <v>21911.110000000801</v>
      </c>
      <c r="BU16" s="19">
        <f t="shared" ref="BU16:BV16" si="98">IF(BU67="","",SUM(BU67,BU57,BU47,BU37,BU27))</f>
        <v>20626.079999999609</v>
      </c>
      <c r="BV16" s="19">
        <f t="shared" si="98"/>
        <v>24775.299999998882</v>
      </c>
      <c r="BW16" s="19">
        <f t="shared" ref="BW16:BX16" si="99">IF(BW67="","",SUM(BW67,BW57,BW47,BW37,BW27))</f>
        <v>25830.020000001416</v>
      </c>
      <c r="BX16" s="19">
        <f t="shared" si="99"/>
        <v>21223.889999997336</v>
      </c>
      <c r="BY16" s="19">
        <f t="shared" ref="BY16:BZ16" si="100">IF(BY67="","",SUM(BY67,BY57,BY47,BY37,BY27))</f>
        <v>0</v>
      </c>
      <c r="BZ16" s="19">
        <f t="shared" si="100"/>
        <v>0</v>
      </c>
      <c r="CA16" s="19">
        <f t="shared" ref="CA16:CB16" si="101">IF(CA67="","",SUM(CA67,CA57,CA47,CA37,CA27))</f>
        <v>0</v>
      </c>
      <c r="CB16" s="19">
        <f t="shared" si="101"/>
        <v>0</v>
      </c>
      <c r="CC16" s="19">
        <f t="shared" ref="CC16:CD16" si="102">IF(CC67="","",SUM(CC67,CC57,CC47,CC37,CC27))</f>
        <v>0</v>
      </c>
      <c r="CD16" s="19">
        <f t="shared" si="102"/>
        <v>0</v>
      </c>
      <c r="CE16" s="19">
        <f t="shared" ref="CE16:CF16" si="103">IF(CE67="","",SUM(CE67,CE57,CE47,CE37,CE27))</f>
        <v>0</v>
      </c>
      <c r="CF16" s="19">
        <f t="shared" si="103"/>
        <v>0</v>
      </c>
      <c r="CG16" s="19">
        <f t="shared" ref="CG16:CH16" si="104">IF(CG67="","",SUM(CG67,CG57,CG47,CG37,CG27))</f>
        <v>0</v>
      </c>
      <c r="CH16" s="19">
        <f t="shared" si="104"/>
        <v>0</v>
      </c>
      <c r="CI16" s="19">
        <f t="shared" ref="CI16:CJ16" si="105">IF(CI67="","",SUM(CI67,CI57,CI47,CI37,CI27))</f>
        <v>0</v>
      </c>
      <c r="CJ16" s="19">
        <f t="shared" si="105"/>
        <v>0</v>
      </c>
      <c r="CK16" s="19">
        <f t="shared" ref="CK16:CL16" si="106">IF(CK67="","",SUM(CK67,CK57,CK47,CK37,CK27))</f>
        <v>0</v>
      </c>
      <c r="CL16" s="19">
        <f t="shared" si="106"/>
        <v>0</v>
      </c>
      <c r="CM16" s="19">
        <f t="shared" ref="CM16:CN16" si="107">IF(CM67="","",SUM(CM67,CM57,CM47,CM37,CM27))</f>
        <v>0</v>
      </c>
      <c r="CN16" s="19">
        <f t="shared" si="107"/>
        <v>0</v>
      </c>
      <c r="CO16" s="19">
        <f t="shared" ref="CO16:CP16" si="108">IF(CO67="","",SUM(CO67,CO57,CO47,CO37,CO27))</f>
        <v>0</v>
      </c>
      <c r="CP16" s="19">
        <f t="shared" si="108"/>
        <v>0</v>
      </c>
      <c r="CQ16" s="19">
        <f t="shared" ref="CQ16:CR16" si="109">IF(CQ67="","",SUM(CQ67,CQ57,CQ47,CQ37,CQ27))</f>
        <v>0</v>
      </c>
      <c r="CR16" s="19">
        <f t="shared" si="109"/>
        <v>0</v>
      </c>
      <c r="CS16" s="19">
        <f t="shared" ref="CS16:CU16" si="110">IF(CS67="","",SUM(CS67,CS57,CS47,CS37,CS27))</f>
        <v>0</v>
      </c>
      <c r="CT16" s="19">
        <f t="shared" si="110"/>
        <v>0</v>
      </c>
      <c r="CU16" s="19">
        <f t="shared" si="110"/>
        <v>0</v>
      </c>
    </row>
    <row r="17" spans="1:99" s="4" customFormat="1" ht="15" customHeight="1" x14ac:dyDescent="0.35">
      <c r="A17" s="295"/>
      <c r="B17" s="16" t="s">
        <v>26</v>
      </c>
      <c r="C17" s="24"/>
      <c r="D17" s="24"/>
      <c r="E17" s="19">
        <f t="shared" ref="E17:AX17" si="111">IF(E68="","",SUM(E68,E58,E48,E38,E28))</f>
        <v>0</v>
      </c>
      <c r="F17" s="19">
        <f t="shared" si="111"/>
        <v>0</v>
      </c>
      <c r="G17" s="19">
        <f t="shared" si="111"/>
        <v>17393.11</v>
      </c>
      <c r="H17" s="19">
        <f t="shared" si="111"/>
        <v>264954.01</v>
      </c>
      <c r="I17" s="19">
        <f t="shared" si="111"/>
        <v>347680.79</v>
      </c>
      <c r="J17" s="19">
        <f t="shared" si="111"/>
        <v>348292.31</v>
      </c>
      <c r="K17" s="19">
        <f t="shared" si="111"/>
        <v>325763.31</v>
      </c>
      <c r="L17" s="19">
        <f t="shared" si="111"/>
        <v>246495.91999999998</v>
      </c>
      <c r="M17" s="19">
        <f t="shared" si="111"/>
        <v>210020.45</v>
      </c>
      <c r="N17" s="19">
        <f t="shared" si="111"/>
        <v>286405.52</v>
      </c>
      <c r="O17" s="19">
        <f t="shared" si="111"/>
        <v>537350.65</v>
      </c>
      <c r="P17" s="19">
        <f t="shared" si="111"/>
        <v>2380685.19</v>
      </c>
      <c r="Q17" s="19">
        <f t="shared" si="111"/>
        <v>1978228.74</v>
      </c>
      <c r="R17" s="19">
        <f t="shared" si="111"/>
        <v>1865586.4</v>
      </c>
      <c r="S17" s="19">
        <f t="shared" si="111"/>
        <v>1834668.94</v>
      </c>
      <c r="T17" s="19">
        <f t="shared" si="111"/>
        <v>2295880.5499999998</v>
      </c>
      <c r="U17" s="19">
        <f t="shared" si="111"/>
        <v>2739739.71</v>
      </c>
      <c r="V17" s="19">
        <f t="shared" si="111"/>
        <v>2810029.67</v>
      </c>
      <c r="W17" s="19">
        <f t="shared" si="111"/>
        <v>2397146.59</v>
      </c>
      <c r="X17" s="19">
        <f t="shared" si="111"/>
        <v>2196198.75</v>
      </c>
      <c r="Y17" s="19">
        <f t="shared" si="111"/>
        <v>1955310.19</v>
      </c>
      <c r="Z17" s="19">
        <f t="shared" si="111"/>
        <v>2272928.3199999998</v>
      </c>
      <c r="AA17" s="19">
        <f t="shared" si="111"/>
        <v>3133513.62</v>
      </c>
      <c r="AB17" s="19">
        <f t="shared" si="111"/>
        <v>2686519.3200000003</v>
      </c>
      <c r="AC17" s="19">
        <f t="shared" si="111"/>
        <v>2253809.6799999997</v>
      </c>
      <c r="AD17" s="19">
        <f>IF(AD68="","",SUM(AD68,AD58,AD48,AD38,AD28))</f>
        <v>2191880.62</v>
      </c>
      <c r="AE17" s="19">
        <f t="shared" si="111"/>
        <v>2008078.9100000001</v>
      </c>
      <c r="AF17" s="19">
        <f t="shared" si="111"/>
        <v>2628092.91</v>
      </c>
      <c r="AG17" s="19">
        <f t="shared" si="111"/>
        <v>2927384.48</v>
      </c>
      <c r="AH17" s="19">
        <f t="shared" si="111"/>
        <v>2713828.67</v>
      </c>
      <c r="AI17" s="19">
        <f t="shared" si="111"/>
        <v>2656476.0999999996</v>
      </c>
      <c r="AJ17" s="19">
        <f t="shared" si="111"/>
        <v>2241568.5700000003</v>
      </c>
      <c r="AK17" s="19">
        <f>IF(AK68="","",SUM(AK68,AK58,AK48,AK38,AK28))</f>
        <v>2050332.6400000001</v>
      </c>
      <c r="AL17" s="19">
        <f t="shared" si="111"/>
        <v>2540211.56</v>
      </c>
      <c r="AM17" s="19">
        <f t="shared" si="111"/>
        <v>2758522.64</v>
      </c>
      <c r="AN17" s="19">
        <f t="shared" si="111"/>
        <v>3731846.29</v>
      </c>
      <c r="AO17" s="19">
        <f t="shared" si="111"/>
        <v>3504116.6100000003</v>
      </c>
      <c r="AP17" s="19">
        <f t="shared" si="111"/>
        <v>2834702.33</v>
      </c>
      <c r="AQ17" s="19">
        <f t="shared" si="111"/>
        <v>2693990.75</v>
      </c>
      <c r="AR17" s="19">
        <f t="shared" si="111"/>
        <v>3224890.5700000003</v>
      </c>
      <c r="AS17" s="19">
        <f t="shared" si="111"/>
        <v>3677369.7199999997</v>
      </c>
      <c r="AT17" s="19">
        <f t="shared" si="111"/>
        <v>3821939.25</v>
      </c>
      <c r="AU17" s="19">
        <f t="shared" si="111"/>
        <v>3698449.99</v>
      </c>
      <c r="AV17" s="19">
        <f t="shared" si="111"/>
        <v>3264460.08</v>
      </c>
      <c r="AW17" s="19">
        <f t="shared" si="111"/>
        <v>2921768.73</v>
      </c>
      <c r="AX17" s="19">
        <f t="shared" si="111"/>
        <v>3431438.0600000005</v>
      </c>
      <c r="AY17" s="19">
        <f t="shared" ref="AY17:BJ17" si="112">IF(AY68="","",SUM(AY68,AY58,AY48,AY38,AY28))</f>
        <v>3659744.19</v>
      </c>
      <c r="AZ17" s="19">
        <f t="shared" si="112"/>
        <v>2389556.5699999998</v>
      </c>
      <c r="BA17" s="19">
        <f t="shared" si="112"/>
        <v>693510.74000000011</v>
      </c>
      <c r="BB17" s="19">
        <f t="shared" si="112"/>
        <v>590167.07000000007</v>
      </c>
      <c r="BC17" s="19">
        <f t="shared" si="112"/>
        <v>548810.88</v>
      </c>
      <c r="BD17" s="19">
        <f t="shared" si="112"/>
        <v>622900.25999999989</v>
      </c>
      <c r="BE17" s="19">
        <f t="shared" si="112"/>
        <v>774512.69</v>
      </c>
      <c r="BF17" s="19">
        <f t="shared" si="112"/>
        <v>770258.37</v>
      </c>
      <c r="BG17" s="19">
        <f t="shared" si="112"/>
        <v>751740.30999999994</v>
      </c>
      <c r="BH17" s="19">
        <f t="shared" si="112"/>
        <v>622388.87</v>
      </c>
      <c r="BI17" s="19">
        <f t="shared" si="112"/>
        <v>618464.55999999994</v>
      </c>
      <c r="BJ17" s="19">
        <f t="shared" si="112"/>
        <v>686712.57000000007</v>
      </c>
      <c r="BK17" s="19">
        <f t="shared" ref="BK17:BL17" si="113">IF(BK68="","",SUM(BK68,BK58,BK48,BK38,BK28))</f>
        <v>753788.79</v>
      </c>
      <c r="BL17" s="19">
        <f t="shared" si="113"/>
        <v>123252.23000000001</v>
      </c>
      <c r="BM17" s="19">
        <f t="shared" ref="BM17:BN17" si="114">IF(BM68="","",SUM(BM68,BM58,BM48,BM38,BM28))</f>
        <v>-572800.92000000004</v>
      </c>
      <c r="BN17" s="19">
        <f t="shared" si="114"/>
        <v>-433116.61</v>
      </c>
      <c r="BO17" s="19">
        <f t="shared" ref="BO17:BP17" si="115">IF(BO68="","",SUM(BO68,BO58,BO48,BO38,BO28))</f>
        <v>-422296.81</v>
      </c>
      <c r="BP17" s="19">
        <f t="shared" si="115"/>
        <v>-511624.21</v>
      </c>
      <c r="BQ17" s="19">
        <f t="shared" ref="BQ17:BR17" si="116">IF(BQ68="","",SUM(BQ68,BQ58,BQ48,BQ38,BQ28))</f>
        <v>-644535.94999999995</v>
      </c>
      <c r="BR17" s="19">
        <f t="shared" si="116"/>
        <v>-648872.89</v>
      </c>
      <c r="BS17" s="19">
        <f t="shared" ref="BS17:BT17" si="117">IF(BS68="","",SUM(BS68,BS58,BS48,BS38,BS28))</f>
        <v>-646588.66999999993</v>
      </c>
      <c r="BT17" s="19">
        <f t="shared" si="117"/>
        <v>-495839.69999999995</v>
      </c>
      <c r="BU17" s="19">
        <f t="shared" ref="BU17:BV17" si="118">IF(BU68="","",SUM(BU68,BU58,BU48,BU38,BU28))</f>
        <v>-452926.68</v>
      </c>
      <c r="BV17" s="19">
        <f t="shared" si="118"/>
        <v>-540882.03</v>
      </c>
      <c r="BW17" s="19">
        <f t="shared" ref="BW17:BX17" si="119">IF(BW68="","",SUM(BW68,BW58,BW48,BW38,BW28))</f>
        <v>-651029.75</v>
      </c>
      <c r="BX17" s="19">
        <f t="shared" si="119"/>
        <v>-427144.88</v>
      </c>
      <c r="BY17" s="19">
        <f t="shared" ref="BY17:BZ17" si="120">IF(BY68="","",SUM(BY68,BY58,BY48,BY38,BY28))</f>
        <v>-59180.159999999996</v>
      </c>
      <c r="BZ17" s="19">
        <f t="shared" si="120"/>
        <v>-58562.48</v>
      </c>
      <c r="CA17" s="19">
        <f t="shared" ref="CA17:CB17" si="121">IF(CA68="","",SUM(CA68,CA58,CA48,CA38,CA28))</f>
        <v>-50748.47</v>
      </c>
      <c r="CB17" s="19">
        <f t="shared" si="121"/>
        <v>-58661.299999999996</v>
      </c>
      <c r="CC17" s="19">
        <f t="shared" ref="CC17:CD17" si="122">IF(CC68="","",SUM(CC68,CC58,CC48,CC38,CC28))</f>
        <v>-68462.3</v>
      </c>
      <c r="CD17" s="19">
        <f t="shared" si="122"/>
        <v>-66846.459999999992</v>
      </c>
      <c r="CE17" s="19">
        <f t="shared" ref="CE17:CF17" si="123">IF(CE68="","",SUM(CE68,CE58,CE48,CE38,CE28))</f>
        <v>-62475.11</v>
      </c>
      <c r="CF17" s="19">
        <f t="shared" si="123"/>
        <v>-52251.13</v>
      </c>
      <c r="CG17" s="19">
        <f t="shared" ref="CG17:CH17" si="124">IF(CG68="","",SUM(CG68,CG58,CG48,CG38,CG28))</f>
        <v>-49844.260000000009</v>
      </c>
      <c r="CH17" s="19">
        <f t="shared" si="124"/>
        <v>-59378.83</v>
      </c>
      <c r="CI17" s="19">
        <f t="shared" ref="CI17:CJ17" si="125">IF(CI68="","",SUM(CI68,CI58,CI48,CI38,CI28))</f>
        <v>-62477.820000000007</v>
      </c>
      <c r="CJ17" s="19">
        <f t="shared" si="125"/>
        <v>-23191.07</v>
      </c>
      <c r="CK17" s="19">
        <f t="shared" ref="CK17:CL17" si="126">IF(CK68="","",SUM(CK68,CK58,CK48,CK38,CK28))</f>
        <v>25380.510000000002</v>
      </c>
      <c r="CL17" s="19">
        <f t="shared" si="126"/>
        <v>22966.98</v>
      </c>
      <c r="CM17" s="19">
        <f t="shared" ref="CM17:CN17" si="127">IF(CM68="","",SUM(CM68,CM58,CM48,CM38,CM28))</f>
        <v>20634.36</v>
      </c>
      <c r="CN17" s="19">
        <f t="shared" si="127"/>
        <v>25481.59</v>
      </c>
      <c r="CO17" s="19">
        <f t="shared" ref="CO17:CP17" si="128">IF(CO68="","",SUM(CO68,CO58,CO48,CO38,CO28))</f>
        <v>31453.35</v>
      </c>
      <c r="CP17" s="19">
        <f t="shared" si="128"/>
        <v>32480.489999999998</v>
      </c>
      <c r="CQ17" s="19">
        <f t="shared" ref="CQ17:CR17" si="129">IF(CQ68="","",SUM(CQ68,CQ58,CQ48,CQ38,CQ28))</f>
        <v>30891.690000000002</v>
      </c>
      <c r="CR17" s="19">
        <f t="shared" si="129"/>
        <v>23718.190000000002</v>
      </c>
      <c r="CS17" s="19">
        <f t="shared" ref="CS17:CU17" si="130">IF(CS68="","",SUM(CS68,CS58,CS48,CS38,CS28))</f>
        <v>22092.399436876844</v>
      </c>
      <c r="CT17" s="19">
        <f t="shared" si="130"/>
        <v>28096.130550047652</v>
      </c>
      <c r="CU17" s="19">
        <f t="shared" si="130"/>
        <v>35140.77485056351</v>
      </c>
    </row>
    <row r="18" spans="1:99" s="4" customFormat="1" ht="15" customHeight="1" x14ac:dyDescent="0.35">
      <c r="A18" s="295"/>
      <c r="B18" s="16" t="s">
        <v>51</v>
      </c>
      <c r="C18" s="24"/>
      <c r="D18" s="24"/>
      <c r="E18" s="19"/>
      <c r="F18" s="19"/>
      <c r="G18" s="19"/>
      <c r="H18" s="19"/>
      <c r="I18" s="19"/>
      <c r="J18" s="19"/>
      <c r="K18" s="19"/>
      <c r="L18" s="19"/>
      <c r="M18" s="19"/>
      <c r="N18" s="19"/>
      <c r="O18" s="19">
        <f>IF(O69="","",SUM(O69,O59,O49,O39,O29))</f>
        <v>0</v>
      </c>
      <c r="P18" s="19">
        <f>IF(P69="","",SUM(P69,P59,P49,P39,P29))</f>
        <v>-1207876.0699999998</v>
      </c>
      <c r="Q18" s="19">
        <f t="shared" ref="Q18:AM18" si="131">IF(Q69="","",SUM(Q69,Q59,Q49,Q39,Q29))</f>
        <v>-991453.85</v>
      </c>
      <c r="R18" s="19">
        <f t="shared" si="131"/>
        <v>-942175.03</v>
      </c>
      <c r="S18" s="19">
        <f t="shared" si="131"/>
        <v>-924830.89</v>
      </c>
      <c r="T18" s="19">
        <f t="shared" si="131"/>
        <v>-1162964.6800000002</v>
      </c>
      <c r="U18" s="19">
        <f t="shared" si="131"/>
        <v>-1377616.51</v>
      </c>
      <c r="V18" s="19">
        <f t="shared" si="131"/>
        <v>-1419206.7000000002</v>
      </c>
      <c r="W18" s="19">
        <f t="shared" si="131"/>
        <v>-1209460.76</v>
      </c>
      <c r="X18" s="19">
        <f t="shared" si="131"/>
        <v>-1107295.8</v>
      </c>
      <c r="Y18" s="19">
        <f t="shared" si="131"/>
        <v>-988276.53</v>
      </c>
      <c r="Z18" s="19">
        <f t="shared" si="131"/>
        <v>-1145553.06</v>
      </c>
      <c r="AA18" s="19">
        <f t="shared" si="131"/>
        <v>-1569459.38</v>
      </c>
      <c r="AB18" s="19">
        <f t="shared" si="131"/>
        <v>231630.62999999998</v>
      </c>
      <c r="AC18" s="19">
        <f t="shared" si="131"/>
        <v>87666.98000000001</v>
      </c>
      <c r="AD18" s="19">
        <f t="shared" si="131"/>
        <v>85411.62</v>
      </c>
      <c r="AE18" s="19">
        <f t="shared" si="131"/>
        <v>84463.6</v>
      </c>
      <c r="AF18" s="19">
        <f t="shared" si="131"/>
        <v>105228.66999999998</v>
      </c>
      <c r="AG18" s="19">
        <f t="shared" si="131"/>
        <v>100170.55</v>
      </c>
      <c r="AH18" s="19">
        <f t="shared" si="131"/>
        <v>108068.86000000002</v>
      </c>
      <c r="AI18" s="19">
        <f t="shared" si="131"/>
        <v>105313.19999999998</v>
      </c>
      <c r="AJ18" s="19">
        <f t="shared" si="131"/>
        <v>93009.289999999979</v>
      </c>
      <c r="AK18" s="19">
        <f t="shared" si="131"/>
        <v>85572.94</v>
      </c>
      <c r="AL18" s="19">
        <f t="shared" si="131"/>
        <v>97124.979999999981</v>
      </c>
      <c r="AM18" s="19">
        <f t="shared" si="131"/>
        <v>105785.10999999999</v>
      </c>
      <c r="AN18" s="19">
        <f t="shared" ref="AN18:BJ18" si="132">IF(AN69="","",SUM(AN69,AN59,AN49,AN39,AN29))</f>
        <v>181359.25</v>
      </c>
      <c r="AO18" s="19">
        <f t="shared" si="132"/>
        <v>164712.29999999999</v>
      </c>
      <c r="AP18" s="19">
        <f t="shared" si="132"/>
        <v>113525.45999999999</v>
      </c>
      <c r="AQ18" s="19">
        <f t="shared" si="132"/>
        <v>93935.329999999987</v>
      </c>
      <c r="AR18" s="19">
        <f t="shared" si="132"/>
        <v>130300.17</v>
      </c>
      <c r="AS18" s="19">
        <f t="shared" si="132"/>
        <v>163717.59999999998</v>
      </c>
      <c r="AT18" s="19">
        <f t="shared" si="132"/>
        <v>174566.88</v>
      </c>
      <c r="AU18" s="19">
        <f t="shared" si="132"/>
        <v>159535.30000000002</v>
      </c>
      <c r="AV18" s="19">
        <f t="shared" si="132"/>
        <v>129573.49</v>
      </c>
      <c r="AW18" s="19">
        <f t="shared" si="132"/>
        <v>118167.16</v>
      </c>
      <c r="AX18" s="19">
        <f t="shared" si="132"/>
        <v>157541.19</v>
      </c>
      <c r="AY18" s="19">
        <f t="shared" si="132"/>
        <v>174576.71</v>
      </c>
      <c r="AZ18" s="19">
        <f>IF(AZ69="","",SUM(AZ69,AZ59,AZ49,AZ39,AZ29))</f>
        <v>591355.12999999989</v>
      </c>
      <c r="BA18" s="19">
        <f t="shared" si="132"/>
        <v>26216.720000000008</v>
      </c>
      <c r="BB18" s="19">
        <f t="shared" si="132"/>
        <v>-3251.070000000007</v>
      </c>
      <c r="BC18" s="19">
        <f t="shared" si="132"/>
        <v>-9025.43</v>
      </c>
      <c r="BD18" s="19">
        <f t="shared" si="132"/>
        <v>27230.33</v>
      </c>
      <c r="BE18" s="19">
        <f t="shared" si="132"/>
        <v>29309.849999999991</v>
      </c>
      <c r="BF18" s="19">
        <f t="shared" si="132"/>
        <v>19315.050000000017</v>
      </c>
      <c r="BG18" s="19">
        <f t="shared" si="132"/>
        <v>6613.2999999999884</v>
      </c>
      <c r="BH18" s="19">
        <f t="shared" si="132"/>
        <v>-14627.319999999992</v>
      </c>
      <c r="BI18" s="19">
        <f t="shared" si="132"/>
        <v>-8528.3399999999965</v>
      </c>
      <c r="BJ18" s="19">
        <f t="shared" si="132"/>
        <v>12811.640000000014</v>
      </c>
      <c r="BK18" s="19">
        <f t="shared" ref="BK18:BL18" si="133">IF(BK69="","",SUM(BK69,BK59,BK49,BK39,BK29))</f>
        <v>47263.67</v>
      </c>
      <c r="BL18" s="19">
        <f t="shared" si="133"/>
        <v>-200239.46999999997</v>
      </c>
      <c r="BM18" s="19">
        <f t="shared" ref="BM18:BN18" si="134">IF(BM69="","",SUM(BM69,BM59,BM49,BM39,BM29))</f>
        <v>614417.39</v>
      </c>
      <c r="BN18" s="19">
        <f t="shared" si="134"/>
        <v>473151.63</v>
      </c>
      <c r="BO18" s="19">
        <f t="shared" ref="BO18:BP18" si="135">IF(BO69="","",SUM(BO69,BO59,BO49,BO39,BO29))</f>
        <v>463923.9</v>
      </c>
      <c r="BP18" s="19">
        <f t="shared" si="135"/>
        <v>554127.14</v>
      </c>
      <c r="BQ18" s="19">
        <f t="shared" ref="BQ18:BR18" si="136">IF(BQ69="","",SUM(BQ69,BQ59,BQ49,BQ39,BQ29))</f>
        <v>697686.94</v>
      </c>
      <c r="BR18" s="19">
        <f t="shared" si="136"/>
        <v>699968.13</v>
      </c>
      <c r="BS18" s="19">
        <f t="shared" ref="BS18:BT18" si="137">IF(BS69="","",SUM(BS69,BS59,BS49,BS39,BS29))</f>
        <v>698521.77</v>
      </c>
      <c r="BT18" s="19">
        <f t="shared" si="137"/>
        <v>541136.61</v>
      </c>
      <c r="BU18" s="19">
        <f t="shared" ref="BU18:BV18" si="138">IF(BU69="","",SUM(BU69,BU59,BU49,BU39,BU29))</f>
        <v>492875.96</v>
      </c>
      <c r="BV18" s="19">
        <f t="shared" si="138"/>
        <v>588146.23</v>
      </c>
      <c r="BW18" s="19">
        <f t="shared" ref="BW18:BX18" si="139">IF(BW69="","",SUM(BW69,BW59,BW49,BW39,BW29))</f>
        <v>699374.74</v>
      </c>
      <c r="BX18" s="19">
        <f t="shared" si="139"/>
        <v>432869.69</v>
      </c>
      <c r="BY18" s="19">
        <f t="shared" ref="BY18:BZ18" si="140">IF(BY69="","",SUM(BY69,BY59,BY49,BY39,BY29))</f>
        <v>60881.03</v>
      </c>
      <c r="BZ18" s="19">
        <f t="shared" si="140"/>
        <v>60189.59</v>
      </c>
      <c r="CA18" s="19">
        <f t="shared" ref="CA18:CB18" si="141">IF(CA69="","",SUM(CA69,CA59,CA49,CA39,CA29))</f>
        <v>52383.22</v>
      </c>
      <c r="CB18" s="19">
        <f t="shared" si="141"/>
        <v>60505.380000000005</v>
      </c>
      <c r="CC18" s="19">
        <f t="shared" ref="CC18:CD18" si="142">IF(CC69="","",SUM(CC69,CC59,CC49,CC39,CC29))</f>
        <v>70476.759999999995</v>
      </c>
      <c r="CD18" s="19">
        <f t="shared" si="142"/>
        <v>68833.31</v>
      </c>
      <c r="CE18" s="19">
        <f t="shared" ref="CE18:CF18" si="143">IF(CE69="","",SUM(CE69,CE59,CE49,CE39,CE29))</f>
        <v>64386.179999999993</v>
      </c>
      <c r="CF18" s="19">
        <f t="shared" si="143"/>
        <v>53918.12</v>
      </c>
      <c r="CG18" s="19">
        <f t="shared" ref="CG18:CH18" si="144">IF(CG69="","",SUM(CG69,CG59,CG49,CG39,CG29))</f>
        <v>51472.34</v>
      </c>
      <c r="CH18" s="19">
        <f t="shared" si="144"/>
        <v>61166.880000000005</v>
      </c>
      <c r="CI18" s="19">
        <f t="shared" ref="CI18:CJ18" si="145">IF(CI69="","",SUM(CI69,CI59,CI49,CI39,CI29))</f>
        <v>64261.58</v>
      </c>
      <c r="CJ18" s="19">
        <f t="shared" si="145"/>
        <v>23191.069999999996</v>
      </c>
      <c r="CK18" s="19">
        <f t="shared" ref="CK18:CL18" si="146">IF(CK69="","",SUM(CK69,CK59,CK49,CK39,CK29))</f>
        <v>-25380.51</v>
      </c>
      <c r="CL18" s="19">
        <f t="shared" si="146"/>
        <v>-22966.98</v>
      </c>
      <c r="CM18" s="19">
        <f t="shared" ref="CM18:CN18" si="147">IF(CM69="","",SUM(CM69,CM59,CM49,CM39,CM29))</f>
        <v>-20634.36</v>
      </c>
      <c r="CN18" s="19">
        <f t="shared" si="147"/>
        <v>-25481.59</v>
      </c>
      <c r="CO18" s="19">
        <f t="shared" ref="CO18:CP18" si="148">IF(CO69="","",SUM(CO69,CO59,CO49,CO39,CO29))</f>
        <v>-31453.35</v>
      </c>
      <c r="CP18" s="19">
        <f t="shared" si="148"/>
        <v>-32480.49</v>
      </c>
      <c r="CQ18" s="19">
        <f t="shared" ref="CQ18:CR18" si="149">IF(CQ69="","",SUM(CQ69,CQ59,CQ49,CQ39,CQ29))</f>
        <v>-30891.690000000002</v>
      </c>
      <c r="CR18" s="19">
        <f t="shared" si="149"/>
        <v>-23718.190000000002</v>
      </c>
      <c r="CS18" s="19">
        <f t="shared" ref="CS18:CU18" si="150">IF(CS69="","",SUM(CS69,CS59,CS49,CS39,CS29))</f>
        <v>-22092.400000000001</v>
      </c>
      <c r="CT18" s="19">
        <f t="shared" si="150"/>
        <v>-28096.13</v>
      </c>
      <c r="CU18" s="19">
        <f t="shared" si="150"/>
        <v>-35140.78</v>
      </c>
    </row>
    <row r="19" spans="1:99" s="4" customFormat="1" ht="15" customHeight="1" x14ac:dyDescent="0.35">
      <c r="A19" s="295"/>
      <c r="B19" s="16" t="s">
        <v>52</v>
      </c>
      <c r="C19" s="24"/>
      <c r="D19" s="24"/>
      <c r="E19" s="19"/>
      <c r="F19" s="19"/>
      <c r="G19" s="19"/>
      <c r="H19" s="19"/>
      <c r="I19" s="19"/>
      <c r="J19" s="19"/>
      <c r="K19" s="19"/>
      <c r="L19" s="19"/>
      <c r="M19" s="19"/>
      <c r="N19" s="19"/>
      <c r="O19" s="19">
        <f>IF(O70="","",SUM(O70,O60,O50,O40,O30))</f>
        <v>537350.65</v>
      </c>
      <c r="P19" s="19">
        <f>IF(P70="","",SUM(P70,P60,P50,P40,P30))</f>
        <v>1172809.1200000001</v>
      </c>
      <c r="Q19" s="19">
        <f t="shared" ref="Q19:AM19" si="151">IF(Q70="","",SUM(Q70,Q60,Q50,Q40,Q30))</f>
        <v>986774.89000000013</v>
      </c>
      <c r="R19" s="19">
        <f t="shared" si="151"/>
        <v>923411.36999999988</v>
      </c>
      <c r="S19" s="19">
        <f t="shared" si="151"/>
        <v>909838.04999999993</v>
      </c>
      <c r="T19" s="19">
        <f t="shared" si="151"/>
        <v>1132915.8700000001</v>
      </c>
      <c r="U19" s="19">
        <f t="shared" si="151"/>
        <v>1362123.2</v>
      </c>
      <c r="V19" s="19">
        <f t="shared" si="151"/>
        <v>1390822.9699999997</v>
      </c>
      <c r="W19" s="19">
        <f t="shared" si="151"/>
        <v>1187685.83</v>
      </c>
      <c r="X19" s="19">
        <f t="shared" si="151"/>
        <v>1088902.95</v>
      </c>
      <c r="Y19" s="19">
        <f t="shared" si="151"/>
        <v>967033.66</v>
      </c>
      <c r="Z19" s="19">
        <f t="shared" si="151"/>
        <v>1127375.2599999998</v>
      </c>
      <c r="AA19" s="19">
        <f t="shared" si="151"/>
        <v>1564054.24</v>
      </c>
      <c r="AB19" s="19">
        <f t="shared" si="151"/>
        <v>2918149.95</v>
      </c>
      <c r="AC19" s="19">
        <f t="shared" si="151"/>
        <v>2341476.66</v>
      </c>
      <c r="AD19" s="19">
        <f t="shared" si="151"/>
        <v>2277292.2400000002</v>
      </c>
      <c r="AE19" s="19">
        <f t="shared" si="151"/>
        <v>2092542.51</v>
      </c>
      <c r="AF19" s="19">
        <f t="shared" si="151"/>
        <v>2733321.58</v>
      </c>
      <c r="AG19" s="19">
        <f t="shared" si="151"/>
        <v>3027555.0300000003</v>
      </c>
      <c r="AH19" s="19">
        <f t="shared" si="151"/>
        <v>2821897.5300000003</v>
      </c>
      <c r="AI19" s="19">
        <f t="shared" si="151"/>
        <v>2761789.3</v>
      </c>
      <c r="AJ19" s="19">
        <f t="shared" si="151"/>
        <v>2334577.86</v>
      </c>
      <c r="AK19" s="19">
        <f t="shared" si="151"/>
        <v>2135905.58</v>
      </c>
      <c r="AL19" s="19">
        <f t="shared" si="151"/>
        <v>2637336.54</v>
      </c>
      <c r="AM19" s="19">
        <f t="shared" si="151"/>
        <v>2864307.75</v>
      </c>
      <c r="AN19" s="19">
        <f t="shared" ref="AN19:BJ19" si="152">IF(AN70="","",SUM(AN70,AN60,AN50,AN40,AN30))</f>
        <v>3913205.54</v>
      </c>
      <c r="AO19" s="19">
        <f t="shared" si="152"/>
        <v>3668828.91</v>
      </c>
      <c r="AP19" s="19">
        <f t="shared" si="152"/>
        <v>2948227.79</v>
      </c>
      <c r="AQ19" s="19">
        <f t="shared" si="152"/>
        <v>2787926.08</v>
      </c>
      <c r="AR19" s="19">
        <f t="shared" si="152"/>
        <v>3355190.74</v>
      </c>
      <c r="AS19" s="19">
        <f t="shared" si="152"/>
        <v>3841087.32</v>
      </c>
      <c r="AT19" s="19">
        <f t="shared" si="152"/>
        <v>3996506.1300000004</v>
      </c>
      <c r="AU19" s="19">
        <f t="shared" si="152"/>
        <v>3857985.29</v>
      </c>
      <c r="AV19" s="19">
        <f t="shared" si="152"/>
        <v>3394033.5700000003</v>
      </c>
      <c r="AW19" s="19">
        <f t="shared" si="152"/>
        <v>3039935.89</v>
      </c>
      <c r="AX19" s="19">
        <f t="shared" si="152"/>
        <v>3588979.25</v>
      </c>
      <c r="AY19" s="19">
        <f t="shared" si="152"/>
        <v>3834320.9</v>
      </c>
      <c r="AZ19" s="19">
        <f t="shared" si="152"/>
        <v>2980911.7</v>
      </c>
      <c r="BA19" s="19">
        <f t="shared" si="152"/>
        <v>719727.46</v>
      </c>
      <c r="BB19" s="19">
        <f t="shared" si="152"/>
        <v>586916</v>
      </c>
      <c r="BC19" s="19">
        <f t="shared" si="152"/>
        <v>539785.45000000007</v>
      </c>
      <c r="BD19" s="19">
        <f t="shared" si="152"/>
        <v>650130.59</v>
      </c>
      <c r="BE19" s="19">
        <f t="shared" si="152"/>
        <v>803822.54</v>
      </c>
      <c r="BF19" s="19">
        <f t="shared" si="152"/>
        <v>789573.41999999993</v>
      </c>
      <c r="BG19" s="19">
        <f t="shared" si="152"/>
        <v>758353.60999999987</v>
      </c>
      <c r="BH19" s="19">
        <f t="shared" si="152"/>
        <v>607761.55000000005</v>
      </c>
      <c r="BI19" s="19">
        <f t="shared" si="152"/>
        <v>609936.22</v>
      </c>
      <c r="BJ19" s="19">
        <f t="shared" si="152"/>
        <v>699524.21000000008</v>
      </c>
      <c r="BK19" s="19">
        <f t="shared" ref="BK19:BL19" si="153">IF(BK70="","",SUM(BK70,BK60,BK50,BK40,BK30))</f>
        <v>801052.46000000008</v>
      </c>
      <c r="BL19" s="19">
        <f t="shared" si="153"/>
        <v>-76987.240000000005</v>
      </c>
      <c r="BM19" s="19">
        <f t="shared" ref="BM19:BN19" si="154">IF(BM70="","",SUM(BM70,BM60,BM50,BM40,BM30))</f>
        <v>41616.47</v>
      </c>
      <c r="BN19" s="19">
        <f t="shared" si="154"/>
        <v>40035.020000000019</v>
      </c>
      <c r="BO19" s="19">
        <f t="shared" ref="BO19:BP19" si="155">IF(BO70="","",SUM(BO70,BO60,BO50,BO40,BO30))</f>
        <v>41627.089999999997</v>
      </c>
      <c r="BP19" s="19">
        <f t="shared" si="155"/>
        <v>42502.93</v>
      </c>
      <c r="BQ19" s="19">
        <f t="shared" ref="BQ19" si="156">IF(BQ70="","",SUM(BQ70,BQ60,BQ50,BQ40,BQ30))</f>
        <v>53150.990000000034</v>
      </c>
      <c r="BR19" s="19">
        <f>IF(BR70="","",SUM(BR70,BR60,BR50,BR40,BR30))</f>
        <v>51095.24</v>
      </c>
      <c r="BS19" s="19">
        <f t="shared" ref="BS19:BT19" si="157">IF(BS70="","",SUM(BS70,BS60,BS50,BS40,BS30))</f>
        <v>51933.100000000079</v>
      </c>
      <c r="BT19" s="19">
        <f t="shared" si="157"/>
        <v>45296.909999999989</v>
      </c>
      <c r="BU19" s="19">
        <f t="shared" ref="BU19:BV19" si="158">IF(BU70="","",SUM(BU70,BU60,BU50,BU40,BU30))</f>
        <v>39949.280000000013</v>
      </c>
      <c r="BV19" s="19">
        <f t="shared" si="158"/>
        <v>47264.200000000004</v>
      </c>
      <c r="BW19" s="19">
        <f t="shared" ref="BW19:BX19" si="159">IF(BW70="","",SUM(BW70,BW60,BW50,BW40,BW30))</f>
        <v>48344.990000000005</v>
      </c>
      <c r="BX19" s="19">
        <f t="shared" si="159"/>
        <v>5724.8099999999795</v>
      </c>
      <c r="BY19" s="19">
        <f t="shared" ref="BY19:BZ19" si="160">IF(BY70="","",SUM(BY70,BY60,BY50,BY40,BY30))</f>
        <v>1700.8699999999994</v>
      </c>
      <c r="BZ19" s="19">
        <f t="shared" si="160"/>
        <v>1627.1099999999992</v>
      </c>
      <c r="CA19" s="19">
        <f t="shared" ref="CA19:CB19" si="161">IF(CA70="","",SUM(CA70,CA60,CA50,CA40,CA30))</f>
        <v>1634.7500000000036</v>
      </c>
      <c r="CB19" s="19">
        <f t="shared" si="161"/>
        <v>1844.0800000000004</v>
      </c>
      <c r="CC19" s="19">
        <f t="shared" ref="CC19:CD19" si="162">IF(CC70="","",SUM(CC70,CC60,CC50,CC40,CC30))</f>
        <v>2014.4600000000019</v>
      </c>
      <c r="CD19" s="19">
        <f t="shared" si="162"/>
        <v>1986.8500000000031</v>
      </c>
      <c r="CE19" s="19">
        <f t="shared" ref="CE19:CF19" si="163">IF(CE70="","",SUM(CE70,CE60,CE50,CE40,CE30))</f>
        <v>1911.0699999999956</v>
      </c>
      <c r="CF19" s="19">
        <f t="shared" si="163"/>
        <v>1666.990000000003</v>
      </c>
      <c r="CG19" s="19">
        <f t="shared" ref="CG19:CH19" si="164">IF(CG70="","",SUM(CG70,CG60,CG50,CG40,CG30))</f>
        <v>1628.0799999999977</v>
      </c>
      <c r="CH19" s="19">
        <f t="shared" si="164"/>
        <v>1788.0499999999997</v>
      </c>
      <c r="CI19" s="19">
        <f t="shared" ref="CI19:CJ19" si="165">IF(CI70="","",SUM(CI70,CI60,CI50,CI40,CI30))</f>
        <v>1783.7600000000011</v>
      </c>
      <c r="CJ19" s="19">
        <f t="shared" si="165"/>
        <v>-1.4210854715202004E-12</v>
      </c>
      <c r="CK19" s="19">
        <f t="shared" ref="CK19:CL19" si="166">IF(CK70="","",SUM(CK70,CK60,CK50,CK40,CK30))</f>
        <v>1.0231815394945443E-12</v>
      </c>
      <c r="CL19" s="19">
        <f t="shared" si="166"/>
        <v>0</v>
      </c>
      <c r="CM19" s="19">
        <f t="shared" ref="CM19:CN19" si="167">IF(CM70="","",SUM(CM70,CM60,CM50,CM40,CM30))</f>
        <v>0</v>
      </c>
      <c r="CN19" s="19">
        <f t="shared" si="167"/>
        <v>0</v>
      </c>
      <c r="CO19" s="19">
        <f t="shared" ref="CO19:CP19" si="168">IF(CO70="","",SUM(CO70,CO60,CO50,CO40,CO30))</f>
        <v>0</v>
      </c>
      <c r="CP19" s="19">
        <f t="shared" si="168"/>
        <v>-2.8990143619012088E-12</v>
      </c>
      <c r="CQ19" s="19">
        <f t="shared" ref="CQ19:CR19" si="169">IF(CQ70="","",SUM(CQ70,CQ60,CQ50,CQ40,CQ30))</f>
        <v>0</v>
      </c>
      <c r="CR19" s="19">
        <f t="shared" si="169"/>
        <v>7.9580786405131221E-13</v>
      </c>
      <c r="CS19" s="19">
        <f t="shared" ref="CS19:CU19" si="170">IF(CS70="","",SUM(CS70,CS60,CS50,CS40,CS30))</f>
        <v>-5.6312315547302205E-4</v>
      </c>
      <c r="CT19" s="19">
        <f t="shared" si="170"/>
        <v>5.5004765169996972E-4</v>
      </c>
      <c r="CU19" s="19">
        <f t="shared" si="170"/>
        <v>-5.1494364889776989E-3</v>
      </c>
    </row>
    <row r="20" spans="1:99" s="4" customFormat="1" x14ac:dyDescent="0.35">
      <c r="A20" s="295"/>
      <c r="B20" s="16" t="s">
        <v>13</v>
      </c>
      <c r="C20" s="24"/>
      <c r="D20" s="24"/>
      <c r="E20" s="19">
        <f t="shared" ref="E20:N20" si="171">IF(E71="","",SUM(E71,E61,E51,E41,E31))</f>
        <v>0</v>
      </c>
      <c r="F20" s="19">
        <f t="shared" si="171"/>
        <v>1328.78</v>
      </c>
      <c r="G20" s="19">
        <f t="shared" si="171"/>
        <v>-7866.5800000000008</v>
      </c>
      <c r="H20" s="19">
        <f t="shared" si="171"/>
        <v>-133053.58000000002</v>
      </c>
      <c r="I20" s="19">
        <f t="shared" si="171"/>
        <v>-51681.239999999976</v>
      </c>
      <c r="J20" s="19">
        <f t="shared" si="171"/>
        <v>77261.489999999903</v>
      </c>
      <c r="K20" s="19">
        <f t="shared" si="171"/>
        <v>432756.34000000008</v>
      </c>
      <c r="L20" s="19">
        <f t="shared" si="171"/>
        <v>-47145.189999999871</v>
      </c>
      <c r="M20" s="19">
        <f t="shared" si="171"/>
        <v>69087.899999999878</v>
      </c>
      <c r="N20" s="19">
        <f t="shared" si="171"/>
        <v>151902.13000000003</v>
      </c>
      <c r="O20" s="19">
        <f>IF(O71="","",SUM(O71,O61,O51,O41,O31))</f>
        <v>-27689.770000000048</v>
      </c>
      <c r="P20" s="19">
        <f t="shared" ref="P20:AM20" si="172">IF(P71="","",SUM(P71,P61,P51,P41,P31))</f>
        <v>-686607.62999999977</v>
      </c>
      <c r="Q20" s="19">
        <f t="shared" si="172"/>
        <v>-471935.5300000002</v>
      </c>
      <c r="R20" s="19">
        <f>IF(R71="","",SUM(R71,R61,R51,R41,R31))</f>
        <v>-610715.52000000025</v>
      </c>
      <c r="S20" s="19">
        <f t="shared" si="172"/>
        <v>-517363.80000000016</v>
      </c>
      <c r="T20" s="19">
        <f t="shared" si="172"/>
        <v>215932.49000000043</v>
      </c>
      <c r="U20" s="19">
        <f t="shared" si="172"/>
        <v>596646.87</v>
      </c>
      <c r="V20" s="19">
        <f t="shared" si="172"/>
        <v>728529.22</v>
      </c>
      <c r="W20" s="19">
        <f t="shared" si="172"/>
        <v>465319.60999999975</v>
      </c>
      <c r="X20" s="19">
        <f t="shared" si="172"/>
        <v>-338265.06999999942</v>
      </c>
      <c r="Y20" s="19">
        <f t="shared" si="172"/>
        <v>-141981.55000000101</v>
      </c>
      <c r="Z20" s="19">
        <f t="shared" si="172"/>
        <v>-30273.279999999155</v>
      </c>
      <c r="AA20" s="19">
        <f t="shared" si="172"/>
        <v>-330626.83000000083</v>
      </c>
      <c r="AB20" s="19">
        <f t="shared" si="172"/>
        <v>-1855411.3700000003</v>
      </c>
      <c r="AC20" s="19">
        <f t="shared" si="172"/>
        <v>-1225018.9699999983</v>
      </c>
      <c r="AD20" s="19">
        <f t="shared" si="172"/>
        <v>-1317498.7600000007</v>
      </c>
      <c r="AE20" s="19">
        <f t="shared" si="172"/>
        <v>-668311.41000000061</v>
      </c>
      <c r="AF20" s="19">
        <f t="shared" si="172"/>
        <v>1071247.660000002</v>
      </c>
      <c r="AG20" s="19">
        <f t="shared" si="172"/>
        <v>2085194.560000001</v>
      </c>
      <c r="AH20" s="19">
        <f t="shared" si="172"/>
        <v>1891970.0200000023</v>
      </c>
      <c r="AI20" s="19">
        <f t="shared" si="172"/>
        <v>836550.65999999898</v>
      </c>
      <c r="AJ20" s="19">
        <f t="shared" si="172"/>
        <v>-620052.32000000216</v>
      </c>
      <c r="AK20" s="19">
        <f t="shared" si="172"/>
        <v>-564484.33000000182</v>
      </c>
      <c r="AL20" s="19">
        <f t="shared" si="172"/>
        <v>-717816.6100000001</v>
      </c>
      <c r="AM20" s="19">
        <f t="shared" si="172"/>
        <v>-803872.98000000278</v>
      </c>
      <c r="AN20" s="19">
        <f t="shared" ref="AN20:BJ20" si="173">IF(AN71="","",SUM(AN71,AN61,AN51,AN41,AN31))</f>
        <v>-2113578.2199999974</v>
      </c>
      <c r="AO20" s="19">
        <f t="shared" si="173"/>
        <v>-1356237.1399999955</v>
      </c>
      <c r="AP20" s="19">
        <f>IF(AP71="","",SUM(AP71,AP61,AP51,AP41,AP31))</f>
        <v>-838313.79000000027</v>
      </c>
      <c r="AQ20" s="19">
        <f t="shared" si="173"/>
        <v>-899940.12000000197</v>
      </c>
      <c r="AR20" s="19">
        <f t="shared" si="173"/>
        <v>2768603.9000000013</v>
      </c>
      <c r="AS20" s="19">
        <f t="shared" si="173"/>
        <v>3534224.4699999974</v>
      </c>
      <c r="AT20" s="19">
        <f t="shared" si="173"/>
        <v>2972766.0900000017</v>
      </c>
      <c r="AU20" s="19">
        <f t="shared" si="173"/>
        <v>1267302.1999999983</v>
      </c>
      <c r="AV20" s="19">
        <f t="shared" si="173"/>
        <v>-1170724.5700000017</v>
      </c>
      <c r="AW20" s="19">
        <f t="shared" si="173"/>
        <v>-961540.15999999747</v>
      </c>
      <c r="AX20" s="19">
        <f t="shared" si="173"/>
        <v>-1360244.5700000012</v>
      </c>
      <c r="AY20" s="19">
        <f t="shared" si="173"/>
        <v>-1464472.9500000002</v>
      </c>
      <c r="AZ20" s="19">
        <f t="shared" si="173"/>
        <v>-2763356.310000001</v>
      </c>
      <c r="BA20" s="19">
        <f t="shared" si="173"/>
        <v>1220445.3899999969</v>
      </c>
      <c r="BB20" s="19">
        <f t="shared" si="173"/>
        <v>-584629.68999999762</v>
      </c>
      <c r="BC20" s="19">
        <f t="shared" si="173"/>
        <v>-539752.06000000262</v>
      </c>
      <c r="BD20" s="19">
        <f t="shared" si="173"/>
        <v>-637907.27999999758</v>
      </c>
      <c r="BE20" s="19">
        <f t="shared" si="173"/>
        <v>-780969.36000000034</v>
      </c>
      <c r="BF20" s="19">
        <f t="shared" si="173"/>
        <v>-752219.5700000003</v>
      </c>
      <c r="BG20" s="19">
        <f t="shared" si="173"/>
        <v>-723943.9999999986</v>
      </c>
      <c r="BH20" s="19">
        <f t="shared" si="173"/>
        <v>-594265.3899999999</v>
      </c>
      <c r="BI20" s="19">
        <f t="shared" si="173"/>
        <v>-597066.15000000154</v>
      </c>
      <c r="BJ20" s="19">
        <f t="shared" si="173"/>
        <v>-681810.18000000075</v>
      </c>
      <c r="BK20" s="19">
        <f t="shared" ref="BK20:BL20" si="174">IF(BK71="","",SUM(BK71,BK61,BK51,BK41,BK31))</f>
        <v>-780225.57999999914</v>
      </c>
      <c r="BL20" s="19">
        <f t="shared" si="174"/>
        <v>96086.460000000676</v>
      </c>
      <c r="BM20" s="19">
        <f t="shared" ref="BM20:BN20" si="175">IF(BM71="","",SUM(BM71,BM61,BM51,BM41,BM31))</f>
        <v>-20195.009999999103</v>
      </c>
      <c r="BN20" s="19">
        <f t="shared" si="175"/>
        <v>-20866.639999999203</v>
      </c>
      <c r="BO20" s="19">
        <f t="shared" ref="BO20:BP20" si="176">IF(BO71="","",SUM(BO71,BO61,BO51,BO41,BO31))</f>
        <v>-16162.000000003867</v>
      </c>
      <c r="BP20" s="19">
        <f t="shared" si="176"/>
        <v>27857.620000002607</v>
      </c>
      <c r="BQ20" s="19">
        <f t="shared" ref="BQ20:BR20" si="177">IF(BQ71="","",SUM(BQ71,BQ61,BQ51,BQ41,BQ31))</f>
        <v>38051.150000000562</v>
      </c>
      <c r="BR20" s="19">
        <f t="shared" si="177"/>
        <v>33403.999999998829</v>
      </c>
      <c r="BS20" s="19">
        <f t="shared" ref="BS20:BT20" si="178">IF(BS71="","",SUM(BS71,BS61,BS51,BS41,BS31))</f>
        <v>2018.7499999995471</v>
      </c>
      <c r="BT20" s="19">
        <f t="shared" si="178"/>
        <v>-23385.799999999192</v>
      </c>
      <c r="BU20" s="19">
        <f t="shared" ref="BU20:BV20" si="179">IF(BU71="","",SUM(BU71,BU61,BU51,BU41,BU31))</f>
        <v>-19323.200000000405</v>
      </c>
      <c r="BV20" s="19">
        <f t="shared" si="179"/>
        <v>-22488.900000001122</v>
      </c>
      <c r="BW20" s="19">
        <f t="shared" ref="BW20:BX20" si="180">IF(BW71="","",SUM(BW71,BW61,BW51,BW41,BW31))</f>
        <v>-22514.96999999859</v>
      </c>
      <c r="BX20" s="19">
        <f t="shared" si="180"/>
        <v>15499.079999997357</v>
      </c>
      <c r="BY20" s="19">
        <f t="shared" ref="BY20:BZ20" si="181">IF(BY71="","",SUM(BY71,BY61,BY51,BY41,BY31))</f>
        <v>-1700.8699999999994</v>
      </c>
      <c r="BZ20" s="19">
        <f t="shared" si="181"/>
        <v>-1627.1099999999992</v>
      </c>
      <c r="CA20" s="19">
        <f t="shared" ref="CA20:CB20" si="182">IF(CA71="","",SUM(CA71,CA61,CA51,CA41,CA31))</f>
        <v>-1634.7500000000036</v>
      </c>
      <c r="CB20" s="19">
        <f t="shared" si="182"/>
        <v>-1844.0800000000004</v>
      </c>
      <c r="CC20" s="19">
        <f t="shared" ref="CC20:CD20" si="183">IF(CC71="","",SUM(CC71,CC61,CC51,CC41,CC31))</f>
        <v>-2014.4600000000019</v>
      </c>
      <c r="CD20" s="19">
        <f t="shared" si="183"/>
        <v>-1986.8500000000031</v>
      </c>
      <c r="CE20" s="19">
        <f t="shared" ref="CE20:CF20" si="184">IF(CE71="","",SUM(CE71,CE61,CE51,CE41,CE31))</f>
        <v>-1911.0699999999956</v>
      </c>
      <c r="CF20" s="19">
        <f t="shared" si="184"/>
        <v>-1666.9899999999825</v>
      </c>
      <c r="CG20" s="19">
        <f t="shared" ref="CG20:CH20" si="185">IF(CG71="","",SUM(CG71,CG61,CG51,CG41,CG31))</f>
        <v>-1628.0799999999977</v>
      </c>
      <c r="CH20" s="19">
        <f t="shared" si="185"/>
        <v>-1788.0499999999997</v>
      </c>
      <c r="CI20" s="19">
        <f t="shared" ref="CI20:CJ20" si="186">IF(CI71="","",SUM(CI71,CI61,CI51,CI41,CI31))</f>
        <v>-1783.7600000000011</v>
      </c>
      <c r="CJ20" s="19">
        <f t="shared" si="186"/>
        <v>1.4210854715202004E-12</v>
      </c>
      <c r="CK20" s="19">
        <f t="shared" ref="CK20:CL20" si="187">IF(CK71="","",SUM(CK71,CK61,CK51,CK41,CK31))</f>
        <v>-1.0231815394945443E-12</v>
      </c>
      <c r="CL20" s="19">
        <f t="shared" si="187"/>
        <v>0</v>
      </c>
      <c r="CM20" s="19">
        <f t="shared" ref="CM20:CN20" si="188">IF(CM71="","",SUM(CM71,CM61,CM51,CM41,CM31))</f>
        <v>0</v>
      </c>
      <c r="CN20" s="19">
        <f t="shared" si="188"/>
        <v>0</v>
      </c>
      <c r="CO20" s="19">
        <f t="shared" ref="CO20:CP20" si="189">IF(CO71="","",SUM(CO71,CO61,CO51,CO41,CO31))</f>
        <v>0</v>
      </c>
      <c r="CP20" s="19">
        <f t="shared" si="189"/>
        <v>2.8990143619012088E-12</v>
      </c>
      <c r="CQ20" s="19">
        <f t="shared" ref="CQ20:CR20" si="190">IF(CQ71="","",SUM(CQ71,CQ61,CQ51,CQ41,CQ31))</f>
        <v>0</v>
      </c>
      <c r="CR20" s="19">
        <f t="shared" si="190"/>
        <v>-7.9580786405131221E-13</v>
      </c>
      <c r="CS20" s="19">
        <f t="shared" ref="CS20:CU20" si="191">IF(CS71="","",SUM(CS71,CS61,CS51,CS41,CS31))</f>
        <v>5.6312315547302205E-4</v>
      </c>
      <c r="CT20" s="19">
        <f t="shared" si="191"/>
        <v>-5.5004765169996972E-4</v>
      </c>
      <c r="CU20" s="19">
        <f t="shared" si="191"/>
        <v>5.1494364889776989E-3</v>
      </c>
    </row>
    <row r="21" spans="1:99" s="4" customFormat="1" x14ac:dyDescent="0.35">
      <c r="A21" s="295"/>
      <c r="B21" s="17" t="s">
        <v>8</v>
      </c>
      <c r="C21" s="28"/>
      <c r="D21" s="28"/>
      <c r="E21" s="19">
        <f t="shared" ref="E21:N21" si="192">IF(E72="","",SUM(E72,E62,E52,E42,E32))</f>
        <v>0</v>
      </c>
      <c r="F21" s="19">
        <f t="shared" si="192"/>
        <v>0.8255809798499999</v>
      </c>
      <c r="G21" s="19">
        <f t="shared" si="192"/>
        <v>-4.1171717033740967</v>
      </c>
      <c r="H21" s="19">
        <f t="shared" si="192"/>
        <v>-72.859344916704288</v>
      </c>
      <c r="I21" s="19">
        <f t="shared" si="192"/>
        <v>-100.30550409638994</v>
      </c>
      <c r="J21" s="19">
        <f t="shared" si="192"/>
        <v>-72.753288511569778</v>
      </c>
      <c r="K21" s="19">
        <f t="shared" si="192"/>
        <v>200.50907880827907</v>
      </c>
      <c r="L21" s="19">
        <f t="shared" si="192"/>
        <v>172.02097202559608</v>
      </c>
      <c r="M21" s="19">
        <f t="shared" si="192"/>
        <v>217.02433769691845</v>
      </c>
      <c r="N21" s="19">
        <f t="shared" si="192"/>
        <v>395.24966455308538</v>
      </c>
      <c r="O21" s="19">
        <f>IF(O72="","",SUM(O72,O62,O52,O42,O32))</f>
        <v>349.22690574362667</v>
      </c>
      <c r="P21" s="19">
        <f t="shared" ref="P21:AM21" si="193">IF(P72="","",SUM(P72,P62,P52,P42,P32))</f>
        <v>9085.067358698212</v>
      </c>
      <c r="Q21" s="19">
        <f t="shared" si="193"/>
        <v>10214.988880944247</v>
      </c>
      <c r="R21" s="19">
        <f t="shared" si="193"/>
        <v>8736.5914682051516</v>
      </c>
      <c r="S21" s="19">
        <f t="shared" si="193"/>
        <v>7362.8607904455157</v>
      </c>
      <c r="T21" s="19">
        <f t="shared" si="193"/>
        <v>7923.3961160293629</v>
      </c>
      <c r="U21" s="19">
        <f t="shared" si="193"/>
        <v>6924.7664517725752</v>
      </c>
      <c r="V21" s="19">
        <f t="shared" si="193"/>
        <v>6462.66116279367</v>
      </c>
      <c r="W21" s="19">
        <f t="shared" si="193"/>
        <v>5489.9778987375539</v>
      </c>
      <c r="X21" s="19">
        <f t="shared" si="193"/>
        <v>3758.5776328034472</v>
      </c>
      <c r="Y21" s="19">
        <f t="shared" si="193"/>
        <v>2383.460710457091</v>
      </c>
      <c r="Z21" s="19">
        <f t="shared" si="193"/>
        <v>1195.4037651526837</v>
      </c>
      <c r="AA21" s="19">
        <f t="shared" si="193"/>
        <v>-1558.2361761768202</v>
      </c>
      <c r="AB21" s="19">
        <f t="shared" si="193"/>
        <v>-4135.4843592056523</v>
      </c>
      <c r="AC21" s="19">
        <f t="shared" si="193"/>
        <v>-6601.5401414695589</v>
      </c>
      <c r="AD21" s="19">
        <f t="shared" si="193"/>
        <v>-9814.0716615506135</v>
      </c>
      <c r="AE21" s="19">
        <f t="shared" si="193"/>
        <v>-10424.565326607853</v>
      </c>
      <c r="AF21" s="19">
        <f t="shared" si="193"/>
        <v>-8592.4080339308275</v>
      </c>
      <c r="AG21" s="19">
        <f t="shared" si="193"/>
        <v>-4589.5334392042514</v>
      </c>
      <c r="AH21" s="19">
        <f t="shared" si="193"/>
        <v>-680.13265225356713</v>
      </c>
      <c r="AI21" s="19">
        <f t="shared" si="193"/>
        <v>1145.4899555983075</v>
      </c>
      <c r="AJ21" s="19">
        <f t="shared" si="193"/>
        <v>131.71181854024999</v>
      </c>
      <c r="AK21" s="19">
        <f t="shared" si="193"/>
        <v>-872.82874485446064</v>
      </c>
      <c r="AL21" s="19">
        <f t="shared" si="193"/>
        <v>-2378.181461454757</v>
      </c>
      <c r="AM21" s="19">
        <f t="shared" si="193"/>
        <v>-4152.6707867001551</v>
      </c>
      <c r="AN21" s="19">
        <f t="shared" ref="AN21:BJ21" si="194">IF(AN72="","",SUM(AN72,AN62,AN52,AN42,AN32))</f>
        <v>-8693.6427814507442</v>
      </c>
      <c r="AO21" s="19">
        <f t="shared" si="194"/>
        <v>-11321.044918425599</v>
      </c>
      <c r="AP21" s="19">
        <f t="shared" si="194"/>
        <v>-12444.339198648122</v>
      </c>
      <c r="AQ21" s="19">
        <f t="shared" si="194"/>
        <v>-14340.930585698752</v>
      </c>
      <c r="AR21" s="19">
        <f t="shared" si="194"/>
        <v>-7824.4663662353232</v>
      </c>
      <c r="AS21" s="19">
        <f>IF(AS72="","",SUM(AS72,AS62,AS52,AS42,AS32))</f>
        <v>-9334.3642759392933</v>
      </c>
      <c r="AT21" s="19">
        <f t="shared" si="194"/>
        <v>6436.4567620007265</v>
      </c>
      <c r="AU21" s="19">
        <f t="shared" si="194"/>
        <v>8716.5698904362325</v>
      </c>
      <c r="AV21" s="19">
        <f t="shared" si="194"/>
        <v>6493.0782834717565</v>
      </c>
      <c r="AW21" s="19">
        <f t="shared" si="194"/>
        <v>4311.4565601479198</v>
      </c>
      <c r="AX21" s="19">
        <f t="shared" si="194"/>
        <v>2634.364905981166</v>
      </c>
      <c r="AY21" s="19">
        <f t="shared" si="194"/>
        <v>571.98694501053819</v>
      </c>
      <c r="AZ21" s="19">
        <f t="shared" si="194"/>
        <v>-2717.5270852719018</v>
      </c>
      <c r="BA21" s="19">
        <f t="shared" si="194"/>
        <v>-887.8602214947432</v>
      </c>
      <c r="BB21" s="19">
        <f t="shared" si="194"/>
        <v>-901.63300423930241</v>
      </c>
      <c r="BC21" s="19">
        <f t="shared" si="194"/>
        <v>-183.12335601764065</v>
      </c>
      <c r="BD21" s="19">
        <f t="shared" si="194"/>
        <v>-242.20074501515484</v>
      </c>
      <c r="BE21" s="19">
        <f t="shared" si="194"/>
        <v>-494.70415668784943</v>
      </c>
      <c r="BF21" s="19">
        <f t="shared" si="194"/>
        <v>-432.37686754103748</v>
      </c>
      <c r="BG21" s="19">
        <f t="shared" si="194"/>
        <v>-466.39017441813189</v>
      </c>
      <c r="BH21" s="19">
        <f t="shared" si="194"/>
        <v>-854.31199570538581</v>
      </c>
      <c r="BI21" s="19">
        <f t="shared" si="194"/>
        <v>-1205.9083216950889</v>
      </c>
      <c r="BJ21" s="19">
        <f t="shared" si="194"/>
        <v>-1518.9937740867333</v>
      </c>
      <c r="BK21" s="19">
        <f t="shared" ref="BK21:BL21" si="195">IF(BK72="","",SUM(BK72,BK62,BK52,BK42,BK32))</f>
        <v>-1226.0127552387839</v>
      </c>
      <c r="BL21" s="19">
        <f t="shared" si="195"/>
        <v>-1401.5041271901016</v>
      </c>
      <c r="BM21" s="19">
        <f t="shared" ref="BM21:BN21" si="196">IF(BM72="","",SUM(BM72,BM62,BM52,BM42,BM32))</f>
        <v>-1184.0324974503467</v>
      </c>
      <c r="BN21" s="19">
        <f t="shared" si="196"/>
        <v>-1162.8472145595047</v>
      </c>
      <c r="BO21" s="19">
        <f t="shared" ref="BO21:BP21" si="197">IF(BO72="","",SUM(BO72,BO62,BO52,BO42,BO32))</f>
        <v>-1074.9850853514536</v>
      </c>
      <c r="BP21" s="19">
        <f t="shared" si="197"/>
        <v>-868.97459291636187</v>
      </c>
      <c r="BQ21" s="19">
        <f t="shared" ref="BQ21:BR21" si="198">IF(BQ72="","",SUM(BQ72,BQ62,BQ52,BQ42,BQ32))</f>
        <v>-515.87606494964007</v>
      </c>
      <c r="BR21" s="19">
        <f t="shared" si="198"/>
        <v>-632.94049118212047</v>
      </c>
      <c r="BS21" s="19">
        <f t="shared" ref="BS21:BT21" si="199">IF(BS72="","",SUM(BS72,BS62,BS52,BS42,BS32))</f>
        <v>-483.61735946795693</v>
      </c>
      <c r="BT21" s="19">
        <f t="shared" si="199"/>
        <v>-310.75679356401361</v>
      </c>
      <c r="BU21" s="19">
        <f t="shared" ref="BU21:BV21" si="200">IF(BU72="","",SUM(BU72,BU62,BU52,BU42,BU32))</f>
        <v>-256.98413884328068</v>
      </c>
      <c r="BV21" s="19">
        <f t="shared" si="200"/>
        <v>-314.16559918609727</v>
      </c>
      <c r="BW21" s="19">
        <f t="shared" ref="BW21:BX21" si="201">IF(BW72="","",SUM(BW72,BW62,BW52,BW42,BW32))</f>
        <v>-150.60802193166325</v>
      </c>
      <c r="BX21" s="19">
        <f t="shared" si="201"/>
        <v>-79.545964253529533</v>
      </c>
      <c r="BY21" s="19">
        <f t="shared" ref="BY21:BZ21" si="202">IF(BY72="","",SUM(BY72,BY62,BY52,BY42,BY32))</f>
        <v>-151.16564332316423</v>
      </c>
      <c r="BZ21" s="19">
        <f t="shared" si="202"/>
        <v>-102.6392662555599</v>
      </c>
      <c r="CA21" s="19">
        <f t="shared" ref="CA21:CB21" si="203">IF(CA72="","",SUM(CA72,CA62,CA52,CA42,CA32))</f>
        <v>-122.26697962723581</v>
      </c>
      <c r="CB21" s="19">
        <f t="shared" si="203"/>
        <v>-118.80915309391108</v>
      </c>
      <c r="CC21" s="19">
        <f t="shared" ref="CC21:CD21" si="204">IF(CC72="","",SUM(CC72,CC62,CC52,CC42,CC32))</f>
        <v>-47.3174956949766</v>
      </c>
      <c r="CD21" s="19">
        <f t="shared" si="204"/>
        <v>83.74027810027917</v>
      </c>
      <c r="CE21" s="19">
        <f t="shared" ref="CE21:CF21" si="205">IF(CE72="","",SUM(CE72,CE62,CE52,CE42,CE32))</f>
        <v>240.95224114120731</v>
      </c>
      <c r="CF21" s="19">
        <f t="shared" si="205"/>
        <v>446.03223553016858</v>
      </c>
      <c r="CG21" s="19">
        <f t="shared" ref="CG21:CH21" si="206">IF(CG72="","",SUM(CG72,CG62,CG52,CG42,CG32))</f>
        <v>730.53832019990136</v>
      </c>
      <c r="CH21" s="19">
        <f t="shared" si="206"/>
        <v>1018.342252235734</v>
      </c>
      <c r="CI21" s="19">
        <f t="shared" ref="CI21:CJ21" si="207">IF(CI72="","",SUM(CI72,CI62,CI52,CI42,CI32))</f>
        <v>1772.0704584065452</v>
      </c>
      <c r="CJ21" s="19">
        <f t="shared" si="207"/>
        <v>1426.5122125997491</v>
      </c>
      <c r="CK21" s="19">
        <f t="shared" ref="CK21:CL21" si="208">IF(CK72="","",SUM(CK72,CK62,CK52,CK42,CK32))</f>
        <v>1368.5425842102904</v>
      </c>
      <c r="CL21" s="19">
        <f t="shared" si="208"/>
        <v>1345.197561332604</v>
      </c>
      <c r="CM21" s="19">
        <f t="shared" ref="CM21:CN21" si="209">IF(CM72="","",SUM(CM72,CM62,CM52,CM42,CM32))</f>
        <v>1279.5800240182755</v>
      </c>
      <c r="CN21" s="19">
        <f t="shared" si="209"/>
        <v>1187.1192546707166</v>
      </c>
      <c r="CO21" s="19">
        <f t="shared" ref="CO21:CP21" si="210">IF(CO72="","",SUM(CO72,CO62,CO52,CO42,CO32))</f>
        <v>1060.372682582019</v>
      </c>
      <c r="CP21" s="19">
        <f t="shared" si="210"/>
        <v>930.98798948126102</v>
      </c>
      <c r="CQ21" s="19">
        <f t="shared" ref="CQ21:CR21" si="211">IF(CQ72="","",SUM(CQ72,CQ62,CQ52,CQ42,CQ32))</f>
        <v>795.26135757461748</v>
      </c>
      <c r="CR21" s="19">
        <f t="shared" si="211"/>
        <v>687.32559516331912</v>
      </c>
      <c r="CS21" s="118">
        <f t="shared" ref="CS21:CU21" si="212">IF(CS72="","",SUM(CS72,CS62,CS52,CS42,CS32))</f>
        <v>588.90763424798126</v>
      </c>
      <c r="CT21" s="118">
        <f t="shared" si="212"/>
        <v>462.43272414788441</v>
      </c>
      <c r="CU21" s="118">
        <f t="shared" si="212"/>
        <v>302.98586845168052</v>
      </c>
    </row>
    <row r="22" spans="1:99" s="4" customFormat="1" x14ac:dyDescent="0.35">
      <c r="A22" s="295"/>
      <c r="B22" s="17" t="s">
        <v>27</v>
      </c>
      <c r="C22" s="28"/>
      <c r="D22" s="28"/>
      <c r="E22" s="19">
        <f>IF(E21="","",E21)</f>
        <v>0</v>
      </c>
      <c r="F22" s="14">
        <f>IF(F21="","",E22+F21)</f>
        <v>0.8255809798499999</v>
      </c>
      <c r="G22" s="14">
        <f>IF(G21="","",F22+G21)</f>
        <v>-3.2915907235240969</v>
      </c>
      <c r="H22" s="14">
        <f>IF(H21="","",G22+H21)</f>
        <v>-76.150935640228383</v>
      </c>
      <c r="I22" s="14">
        <f t="shared" ref="I22:AM22" si="213">IF(I21="","",H22+I21)</f>
        <v>-176.45643973661834</v>
      </c>
      <c r="J22" s="14">
        <f t="shared" si="213"/>
        <v>-249.20972824818813</v>
      </c>
      <c r="K22" s="14">
        <f t="shared" si="213"/>
        <v>-48.700649439909057</v>
      </c>
      <c r="L22" s="14">
        <f t="shared" si="213"/>
        <v>123.32032258568702</v>
      </c>
      <c r="M22" s="14">
        <f t="shared" si="213"/>
        <v>340.34466028260545</v>
      </c>
      <c r="N22" s="14">
        <f t="shared" si="213"/>
        <v>735.59432483569083</v>
      </c>
      <c r="O22" s="14">
        <f t="shared" si="213"/>
        <v>1084.8212305793174</v>
      </c>
      <c r="P22" s="14">
        <f t="shared" si="213"/>
        <v>10169.888589277529</v>
      </c>
      <c r="Q22" s="14">
        <f t="shared" si="213"/>
        <v>20384.877470221778</v>
      </c>
      <c r="R22" s="14">
        <f t="shared" si="213"/>
        <v>29121.46893842693</v>
      </c>
      <c r="S22" s="14">
        <f t="shared" si="213"/>
        <v>36484.329728872443</v>
      </c>
      <c r="T22" s="14">
        <f t="shared" si="213"/>
        <v>44407.725844901805</v>
      </c>
      <c r="U22" s="14">
        <f t="shared" si="213"/>
        <v>51332.492296674376</v>
      </c>
      <c r="V22" s="14">
        <f t="shared" si="213"/>
        <v>57795.153459468049</v>
      </c>
      <c r="W22" s="14">
        <f t="shared" si="213"/>
        <v>63285.131358205603</v>
      </c>
      <c r="X22" s="14">
        <f t="shared" si="213"/>
        <v>67043.708991009044</v>
      </c>
      <c r="Y22" s="14">
        <f t="shared" si="213"/>
        <v>69427.169701466133</v>
      </c>
      <c r="Z22" s="14">
        <f t="shared" si="213"/>
        <v>70622.573466618822</v>
      </c>
      <c r="AA22" s="14">
        <f t="shared" si="213"/>
        <v>69064.337290441996</v>
      </c>
      <c r="AB22" s="14">
        <f t="shared" si="213"/>
        <v>64928.852931236346</v>
      </c>
      <c r="AC22" s="14">
        <f t="shared" si="213"/>
        <v>58327.312789766787</v>
      </c>
      <c r="AD22" s="14">
        <f t="shared" si="213"/>
        <v>48513.241128216177</v>
      </c>
      <c r="AE22" s="14">
        <f t="shared" si="213"/>
        <v>38088.675801608326</v>
      </c>
      <c r="AF22" s="14">
        <f t="shared" si="213"/>
        <v>29496.267767677498</v>
      </c>
      <c r="AG22" s="14">
        <f t="shared" si="213"/>
        <v>24906.734328473249</v>
      </c>
      <c r="AH22" s="14">
        <f t="shared" si="213"/>
        <v>24226.601676219681</v>
      </c>
      <c r="AI22" s="14">
        <f t="shared" si="213"/>
        <v>25372.091631817988</v>
      </c>
      <c r="AJ22" s="14">
        <f t="shared" si="213"/>
        <v>25503.803450358238</v>
      </c>
      <c r="AK22" s="14">
        <f t="shared" si="213"/>
        <v>24630.974705503777</v>
      </c>
      <c r="AL22" s="14">
        <f t="shared" si="213"/>
        <v>22252.793244049019</v>
      </c>
      <c r="AM22" s="14">
        <f t="shared" si="213"/>
        <v>18100.122457348865</v>
      </c>
      <c r="AN22" s="14">
        <f t="shared" ref="AN22" si="214">IF(AN21="","",AM22+AN21)</f>
        <v>9406.4796758981211</v>
      </c>
      <c r="AO22" s="14">
        <f t="shared" ref="AO22" si="215">IF(AO21="","",AN22+AO21)</f>
        <v>-1914.5652425274784</v>
      </c>
      <c r="AP22" s="14">
        <f t="shared" ref="AP22" si="216">IF(AP21="","",AO22+AP21)</f>
        <v>-14358.9044411756</v>
      </c>
      <c r="AQ22" s="14">
        <f t="shared" ref="AQ22" si="217">IF(AQ21="","",AP22+AQ21)</f>
        <v>-28699.835026874352</v>
      </c>
      <c r="AR22" s="14">
        <f t="shared" ref="AR22" si="218">IF(AR21="","",AQ22+AR21)</f>
        <v>-36524.301393109679</v>
      </c>
      <c r="AS22" s="14">
        <f>IF(AS21="","",AR22+AS21)</f>
        <v>-45858.665669048976</v>
      </c>
      <c r="AT22" s="14">
        <f t="shared" ref="AT22" si="219">IF(AT21="","",AS22+AT21)</f>
        <v>-39422.208907048247</v>
      </c>
      <c r="AU22" s="14">
        <f t="shared" ref="AU22" si="220">IF(AU21="","",AT22+AU21)</f>
        <v>-30705.639016612015</v>
      </c>
      <c r="AV22" s="14">
        <f t="shared" ref="AV22" si="221">IF(AV21="","",AU22+AV21)</f>
        <v>-24212.560733140257</v>
      </c>
      <c r="AW22" s="14">
        <f t="shared" ref="AW22" si="222">IF(AW21="","",AV22+AW21)</f>
        <v>-19901.104172992338</v>
      </c>
      <c r="AX22" s="14">
        <f t="shared" ref="AX22" si="223">IF(AX21="","",AW22+AX21)</f>
        <v>-17266.739267011173</v>
      </c>
      <c r="AY22" s="14">
        <f t="shared" ref="AY22" si="224">IF(AY21="","",AX22+AY21)</f>
        <v>-16694.752322000633</v>
      </c>
      <c r="AZ22" s="14">
        <f t="shared" ref="AZ22" si="225">IF(AZ21="","",AY22+AZ21)</f>
        <v>-19412.279407272534</v>
      </c>
      <c r="BA22" s="14">
        <f t="shared" ref="BA22" si="226">IF(BA21="","",AZ22+BA21)</f>
        <v>-20300.139628767276</v>
      </c>
      <c r="BB22" s="14">
        <f t="shared" ref="BB22" si="227">IF(BB21="","",BA22+BB21)</f>
        <v>-21201.772633006578</v>
      </c>
      <c r="BC22" s="14">
        <f t="shared" ref="BC22" si="228">IF(BC21="","",BB22+BC21)</f>
        <v>-21384.895989024219</v>
      </c>
      <c r="BD22" s="14">
        <f t="shared" ref="BD22" si="229">IF(BD21="","",BC22+BD21)</f>
        <v>-21627.096734039373</v>
      </c>
      <c r="BE22" s="14">
        <f t="shared" ref="BE22" si="230">IF(BE21="","",BD22+BE21)</f>
        <v>-22121.800890727223</v>
      </c>
      <c r="BF22" s="14">
        <f t="shared" ref="BF22" si="231">IF(BF21="","",BE22+BF21)</f>
        <v>-22554.177758268263</v>
      </c>
      <c r="BG22" s="14">
        <f t="shared" ref="BG22" si="232">IF(BG21="","",BF22+BG21)</f>
        <v>-23020.567932686394</v>
      </c>
      <c r="BH22" s="14">
        <f t="shared" ref="BH22" si="233">IF(BH21="","",BG22+BH21)</f>
        <v>-23874.87992839178</v>
      </c>
      <c r="BI22" s="14">
        <f t="shared" ref="BI22" si="234">IF(BI21="","",BH22+BI21)</f>
        <v>-25080.788250086869</v>
      </c>
      <c r="BJ22" s="14">
        <f t="shared" ref="BJ22:CR22" si="235">IF(BJ21="","",BI22+BJ21)</f>
        <v>-26599.782024173601</v>
      </c>
      <c r="BK22" s="14">
        <f t="shared" si="235"/>
        <v>-27825.794779412383</v>
      </c>
      <c r="BL22" s="14">
        <f t="shared" si="235"/>
        <v>-29227.298906602486</v>
      </c>
      <c r="BM22" s="14">
        <f t="shared" si="235"/>
        <v>-30411.331404052831</v>
      </c>
      <c r="BN22" s="14">
        <f t="shared" si="235"/>
        <v>-31574.178618612335</v>
      </c>
      <c r="BO22" s="14">
        <f t="shared" si="235"/>
        <v>-32649.16370396379</v>
      </c>
      <c r="BP22" s="14">
        <f t="shared" si="235"/>
        <v>-33518.138296880148</v>
      </c>
      <c r="BQ22" s="14">
        <f t="shared" si="235"/>
        <v>-34034.014361829788</v>
      </c>
      <c r="BR22" s="14">
        <f t="shared" si="235"/>
        <v>-34666.954853011906</v>
      </c>
      <c r="BS22" s="14">
        <f t="shared" si="235"/>
        <v>-35150.572212479863</v>
      </c>
      <c r="BT22" s="14">
        <f t="shared" si="235"/>
        <v>-35461.329006043874</v>
      </c>
      <c r="BU22" s="14">
        <f t="shared" si="235"/>
        <v>-35718.313144887157</v>
      </c>
      <c r="BV22" s="14">
        <f t="shared" si="235"/>
        <v>-36032.478744073254</v>
      </c>
      <c r="BW22" s="14">
        <f t="shared" si="235"/>
        <v>-36183.086766004919</v>
      </c>
      <c r="BX22" s="14">
        <f t="shared" si="235"/>
        <v>-36262.632730258447</v>
      </c>
      <c r="BY22" s="14">
        <f t="shared" si="235"/>
        <v>-36413.798373581609</v>
      </c>
      <c r="BZ22" s="14">
        <f t="shared" si="235"/>
        <v>-36516.437639837168</v>
      </c>
      <c r="CA22" s="14">
        <f t="shared" si="235"/>
        <v>-36638.704619464406</v>
      </c>
      <c r="CB22" s="14">
        <f t="shared" si="235"/>
        <v>-36757.513772558319</v>
      </c>
      <c r="CC22" s="14">
        <f t="shared" si="235"/>
        <v>-36804.831268253292</v>
      </c>
      <c r="CD22" s="14">
        <f t="shared" si="235"/>
        <v>-36721.09099015301</v>
      </c>
      <c r="CE22" s="14">
        <f t="shared" si="235"/>
        <v>-36480.1387490118</v>
      </c>
      <c r="CF22" s="14">
        <f t="shared" si="235"/>
        <v>-36034.106513481631</v>
      </c>
      <c r="CG22" s="14">
        <f t="shared" si="235"/>
        <v>-35303.568193281732</v>
      </c>
      <c r="CH22" s="14">
        <f t="shared" si="235"/>
        <v>-34285.225941045996</v>
      </c>
      <c r="CI22" s="14">
        <f t="shared" si="235"/>
        <v>-32513.155482639449</v>
      </c>
      <c r="CJ22" s="14">
        <f t="shared" si="235"/>
        <v>-31086.643270039702</v>
      </c>
      <c r="CK22" s="14">
        <f t="shared" si="235"/>
        <v>-29718.100685829413</v>
      </c>
      <c r="CL22" s="14">
        <f t="shared" si="235"/>
        <v>-28372.90312449681</v>
      </c>
      <c r="CM22" s="14">
        <f t="shared" si="235"/>
        <v>-27093.323100478534</v>
      </c>
      <c r="CN22" s="14">
        <f t="shared" si="235"/>
        <v>-25906.203845807817</v>
      </c>
      <c r="CO22" s="14">
        <f t="shared" si="235"/>
        <v>-24845.831163225797</v>
      </c>
      <c r="CP22" s="14">
        <f t="shared" si="235"/>
        <v>-23914.843173744535</v>
      </c>
      <c r="CQ22" s="14">
        <f t="shared" si="235"/>
        <v>-23119.581816169917</v>
      </c>
      <c r="CR22" s="14">
        <f t="shared" si="235"/>
        <v>-22432.256221006599</v>
      </c>
      <c r="CS22" s="14">
        <f t="shared" ref="CS22" si="236">IF(CS21="","",CR22+CS21)</f>
        <v>-21843.348586758617</v>
      </c>
      <c r="CT22" s="14">
        <f t="shared" ref="CT22" si="237">IF(CT21="","",CS22+CT21)</f>
        <v>-21380.915862610731</v>
      </c>
      <c r="CU22" s="14">
        <f t="shared" ref="CU22" si="238">IF(CU21="","",CT22+CU21)</f>
        <v>-21077.929994159051</v>
      </c>
    </row>
    <row r="23" spans="1:99" s="4" customFormat="1" x14ac:dyDescent="0.35">
      <c r="A23" s="295"/>
      <c r="B23" s="16" t="s">
        <v>14</v>
      </c>
      <c r="C23" s="24"/>
      <c r="D23" s="24"/>
      <c r="E23" s="19">
        <f t="shared" ref="E23:AM23" si="239">IF(E73="","",SUM(E73,E63,E53,E43,E33))</f>
        <v>0</v>
      </c>
      <c r="F23" s="19">
        <f t="shared" si="239"/>
        <v>1329.6055809798499</v>
      </c>
      <c r="G23" s="19">
        <f t="shared" si="239"/>
        <v>-7870.6971717033748</v>
      </c>
      <c r="H23" s="19">
        <f t="shared" si="239"/>
        <v>-133126.43934491673</v>
      </c>
      <c r="I23" s="19">
        <f t="shared" si="239"/>
        <v>-51781.545504096364</v>
      </c>
      <c r="J23" s="19">
        <f t="shared" si="239"/>
        <v>77188.736711488338</v>
      </c>
      <c r="K23" s="19">
        <f t="shared" si="239"/>
        <v>432956.84907880833</v>
      </c>
      <c r="L23" s="19">
        <f t="shared" si="239"/>
        <v>-46973.169027974276</v>
      </c>
      <c r="M23" s="19">
        <f t="shared" si="239"/>
        <v>69304.924337696793</v>
      </c>
      <c r="N23" s="19">
        <f t="shared" si="239"/>
        <v>152297.37966455313</v>
      </c>
      <c r="O23" s="19">
        <f t="shared" si="239"/>
        <v>-27340.54309425642</v>
      </c>
      <c r="P23" s="19">
        <f>IF(P73="","",SUM(P73,P63,P53,P43,P33))</f>
        <v>-677522.56264130166</v>
      </c>
      <c r="Q23" s="19">
        <f t="shared" si="239"/>
        <v>-461720.541119056</v>
      </c>
      <c r="R23" s="19">
        <f t="shared" si="239"/>
        <v>-601978.92853179516</v>
      </c>
      <c r="S23" s="19">
        <f t="shared" si="239"/>
        <v>-510000.93920955458</v>
      </c>
      <c r="T23" s="19">
        <f t="shared" si="239"/>
        <v>223855.88611602981</v>
      </c>
      <c r="U23" s="19">
        <f t="shared" si="239"/>
        <v>603571.63645177253</v>
      </c>
      <c r="V23" s="19">
        <f t="shared" si="239"/>
        <v>734991.88116279361</v>
      </c>
      <c r="W23" s="19">
        <f t="shared" si="239"/>
        <v>470809.58789873729</v>
      </c>
      <c r="X23" s="19">
        <f t="shared" si="239"/>
        <v>-334506.49236719596</v>
      </c>
      <c r="Y23" s="19">
        <f t="shared" si="239"/>
        <v>-139598.08928954392</v>
      </c>
      <c r="Z23" s="19">
        <f t="shared" si="239"/>
        <v>-29077.876234846466</v>
      </c>
      <c r="AA23" s="19">
        <f t="shared" si="239"/>
        <v>-332185.06617617764</v>
      </c>
      <c r="AB23" s="19">
        <f t="shared" si="239"/>
        <v>-1859546.8543592058</v>
      </c>
      <c r="AC23" s="19">
        <f t="shared" si="239"/>
        <v>-1231620.5101414677</v>
      </c>
      <c r="AD23" s="19">
        <f t="shared" si="239"/>
        <v>-1327312.8316615513</v>
      </c>
      <c r="AE23" s="19">
        <f t="shared" si="239"/>
        <v>-678735.9753266084</v>
      </c>
      <c r="AF23" s="19">
        <f t="shared" si="239"/>
        <v>1062655.2519660713</v>
      </c>
      <c r="AG23" s="19">
        <f t="shared" si="239"/>
        <v>2080605.0265607969</v>
      </c>
      <c r="AH23" s="19">
        <f t="shared" si="239"/>
        <v>1891289.887347749</v>
      </c>
      <c r="AI23" s="19">
        <f t="shared" si="239"/>
        <v>837696.14995559736</v>
      </c>
      <c r="AJ23" s="19">
        <f t="shared" si="239"/>
        <v>-619920.60818146192</v>
      </c>
      <c r="AK23" s="19">
        <f t="shared" si="239"/>
        <v>-565357.15874485637</v>
      </c>
      <c r="AL23" s="19">
        <f t="shared" si="239"/>
        <v>-720194.79146145482</v>
      </c>
      <c r="AM23" s="19">
        <f t="shared" si="239"/>
        <v>-808025.65078670287</v>
      </c>
      <c r="AN23" s="19">
        <f t="shared" ref="AN23:BJ23" si="240">IF(AN73="","",SUM(AN73,AN63,AN53,AN43,AN33))</f>
        <v>-2122271.8627814483</v>
      </c>
      <c r="AO23" s="19">
        <f t="shared" si="240"/>
        <v>-1367558.1849184209</v>
      </c>
      <c r="AP23" s="19">
        <f t="shared" si="240"/>
        <v>-850758.1291986485</v>
      </c>
      <c r="AQ23" s="19">
        <f t="shared" si="240"/>
        <v>-914281.05058570066</v>
      </c>
      <c r="AR23" s="19">
        <f>IF(AR73="","",SUM(AR73,AR63,AR53,AR43,AR33))</f>
        <v>2760779.4336337661</v>
      </c>
      <c r="AS23" s="19">
        <f>IF(AS73="","",SUM(AS73,AS63,AS53,AS43,AS33))</f>
        <v>3524890.1057240581</v>
      </c>
      <c r="AT23" s="19">
        <f t="shared" si="240"/>
        <v>2979202.5467620026</v>
      </c>
      <c r="AU23" s="19">
        <f t="shared" si="240"/>
        <v>1276018.7698904346</v>
      </c>
      <c r="AV23" s="19">
        <f t="shared" si="240"/>
        <v>-1164231.4917165299</v>
      </c>
      <c r="AW23" s="19">
        <f t="shared" si="240"/>
        <v>-957228.70343984955</v>
      </c>
      <c r="AX23" s="19">
        <f t="shared" si="240"/>
        <v>-1357610.2050940199</v>
      </c>
      <c r="AY23" s="19">
        <f t="shared" si="240"/>
        <v>-1463900.9630549895</v>
      </c>
      <c r="AZ23" s="19">
        <f t="shared" si="240"/>
        <v>-2766073.8370852727</v>
      </c>
      <c r="BA23" s="19">
        <f t="shared" si="240"/>
        <v>1219557.5297785022</v>
      </c>
      <c r="BB23" s="19">
        <f t="shared" si="240"/>
        <v>-585531.32300423691</v>
      </c>
      <c r="BC23" s="19">
        <f t="shared" si="240"/>
        <v>-539935.18335602037</v>
      </c>
      <c r="BD23" s="19">
        <f t="shared" si="240"/>
        <v>-638149.48074501276</v>
      </c>
      <c r="BE23" s="19">
        <f t="shared" si="240"/>
        <v>-781464.06415668817</v>
      </c>
      <c r="BF23" s="19">
        <f>IF(BF73="","",SUM(BF73,BF63,BF53,BF43,BF33))</f>
        <v>-752651.94686754141</v>
      </c>
      <c r="BG23" s="19">
        <f t="shared" si="240"/>
        <v>-724410.39017441683</v>
      </c>
      <c r="BH23" s="19">
        <f t="shared" si="240"/>
        <v>-595119.70199570525</v>
      </c>
      <c r="BI23" s="19">
        <f t="shared" si="240"/>
        <v>-598272.05832169659</v>
      </c>
      <c r="BJ23" s="19">
        <f t="shared" si="240"/>
        <v>-683329.17377408745</v>
      </c>
      <c r="BK23" s="19">
        <f t="shared" ref="BK23:BL23" si="241">IF(BK73="","",SUM(BK73,BK63,BK53,BK43,BK33))</f>
        <v>-781451.59275523794</v>
      </c>
      <c r="BL23" s="19">
        <f t="shared" si="241"/>
        <v>94684.955872810577</v>
      </c>
      <c r="BM23" s="19">
        <f t="shared" ref="BM23:BN23" si="242">IF(BM73="","",SUM(BM73,BM63,BM53,BM43,BM33))</f>
        <v>-21379.042497449453</v>
      </c>
      <c r="BN23" s="19">
        <f t="shared" si="242"/>
        <v>-22029.487214558707</v>
      </c>
      <c r="BO23" s="19">
        <f t="shared" ref="BO23:BP23" si="243">IF(BO73="","",SUM(BO73,BO63,BO53,BO43,BO33))</f>
        <v>-17236.985085355322</v>
      </c>
      <c r="BP23" s="19">
        <f t="shared" si="243"/>
        <v>26988.645407086242</v>
      </c>
      <c r="BQ23" s="19">
        <f t="shared" ref="BQ23:BR23" si="244">IF(BQ73="","",SUM(BQ73,BQ63,BQ53,BQ43,BQ33))</f>
        <v>37535.273935050915</v>
      </c>
      <c r="BR23" s="19">
        <f t="shared" si="244"/>
        <v>32771.05950881671</v>
      </c>
      <c r="BS23" s="19">
        <f t="shared" ref="BS23:BT23" si="245">IF(BS73="","",SUM(BS73,BS63,BS53,BS43,BS33))</f>
        <v>1535.1326405315895</v>
      </c>
      <c r="BT23" s="19">
        <f t="shared" si="245"/>
        <v>-23696.556793563206</v>
      </c>
      <c r="BU23" s="19">
        <f t="shared" ref="BU23:BV23" si="246">IF(BU73="","",SUM(BU73,BU63,BU53,BU43,BU33))</f>
        <v>-19580.184138843688</v>
      </c>
      <c r="BV23" s="19">
        <f t="shared" si="246"/>
        <v>-22803.065599187223</v>
      </c>
      <c r="BW23" s="19">
        <f t="shared" ref="BW23:BX23" si="247">IF(BW73="","",SUM(BW73,BW63,BW53,BW43,BW33))</f>
        <v>-22665.578021930254</v>
      </c>
      <c r="BX23" s="19">
        <f t="shared" si="247"/>
        <v>15419.534035743827</v>
      </c>
      <c r="BY23" s="19">
        <f t="shared" ref="BY23:BZ23" si="248">IF(BY73="","",SUM(BY73,BY63,BY53,BY43,BY33))</f>
        <v>-1852.0356433231636</v>
      </c>
      <c r="BZ23" s="19">
        <f t="shared" si="248"/>
        <v>-1729.7492662555592</v>
      </c>
      <c r="CA23" s="19">
        <f t="shared" ref="CA23:CB23" si="249">IF(CA73="","",SUM(CA73,CA63,CA53,CA43,CA33))</f>
        <v>-1757.0169796272394</v>
      </c>
      <c r="CB23" s="19">
        <f t="shared" si="249"/>
        <v>-1962.8891530939115</v>
      </c>
      <c r="CC23" s="19">
        <f t="shared" ref="CC23:CD23" si="250">IF(CC73="","",SUM(CC73,CC63,CC53,CC43,CC33))</f>
        <v>-2061.7774956949784</v>
      </c>
      <c r="CD23" s="19">
        <f t="shared" si="250"/>
        <v>-1903.109721899724</v>
      </c>
      <c r="CE23" s="19">
        <f t="shared" ref="CE23:CF23" si="251">IF(CE73="","",SUM(CE73,CE63,CE53,CE43,CE33))</f>
        <v>-1670.1177588587884</v>
      </c>
      <c r="CF23" s="19">
        <f t="shared" si="251"/>
        <v>-1220.9577644698138</v>
      </c>
      <c r="CG23" s="19">
        <f t="shared" ref="CG23:CH23" si="252">IF(CG73="","",SUM(CG73,CG63,CG53,CG43,CG33))</f>
        <v>-897.5416798000964</v>
      </c>
      <c r="CH23" s="19">
        <f t="shared" si="252"/>
        <v>-769.70774776426583</v>
      </c>
      <c r="CI23" s="19">
        <f t="shared" ref="CI23:CJ23" si="253">IF(CI73="","",SUM(CI73,CI63,CI53,CI43,CI33))</f>
        <v>-11.689541593455942</v>
      </c>
      <c r="CJ23" s="19">
        <f t="shared" si="253"/>
        <v>1426.5122125997505</v>
      </c>
      <c r="CK23" s="19">
        <f t="shared" ref="CK23:CL23" si="254">IF(CK73="","",SUM(CK73,CK63,CK53,CK43,CK33))</f>
        <v>1368.5425842102895</v>
      </c>
      <c r="CL23" s="19">
        <f t="shared" si="254"/>
        <v>1345.1975613326044</v>
      </c>
      <c r="CM23" s="19">
        <f t="shared" ref="CM23:CN23" si="255">IF(CM73="","",SUM(CM73,CM63,CM53,CM43,CM33))</f>
        <v>1279.5800240182757</v>
      </c>
      <c r="CN23" s="19">
        <f t="shared" si="255"/>
        <v>1187.1192546707164</v>
      </c>
      <c r="CO23" s="19">
        <f t="shared" ref="CO23:CP23" si="256">IF(CO73="","",SUM(CO73,CO63,CO53,CO43,CO33))</f>
        <v>1060.3726825820186</v>
      </c>
      <c r="CP23" s="19">
        <f t="shared" si="256"/>
        <v>930.98798948126387</v>
      </c>
      <c r="CQ23" s="19">
        <f t="shared" ref="CQ23:CR23" si="257">IF(CQ73="","",SUM(CQ73,CQ63,CQ53,CQ43,CQ33))</f>
        <v>795.2613575746177</v>
      </c>
      <c r="CR23" s="19">
        <f t="shared" si="257"/>
        <v>687.32559516331844</v>
      </c>
      <c r="CS23" s="19">
        <f t="shared" ref="CS23:CU23" si="258">IF(CS73="","",SUM(CS73,CS63,CS53,CS43,CS33))</f>
        <v>588.90819737113668</v>
      </c>
      <c r="CT23" s="19">
        <f t="shared" si="258"/>
        <v>462.43217410023283</v>
      </c>
      <c r="CU23" s="19">
        <f t="shared" si="258"/>
        <v>302.99101788816955</v>
      </c>
    </row>
    <row r="24" spans="1:99" s="4" customFormat="1" x14ac:dyDescent="0.35">
      <c r="A24" s="295"/>
      <c r="B24" s="18" t="s">
        <v>2</v>
      </c>
      <c r="C24" s="26"/>
      <c r="D24" s="26"/>
      <c r="E24" s="19">
        <f t="shared" ref="E24:AM24" si="259">IF(E74="","",SUM(E74,E64,E54,E44,E34))</f>
        <v>0</v>
      </c>
      <c r="F24" s="19">
        <f t="shared" si="259"/>
        <v>1329.6055809798499</v>
      </c>
      <c r="G24" s="19">
        <f t="shared" si="259"/>
        <v>-6541.0915907235249</v>
      </c>
      <c r="H24" s="19">
        <f t="shared" si="259"/>
        <v>-139667.53093564024</v>
      </c>
      <c r="I24" s="19">
        <f t="shared" si="259"/>
        <v>-191449.07643973659</v>
      </c>
      <c r="J24" s="19">
        <f t="shared" si="259"/>
        <v>-114260.33972824829</v>
      </c>
      <c r="K24" s="19">
        <f t="shared" si="259"/>
        <v>318696.50935056002</v>
      </c>
      <c r="L24" s="19">
        <f t="shared" si="259"/>
        <v>271723.34032258578</v>
      </c>
      <c r="M24" s="19">
        <f t="shared" si="259"/>
        <v>341028.26466028253</v>
      </c>
      <c r="N24" s="19">
        <f t="shared" si="259"/>
        <v>493325.64432483562</v>
      </c>
      <c r="O24" s="19">
        <f t="shared" si="259"/>
        <v>465985.1012305792</v>
      </c>
      <c r="P24" s="19">
        <f>IF(P74="","",SUM(P74,P64,P54,P44,P34))</f>
        <v>12122508.21228965</v>
      </c>
      <c r="Q24" s="19">
        <f t="shared" si="259"/>
        <v>10669333.821170595</v>
      </c>
      <c r="R24" s="19">
        <f t="shared" si="259"/>
        <v>9125179.8626387995</v>
      </c>
      <c r="S24" s="19">
        <f t="shared" si="259"/>
        <v>7690348.0334292455</v>
      </c>
      <c r="T24" s="19">
        <f t="shared" si="259"/>
        <v>6751239.2395452745</v>
      </c>
      <c r="U24" s="19">
        <f t="shared" si="259"/>
        <v>5977194.3659970472</v>
      </c>
      <c r="V24" s="19">
        <f t="shared" si="259"/>
        <v>5292979.5471598413</v>
      </c>
      <c r="W24" s="19">
        <f t="shared" si="259"/>
        <v>4554328.3750585774</v>
      </c>
      <c r="X24" s="19">
        <f t="shared" si="259"/>
        <v>3112526.0826913817</v>
      </c>
      <c r="Y24" s="19">
        <f t="shared" si="259"/>
        <v>1984651.4634018382</v>
      </c>
      <c r="Z24" s="19">
        <f t="shared" si="259"/>
        <v>810020.52716699161</v>
      </c>
      <c r="AA24" s="19">
        <f t="shared" si="259"/>
        <v>-1091623.9190091861</v>
      </c>
      <c r="AB24" s="19">
        <f t="shared" si="259"/>
        <v>-2719540.1433683923</v>
      </c>
      <c r="AC24" s="19">
        <f t="shared" si="259"/>
        <v>-3863493.6735098599</v>
      </c>
      <c r="AD24" s="19">
        <f t="shared" si="259"/>
        <v>-5105394.8851714116</v>
      </c>
      <c r="AE24" s="19">
        <f t="shared" si="259"/>
        <v>-5699667.2604980189</v>
      </c>
      <c r="AF24" s="19">
        <f t="shared" si="259"/>
        <v>-4531783.3385319486</v>
      </c>
      <c r="AG24" s="19">
        <f t="shared" si="259"/>
        <v>-2351007.7619711515</v>
      </c>
      <c r="AH24" s="19">
        <f t="shared" si="259"/>
        <v>-351649.0146234025</v>
      </c>
      <c r="AI24" s="19">
        <f t="shared" si="259"/>
        <v>591360.33533219481</v>
      </c>
      <c r="AJ24" s="19">
        <f t="shared" si="259"/>
        <v>64449.017150732921</v>
      </c>
      <c r="AK24" s="19">
        <f t="shared" si="259"/>
        <v>-415335.20159412327</v>
      </c>
      <c r="AL24" s="19">
        <f t="shared" si="259"/>
        <v>-1038405.0130555781</v>
      </c>
      <c r="AM24" s="19">
        <f t="shared" si="259"/>
        <v>-1740645.5538422812</v>
      </c>
      <c r="AN24" s="19">
        <f t="shared" ref="AN24:BJ24" si="260">IF(AN74="","",SUM(AN74,AN64,AN54,AN44,AN34))</f>
        <v>-3681558.1666237293</v>
      </c>
      <c r="AO24" s="19">
        <f t="shared" si="260"/>
        <v>-4884404.0515421508</v>
      </c>
      <c r="AP24" s="19">
        <f t="shared" si="260"/>
        <v>-5621636.7207407989</v>
      </c>
      <c r="AQ24" s="19">
        <f t="shared" si="260"/>
        <v>-6441982.4413264999</v>
      </c>
      <c r="AR24" s="19">
        <f t="shared" si="260"/>
        <v>-3550902.8376927339</v>
      </c>
      <c r="AS24" s="19">
        <f>IF(AS74="","",SUM(AS74,AS64,AS54,AS44,AS34))</f>
        <v>137704.86803132389</v>
      </c>
      <c r="AT24" s="19">
        <f t="shared" si="260"/>
        <v>3291474.2947933264</v>
      </c>
      <c r="AU24" s="19">
        <f t="shared" si="260"/>
        <v>4727028.3646837613</v>
      </c>
      <c r="AV24" s="19">
        <f t="shared" si="260"/>
        <v>3692370.3629672313</v>
      </c>
      <c r="AW24" s="19">
        <f t="shared" si="260"/>
        <v>2853308.819527382</v>
      </c>
      <c r="AX24" s="19">
        <f t="shared" si="260"/>
        <v>1653239.8044333621</v>
      </c>
      <c r="AY24" s="19">
        <f t="shared" si="260"/>
        <v>363915.55137837201</v>
      </c>
      <c r="AZ24" s="19">
        <f t="shared" si="260"/>
        <v>-1810803.1557069002</v>
      </c>
      <c r="BA24" s="19">
        <f t="shared" si="260"/>
        <v>-565028.90592839848</v>
      </c>
      <c r="BB24" s="19">
        <f t="shared" si="260"/>
        <v>-1153811.2989326352</v>
      </c>
      <c r="BC24" s="19">
        <f t="shared" si="260"/>
        <v>-1702771.9122886555</v>
      </c>
      <c r="BD24" s="19">
        <f t="shared" si="260"/>
        <v>-2313691.0630336679</v>
      </c>
      <c r="BE24" s="19">
        <f t="shared" si="260"/>
        <v>-3065845.2771903565</v>
      </c>
      <c r="BF24" s="19">
        <f t="shared" si="260"/>
        <v>-3799182.1740578976</v>
      </c>
      <c r="BG24" s="19">
        <f t="shared" si="260"/>
        <v>-4516979.2642323151</v>
      </c>
      <c r="BH24" s="19">
        <f t="shared" si="260"/>
        <v>-5126726.2862280197</v>
      </c>
      <c r="BI24" s="19">
        <f t="shared" si="260"/>
        <v>-5733526.6845497163</v>
      </c>
      <c r="BJ24" s="19">
        <f t="shared" si="260"/>
        <v>-6404044.2183238044</v>
      </c>
      <c r="BK24" s="19">
        <f t="shared" ref="BK24:BL24" si="261">IF(BK74="","",SUM(BK74,BK64,BK54,BK44,BK34))</f>
        <v>-7138232.1410790421</v>
      </c>
      <c r="BL24" s="19">
        <f t="shared" si="261"/>
        <v>-7243786.6552062314</v>
      </c>
      <c r="BM24" s="19">
        <f t="shared" ref="BM24" si="262">IF(BM74="","",SUM(BM74,BM64,BM54,BM44,BM34))</f>
        <v>-6650748.3077036813</v>
      </c>
      <c r="BN24" s="19">
        <f t="shared" ref="BN24:BW24" si="263">IF(BN74="","",SUM(BN74,BN64,BN54,BN44,BN34))</f>
        <v>-6199626.1649182402</v>
      </c>
      <c r="BO24" s="19">
        <f t="shared" si="263"/>
        <v>-5752939.2500035949</v>
      </c>
      <c r="BP24" s="19">
        <f t="shared" si="263"/>
        <v>-5171823.4645965081</v>
      </c>
      <c r="BQ24" s="19">
        <f t="shared" si="263"/>
        <v>-4436601.2506614579</v>
      </c>
      <c r="BR24" s="19">
        <f t="shared" si="263"/>
        <v>-3703862.0611526407</v>
      </c>
      <c r="BS24" s="19">
        <f t="shared" si="263"/>
        <v>-3003805.1585121094</v>
      </c>
      <c r="BT24" s="19">
        <f t="shared" si="263"/>
        <v>-2486365.1053056726</v>
      </c>
      <c r="BU24" s="19">
        <f t="shared" si="263"/>
        <v>-2013069.3294445162</v>
      </c>
      <c r="BV24" s="19">
        <f t="shared" si="263"/>
        <v>-1447726.1650437033</v>
      </c>
      <c r="BW24" s="19">
        <f t="shared" si="263"/>
        <v>-771017.0030656337</v>
      </c>
      <c r="BX24" s="19">
        <f t="shared" ref="BX24:BY24" si="264">IF(BX74="","",SUM(BX74,BX64,BX54,BX44,BX34))</f>
        <v>-322727.77902988991</v>
      </c>
      <c r="BY24" s="19">
        <f t="shared" si="264"/>
        <v>-263698.78467321303</v>
      </c>
      <c r="BZ24" s="19">
        <f t="shared" ref="BZ24:CA24" si="265">IF(BZ74="","",SUM(BZ74,BZ64,BZ54,BZ44,BZ34))</f>
        <v>-205238.94393946859</v>
      </c>
      <c r="CA24" s="19">
        <f t="shared" si="265"/>
        <v>-154612.74091909587</v>
      </c>
      <c r="CB24" s="19">
        <f t="shared" ref="CB24:CC24" si="266">IF(CB74="","",SUM(CB74,CB64,CB54,CB44,CB34))</f>
        <v>-96070.250072189723</v>
      </c>
      <c r="CC24" s="19">
        <f t="shared" si="266"/>
        <v>-27655.26756788473</v>
      </c>
      <c r="CD24" s="19">
        <f t="shared" ref="CD24:CI24" si="267">IF(CD74="","",SUM(CD74,CD64,CD54,CD44,CD34))</f>
        <v>39274.932710215566</v>
      </c>
      <c r="CE24" s="19">
        <f t="shared" si="267"/>
        <v>101990.99495135678</v>
      </c>
      <c r="CF24" s="19">
        <f t="shared" si="267"/>
        <v>154688.15718688694</v>
      </c>
      <c r="CG24" s="19">
        <f t="shared" si="267"/>
        <v>205262.95550708682</v>
      </c>
      <c r="CH24" s="19">
        <f t="shared" si="267"/>
        <v>265660.12775932258</v>
      </c>
      <c r="CI24" s="19">
        <f t="shared" si="267"/>
        <v>329910.01821772917</v>
      </c>
      <c r="CJ24" s="19">
        <f t="shared" ref="CJ24:CK24" si="268">IF(CJ74="","",SUM(CJ74,CJ64,CJ54,CJ44,CJ34))</f>
        <v>354527.60043032886</v>
      </c>
      <c r="CK24" s="19">
        <f t="shared" si="268"/>
        <v>330515.63301453914</v>
      </c>
      <c r="CL24" s="19">
        <f t="shared" ref="CL24:CM24" si="269">IF(CL74="","",SUM(CL74,CL64,CL54,CL44,CL34))</f>
        <v>308893.85057587177</v>
      </c>
      <c r="CM24" s="19">
        <f t="shared" si="269"/>
        <v>289539.07059989002</v>
      </c>
      <c r="CN24" s="19">
        <f t="shared" ref="CN24:CO24" si="270">IF(CN74="","",SUM(CN74,CN64,CN54,CN44,CN34))</f>
        <v>265244.59985456069</v>
      </c>
      <c r="CO24" s="19">
        <f t="shared" si="270"/>
        <v>234851.62253714277</v>
      </c>
      <c r="CP24" s="19">
        <f t="shared" ref="CP24:CQ24" si="271">IF(CP74="","",SUM(CP74,CP64,CP54,CP44,CP34))</f>
        <v>203302.12052662403</v>
      </c>
      <c r="CQ24" s="19">
        <f t="shared" si="271"/>
        <v>173205.69188419863</v>
      </c>
      <c r="CR24" s="19">
        <f t="shared" ref="CR24:CU24" si="272">IF(CR74="","",SUM(CR74,CR64,CR54,CR44,CR34))</f>
        <v>150174.82747936193</v>
      </c>
      <c r="CS24" s="19">
        <f t="shared" si="272"/>
        <v>128671.33567673308</v>
      </c>
      <c r="CT24" s="19">
        <f t="shared" si="272"/>
        <v>101037.63785083333</v>
      </c>
      <c r="CU24" s="19">
        <f t="shared" si="272"/>
        <v>66199.848868721485</v>
      </c>
    </row>
    <row r="25" spans="1:99" s="4" customFormat="1" ht="8.25" customHeight="1" x14ac:dyDescent="0.35">
      <c r="A25" s="40"/>
      <c r="B25" s="11"/>
      <c r="C25" s="11"/>
      <c r="D25" s="11"/>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row>
    <row r="26" spans="1:99" s="4" customFormat="1" ht="15" hidden="1" customHeight="1" outlineLevel="1" x14ac:dyDescent="0.35">
      <c r="A26" s="295" t="s">
        <v>20</v>
      </c>
      <c r="B26" s="15"/>
      <c r="C26" s="30"/>
      <c r="D26" s="30"/>
      <c r="E26" s="7"/>
      <c r="F26" s="7"/>
      <c r="G26" s="7"/>
      <c r="H26" s="7"/>
      <c r="I26" s="7"/>
      <c r="J26" s="7"/>
      <c r="K26" s="7"/>
      <c r="L26" s="7"/>
      <c r="M26" s="7"/>
      <c r="N26" s="7"/>
      <c r="O26" s="7"/>
      <c r="P26" s="68">
        <v>7611904.5234541874</v>
      </c>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68">
        <f>+'MEEIA 2 adjs'!AT37</f>
        <v>-9652.3205640208907</v>
      </c>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125">
        <v>5948.9756313576872</v>
      </c>
      <c r="CG26" s="7"/>
      <c r="CH26" s="7"/>
      <c r="CI26" s="113">
        <f>'MEEIA 2 adjs'!EC33</f>
        <v>246.65649828314054</v>
      </c>
      <c r="CJ26" s="7"/>
      <c r="CK26" s="7"/>
      <c r="CL26" s="7"/>
      <c r="CM26" s="7"/>
      <c r="CN26" s="7"/>
      <c r="CO26" s="7"/>
      <c r="CP26" s="7"/>
      <c r="CQ26" s="7"/>
      <c r="CR26" s="7"/>
      <c r="CS26" s="7"/>
      <c r="CT26" s="7"/>
      <c r="CU26" s="7"/>
    </row>
    <row r="27" spans="1:99" s="2" customFormat="1" ht="15" hidden="1" customHeight="1" outlineLevel="1" x14ac:dyDescent="0.35">
      <c r="A27" s="295"/>
      <c r="B27" s="15" t="s">
        <v>28</v>
      </c>
      <c r="C27" s="30"/>
      <c r="D27" s="30"/>
      <c r="E27" s="20">
        <f>IF('M2 Allocations - TD'!D5="","",'M2 Allocations - TD'!D31)</f>
        <v>0</v>
      </c>
      <c r="F27" s="20">
        <f>IF('M2 Allocations - TD'!E5="","",'M2 Allocations - TD'!E31)</f>
        <v>1328.78</v>
      </c>
      <c r="G27" s="20">
        <f>IF('M2 Allocations - TD'!F5="","",'M2 Allocations - TD'!F31)</f>
        <v>9526.5299999999988</v>
      </c>
      <c r="H27" s="20">
        <f>IF('M2 Allocations - TD'!G5="","",'M2 Allocations - TD'!G31)</f>
        <v>120352.88</v>
      </c>
      <c r="I27" s="20">
        <f>IF('M2 Allocations - TD'!H5="","",'M2 Allocations - TD'!H31)</f>
        <v>256080.65000000002</v>
      </c>
      <c r="J27" s="20">
        <f>IF('M2 Allocations - TD'!I5="","",'M2 Allocations - TD'!I31)</f>
        <v>373393.34435846674</v>
      </c>
      <c r="K27" s="20">
        <f>IF('M2 Allocations - TD'!J5="","",'M2 Allocations - TD'!J31)</f>
        <v>671736.21363575384</v>
      </c>
      <c r="L27" s="20">
        <f>IF('M2 Allocations - TD'!K5="","",'M2 Allocations - TD'!K31)</f>
        <v>120839.84990541483</v>
      </c>
      <c r="M27" s="20">
        <f>IF('M2 Allocations - TD'!L5="","",'M2 Allocations - TD'!L31)</f>
        <v>185093.49881649271</v>
      </c>
      <c r="N27" s="20">
        <f>IF('M2 Allocations - TD'!M5="","",'M2 Allocations - TD'!M31)</f>
        <v>303285.19452852954</v>
      </c>
      <c r="O27" s="20">
        <f>IF('M2 Allocations - TD'!N5="","",'M2 Allocations - TD'!N31)</f>
        <v>329743.7910035231</v>
      </c>
      <c r="P27" s="20">
        <f>IF('M2 Allocations - TD'!O5="","",'M2 Allocations - TD'!O31)</f>
        <v>319589.12614734296</v>
      </c>
      <c r="Q27" s="20">
        <f>IF('M2 Allocations - TD'!P5="","",'M2 Allocations - TD'!P31)</f>
        <v>307416.51622437377</v>
      </c>
      <c r="R27" s="20">
        <f>IF('M2 Allocations - TD'!Q5="","",'M2 Allocations - TD'!Q31)</f>
        <v>202009.99758789604</v>
      </c>
      <c r="S27" s="20">
        <f>IF('M2 Allocations - TD'!R5="","",'M2 Allocations - TD'!R31)</f>
        <v>201518.00847600689</v>
      </c>
      <c r="T27" s="20">
        <f>IF('M2 Allocations - TD'!S5="","",'M2 Allocations - TD'!S31)</f>
        <v>884196.51701427973</v>
      </c>
      <c r="U27" s="20">
        <f>IF('M2 Allocations - TD'!T5="","",'M2 Allocations - TD'!T31)</f>
        <v>1282604.3399999999</v>
      </c>
      <c r="V27" s="20">
        <f>IF('M2 Allocations - TD'!U5="","",'M2 Allocations - TD'!U31)</f>
        <v>1412760.5841518985</v>
      </c>
      <c r="W27" s="20">
        <f>IF('M2 Allocations - TD'!V5="","",'M2 Allocations - TD'!V31)</f>
        <v>912043.87330211163</v>
      </c>
      <c r="X27" s="20">
        <f>IF('M2 Allocations - TD'!W5="","",'M2 Allocations - TD'!W31)</f>
        <v>279976.46619588812</v>
      </c>
      <c r="Y27" s="20">
        <f>IF('M2 Allocations - TD'!X5="","",'M2 Allocations - TD'!X31)</f>
        <v>377438.47759872582</v>
      </c>
      <c r="Z27" s="20">
        <f>IF('M2 Allocations - TD'!Y5="","",'M2 Allocations - TD'!Y31)</f>
        <v>565267.94576951256</v>
      </c>
      <c r="AA27" s="20">
        <f>IF('M2 Allocations - TD'!Z5="","",'M2 Allocations - TD'!Z31)</f>
        <v>607215.02747681318</v>
      </c>
      <c r="AB27" s="20">
        <f>IF('M2 Allocations - TD'!AA5="","",'M2 Allocations - TD'!AA31)</f>
        <v>515316.53827609093</v>
      </c>
      <c r="AC27" s="20">
        <f>IF('M2 Allocations - TD'!AB5="","",'M2 Allocations - TD'!AB31)</f>
        <v>473150.50916160172</v>
      </c>
      <c r="AD27" s="20">
        <f>IF('M2 Allocations - TD'!AC5="","",'M2 Allocations - TD'!AC31)</f>
        <v>270731.77958850004</v>
      </c>
      <c r="AE27" s="20">
        <f>IF('M2 Allocations - TD'!AD5="","",'M2 Allocations - TD'!AD31)</f>
        <v>491596.14834248205</v>
      </c>
      <c r="AF27" s="20">
        <f>IF('M2 Allocations - TD'!AE5="","",'M2 Allocations - TD'!AE31)</f>
        <v>2024956.6659391024</v>
      </c>
      <c r="AG27" s="20">
        <f>IF('M2 Allocations - TD'!AF5="","",'M2 Allocations - TD'!AF31)</f>
        <v>2753783.435947692</v>
      </c>
      <c r="AH27" s="20">
        <f>IF('M2 Allocations - TD'!AG5="","",'M2 Allocations - TD'!AG31)</f>
        <v>2655187.2707727067</v>
      </c>
      <c r="AI27" s="20">
        <f>IF('M2 Allocations - TD'!AH5="","",'M2 Allocations - TD'!AH31)</f>
        <v>1585670.784126644</v>
      </c>
      <c r="AJ27" s="20">
        <f>IF('M2 Allocations - TD'!AI5="","",'M2 Allocations - TD'!AI31)</f>
        <v>556118.7299202627</v>
      </c>
      <c r="AK27" s="20">
        <f>IF('M2 Allocations - TD'!AJ5="","",'M2 Allocations - TD'!AJ31)</f>
        <v>513458.06050710165</v>
      </c>
      <c r="AL27" s="20">
        <f>IF('M2 Allocations - TD'!AK5="","",'M2 Allocations - TD'!AK31)</f>
        <v>702799.89768350183</v>
      </c>
      <c r="AM27" s="20">
        <f>IF('M2 Allocations - TD'!AL5="","",'M2 Allocations - TD'!AL31)</f>
        <v>705267.00941836974</v>
      </c>
      <c r="AN27" s="20">
        <f>IF('M2 Allocations - TD'!AM5="","",'M2 Allocations - TD'!AM31)</f>
        <v>626813.61963691877</v>
      </c>
      <c r="AO27" s="20">
        <f>IF('M2 Allocations - TD'!AN5="","",'M2 Allocations - TD'!AN31)</f>
        <v>733376.44916449382</v>
      </c>
      <c r="AP27" s="20">
        <f>IF('M2 Allocations - TD'!AO5="","",'M2 Allocations - TD'!AO31)</f>
        <v>579952.0325992658</v>
      </c>
      <c r="AQ27" s="20">
        <f>IF('M2 Allocations - TD'!AP5="","",'M2 Allocations - TD'!AP31)</f>
        <v>371011.49182013981</v>
      </c>
      <c r="AR27" s="20">
        <f>IF('M2 Allocations - TD'!AQ5="","",'M2 Allocations - TD'!AQ31)</f>
        <v>2723256.6958003566</v>
      </c>
      <c r="AS27" s="20">
        <f>IF('M2 Allocations - TD'!AR5="","",'M2 Allocations - TD'!AR31)</f>
        <v>3090240.1159956334</v>
      </c>
      <c r="AT27" s="20">
        <f>IF('M2 Allocations - TD'!AS5="","",'M2 Allocations - TD'!AS31)</f>
        <v>3319235.3330920129</v>
      </c>
      <c r="AU27" s="20">
        <f>IF('M2 Allocations - TD'!AT5="","",'M2 Allocations - TD'!AT31)</f>
        <v>1872423.9163418177</v>
      </c>
      <c r="AV27" s="20">
        <f>IF('M2 Allocations - TD'!AU5="","",'M2 Allocations - TD'!AU31)</f>
        <v>468639.40013933519</v>
      </c>
      <c r="AW27" s="20">
        <f>IF('M2 Allocations - TD'!AV5="","",'M2 Allocations - TD'!AV31)</f>
        <v>573430.06293424976</v>
      </c>
      <c r="AX27" s="20">
        <f>IF('M2 Allocations - TD'!AW5="","",'M2 Allocations - TD'!AW31)</f>
        <v>729001.68500178226</v>
      </c>
      <c r="AY27" s="20">
        <f>IF('M2 Allocations - TD'!AX5="","",'M2 Allocations - TD'!AX31)</f>
        <v>731448.99925192562</v>
      </c>
      <c r="AZ27" s="20">
        <f>IF('M2 Allocations - TD'!AY5="","",'M2 Allocations - TD'!AY31)</f>
        <v>-1101511.7645830091</v>
      </c>
      <c r="BA27" s="20">
        <f>IF('M2 Allocations - TD'!AZ5="","",'M2 Allocations - TD'!AZ31)</f>
        <v>502297.9307248104</v>
      </c>
      <c r="BB27" s="20">
        <f>IF('M2 Allocations - TD'!BA5="","",'M2 Allocations - TD'!BA31)</f>
        <v>0</v>
      </c>
      <c r="BC27" s="20">
        <f>IF('M2 Allocations - TD'!BB5="","",'M2 Allocations - TD'!BB31)</f>
        <v>-1201.9391278357582</v>
      </c>
      <c r="BD27" s="20">
        <f>IF('M2 Allocations - TD'!BC5="","",'M2 Allocations - TD'!BC31)</f>
        <v>0</v>
      </c>
      <c r="BE27" s="20">
        <f>IF('M2 Allocations - TD'!BD5="","",'M2 Allocations - TD'!BD31)</f>
        <v>0</v>
      </c>
      <c r="BF27" s="20">
        <f>IF('M2 Allocations - TD'!BE5="","",'M2 Allocations - TD'!BE31)</f>
        <v>0</v>
      </c>
      <c r="BG27" s="20">
        <f>IF('M2 Allocations - TD'!BF5="","",'M2 Allocations - TD'!BF31)</f>
        <v>0</v>
      </c>
      <c r="BH27" s="20">
        <f>IF('M2 Allocations - TD'!BG5="","",'M2 Allocations - TD'!BG31)</f>
        <v>0</v>
      </c>
      <c r="BI27" s="20">
        <f>IF('M2 Allocations - TD'!BH5="","",'M2 Allocations - TD'!BH31)</f>
        <v>0</v>
      </c>
      <c r="BJ27" s="20">
        <f>IF('M2 Allocations - TD'!BI5="","",'M2 Allocations - TD'!BI31)</f>
        <v>0</v>
      </c>
      <c r="BK27" s="20">
        <f>IF('M2 Allocations - TD'!BJ5="","",'M2 Allocations - TD'!BJ31)</f>
        <v>0</v>
      </c>
      <c r="BL27" s="20">
        <f>IF('M2 Allocations - TD'!BK5="","",'M2 Allocations - TD'!BK31)</f>
        <v>0</v>
      </c>
      <c r="BM27" s="20">
        <f>IF('M2 Allocations - TD'!BL5="","",'M2 Allocations - TD'!BL31)</f>
        <v>0</v>
      </c>
      <c r="BN27" s="20">
        <f>IF('M2 Allocations - TD'!BM5="","",'M2 Allocations - TD'!BM31)</f>
        <v>0</v>
      </c>
      <c r="BO27" s="20">
        <f>IF('M2 Allocations - TD'!BN5="","",'M2 Allocations - TD'!BN31)</f>
        <v>0</v>
      </c>
      <c r="BP27" s="20">
        <f>IF('M2 Allocations - TD'!BO5="","",'M2 Allocations - TD'!BO31)</f>
        <v>0</v>
      </c>
      <c r="BQ27" s="20">
        <f>IF('M2 Allocations - TD'!BP5="","",'M2 Allocations - TD'!BP31)</f>
        <v>0</v>
      </c>
      <c r="BR27" s="20">
        <f>IF('M2 Allocations - TD'!BQ5="","",'M2 Allocations - TD'!BQ31)</f>
        <v>0</v>
      </c>
      <c r="BS27" s="20">
        <f>IF('M2 Allocations - TD'!BR5="","",'M2 Allocations - TD'!BR31)</f>
        <v>0</v>
      </c>
      <c r="BT27" s="20">
        <f>IF('M2 Allocations - TD'!BS5="","",'M2 Allocations - TD'!BS31)</f>
        <v>0</v>
      </c>
      <c r="BU27" s="20">
        <f>IF('M2 Allocations - TD'!BT5="","",'M2 Allocations - TD'!BT31)</f>
        <v>0</v>
      </c>
      <c r="BV27" s="20">
        <f>IF('M2 Allocations - TD'!BU5="","",'M2 Allocations - TD'!BU31)</f>
        <v>0</v>
      </c>
      <c r="BW27" s="20">
        <f>IF('M2 Allocations - TD'!BV5="","",'M2 Allocations - TD'!BV31)</f>
        <v>0</v>
      </c>
      <c r="BX27" s="20">
        <f>IF('M2 Allocations - TD'!BW5="","",'M2 Allocations - TD'!BW31)</f>
        <v>0</v>
      </c>
      <c r="BY27" s="20">
        <f>IF('M2 Allocations - TD'!BX5="","",'M2 Allocations - TD'!BX31)</f>
        <v>0</v>
      </c>
      <c r="BZ27" s="20">
        <f>IF('M2 Allocations - TD'!BY5="","",'M2 Allocations - TD'!BY31)</f>
        <v>0</v>
      </c>
      <c r="CA27" s="20">
        <f>IF('M2 Allocations - TD'!BZ5="","",'M2 Allocations - TD'!BZ31)</f>
        <v>0</v>
      </c>
      <c r="CB27" s="20">
        <f>IF('M2 Allocations - TD'!CA5="","",'M2 Allocations - TD'!CA31)</f>
        <v>0</v>
      </c>
      <c r="CC27" s="20">
        <f>IF('M2 Allocations - TD'!CB5="","",'M2 Allocations - TD'!CB31)</f>
        <v>0</v>
      </c>
      <c r="CD27" s="20">
        <f>IF('M2 Allocations - TD'!CC5="","",'M2 Allocations - TD'!CC31)</f>
        <v>0</v>
      </c>
      <c r="CE27" s="20">
        <f>IF('M2 Allocations - TD'!CD5="","",'M2 Allocations - TD'!CD31)</f>
        <v>0</v>
      </c>
      <c r="CF27" s="20">
        <f>IF('M2 Allocations - TD'!CE5="","",'M2 Allocations - TD'!CE31)</f>
        <v>0</v>
      </c>
      <c r="CG27" s="20">
        <f>IF('M2 Allocations - TD'!CF5="","",'M2 Allocations - TD'!CF31)</f>
        <v>0</v>
      </c>
      <c r="CH27" s="20">
        <f>IF('M2 Allocations - TD'!CG5="","",'M2 Allocations - TD'!CG31)</f>
        <v>0</v>
      </c>
      <c r="CI27" s="20">
        <f>IF('M2 Allocations - TD'!CH5="","",'M2 Allocations - TD'!CH31)</f>
        <v>0</v>
      </c>
      <c r="CJ27" s="20">
        <f>IF('M2 Allocations - TD'!CI5="","",'M2 Allocations - TD'!CI31)</f>
        <v>0</v>
      </c>
      <c r="CK27" s="20">
        <f>IF('M2 Allocations - TD'!CJ5="","",'M2 Allocations - TD'!CJ31)</f>
        <v>0</v>
      </c>
      <c r="CL27" s="20">
        <f>IF('M2 Allocations - TD'!CK5="","",'M2 Allocations - TD'!CK31)</f>
        <v>0</v>
      </c>
      <c r="CM27" s="20">
        <f>IF('M2 Allocations - TD'!CL5="","",'M2 Allocations - TD'!CL31)</f>
        <v>0</v>
      </c>
      <c r="CN27" s="20">
        <f>IF('M2 Allocations - TD'!CM5="","",'M2 Allocations - TD'!CM31)</f>
        <v>0</v>
      </c>
      <c r="CO27" s="20">
        <f>IF('M2 Allocations - TD'!CN5="","",'M2 Allocations - TD'!CN31)</f>
        <v>0</v>
      </c>
      <c r="CP27" s="20">
        <f>IF('M2 Allocations - TD'!CO5="","",'M2 Allocations - TD'!CO31)</f>
        <v>0</v>
      </c>
      <c r="CQ27" s="20">
        <f>IF('M2 Allocations - TD'!CP5="","",'M2 Allocations - TD'!CP31)</f>
        <v>0</v>
      </c>
      <c r="CR27" s="20">
        <f>IF('M2 Allocations - TD'!CQ5="","",'M2 Allocations - TD'!CQ31)</f>
        <v>0</v>
      </c>
      <c r="CS27" s="20">
        <f>IF('M2 Allocations - TD'!CR5="","",'M2 Allocations - TD'!CR31)</f>
        <v>0</v>
      </c>
      <c r="CT27" s="20">
        <f>IF('M2 Allocations - TD'!CS5="","",'M2 Allocations - TD'!CS31)</f>
        <v>0</v>
      </c>
      <c r="CU27" s="20">
        <f>IF('M2 Allocations - TD'!CT5="","",'M2 Allocations - TD'!CT31)</f>
        <v>0</v>
      </c>
    </row>
    <row r="28" spans="1:99" s="4" customFormat="1" ht="15" hidden="1" customHeight="1" outlineLevel="1" x14ac:dyDescent="0.35">
      <c r="A28" s="295"/>
      <c r="B28" s="16" t="s">
        <v>26</v>
      </c>
      <c r="C28" s="24"/>
      <c r="D28" s="24"/>
      <c r="E28" s="22">
        <v>0</v>
      </c>
      <c r="F28" s="22">
        <v>0</v>
      </c>
      <c r="G28" s="22">
        <v>12454.76</v>
      </c>
      <c r="H28" s="22">
        <v>191642.45</v>
      </c>
      <c r="I28" s="22">
        <v>257925.06</v>
      </c>
      <c r="J28" s="22">
        <v>258848.42</v>
      </c>
      <c r="K28" s="22">
        <v>234125.18</v>
      </c>
      <c r="L28" s="22">
        <v>166948.49</v>
      </c>
      <c r="M28" s="22">
        <v>136842.14000000001</v>
      </c>
      <c r="N28" s="22">
        <v>210493.55</v>
      </c>
      <c r="O28" s="22">
        <v>406285.42</v>
      </c>
      <c r="P28" s="22">
        <f>1370046.97-157.19</f>
        <v>1369889.78</v>
      </c>
      <c r="Q28" s="22">
        <f>1103156-126.94</f>
        <v>1103029.06</v>
      </c>
      <c r="R28" s="20">
        <f>IF('M2 Allocations - TD'!Q50="","",'M2 Allocations - TD'!Q68)</f>
        <v>983976.8055998187</v>
      </c>
      <c r="S28" s="20">
        <f>IF('M2 Allocations - TD'!R50="","",'M2 Allocations - TD'!R68)</f>
        <v>936126.67058040295</v>
      </c>
      <c r="T28" s="20">
        <f>IF('M2 Allocations - TD'!S50="","",'M2 Allocations - TD'!S68)</f>
        <v>1254886.244789884</v>
      </c>
      <c r="U28" s="20">
        <f>IF('M2 Allocations - TD'!T50="","",'M2 Allocations - TD'!T68)</f>
        <v>1666724.2213379955</v>
      </c>
      <c r="V28" s="20">
        <f>IF('M2 Allocations - TD'!U50="","",'M2 Allocations - TD'!U68)</f>
        <v>1687867.967739454</v>
      </c>
      <c r="W28" s="20">
        <f>IF('M2 Allocations - TD'!V50="","",'M2 Allocations - TD'!V68)</f>
        <v>1336984.8118306769</v>
      </c>
      <c r="X28" s="20">
        <f>IF('M2 Allocations - TD'!W50="","",'M2 Allocations - TD'!W68)</f>
        <v>1174985.3507627479</v>
      </c>
      <c r="Y28" s="20">
        <f>IF('M2 Allocations - TD'!X50="","",'M2 Allocations - TD'!X68)</f>
        <v>1029531.6444714632</v>
      </c>
      <c r="Z28" s="20">
        <f>IF('M2 Allocations - TD'!Y50="","",'M2 Allocations - TD'!Y68)</f>
        <v>1326453.2350570641</v>
      </c>
      <c r="AA28" s="20">
        <f>IF('M2 Allocations - TD'!Z50="","",'M2 Allocations - TD'!Z68)</f>
        <v>2030661.7411402338</v>
      </c>
      <c r="AB28" s="20">
        <f>IF('M2 Allocations - TD'!AA50="","",'M2 Allocations - TD'!AA68)</f>
        <v>1388250.35</v>
      </c>
      <c r="AC28" s="20">
        <f>IF('M2 Allocations - TD'!AB50="","",'M2 Allocations - TD'!AB68)</f>
        <v>1120654.6531242458</v>
      </c>
      <c r="AD28" s="20">
        <f>IF('M2 Allocations - TD'!AC50="","",'M2 Allocations - TD'!AC68)</f>
        <v>1082451.6725849968</v>
      </c>
      <c r="AE28" s="20">
        <f>IF('M2 Allocations - TD'!AD50="","",'M2 Allocations - TD'!AD68)</f>
        <v>880251.85351460415</v>
      </c>
      <c r="AF28" s="20">
        <f>IF('M2 Allocations - TD'!AE50="","",'M2 Allocations - TD'!AE68)</f>
        <v>1301284.1891339927</v>
      </c>
      <c r="AG28" s="20">
        <f>IF('M2 Allocations - TD'!AF50="","",'M2 Allocations - TD'!AF68)</f>
        <v>1524704.8572049867</v>
      </c>
      <c r="AH28" s="20">
        <f>IF('M2 Allocations - TD'!AG50="","",'M2 Allocations - TD'!AG68)</f>
        <v>1366723.6950669868</v>
      </c>
      <c r="AI28" s="20">
        <f>IF('M2 Allocations - TD'!AH50="","",'M2 Allocations - TD'!AH68)</f>
        <v>1314605.108458352</v>
      </c>
      <c r="AJ28" s="20">
        <f>IF('M2 Allocations - TD'!AI50="","",'M2 Allocations - TD'!AI68)</f>
        <v>1020432.9529194708</v>
      </c>
      <c r="AK28" s="20">
        <f>IF('M2 Allocations - TD'!AJ50="","",'M2 Allocations - TD'!AJ68)</f>
        <v>950195.40735321853</v>
      </c>
      <c r="AL28" s="20">
        <f>IF('M2 Allocations - TD'!AK50="","",'M2 Allocations - TD'!AK68)</f>
        <v>1320371.9817385538</v>
      </c>
      <c r="AM28" s="20">
        <f>IF('M2 Allocations - TD'!AL50="","",'M2 Allocations - TD'!AL68)</f>
        <v>1462433.5546846255</v>
      </c>
      <c r="AN28" s="20">
        <f>IF('M2 Allocations - TD'!AM50="","",'M2 Allocations - TD'!AM68)</f>
        <v>1529137.4028414818</v>
      </c>
      <c r="AO28" s="20">
        <f>IF('M2 Allocations - TD'!AN50="","",'M2 Allocations - TD'!AN68)</f>
        <v>1378360.7270812315</v>
      </c>
      <c r="AP28" s="20">
        <f>IF('M2 Allocations - TD'!AO50="","",'M2 Allocations - TD'!AO68)</f>
        <v>951160.98963883938</v>
      </c>
      <c r="AQ28" s="20">
        <f>IF('M2 Allocations - TD'!AP50="","",'M2 Allocations - TD'!AP68)</f>
        <v>807723.67786616471</v>
      </c>
      <c r="AR28" s="20">
        <f>IF('M2 Allocations - TD'!AQ50="","",'M2 Allocations - TD'!AQ68)</f>
        <v>1071830.4459348798</v>
      </c>
      <c r="AS28" s="20">
        <f>IF('M2 Allocations - TD'!AR50="","",'M2 Allocations - TD'!AR68)</f>
        <v>1361027.792333117</v>
      </c>
      <c r="AT28" s="20">
        <f>IF('M2 Allocations - TD'!AS50="","",'M2 Allocations - TD'!AS68)</f>
        <v>1432733.48651519</v>
      </c>
      <c r="AU28" s="20">
        <f>IF('M2 Allocations - TD'!AT50="","",'M2 Allocations - TD'!AT68)</f>
        <v>1322179.2642833882</v>
      </c>
      <c r="AV28" s="20">
        <f>IF('M2 Allocations - TD'!AU50="","",'M2 Allocations - TD'!AU68)</f>
        <v>1087865.4265500808</v>
      </c>
      <c r="AW28" s="20">
        <f>IF('M2 Allocations - TD'!AV50="","",'M2 Allocations - TD'!AV68)</f>
        <v>979499.93887924904</v>
      </c>
      <c r="AX28" s="20">
        <f>IF('M2 Allocations - TD'!AW50="","",'M2 Allocations - TD'!AW68)</f>
        <v>1315854.6359199637</v>
      </c>
      <c r="AY28" s="20">
        <f>IF('M2 Allocations - TD'!AX50="","",'M2 Allocations - TD'!AX68)</f>
        <v>1452342.8430098211</v>
      </c>
      <c r="AZ28" s="20">
        <f>IF('M2 Allocations - TD'!AY50="","",'M2 Allocations - TD'!AY68)</f>
        <v>852786.52127385803</v>
      </c>
      <c r="BA28" s="20">
        <f>IF('M2 Allocations - TD'!AZ50="","",'M2 Allocations - TD'!AZ68)</f>
        <v>125873.38282544476</v>
      </c>
      <c r="BB28" s="20">
        <f>IF('M2 Allocations - TD'!BA50="","",'M2 Allocations - TD'!BA68)</f>
        <v>94402.787188311384</v>
      </c>
      <c r="BC28" s="20">
        <f>IF('M2 Allocations - TD'!BB50="","",'M2 Allocations - TD'!BB68)</f>
        <v>84175.513069788271</v>
      </c>
      <c r="BD28" s="20">
        <f>IF('M2 Allocations - TD'!BC50="","",'M2 Allocations - TD'!BC68)</f>
        <v>111088.05405709325</v>
      </c>
      <c r="BE28" s="20">
        <f>IF('M2 Allocations - TD'!BD50="","",'M2 Allocations - TD'!BD68)</f>
        <v>148912.4914773225</v>
      </c>
      <c r="BF28" s="20">
        <f>IF('M2 Allocations - TD'!BE50="","",'M2 Allocations - TD'!BE68)</f>
        <v>139614.44094102815</v>
      </c>
      <c r="BG28" s="20">
        <f>IF('M2 Allocations - TD'!BF50="","",'M2 Allocations - TD'!BF68)</f>
        <v>125976.71022904465</v>
      </c>
      <c r="BH28" s="20">
        <f>IF('M2 Allocations - TD'!BG50="","",'M2 Allocations - TD'!BG68)</f>
        <v>85433.845861912778</v>
      </c>
      <c r="BI28" s="20">
        <f>IF('M2 Allocations - TD'!BH50="","",'M2 Allocations - TD'!BH68)</f>
        <v>91258.917890257697</v>
      </c>
      <c r="BJ28" s="20">
        <f>IF('M2 Allocations - TD'!BI50="","",'M2 Allocations - TD'!BI68)</f>
        <v>120857.06275512144</v>
      </c>
      <c r="BK28" s="20">
        <f>IF('M2 Allocations - TD'!BJ50="","",'M2 Allocations - TD'!BJ68)</f>
        <v>157131.76386056477</v>
      </c>
      <c r="BL28" s="20">
        <f>IF('M2 Allocations - TD'!BK50="","",'M2 Allocations - TD'!BK68)</f>
        <v>-115197.03218943029</v>
      </c>
      <c r="BM28" s="20">
        <f>IF('M2 Allocations - TD'!BL50="","",'M2 Allocations - TD'!BL68)</f>
        <v>-330846.44785598782</v>
      </c>
      <c r="BN28" s="20">
        <f>IF('M2 Allocations - TD'!BM50="","",'M2 Allocations - TD'!BM68)</f>
        <v>-223865.36362995688</v>
      </c>
      <c r="BO28" s="20">
        <f>IF('M2 Allocations - TD'!BN50="","",'M2 Allocations - TD'!BN68)</f>
        <v>-210176.78057078717</v>
      </c>
      <c r="BP28" s="20">
        <f>IF('M2 Allocations - TD'!BO50="","",'M2 Allocations - TD'!BO68)</f>
        <v>-274664.86631310626</v>
      </c>
      <c r="BQ28" s="20">
        <f>IF('M2 Allocations - TD'!BP50="","",'M2 Allocations - TD'!BP68)</f>
        <v>-362529.15554440091</v>
      </c>
      <c r="BR28" s="20">
        <f>IF('M2 Allocations - TD'!BQ50="","",'M2 Allocations - TD'!BQ68)</f>
        <v>-369792.94310600177</v>
      </c>
      <c r="BS28" s="20">
        <f>IF('M2 Allocations - TD'!BR50="","",'M2 Allocations - TD'!BR68)</f>
        <v>-363385.55298456381</v>
      </c>
      <c r="BT28" s="20">
        <f>IF('M2 Allocations - TD'!BS50="","",'M2 Allocations - TD'!BS68)</f>
        <v>-252118.8064792598</v>
      </c>
      <c r="BU28" s="20">
        <f>IF('M2 Allocations - TD'!BT50="","",'M2 Allocations - TD'!BT68)</f>
        <v>-236659.87723249063</v>
      </c>
      <c r="BV28" s="20">
        <f>IF('M2 Allocations - TD'!BU50="","",'M2 Allocations - TD'!BU68)</f>
        <v>-296177.30566513271</v>
      </c>
      <c r="BW28" s="20">
        <f>IF('M2 Allocations - TD'!BV50="","",'M2 Allocations - TD'!BV68)</f>
        <v>-381804.14898688439</v>
      </c>
      <c r="BX28" s="20">
        <f>IF('M2 Allocations - TD'!BW50="","",'M2 Allocations - TD'!BW68)</f>
        <v>-246708.5763060193</v>
      </c>
      <c r="BY28" s="20">
        <f>IF('M2 Allocations - TD'!BX50="","",'M2 Allocations - TD'!BX68)</f>
        <v>-14067.704131906468</v>
      </c>
      <c r="BZ28" s="20">
        <f>IF('M2 Allocations - TD'!BY50="","",'M2 Allocations - TD'!BY68)</f>
        <v>-8075.3701007850805</v>
      </c>
      <c r="CA28" s="20">
        <f>IF('M2 Allocations - TD'!BZ50="","",'M2 Allocations - TD'!BZ68)</f>
        <v>-8069.5010685150701</v>
      </c>
      <c r="CB28" s="20">
        <f>IF('M2 Allocations - TD'!CA50="","",'M2 Allocations - TD'!CA68)</f>
        <v>-10523.960092720119</v>
      </c>
      <c r="CC28" s="20">
        <f>IF('M2 Allocations - TD'!CB50="","",'M2 Allocations - TD'!CB68)</f>
        <v>-14468.941204805698</v>
      </c>
      <c r="CD28" s="20">
        <f>IF('M2 Allocations - TD'!CC50="","",'M2 Allocations - TD'!CC68)</f>
        <v>-13654.530108070918</v>
      </c>
      <c r="CE28" s="20">
        <f>IF('M2 Allocations - TD'!CD50="","",'M2 Allocations - TD'!CD68)</f>
        <v>-11445.528735503302</v>
      </c>
      <c r="CF28" s="20">
        <f>IF('M2 Allocations - TD'!CE50="","",'M2 Allocations - TD'!CE68)</f>
        <v>-8161.2905921701886</v>
      </c>
      <c r="CG28" s="20">
        <f>IF('M2 Allocations - TD'!CF50="","",'M2 Allocations - TD'!CF68)</f>
        <v>-7466.1740536377019</v>
      </c>
      <c r="CH28" s="20">
        <f>IF('M2 Allocations - TD'!CG50="","",'M2 Allocations - TD'!CG68)</f>
        <v>-11799.60123590958</v>
      </c>
      <c r="CI28" s="20">
        <f>IF('M2 Allocations - TD'!CH50="","",'M2 Allocations - TD'!CH68)</f>
        <v>-14218.800814047187</v>
      </c>
      <c r="CJ28" s="20">
        <f>IF('M2 Allocations - TD'!CI50="","",'M2 Allocations - TD'!CI68)</f>
        <v>1128.7472916282129</v>
      </c>
      <c r="CK28" s="20">
        <f>IF('M2 Allocations - TD'!CJ50="","",'M2 Allocations - TD'!CJ68)</f>
        <v>17063.412176146543</v>
      </c>
      <c r="CL28" s="20">
        <f>IF('M2 Allocations - TD'!CK50="","",'M2 Allocations - TD'!CK68)</f>
        <v>14834.032673913982</v>
      </c>
      <c r="CM28" s="20">
        <f>IF('M2 Allocations - TD'!CL50="","",'M2 Allocations - TD'!CL68)</f>
        <v>12618.250319023464</v>
      </c>
      <c r="CN28" s="20">
        <f>IF('M2 Allocations - TD'!CM50="","",'M2 Allocations - TD'!CM68)</f>
        <v>16278.292305872981</v>
      </c>
      <c r="CO28" s="20">
        <f>IF('M2 Allocations - TD'!CN50="","",'M2 Allocations - TD'!CN68)</f>
        <v>21270.90679048586</v>
      </c>
      <c r="CP28" s="20">
        <f>IF('M2 Allocations - TD'!CO50="","",'M2 Allocations - TD'!CO68)</f>
        <v>21946.695895800647</v>
      </c>
      <c r="CQ28" s="20">
        <f>IF('M2 Allocations - TD'!CP50="","",'M2 Allocations - TD'!CP68)</f>
        <v>20318.680329761581</v>
      </c>
      <c r="CR28" s="20">
        <f>IF('M2 Allocations - TD'!CQ50="","",'M2 Allocations - TD'!CQ68)</f>
        <v>14782.334123161956</v>
      </c>
      <c r="CS28" s="20">
        <f>IF('M2 Allocations - TD'!CR50="","",'M2 Allocations - TD'!CR68)</f>
        <v>13717.467359332448</v>
      </c>
      <c r="CT28" s="20">
        <f>IF('M2 Allocations - TD'!CS50="","",'M2 Allocations - TD'!CS68)</f>
        <v>18751.361390708989</v>
      </c>
      <c r="CU28" s="20">
        <f>IF('M2 Allocations - TD'!CT50="","",'M2 Allocations - TD'!CT68)</f>
        <v>24563.298264589041</v>
      </c>
    </row>
    <row r="29" spans="1:99" s="4" customFormat="1" ht="15" hidden="1" customHeight="1" outlineLevel="1" x14ac:dyDescent="0.35">
      <c r="A29" s="295"/>
      <c r="B29" s="16" t="s">
        <v>51</v>
      </c>
      <c r="C29" s="24"/>
      <c r="D29" s="24"/>
      <c r="E29" s="22"/>
      <c r="F29" s="22"/>
      <c r="G29" s="22"/>
      <c r="H29" s="22"/>
      <c r="I29" s="22"/>
      <c r="J29" s="22"/>
      <c r="K29" s="22"/>
      <c r="L29" s="22"/>
      <c r="M29" s="22"/>
      <c r="N29" s="22"/>
      <c r="O29" s="22">
        <f>+'M2 TD amort'!C8</f>
        <v>0</v>
      </c>
      <c r="P29" s="22">
        <f>IF(P28="","",-'M2 TD amort'!D8)</f>
        <v>-711911.22</v>
      </c>
      <c r="Q29" s="22">
        <f>IF(Q28="","",-'M2 TD amort'!E8)</f>
        <v>-573227.69999999995</v>
      </c>
      <c r="R29" s="20">
        <f>IF(R28="","",-'M2 TD amort'!F8)</f>
        <v>-501096.29</v>
      </c>
      <c r="S29" s="20">
        <f>IF(S28="","",-'M2 TD amort'!G8)</f>
        <v>-477583.74</v>
      </c>
      <c r="T29" s="20">
        <f>IF(T28="","",-'M2 TD amort'!H8)</f>
        <v>-641985.30000000005</v>
      </c>
      <c r="U29" s="20">
        <f>IF(U28="","",-'M2 TD amort'!I8)</f>
        <v>-854211.51</v>
      </c>
      <c r="V29" s="20">
        <f>IF(V28="","",-'M2 TD amort'!J8)</f>
        <v>-864751.39</v>
      </c>
      <c r="W29" s="20">
        <f>IF(W28="","",-'M2 TD amort'!K8)</f>
        <v>-683761.31</v>
      </c>
      <c r="X29" s="20">
        <f>IF(X28="","",-'M2 TD amort'!L8)</f>
        <v>-600310.41</v>
      </c>
      <c r="Y29" s="20">
        <f>IF(Y28="","",-'M2 TD amort'!M8)</f>
        <v>-524179.13</v>
      </c>
      <c r="Z29" s="20">
        <f>IF(Z28="","",-'M2 TD amort'!N8)</f>
        <v>-675963.66</v>
      </c>
      <c r="AA29" s="20">
        <f>IF(AA28="","",-'M2 TD amort'!O8)</f>
        <v>-1036876.86</v>
      </c>
      <c r="AB29" s="20">
        <f>IF(AB28="","",-'M2 TD amort'!P8)</f>
        <v>46701.32</v>
      </c>
      <c r="AC29" s="20">
        <f>IF(AC28="","",-'M2 TD amort'!Q8)</f>
        <v>37642.160000000003</v>
      </c>
      <c r="AD29" s="20">
        <f>IF(AD28="","",-'M2 TD amort'!R8)</f>
        <v>36342.15</v>
      </c>
      <c r="AE29" s="20">
        <f>IF(AE28="","",-'M2 TD amort'!S8)</f>
        <v>29599.11</v>
      </c>
      <c r="AF29" s="20">
        <f>IF(AF28="","",-'M2 TD amort'!T8)</f>
        <v>43963.199999999997</v>
      </c>
      <c r="AG29" s="20">
        <f>IF(AG28="","",-'M2 TD amort'!U8)</f>
        <v>51549.48</v>
      </c>
      <c r="AH29" s="20">
        <f>IF(AH28="","",-'M2 TD amort'!V8)</f>
        <v>46197.58</v>
      </c>
      <c r="AI29" s="20">
        <f>IF(AI28="","",-'M2 TD amort'!W8)</f>
        <v>44433.38</v>
      </c>
      <c r="AJ29" s="20">
        <f>IF(AJ28="","",-'M2 TD amort'!X8)</f>
        <v>34383.949999999997</v>
      </c>
      <c r="AK29" s="20">
        <f>IF(AK28="","",-'M2 TD amort'!Y8)</f>
        <v>31905.63</v>
      </c>
      <c r="AL29" s="20">
        <f>IF(AL28="","",-'M2 TD amort'!Z8)</f>
        <v>44394.77</v>
      </c>
      <c r="AM29" s="20">
        <f>IF(AM28="","",-'M2 TD amort'!AA8)</f>
        <v>49232.21</v>
      </c>
      <c r="AN29" s="20">
        <f>IF(AN28="","",-'M2 TD amort'!AB8)</f>
        <v>216071.84</v>
      </c>
      <c r="AO29" s="20">
        <f>IF(AO28="","",-'M2 TD amort'!AC8)</f>
        <v>194591.59</v>
      </c>
      <c r="AP29" s="20">
        <f>IF(AP28="","",-'M2 TD amort'!AD8)</f>
        <v>134071.35999999999</v>
      </c>
      <c r="AQ29" s="20">
        <f>IF(AQ28="","",-'M2 TD amort'!AE8)</f>
        <v>113984.64</v>
      </c>
      <c r="AR29" s="20">
        <f>IF(AR28="","",-'M2 TD amort'!AF8)</f>
        <v>151800.88</v>
      </c>
      <c r="AS29" s="20">
        <f>IF(AS28="","",-'M2 TD amort'!AG8)</f>
        <v>193122.18</v>
      </c>
      <c r="AT29" s="20">
        <f>IF(AT28="","",-'M2 TD amort'!AH8)</f>
        <v>203284.46</v>
      </c>
      <c r="AU29" s="20">
        <f>IF(AU28="","",-'M2 TD amort'!AI8)</f>
        <v>187531.79</v>
      </c>
      <c r="AV29" s="20">
        <f>IF(AV28="","",-'M2 TD amort'!AJ8)</f>
        <v>154102.16</v>
      </c>
      <c r="AW29" s="20">
        <f>IF(AW28="","",-'M2 TD amort'!AK8)</f>
        <v>138255.22</v>
      </c>
      <c r="AX29" s="20">
        <f>IF(AX28="","",-'M2 TD amort'!AL8)</f>
        <v>186023.43</v>
      </c>
      <c r="AY29" s="20">
        <f>IF(AY28="","",-'M2 TD amort'!AM8)</f>
        <v>205426.33</v>
      </c>
      <c r="AZ29" s="20">
        <f>IF(AZ28="","",-'M2 TD amort'!AN8)</f>
        <v>594409.85</v>
      </c>
      <c r="BA29" s="20">
        <f>IF(BA28="","",-'M2 TD amort'!AO8)</f>
        <v>87726.16</v>
      </c>
      <c r="BB29" s="20">
        <f>IF(BB28="","",-'M2 TD amort'!AP8)</f>
        <v>65829.27</v>
      </c>
      <c r="BC29" s="20">
        <f>IF(BC28="","",-'M2 TD amort'!AQ8)</f>
        <v>58757.52</v>
      </c>
      <c r="BD29" s="20">
        <f>IF(BD28="","",-'M2 TD amort'!AR8)</f>
        <v>77792.009999999995</v>
      </c>
      <c r="BE29" s="20">
        <f>IF(BE28="","",-'M2 TD amort'!AS8)</f>
        <v>104447.8</v>
      </c>
      <c r="BF29" s="20">
        <f>IF(BF28="","",-'M2 TD amort'!AT8)</f>
        <v>97903.88</v>
      </c>
      <c r="BG29" s="20">
        <f>IF(BG28="","",-'M2 TD amort'!AU8)</f>
        <v>88306.68</v>
      </c>
      <c r="BH29" s="20">
        <f>IF(BH28="","",-'M2 TD amort'!AV8)</f>
        <v>59672.800000000003</v>
      </c>
      <c r="BI29" s="20">
        <f>IF(BI28="","",-'M2 TD amort'!AW8)</f>
        <v>63668.09</v>
      </c>
      <c r="BJ29" s="20">
        <f>IF(BJ28="","",-'M2 TD amort'!AX8)</f>
        <v>84398.080000000002</v>
      </c>
      <c r="BK29" s="20">
        <f>IF(BK28="","",-'M2 TD amort'!AY8)</f>
        <v>109860.73</v>
      </c>
      <c r="BL29" s="20">
        <f>IF(BL28="","",-'M2 TD amort'!AZ8)</f>
        <v>113458.01</v>
      </c>
      <c r="BM29" s="20">
        <f>IF(BM28="","",-'M2 TD amort'!BA8)</f>
        <v>325175.89</v>
      </c>
      <c r="BN29" s="20">
        <f>IF(BN28="","",-'M2 TD amort'!BB8)</f>
        <v>219552.89</v>
      </c>
      <c r="BO29" s="20">
        <f>IF(BO28="","",-'M2 TD amort'!BC8)</f>
        <v>206267.22</v>
      </c>
      <c r="BP29" s="20">
        <f>IF(BP28="","",-'M2 TD amort'!BD8)</f>
        <v>270595.87</v>
      </c>
      <c r="BQ29" s="20">
        <f>IF(BQ28="","",-'M2 TD amort'!BE8)</f>
        <v>357386.66</v>
      </c>
      <c r="BR29" s="20">
        <f>IF(BR28="","",-'M2 TD amort'!BF8)</f>
        <v>364675.44</v>
      </c>
      <c r="BS29" s="20">
        <f>IF(BS28="","",-'M2 TD amort'!BG8)</f>
        <v>358208.47</v>
      </c>
      <c r="BT29" s="20">
        <f>IF(BT28="","",-'M2 TD amort'!BH8)</f>
        <v>248050.58</v>
      </c>
      <c r="BU29" s="20">
        <f>IF(BU28="","",-'M2 TD amort'!BI8)</f>
        <v>232427.07</v>
      </c>
      <c r="BV29" s="20">
        <f>IF(BV28="","",-'M2 TD amort'!BJ8)</f>
        <v>290836.61</v>
      </c>
      <c r="BW29" s="20">
        <f>IF(BW28="","",-'M2 TD amort'!BK8)</f>
        <v>375935.37</v>
      </c>
      <c r="BX29" s="20">
        <f>IF(BX28="","",-'M2 TD amort'!BL8)</f>
        <v>242680.23</v>
      </c>
      <c r="BY29" s="20">
        <f>IF(BY28="","",-'M2 TD amort'!BM8)</f>
        <v>13830.45</v>
      </c>
      <c r="BZ29" s="20">
        <f>IF(BZ28="","",-'M2 TD amort'!BN8)</f>
        <v>7909.14</v>
      </c>
      <c r="CA29" s="20">
        <f>IF(CA28="","",-'M2 TD amort'!BO8)</f>
        <v>7927.25</v>
      </c>
      <c r="CB29" s="20">
        <f>IF(CB28="","",-'M2 TD amort'!BP8)</f>
        <v>10364.700000000001</v>
      </c>
      <c r="CC29" s="20">
        <f>IF(CC28="","",-'M2 TD amort'!BQ8)</f>
        <v>14271.87</v>
      </c>
      <c r="CD29" s="20">
        <f>IF(CD28="","",-'M2 TD amort'!BR8)</f>
        <v>13453.18</v>
      </c>
      <c r="CE29" s="20">
        <f>IF(CE28="","",-'M2 TD amort'!BS8)</f>
        <v>11260.05</v>
      </c>
      <c r="CF29" s="20">
        <f>IF(CF28="","",-'M2 TD amort'!BT8)</f>
        <v>8003.94</v>
      </c>
      <c r="CG29" s="20">
        <f>IF(CG28="","",-'M2 TD amort'!BU8)</f>
        <v>7297.68</v>
      </c>
      <c r="CH29" s="20">
        <f>IF(CH28="","",-'M2 TD amort'!BV8)</f>
        <v>11546.44</v>
      </c>
      <c r="CI29" s="20">
        <f>IF(CI28="","",-'M2 TD amort'!BW8)</f>
        <v>13951.26</v>
      </c>
      <c r="CJ29" s="20">
        <f>IF(CJ28="","",-'M2 TD amort'!BX8)</f>
        <v>-1126.4100000000001</v>
      </c>
      <c r="CK29" s="20">
        <f>IF(CK28="","",-'M2 TD amort'!BY8)</f>
        <v>-16692.439999999999</v>
      </c>
      <c r="CL29" s="20">
        <f>IF(CL28="","",-'M2 TD amort'!BZ8)</f>
        <v>-14494.89</v>
      </c>
      <c r="CM29" s="20">
        <f>IF(CM28="","",-'M2 TD amort'!CA8)</f>
        <v>-12335.8</v>
      </c>
      <c r="CN29" s="20">
        <f>IF(CN28="","",-'M2 TD amort'!CB8)</f>
        <v>-15962.84</v>
      </c>
      <c r="CO29" s="20">
        <f>IF(CO28="","",-'M2 TD amort'!CC8)</f>
        <v>-20902.03</v>
      </c>
      <c r="CP29" s="20">
        <f>IF(CP28="","",-'M2 TD amort'!CD8)</f>
        <v>-21552.2</v>
      </c>
      <c r="CQ29" s="20">
        <f>IF(CQ28="","",-'M2 TD amort'!CE8)</f>
        <v>-19936.310000000001</v>
      </c>
      <c r="CR29" s="20">
        <f>IF(CR28="","",-'M2 TD amort'!CF8)</f>
        <v>-14454.45</v>
      </c>
      <c r="CS29" s="20">
        <f>IF(CS28="","",-'M2 TD amort'!CG8)</f>
        <v>-13413.24</v>
      </c>
      <c r="CT29" s="20">
        <f>IF(CT28="","",-'M2 TD amort'!CH8)</f>
        <v>-18378.79</v>
      </c>
      <c r="CU29" s="20">
        <f>IF(CU28="","",-'M2 TD amort'!CI8)</f>
        <v>-24115.97</v>
      </c>
    </row>
    <row r="30" spans="1:99" s="4" customFormat="1" ht="15" hidden="1" customHeight="1" outlineLevel="1" x14ac:dyDescent="0.35">
      <c r="A30" s="295"/>
      <c r="B30" s="16" t="s">
        <v>52</v>
      </c>
      <c r="C30" s="24"/>
      <c r="D30" s="24"/>
      <c r="E30" s="7"/>
      <c r="F30" s="7"/>
      <c r="G30" s="7"/>
      <c r="H30" s="7"/>
      <c r="I30" s="7"/>
      <c r="J30" s="7"/>
      <c r="K30" s="7"/>
      <c r="L30" s="7"/>
      <c r="M30" s="7"/>
      <c r="N30" s="7"/>
      <c r="O30" s="7">
        <f>IF(OR(O29="",O28=""),"",O28+O29)</f>
        <v>406285.42</v>
      </c>
      <c r="P30" s="7">
        <f>IF(OR(P29="",P28=""),"",P28+P29)</f>
        <v>657978.56000000006</v>
      </c>
      <c r="Q30" s="7">
        <f t="shared" ref="Q30:AM30" si="273">IF(OR(Q29="",Q28=""),"",Q28+Q29)</f>
        <v>529801.3600000001</v>
      </c>
      <c r="R30" s="7">
        <f t="shared" si="273"/>
        <v>482880.51559981873</v>
      </c>
      <c r="S30" s="7">
        <f t="shared" si="273"/>
        <v>458542.93058040296</v>
      </c>
      <c r="T30" s="7">
        <f t="shared" si="273"/>
        <v>612900.94478988391</v>
      </c>
      <c r="U30" s="7">
        <f t="shared" si="273"/>
        <v>812512.71133799548</v>
      </c>
      <c r="V30" s="7">
        <f t="shared" si="273"/>
        <v>823116.57773945399</v>
      </c>
      <c r="W30" s="7">
        <f t="shared" si="273"/>
        <v>653223.5018306768</v>
      </c>
      <c r="X30" s="7">
        <f t="shared" si="273"/>
        <v>574674.94076274789</v>
      </c>
      <c r="Y30" s="7">
        <f t="shared" si="273"/>
        <v>505352.51447146316</v>
      </c>
      <c r="Z30" s="7">
        <f t="shared" si="273"/>
        <v>650489.57505706407</v>
      </c>
      <c r="AA30" s="7">
        <f>IF(OR(AA29="",AA28=""),"",AA28+AA29)</f>
        <v>993784.88114023383</v>
      </c>
      <c r="AB30" s="7">
        <f t="shared" si="273"/>
        <v>1434951.6700000002</v>
      </c>
      <c r="AC30" s="7">
        <f t="shared" si="273"/>
        <v>1158296.8131242457</v>
      </c>
      <c r="AD30" s="7">
        <f t="shared" si="273"/>
        <v>1118793.8225849967</v>
      </c>
      <c r="AE30" s="7">
        <f t="shared" si="273"/>
        <v>909850.96351460414</v>
      </c>
      <c r="AF30" s="7">
        <f t="shared" si="273"/>
        <v>1345247.3891339926</v>
      </c>
      <c r="AG30" s="7">
        <f t="shared" si="273"/>
        <v>1576254.3372049867</v>
      </c>
      <c r="AH30" s="7">
        <f t="shared" si="273"/>
        <v>1412921.2750669869</v>
      </c>
      <c r="AI30" s="7">
        <f t="shared" si="273"/>
        <v>1359038.4884583519</v>
      </c>
      <c r="AJ30" s="7">
        <f t="shared" si="273"/>
        <v>1054816.9029194708</v>
      </c>
      <c r="AK30" s="7">
        <f t="shared" si="273"/>
        <v>982101.03735321853</v>
      </c>
      <c r="AL30" s="7">
        <f t="shared" si="273"/>
        <v>1364766.7517385539</v>
      </c>
      <c r="AM30" s="7">
        <f t="shared" si="273"/>
        <v>1511665.7646846254</v>
      </c>
      <c r="AN30" s="7">
        <f t="shared" ref="AN30:BJ30" si="274">IF(OR(AN29="",AN28=""),"",AN28+AN29)</f>
        <v>1745209.2428414819</v>
      </c>
      <c r="AO30" s="7">
        <f t="shared" si="274"/>
        <v>1572952.3170812316</v>
      </c>
      <c r="AP30" s="7">
        <f t="shared" si="274"/>
        <v>1085232.3496388393</v>
      </c>
      <c r="AQ30" s="7">
        <f t="shared" si="274"/>
        <v>921708.31786616473</v>
      </c>
      <c r="AR30" s="7">
        <f t="shared" si="274"/>
        <v>1223631.3259348799</v>
      </c>
      <c r="AS30" s="7">
        <f>IF(OR(AS29="",AS28=""),"",AS28+AS29)</f>
        <v>1554149.9723331169</v>
      </c>
      <c r="AT30" s="7">
        <f t="shared" si="274"/>
        <v>1636017.9465151899</v>
      </c>
      <c r="AU30" s="7">
        <f t="shared" si="274"/>
        <v>1509711.0542833882</v>
      </c>
      <c r="AV30" s="7">
        <f t="shared" si="274"/>
        <v>1241967.5865500807</v>
      </c>
      <c r="AW30" s="7">
        <f t="shared" si="274"/>
        <v>1117755.1588792491</v>
      </c>
      <c r="AX30" s="7">
        <f t="shared" si="274"/>
        <v>1501878.0659199636</v>
      </c>
      <c r="AY30" s="7">
        <f t="shared" si="274"/>
        <v>1657769.1730098212</v>
      </c>
      <c r="AZ30" s="7">
        <f t="shared" si="274"/>
        <v>1447196.371273858</v>
      </c>
      <c r="BA30" s="7">
        <f t="shared" si="274"/>
        <v>213599.54282544478</v>
      </c>
      <c r="BB30" s="7">
        <f t="shared" si="274"/>
        <v>160232.05718831139</v>
      </c>
      <c r="BC30" s="7">
        <f t="shared" si="274"/>
        <v>142933.03306978827</v>
      </c>
      <c r="BD30" s="7">
        <f t="shared" si="274"/>
        <v>188880.06405709323</v>
      </c>
      <c r="BE30" s="7">
        <f t="shared" si="274"/>
        <v>253360.29147732252</v>
      </c>
      <c r="BF30" s="7">
        <f t="shared" si="274"/>
        <v>237518.32094102816</v>
      </c>
      <c r="BG30" s="7">
        <f t="shared" si="274"/>
        <v>214283.39022904466</v>
      </c>
      <c r="BH30" s="7">
        <f t="shared" si="274"/>
        <v>145106.64586191278</v>
      </c>
      <c r="BI30" s="7">
        <f t="shared" si="274"/>
        <v>154927.00789025769</v>
      </c>
      <c r="BJ30" s="7">
        <f t="shared" si="274"/>
        <v>205255.14275512146</v>
      </c>
      <c r="BK30" s="7">
        <f t="shared" ref="BK30:BL30" si="275">IF(OR(BK29="",BK28=""),"",BK28+BK29)</f>
        <v>266992.49386056478</v>
      </c>
      <c r="BL30" s="7">
        <f t="shared" si="275"/>
        <v>-1739.0221894302958</v>
      </c>
      <c r="BM30" s="7">
        <f t="shared" ref="BM30:BN30" si="276">IF(OR(BM29="",BM28=""),"",BM28+BM29)</f>
        <v>-5670.5578559878049</v>
      </c>
      <c r="BN30" s="7">
        <f t="shared" si="276"/>
        <v>-4312.4736299568613</v>
      </c>
      <c r="BO30" s="7">
        <f t="shared" ref="BO30:BP30" si="277">IF(OR(BO29="",BO28=""),"",BO28+BO29)</f>
        <v>-3909.5605707871728</v>
      </c>
      <c r="BP30" s="7">
        <f t="shared" si="277"/>
        <v>-4068.9963131062686</v>
      </c>
      <c r="BQ30" s="7">
        <f t="shared" ref="BQ30:BR30" si="278">IF(OR(BQ29="",BQ28=""),"",BQ28+BQ29)</f>
        <v>-5142.4955444009393</v>
      </c>
      <c r="BR30" s="7">
        <f t="shared" si="278"/>
        <v>-5117.5031060017645</v>
      </c>
      <c r="BS30" s="7">
        <f t="shared" ref="BS30:BT30" si="279">IF(OR(BS29="",BS28=""),"",BS28+BS29)</f>
        <v>-5177.0829845638364</v>
      </c>
      <c r="BT30" s="7">
        <f t="shared" si="279"/>
        <v>-4068.2264792598144</v>
      </c>
      <c r="BU30" s="7">
        <f t="shared" ref="BU30:BV30" si="280">IF(OR(BU29="",BU28=""),"",BU28+BU29)</f>
        <v>-4232.8072324906243</v>
      </c>
      <c r="BV30" s="7">
        <f t="shared" si="280"/>
        <v>-5340.69566513272</v>
      </c>
      <c r="BW30" s="7">
        <f t="shared" ref="BW30:BX30" si="281">IF(OR(BW29="",BW28=""),"",BW28+BW29)</f>
        <v>-5868.7789868843975</v>
      </c>
      <c r="BX30" s="7">
        <f t="shared" si="281"/>
        <v>-4028.346306019288</v>
      </c>
      <c r="BY30" s="7">
        <f t="shared" ref="BY30:BZ30" si="282">IF(OR(BY29="",BY28=""),"",BY28+BY29)</f>
        <v>-237.25413190646759</v>
      </c>
      <c r="BZ30" s="7">
        <f t="shared" si="282"/>
        <v>-166.23010078508014</v>
      </c>
      <c r="CA30" s="7">
        <f t="shared" ref="CA30:CB30" si="283">IF(OR(CA29="",CA28=""),"",CA28+CA29)</f>
        <v>-142.25106851507007</v>
      </c>
      <c r="CB30" s="7">
        <f t="shared" si="283"/>
        <v>-159.26009272011834</v>
      </c>
      <c r="CC30" s="7">
        <f t="shared" ref="CC30:CD30" si="284">IF(OR(CC29="",CC28=""),"",CC28+CC29)</f>
        <v>-197.07120480569756</v>
      </c>
      <c r="CD30" s="7">
        <f t="shared" si="284"/>
        <v>-201.35010807091749</v>
      </c>
      <c r="CE30" s="7">
        <f t="shared" ref="CE30:CF30" si="285">IF(OR(CE29="",CE28=""),"",CE28+CE29)</f>
        <v>-185.47873550330223</v>
      </c>
      <c r="CF30" s="7">
        <f t="shared" si="285"/>
        <v>-157.35059217018897</v>
      </c>
      <c r="CG30" s="7">
        <f t="shared" ref="CG30:CH30" si="286">IF(OR(CG29="",CG28=""),"",CG28+CG29)</f>
        <v>-168.49405363770165</v>
      </c>
      <c r="CH30" s="7">
        <f t="shared" si="286"/>
        <v>-253.16123590957977</v>
      </c>
      <c r="CI30" s="7">
        <f t="shared" ref="CI30:CJ30" si="287">IF(OR(CI29="",CI28=""),"",CI28+CI29)</f>
        <v>-267.54081404718636</v>
      </c>
      <c r="CJ30" s="7">
        <f t="shared" si="287"/>
        <v>2.3372916282128244</v>
      </c>
      <c r="CK30" s="7">
        <f t="shared" ref="CK30:CL30" si="288">IF(OR(CK29="",CK28=""),"",CK28+CK29)</f>
        <v>370.97217614654437</v>
      </c>
      <c r="CL30" s="7">
        <f t="shared" si="288"/>
        <v>339.14267391398243</v>
      </c>
      <c r="CM30" s="7">
        <f t="shared" ref="CM30:CN30" si="289">IF(OR(CM29="",CM28=""),"",CM28+CM29)</f>
        <v>282.45031902346454</v>
      </c>
      <c r="CN30" s="7">
        <f t="shared" si="289"/>
        <v>315.45230587298101</v>
      </c>
      <c r="CO30" s="7">
        <f t="shared" ref="CO30:CP30" si="290">IF(OR(CO29="",CO28=""),"",CO28+CO29)</f>
        <v>368.87679048586142</v>
      </c>
      <c r="CP30" s="7">
        <f t="shared" si="290"/>
        <v>394.49589580064639</v>
      </c>
      <c r="CQ30" s="7">
        <f t="shared" ref="CQ30:CR30" si="291">IF(OR(CQ29="",CQ28=""),"",CQ28+CQ29)</f>
        <v>382.37032976157934</v>
      </c>
      <c r="CR30" s="7">
        <f t="shared" si="291"/>
        <v>327.88412316195536</v>
      </c>
      <c r="CS30" s="7">
        <f t="shared" ref="CS30:CU30" si="292">IF(OR(CS29="",CS28=""),"",CS28+CS29)</f>
        <v>304.22735933244803</v>
      </c>
      <c r="CT30" s="7">
        <f t="shared" si="292"/>
        <v>372.57139070898847</v>
      </c>
      <c r="CU30" s="7">
        <f t="shared" si="292"/>
        <v>447.32826458903946</v>
      </c>
    </row>
    <row r="31" spans="1:99" s="4" customFormat="1" hidden="1" outlineLevel="1" x14ac:dyDescent="0.35">
      <c r="A31" s="295"/>
      <c r="B31" s="16" t="s">
        <v>13</v>
      </c>
      <c r="C31" s="24"/>
      <c r="D31" s="24"/>
      <c r="E31" s="7">
        <f>IF(OR(E28="",E27=""),"",E27-E28)</f>
        <v>0</v>
      </c>
      <c r="F31" s="7">
        <f t="shared" ref="F31:N31" si="293">IF(OR(F28="",F27=""),"",F27-F28)</f>
        <v>1328.78</v>
      </c>
      <c r="G31" s="7">
        <f t="shared" si="293"/>
        <v>-2928.2300000000014</v>
      </c>
      <c r="H31" s="7">
        <f t="shared" si="293"/>
        <v>-71289.570000000007</v>
      </c>
      <c r="I31" s="7">
        <f t="shared" si="293"/>
        <v>-1844.4099999999744</v>
      </c>
      <c r="J31" s="7">
        <f t="shared" si="293"/>
        <v>114544.92435846673</v>
      </c>
      <c r="K31" s="7">
        <f t="shared" si="293"/>
        <v>437611.03363575385</v>
      </c>
      <c r="L31" s="7">
        <f t="shared" si="293"/>
        <v>-46108.640094585164</v>
      </c>
      <c r="M31" s="7">
        <f t="shared" si="293"/>
        <v>48251.358816492691</v>
      </c>
      <c r="N31" s="7">
        <f t="shared" si="293"/>
        <v>92791.644528529549</v>
      </c>
      <c r="O31" s="7">
        <f>IF(OR(O30="",O27=""),"",O27-O30)</f>
        <v>-76541.62899647688</v>
      </c>
      <c r="P31" s="7">
        <f>IF(OR(P30="",P27=""),"",P27-P30)</f>
        <v>-338389.43385265709</v>
      </c>
      <c r="Q31" s="7">
        <f t="shared" ref="Q31:AM31" si="294">IF(OR(Q30="",Q27=""),"",Q27-Q30)</f>
        <v>-222384.84377562633</v>
      </c>
      <c r="R31" s="7">
        <f t="shared" si="294"/>
        <v>-280870.51801192272</v>
      </c>
      <c r="S31" s="7">
        <f t="shared" si="294"/>
        <v>-257024.92210439607</v>
      </c>
      <c r="T31" s="7">
        <f t="shared" si="294"/>
        <v>271295.57222439582</v>
      </c>
      <c r="U31" s="7">
        <f t="shared" si="294"/>
        <v>470091.62866200437</v>
      </c>
      <c r="V31" s="7">
        <f t="shared" si="294"/>
        <v>589644.00641244452</v>
      </c>
      <c r="W31" s="7">
        <f t="shared" si="294"/>
        <v>258820.37147143483</v>
      </c>
      <c r="X31" s="7">
        <f t="shared" si="294"/>
        <v>-294698.47456685978</v>
      </c>
      <c r="Y31" s="7">
        <f t="shared" si="294"/>
        <v>-127914.03687273734</v>
      </c>
      <c r="Z31" s="7">
        <f t="shared" si="294"/>
        <v>-85221.629287551506</v>
      </c>
      <c r="AA31" s="7">
        <f>IF(OR(AA30="",AA27=""),"",AA27-AA30)</f>
        <v>-386569.85366342065</v>
      </c>
      <c r="AB31" s="7">
        <f t="shared" si="294"/>
        <v>-919635.13172390917</v>
      </c>
      <c r="AC31" s="7">
        <f t="shared" si="294"/>
        <v>-685146.30396264396</v>
      </c>
      <c r="AD31" s="7">
        <f t="shared" si="294"/>
        <v>-848062.04299649666</v>
      </c>
      <c r="AE31" s="7">
        <f t="shared" si="294"/>
        <v>-418254.81517212209</v>
      </c>
      <c r="AF31" s="7">
        <f t="shared" si="294"/>
        <v>679709.27680510981</v>
      </c>
      <c r="AG31" s="7">
        <f t="shared" si="294"/>
        <v>1177529.0987427053</v>
      </c>
      <c r="AH31" s="7">
        <f t="shared" si="294"/>
        <v>1242265.9957057198</v>
      </c>
      <c r="AI31" s="7">
        <f t="shared" si="294"/>
        <v>226632.29566829209</v>
      </c>
      <c r="AJ31" s="7">
        <f t="shared" si="294"/>
        <v>-498698.17299920809</v>
      </c>
      <c r="AK31" s="7">
        <f t="shared" si="294"/>
        <v>-468642.97684611689</v>
      </c>
      <c r="AL31" s="7">
        <f t="shared" si="294"/>
        <v>-661966.85405505204</v>
      </c>
      <c r="AM31" s="7">
        <f t="shared" si="294"/>
        <v>-806398.7552662557</v>
      </c>
      <c r="AN31" s="7">
        <f t="shared" ref="AN31:BJ31" si="295">IF(OR(AN30="",AN27=""),"",AN27-AN30)</f>
        <v>-1118395.6232045633</v>
      </c>
      <c r="AO31" s="7">
        <f t="shared" si="295"/>
        <v>-839575.8679167378</v>
      </c>
      <c r="AP31" s="7">
        <f>IF(OR(AP30="",AP27=""),"",AP27-AP30)</f>
        <v>-505280.31703957345</v>
      </c>
      <c r="AQ31" s="7">
        <f t="shared" si="295"/>
        <v>-550696.82604602491</v>
      </c>
      <c r="AR31" s="7">
        <f t="shared" si="295"/>
        <v>1499625.3698654766</v>
      </c>
      <c r="AS31" s="7">
        <f>IF(OR(AS30="",AS27=""),"",AS27-AS30)</f>
        <v>1536090.1436625165</v>
      </c>
      <c r="AT31" s="7">
        <f t="shared" si="295"/>
        <v>1683217.386576823</v>
      </c>
      <c r="AU31" s="7">
        <f t="shared" si="295"/>
        <v>362712.86205842951</v>
      </c>
      <c r="AV31" s="7">
        <f t="shared" si="295"/>
        <v>-773328.18641074549</v>
      </c>
      <c r="AW31" s="7">
        <f t="shared" si="295"/>
        <v>-544325.09594499937</v>
      </c>
      <c r="AX31" s="7">
        <f t="shared" si="295"/>
        <v>-772876.38091818138</v>
      </c>
      <c r="AY31" s="7">
        <f t="shared" si="295"/>
        <v>-926320.17375789559</v>
      </c>
      <c r="AZ31" s="7">
        <f t="shared" si="295"/>
        <v>-2548708.1358568668</v>
      </c>
      <c r="BA31" s="7">
        <f t="shared" si="295"/>
        <v>288698.38789936563</v>
      </c>
      <c r="BB31" s="7">
        <f t="shared" si="295"/>
        <v>-160232.05718831139</v>
      </c>
      <c r="BC31" s="7">
        <f t="shared" si="295"/>
        <v>-144134.97219762404</v>
      </c>
      <c r="BD31" s="7">
        <f t="shared" si="295"/>
        <v>-188880.06405709323</v>
      </c>
      <c r="BE31" s="7">
        <f t="shared" si="295"/>
        <v>-253360.29147732252</v>
      </c>
      <c r="BF31" s="7">
        <f t="shared" si="295"/>
        <v>-237518.32094102816</v>
      </c>
      <c r="BG31" s="7">
        <f t="shared" si="295"/>
        <v>-214283.39022904466</v>
      </c>
      <c r="BH31" s="7">
        <f t="shared" si="295"/>
        <v>-145106.64586191278</v>
      </c>
      <c r="BI31" s="7">
        <f t="shared" si="295"/>
        <v>-154927.00789025769</v>
      </c>
      <c r="BJ31" s="7">
        <f t="shared" si="295"/>
        <v>-205255.14275512146</v>
      </c>
      <c r="BK31" s="7">
        <f t="shared" ref="BK31:BL31" si="296">IF(OR(BK30="",BK27=""),"",BK27-BK30)</f>
        <v>-266992.49386056478</v>
      </c>
      <c r="BL31" s="7">
        <f t="shared" si="296"/>
        <v>1739.0221894302958</v>
      </c>
      <c r="BM31" s="7">
        <f t="shared" ref="BM31:BN31" si="297">IF(OR(BM30="",BM27=""),"",BM27-BM30)</f>
        <v>5670.5578559878049</v>
      </c>
      <c r="BN31" s="7">
        <f t="shared" si="297"/>
        <v>4312.4736299568613</v>
      </c>
      <c r="BO31" s="7">
        <f t="shared" ref="BO31:BP31" si="298">IF(OR(BO30="",BO27=""),"",BO27-BO30)</f>
        <v>3909.5605707871728</v>
      </c>
      <c r="BP31" s="7">
        <f t="shared" si="298"/>
        <v>4068.9963131062686</v>
      </c>
      <c r="BQ31" s="7">
        <f t="shared" ref="BQ31:BR31" si="299">IF(OR(BQ30="",BQ27=""),"",BQ27-BQ30)</f>
        <v>5142.4955444009393</v>
      </c>
      <c r="BR31" s="7">
        <f t="shared" si="299"/>
        <v>5117.5031060017645</v>
      </c>
      <c r="BS31" s="7">
        <f t="shared" ref="BS31:BT31" si="300">IF(OR(BS30="",BS27=""),"",BS27-BS30)</f>
        <v>5177.0829845638364</v>
      </c>
      <c r="BT31" s="7">
        <f t="shared" si="300"/>
        <v>4068.2264792598144</v>
      </c>
      <c r="BU31" s="7">
        <f t="shared" ref="BU31:BV31" si="301">IF(OR(BU30="",BU27=""),"",BU27-BU30)</f>
        <v>4232.8072324906243</v>
      </c>
      <c r="BV31" s="7">
        <f t="shared" si="301"/>
        <v>5340.69566513272</v>
      </c>
      <c r="BW31" s="7">
        <f t="shared" ref="BW31:BX31" si="302">IF(OR(BW30="",BW27=""),"",BW27-BW30)</f>
        <v>5868.7789868843975</v>
      </c>
      <c r="BX31" s="7">
        <f t="shared" si="302"/>
        <v>4028.346306019288</v>
      </c>
      <c r="BY31" s="7">
        <f t="shared" ref="BY31:BZ31" si="303">IF(OR(BY30="",BY27=""),"",BY27-BY30)</f>
        <v>237.25413190646759</v>
      </c>
      <c r="BZ31" s="7">
        <f t="shared" si="303"/>
        <v>166.23010078508014</v>
      </c>
      <c r="CA31" s="7">
        <f t="shared" ref="CA31:CB31" si="304">IF(OR(CA30="",CA27=""),"",CA27-CA30)</f>
        <v>142.25106851507007</v>
      </c>
      <c r="CB31" s="7">
        <f t="shared" si="304"/>
        <v>159.26009272011834</v>
      </c>
      <c r="CC31" s="7">
        <f t="shared" ref="CC31:CD31" si="305">IF(OR(CC30="",CC27=""),"",CC27-CC30)</f>
        <v>197.07120480569756</v>
      </c>
      <c r="CD31" s="7">
        <f t="shared" si="305"/>
        <v>201.35010807091749</v>
      </c>
      <c r="CE31" s="7">
        <f t="shared" ref="CE31" si="306">IF(OR(CE30="",CE27=""),"",CE27-CE30)</f>
        <v>185.47873550330223</v>
      </c>
      <c r="CF31" s="125">
        <f>IF(OR(CF30="",CF27=""),"",CF27-CF30)+CF26</f>
        <v>6106.3262235278762</v>
      </c>
      <c r="CG31" s="7">
        <f t="shared" ref="CG31:CL31" si="307">IF(OR(CG30="",CG27=""),"",CG27-CG30)</f>
        <v>168.49405363770165</v>
      </c>
      <c r="CH31" s="7">
        <f t="shared" si="307"/>
        <v>253.16123590957977</v>
      </c>
      <c r="CI31" s="7">
        <f t="shared" si="307"/>
        <v>267.54081404718636</v>
      </c>
      <c r="CJ31" s="7">
        <f t="shared" si="307"/>
        <v>-2.3372916282128244</v>
      </c>
      <c r="CK31" s="7">
        <f t="shared" si="307"/>
        <v>-370.97217614654437</v>
      </c>
      <c r="CL31" s="7">
        <f t="shared" si="307"/>
        <v>-339.14267391398243</v>
      </c>
      <c r="CM31" s="7">
        <f t="shared" ref="CM31:CN31" si="308">IF(OR(CM30="",CM27=""),"",CM27-CM30)</f>
        <v>-282.45031902346454</v>
      </c>
      <c r="CN31" s="7">
        <f t="shared" si="308"/>
        <v>-315.45230587298101</v>
      </c>
      <c r="CO31" s="7">
        <f t="shared" ref="CO31:CP31" si="309">IF(OR(CO30="",CO27=""),"",CO27-CO30)</f>
        <v>-368.87679048586142</v>
      </c>
      <c r="CP31" s="7">
        <f t="shared" si="309"/>
        <v>-394.49589580064639</v>
      </c>
      <c r="CQ31" s="7">
        <f t="shared" ref="CQ31:CR31" si="310">IF(OR(CQ30="",CQ27=""),"",CQ27-CQ30)</f>
        <v>-382.37032976157934</v>
      </c>
      <c r="CR31" s="7">
        <f t="shared" si="310"/>
        <v>-327.88412316195536</v>
      </c>
      <c r="CS31" s="7">
        <f t="shared" ref="CS31:CU31" si="311">IF(OR(CS30="",CS27=""),"",CS27-CS30)</f>
        <v>-304.22735933244803</v>
      </c>
      <c r="CT31" s="7">
        <f t="shared" si="311"/>
        <v>-372.57139070898847</v>
      </c>
      <c r="CU31" s="7">
        <f t="shared" si="311"/>
        <v>-447.32826458903946</v>
      </c>
    </row>
    <row r="32" spans="1:99" s="4" customFormat="1" hidden="1" outlineLevel="1" x14ac:dyDescent="0.35">
      <c r="A32" s="295"/>
      <c r="B32" s="17" t="s">
        <v>8</v>
      </c>
      <c r="C32" s="28"/>
      <c r="D32" s="28"/>
      <c r="E32" s="7">
        <f>IF(OR(E9="",E31=""),"",(E31+D34)*E9/12)</f>
        <v>0</v>
      </c>
      <c r="F32" s="7">
        <f t="shared" ref="F32:N32" si="312">IF(OR(F9="",F31=""),"",(F31+E34)*F9/12)</f>
        <v>0.8255809798499999</v>
      </c>
      <c r="G32" s="7">
        <f t="shared" si="312"/>
        <v>-1.0068589534574304</v>
      </c>
      <c r="H32" s="7">
        <f t="shared" si="312"/>
        <v>-38.04342526901916</v>
      </c>
      <c r="I32" s="7">
        <f t="shared" si="312"/>
        <v>-39.19548832457653</v>
      </c>
      <c r="J32" s="7">
        <f t="shared" si="312"/>
        <v>25.316101791241433</v>
      </c>
      <c r="K32" s="7">
        <f t="shared" si="312"/>
        <v>300.52843321651994</v>
      </c>
      <c r="L32" s="7">
        <f t="shared" si="312"/>
        <v>273.38393574818252</v>
      </c>
      <c r="M32" s="7">
        <f t="shared" si="312"/>
        <v>305.71343553283026</v>
      </c>
      <c r="N32" s="7">
        <f t="shared" si="312"/>
        <v>459.60027907263867</v>
      </c>
      <c r="O32" s="8">
        <f>IF(OR(O9="",O31=""),"",(O29+O31+N34)*O9/12)</f>
        <v>372.82678818148116</v>
      </c>
      <c r="P32" s="8">
        <f>IF(OR(P9="",P31=""),"",(P29+P31+O34+P26)*P9/12)</f>
        <v>5294.3093104737645</v>
      </c>
      <c r="Q32" s="8">
        <f t="shared" ref="Q32:AM32" si="313">IF(OR(Q9="",Q31=""),"",(Q29+Q31+P34)*Q9/12)</f>
        <v>6007.5624775762617</v>
      </c>
      <c r="R32" s="8">
        <f t="shared" si="313"/>
        <v>5263.9348672725127</v>
      </c>
      <c r="S32" s="8">
        <f t="shared" si="313"/>
        <v>4564.9795036702699</v>
      </c>
      <c r="T32" s="8">
        <f t="shared" si="313"/>
        <v>5166.8652470196785</v>
      </c>
      <c r="U32" s="8">
        <f t="shared" si="313"/>
        <v>4660.8174690886708</v>
      </c>
      <c r="V32" s="8">
        <f t="shared" si="313"/>
        <v>4581.7725750611253</v>
      </c>
      <c r="W32" s="8">
        <f t="shared" si="313"/>
        <v>4016.0372167419896</v>
      </c>
      <c r="X32" s="8">
        <f t="shared" si="313"/>
        <v>2945.88677481181</v>
      </c>
      <c r="Y32" s="8">
        <f t="shared" si="313"/>
        <v>2149.1932054558397</v>
      </c>
      <c r="Z32" s="8">
        <f t="shared" si="313"/>
        <v>1519.9204299095629</v>
      </c>
      <c r="AA32" s="8">
        <f t="shared" si="313"/>
        <v>-562.54602891992351</v>
      </c>
      <c r="AB32" s="8">
        <f t="shared" si="313"/>
        <v>-1929.6446952083068</v>
      </c>
      <c r="AC32" s="8">
        <f t="shared" si="313"/>
        <v>-3280.2540933795021</v>
      </c>
      <c r="AD32" s="8">
        <f t="shared" si="313"/>
        <v>-5260.7827266771046</v>
      </c>
      <c r="AE32" s="8">
        <f t="shared" si="313"/>
        <v>-5726.7183733822167</v>
      </c>
      <c r="AF32" s="8">
        <f t="shared" si="313"/>
        <v>-4573.2375408809512</v>
      </c>
      <c r="AG32" s="8">
        <f t="shared" si="313"/>
        <v>-2313.7713700853533</v>
      </c>
      <c r="AH32" s="8">
        <f t="shared" si="313"/>
        <v>200.03580045925753</v>
      </c>
      <c r="AI32" s="8">
        <f t="shared" si="313"/>
        <v>726.81119312183489</v>
      </c>
      <c r="AJ32" s="8">
        <f t="shared" si="313"/>
        <v>-182.45721726894439</v>
      </c>
      <c r="AK32" s="8">
        <f t="shared" si="313"/>
        <v>-1107.7550263704416</v>
      </c>
      <c r="AL32" s="8">
        <f t="shared" si="313"/>
        <v>-2627.6316115780096</v>
      </c>
      <c r="AM32" s="8">
        <f t="shared" si="313"/>
        <v>-4554.4236734393371</v>
      </c>
      <c r="AN32" s="8">
        <f t="shared" ref="AN32" si="314">IF(OR(AN9="",AN31=""),"",(AN29+AN31+AM34)*AN9/12)</f>
        <v>-6654.4899163949822</v>
      </c>
      <c r="AO32" s="8">
        <f t="shared" ref="AO32" si="315">IF(OR(AO9="",AO31=""),"",(AO29+AO31+AN34)*AO9/12)</f>
        <v>-8045.1880681861367</v>
      </c>
      <c r="AP32" s="8">
        <f t="shared" ref="AP32" si="316">IF(OR(AP9="",AP31=""),"",(AP29+AP31+AO34)*AP9/12)</f>
        <v>-8524.2955357193568</v>
      </c>
      <c r="AQ32" s="8">
        <f t="shared" ref="AQ32" si="317">IF(OR(AQ9="",AQ31=""),"",(AQ29+AQ31+AP34)*AQ9/12)</f>
        <v>-9565.9847029969114</v>
      </c>
      <c r="AR32" s="8">
        <f t="shared" ref="AR32" si="318">IF(OR(AR9="",AR31=""),"",(AR29+AR31+AQ34)*AR9/12)</f>
        <v>-5842.5770767012573</v>
      </c>
      <c r="AS32" s="8">
        <f>IF(OR(AS9="",AS31=""),"",(AS29+AS31+AR34)*AS9/12)+AS26</f>
        <v>-11646.625789448468</v>
      </c>
      <c r="AT32" s="8">
        <f t="shared" ref="AT32" si="319">IF(OR(AT9="",AT31=""),"",(AT29+AT31+AS34)*AT9/12)</f>
        <v>1866.4267273905355</v>
      </c>
      <c r="AU32" s="8">
        <f t="shared" ref="AU32" si="320">IF(OR(AU9="",AU31=""),"",(AU29+AU31+AT34)*AU9/12)</f>
        <v>2779.7659407100673</v>
      </c>
      <c r="AV32" s="8">
        <f t="shared" ref="AV32" si="321">IF(OR(AV9="",AV31=""),"",(AV29+AV31+AU34)*AV9/12)</f>
        <v>1564.7525696417642</v>
      </c>
      <c r="AW32" s="8">
        <f t="shared" ref="AW32" si="322">IF(OR(AW9="",AW31=""),"",(AW29+AW31+AV34)*AW9/12)</f>
        <v>732.06494889487897</v>
      </c>
      <c r="AX32" s="8">
        <f t="shared" ref="AX32" si="323">IF(OR(AX9="",AX31=""),"",(AX29+AX31+AW34)*AX9/12)</f>
        <v>-163.38977227779409</v>
      </c>
      <c r="AY32" s="8">
        <f t="shared" ref="AY32" si="324">IF(OR(AY9="",AY31=""),"",(AY29+AY31+AX34)*AY9/12)</f>
        <v>-1296.272463729247</v>
      </c>
      <c r="AZ32" s="8">
        <f t="shared" ref="AZ32" si="325">IF(OR(AZ9="",AZ31=""),"",(AZ29+AZ31+AY34)*AZ9/12)</f>
        <v>-4176.8372936348169</v>
      </c>
      <c r="BA32" s="8">
        <f t="shared" ref="BA32" si="326">IF(OR(BA9="",BA31=""),"",(BA29+BA31+AZ34)*BA9/12)</f>
        <v>-3787.8524653539448</v>
      </c>
      <c r="BB32" s="8">
        <f t="shared" ref="BB32" si="327">IF(OR(BB9="",BB31=""),"",(BB29+BB31+BA34)*BB9/12)</f>
        <v>-1959.0112554438863</v>
      </c>
      <c r="BC32" s="8">
        <f t="shared" ref="BC32" si="328">IF(OR(BC9="",BC31=""),"",(BC29+BC31+BB34)*BC9/12)</f>
        <v>-278.81760862053488</v>
      </c>
      <c r="BD32" s="8">
        <f t="shared" ref="BD32" si="329">IF(OR(BD9="",BD31=""),"",(BD29+BD31+BC34)*BD9/12)</f>
        <v>-283.05424927706468</v>
      </c>
      <c r="BE32" s="8">
        <f t="shared" ref="BE32" si="330">IF(OR(BE9="",BE31=""),"",(BE29+BE31+BD34)*BE9/12)</f>
        <v>-460.41251172314611</v>
      </c>
      <c r="BF32" s="8">
        <f t="shared" ref="BF32" si="331">IF(OR(BF9="",BF31=""),"",(BF29+BF31+BE34)*BF9/12)</f>
        <v>-340.65927237573527</v>
      </c>
      <c r="BG32" s="8">
        <f t="shared" ref="BG32" si="332">IF(OR(BG9="",BG31=""),"",(BG29+BG31+BF34)*BG9/12)</f>
        <v>-322.10522872963594</v>
      </c>
      <c r="BH32" s="8">
        <f t="shared" ref="BH32" si="333">IF(OR(BH9="",BH31=""),"",(BH29+BH31+BG34)*BH9/12)</f>
        <v>-534.16939554605699</v>
      </c>
      <c r="BI32" s="8">
        <f t="shared" ref="BI32" si="334">IF(OR(BI9="",BI31=""),"",(BI29+BI31+BH34)*BI9/12)</f>
        <v>-693.54980621845846</v>
      </c>
      <c r="BJ32" s="8">
        <f t="shared" ref="BJ32:CG32" si="335">IF(OR(BJ9="",BJ31=""),"",(BJ29+BJ31+BI34)*BJ9/12)</f>
        <v>-811.0030787151527</v>
      </c>
      <c r="BK32" s="8">
        <f t="shared" si="335"/>
        <v>-614.34624262308205</v>
      </c>
      <c r="BL32" s="8">
        <f t="shared" si="335"/>
        <v>-669.89189085695466</v>
      </c>
      <c r="BM32" s="8">
        <f t="shared" si="335"/>
        <v>-557.60787232606663</v>
      </c>
      <c r="BN32" s="8">
        <f t="shared" si="335"/>
        <v>-545.59231462256969</v>
      </c>
      <c r="BO32" s="8">
        <f t="shared" si="335"/>
        <v>-504.35121916051708</v>
      </c>
      <c r="BP32" s="8">
        <f t="shared" si="335"/>
        <v>-407.42581719607477</v>
      </c>
      <c r="BQ32" s="8">
        <f t="shared" si="335"/>
        <v>-239.82919158135164</v>
      </c>
      <c r="BR32" s="8">
        <f t="shared" si="335"/>
        <v>-289.32107476462022</v>
      </c>
      <c r="BS32" s="8">
        <f t="shared" si="335"/>
        <v>-214.11392923140355</v>
      </c>
      <c r="BT32" s="8">
        <f t="shared" si="335"/>
        <v>-134.72104636770419</v>
      </c>
      <c r="BU32" s="8">
        <f t="shared" si="335"/>
        <v>-107.40502640789749</v>
      </c>
      <c r="BV32" s="8">
        <f t="shared" si="335"/>
        <v>-118.33168507342872</v>
      </c>
      <c r="BW32" s="8">
        <f t="shared" si="335"/>
        <v>-31.941369690225681</v>
      </c>
      <c r="BX32" s="8">
        <f t="shared" si="335"/>
        <v>20.509519436720471</v>
      </c>
      <c r="BY32" s="8">
        <f t="shared" si="335"/>
        <v>55.79634342978386</v>
      </c>
      <c r="BZ32" s="8">
        <f t="shared" si="335"/>
        <v>52.740800728104723</v>
      </c>
      <c r="CA32" s="8">
        <f t="shared" si="335"/>
        <v>89.850608756352003</v>
      </c>
      <c r="CB32" s="8">
        <f t="shared" si="335"/>
        <v>153.71849734827973</v>
      </c>
      <c r="CC32" s="8">
        <f t="shared" si="335"/>
        <v>237.83431273003166</v>
      </c>
      <c r="CD32" s="8">
        <f t="shared" si="335"/>
        <v>326.18953747405857</v>
      </c>
      <c r="CE32" s="8">
        <f t="shared" si="335"/>
        <v>389.38650412373505</v>
      </c>
      <c r="CF32" s="8">
        <f t="shared" si="335"/>
        <v>517.42660285652403</v>
      </c>
      <c r="CG32" s="8">
        <f t="shared" si="335"/>
        <v>667.61179161394114</v>
      </c>
      <c r="CH32" s="8">
        <f>IF(OR(CH9="",CH31=""),"",(CH29+CH31+CG34)*CH9/12)</f>
        <v>767.22158633690833</v>
      </c>
      <c r="CI32" s="293">
        <f>IF(OR(CI9="",CI31=""),"",(CI29+CI31+CH34+CI26)*CI9/12)+CI26</f>
        <v>1102.2978751817759</v>
      </c>
      <c r="CJ32" s="293">
        <f t="shared" ref="CJ32:CR32" si="336">IF(OR(CJ9="",CJ31=""),"",(CJ29+CJ31+CI34)*CJ9/12)</f>
        <v>865.92924044119252</v>
      </c>
      <c r="CK32" s="293">
        <f t="shared" si="336"/>
        <v>823.8514976777368</v>
      </c>
      <c r="CL32" s="293">
        <f t="shared" si="336"/>
        <v>805.38863122117209</v>
      </c>
      <c r="CM32" s="293">
        <f t="shared" si="336"/>
        <v>764.92984577460868</v>
      </c>
      <c r="CN32" s="293">
        <f t="shared" si="336"/>
        <v>704.95696522844298</v>
      </c>
      <c r="CO32" s="293">
        <f t="shared" si="336"/>
        <v>617.93065520196819</v>
      </c>
      <c r="CP32" s="293">
        <f t="shared" si="336"/>
        <v>528.64451590505257</v>
      </c>
      <c r="CQ32" s="293">
        <f t="shared" si="336"/>
        <v>438.76358289406988</v>
      </c>
      <c r="CR32" s="293">
        <f t="shared" si="336"/>
        <v>371.41280555405666</v>
      </c>
      <c r="CS32" s="293">
        <f t="shared" ref="CS32" si="337">IF(OR(CS9="",CS31=""),"",(CS29+CS31+CR34)*CS9/12)</f>
        <v>310.04924824233001</v>
      </c>
      <c r="CT32" s="293">
        <f t="shared" ref="CT32" si="338">IF(OR(CT9="",CT31=""),"",(CT29+CT31+CS34)*CT9/12)</f>
        <v>225.25830796872549</v>
      </c>
      <c r="CU32" s="293">
        <f t="shared" ref="CU32" si="339">IF(OR(CU9="",CU31=""),"",(CU29+CU31+CT34)*CU9/12)</f>
        <v>113.35492081298007</v>
      </c>
    </row>
    <row r="33" spans="1:99" s="4" customFormat="1" hidden="1" outlineLevel="1" x14ac:dyDescent="0.35">
      <c r="A33" s="295"/>
      <c r="B33" s="16" t="s">
        <v>14</v>
      </c>
      <c r="C33" s="24"/>
      <c r="D33" s="24"/>
      <c r="E33" s="7">
        <f>IF(OR(E31="",E32=""),"",E31+E32)</f>
        <v>0</v>
      </c>
      <c r="F33" s="7">
        <f>IF(OR(F31="",F32=""),"",F31+F32)</f>
        <v>1329.6055809798499</v>
      </c>
      <c r="G33" s="7">
        <f t="shared" ref="G33:N33" si="340">IF(OR(G31="",G32=""),"",G31+G32)</f>
        <v>-2929.236858953459</v>
      </c>
      <c r="H33" s="7">
        <f t="shared" si="340"/>
        <v>-71327.613425269024</v>
      </c>
      <c r="I33" s="7">
        <f t="shared" si="340"/>
        <v>-1883.6054883245508</v>
      </c>
      <c r="J33" s="7">
        <f t="shared" si="340"/>
        <v>114570.24046025796</v>
      </c>
      <c r="K33" s="7">
        <f t="shared" si="340"/>
        <v>437911.56206897035</v>
      </c>
      <c r="L33" s="7">
        <f t="shared" si="340"/>
        <v>-45835.256158836979</v>
      </c>
      <c r="M33" s="7">
        <f t="shared" si="340"/>
        <v>48557.072252025522</v>
      </c>
      <c r="N33" s="7">
        <f t="shared" si="340"/>
        <v>93251.244807602183</v>
      </c>
      <c r="O33" s="7">
        <f>IF(OR(O31="",O32=""),"",O31+O32)</f>
        <v>-76168.802208295398</v>
      </c>
      <c r="P33" s="7">
        <f>IF(OR(P31="",P32=""),"",P31+P32)</f>
        <v>-333095.1245421833</v>
      </c>
      <c r="Q33" s="7">
        <f t="shared" ref="Q33:AM33" si="341">IF(OR(Q31="",Q32=""),"",Q31+Q32)</f>
        <v>-216377.28129805007</v>
      </c>
      <c r="R33" s="7">
        <f>IF(OR(R31="",R32=""),"",R31+R32)</f>
        <v>-275606.58314465021</v>
      </c>
      <c r="S33" s="7">
        <f t="shared" si="341"/>
        <v>-252459.9426007258</v>
      </c>
      <c r="T33" s="7">
        <f t="shared" si="341"/>
        <v>276462.4374714155</v>
      </c>
      <c r="U33" s="7">
        <f t="shared" si="341"/>
        <v>474752.44613109302</v>
      </c>
      <c r="V33" s="7">
        <f t="shared" si="341"/>
        <v>594225.77898750559</v>
      </c>
      <c r="W33" s="7">
        <f t="shared" si="341"/>
        <v>262836.40868817683</v>
      </c>
      <c r="X33" s="7">
        <f t="shared" si="341"/>
        <v>-291752.58779204794</v>
      </c>
      <c r="Y33" s="7">
        <f t="shared" si="341"/>
        <v>-125764.8436672815</v>
      </c>
      <c r="Z33" s="7">
        <f t="shared" si="341"/>
        <v>-83701.708857641948</v>
      </c>
      <c r="AA33" s="7">
        <f t="shared" si="341"/>
        <v>-387132.39969234058</v>
      </c>
      <c r="AB33" s="7">
        <f t="shared" si="341"/>
        <v>-921564.77641911746</v>
      </c>
      <c r="AC33" s="7">
        <f t="shared" si="341"/>
        <v>-688426.55805602344</v>
      </c>
      <c r="AD33" s="7">
        <f t="shared" si="341"/>
        <v>-853322.8257231738</v>
      </c>
      <c r="AE33" s="7">
        <f t="shared" si="341"/>
        <v>-423981.53354550432</v>
      </c>
      <c r="AF33" s="7">
        <f t="shared" si="341"/>
        <v>675136.03926422889</v>
      </c>
      <c r="AG33" s="7">
        <f t="shared" si="341"/>
        <v>1175215.3273726199</v>
      </c>
      <c r="AH33" s="7">
        <f t="shared" si="341"/>
        <v>1242466.0315061791</v>
      </c>
      <c r="AI33" s="7">
        <f t="shared" si="341"/>
        <v>227359.10686141392</v>
      </c>
      <c r="AJ33" s="7">
        <f t="shared" si="341"/>
        <v>-498880.63021647703</v>
      </c>
      <c r="AK33" s="7">
        <f t="shared" si="341"/>
        <v>-469750.73187248735</v>
      </c>
      <c r="AL33" s="7">
        <f t="shared" si="341"/>
        <v>-664594.48566663009</v>
      </c>
      <c r="AM33" s="7">
        <f t="shared" si="341"/>
        <v>-810953.178939695</v>
      </c>
      <c r="AN33" s="7">
        <f t="shared" ref="AN33:BJ33" si="342">IF(OR(AN31="",AN32=""),"",AN31+AN32)</f>
        <v>-1125050.1131209582</v>
      </c>
      <c r="AO33" s="7">
        <f t="shared" si="342"/>
        <v>-847621.05598492397</v>
      </c>
      <c r="AP33" s="7">
        <f t="shared" si="342"/>
        <v>-513804.61257529282</v>
      </c>
      <c r="AQ33" s="7">
        <f t="shared" si="342"/>
        <v>-560262.81074902182</v>
      </c>
      <c r="AR33" s="7">
        <f t="shared" si="342"/>
        <v>1493782.7927887754</v>
      </c>
      <c r="AS33" s="7">
        <f>IF(OR(AS31="",AS32=""),"",AS31+AS32)</f>
        <v>1524443.5178730681</v>
      </c>
      <c r="AT33" s="7">
        <f t="shared" si="342"/>
        <v>1685083.8133042136</v>
      </c>
      <c r="AU33" s="7">
        <f t="shared" si="342"/>
        <v>365492.6279991396</v>
      </c>
      <c r="AV33" s="7">
        <f t="shared" si="342"/>
        <v>-771763.43384110369</v>
      </c>
      <c r="AW33" s="7">
        <f t="shared" si="342"/>
        <v>-543593.03099610447</v>
      </c>
      <c r="AX33" s="7">
        <f t="shared" si="342"/>
        <v>-773039.77069045918</v>
      </c>
      <c r="AY33" s="7">
        <f t="shared" si="342"/>
        <v>-927616.44622162485</v>
      </c>
      <c r="AZ33" s="7">
        <f t="shared" si="342"/>
        <v>-2552884.9731505015</v>
      </c>
      <c r="BA33" s="7">
        <f t="shared" si="342"/>
        <v>284910.53543401166</v>
      </c>
      <c r="BB33" s="7">
        <f t="shared" si="342"/>
        <v>-162191.06844375527</v>
      </c>
      <c r="BC33" s="7">
        <f t="shared" si="342"/>
        <v>-144413.78980624457</v>
      </c>
      <c r="BD33" s="7">
        <f t="shared" si="342"/>
        <v>-189163.11830637031</v>
      </c>
      <c r="BE33" s="7">
        <f t="shared" si="342"/>
        <v>-253820.70398904567</v>
      </c>
      <c r="BF33" s="7">
        <f t="shared" si="342"/>
        <v>-237858.98021340391</v>
      </c>
      <c r="BG33" s="7">
        <f t="shared" si="342"/>
        <v>-214605.49545777429</v>
      </c>
      <c r="BH33" s="7">
        <f t="shared" si="342"/>
        <v>-145640.81525745883</v>
      </c>
      <c r="BI33" s="7">
        <f t="shared" si="342"/>
        <v>-155620.55769647614</v>
      </c>
      <c r="BJ33" s="7">
        <f t="shared" si="342"/>
        <v>-206066.14583383661</v>
      </c>
      <c r="BK33" s="7">
        <f t="shared" ref="BK33:BL33" si="343">IF(OR(BK31="",BK32=""),"",BK31+BK32)</f>
        <v>-267606.84010318783</v>
      </c>
      <c r="BL33" s="7">
        <f t="shared" si="343"/>
        <v>1069.1302985733412</v>
      </c>
      <c r="BM33" s="7">
        <f t="shared" ref="BM33:BN33" si="344">IF(OR(BM31="",BM32=""),"",BM31+BM32)</f>
        <v>5112.9499836617379</v>
      </c>
      <c r="BN33" s="7">
        <f t="shared" si="344"/>
        <v>3766.8813153342917</v>
      </c>
      <c r="BO33" s="7">
        <f t="shared" ref="BO33:BP33" si="345">IF(OR(BO31="",BO32=""),"",BO31+BO32)</f>
        <v>3405.2093516266559</v>
      </c>
      <c r="BP33" s="7">
        <f t="shared" si="345"/>
        <v>3661.570495910194</v>
      </c>
      <c r="BQ33" s="7">
        <f t="shared" ref="BQ33:BR33" si="346">IF(OR(BQ31="",BQ32=""),"",BQ31+BQ32)</f>
        <v>4902.6663528195877</v>
      </c>
      <c r="BR33" s="7">
        <f t="shared" si="346"/>
        <v>4828.1820312371447</v>
      </c>
      <c r="BS33" s="7">
        <f t="shared" ref="BS33:BT33" si="347">IF(OR(BS31="",BS32=""),"",BS31+BS32)</f>
        <v>4962.9690553324326</v>
      </c>
      <c r="BT33" s="7">
        <f t="shared" si="347"/>
        <v>3933.5054328921101</v>
      </c>
      <c r="BU33" s="7">
        <f t="shared" ref="BU33:BV33" si="348">IF(OR(BU31="",BU32=""),"",BU31+BU32)</f>
        <v>4125.4022060827265</v>
      </c>
      <c r="BV33" s="7">
        <f t="shared" si="348"/>
        <v>5222.363980059291</v>
      </c>
      <c r="BW33" s="7">
        <f t="shared" ref="BW33:BX33" si="349">IF(OR(BW31="",BW32=""),"",BW31+BW32)</f>
        <v>5836.8376171941718</v>
      </c>
      <c r="BX33" s="7">
        <f t="shared" si="349"/>
        <v>4048.8558254560085</v>
      </c>
      <c r="BY33" s="7">
        <f t="shared" ref="BY33:BZ33" si="350">IF(OR(BY31="",BY32=""),"",BY31+BY32)</f>
        <v>293.05047533625145</v>
      </c>
      <c r="BZ33" s="7">
        <f t="shared" si="350"/>
        <v>218.97090151318486</v>
      </c>
      <c r="CA33" s="7">
        <f t="shared" ref="CA33:CB33" si="351">IF(OR(CA31="",CA32=""),"",CA31+CA32)</f>
        <v>232.10167727142209</v>
      </c>
      <c r="CB33" s="7">
        <f t="shared" si="351"/>
        <v>312.97859006839803</v>
      </c>
      <c r="CC33" s="7">
        <f t="shared" ref="CC33:CD33" si="352">IF(OR(CC31="",CC32=""),"",CC31+CC32)</f>
        <v>434.90551753572925</v>
      </c>
      <c r="CD33" s="7">
        <f t="shared" si="352"/>
        <v>527.53964554497611</v>
      </c>
      <c r="CE33" s="7">
        <f t="shared" ref="CE33:CF33" si="353">IF(OR(CE31="",CE32=""),"",CE31+CE32)</f>
        <v>574.86523962703723</v>
      </c>
      <c r="CF33" s="7">
        <f t="shared" si="353"/>
        <v>6623.7528263844006</v>
      </c>
      <c r="CG33" s="7">
        <f t="shared" ref="CG33:CH33" si="354">IF(OR(CG31="",CG32=""),"",CG31+CG32)</f>
        <v>836.10584525164279</v>
      </c>
      <c r="CH33" s="7">
        <f t="shared" si="354"/>
        <v>1020.3828222464881</v>
      </c>
      <c r="CI33" s="7">
        <f t="shared" ref="CI33:CJ33" si="355">IF(OR(CI31="",CI32=""),"",CI31+CI32)</f>
        <v>1369.8386892289623</v>
      </c>
      <c r="CJ33" s="7">
        <f t="shared" si="355"/>
        <v>863.59194881297969</v>
      </c>
      <c r="CK33" s="7">
        <f t="shared" ref="CK33:CL33" si="356">IF(OR(CK31="",CK32=""),"",CK31+CK32)</f>
        <v>452.87932153119243</v>
      </c>
      <c r="CL33" s="7">
        <f t="shared" si="356"/>
        <v>466.24595730718966</v>
      </c>
      <c r="CM33" s="7">
        <f t="shared" ref="CM33:CN33" si="357">IF(OR(CM31="",CM32=""),"",CM31+CM32)</f>
        <v>482.47952675114414</v>
      </c>
      <c r="CN33" s="7">
        <f t="shared" si="357"/>
        <v>389.50465935546197</v>
      </c>
      <c r="CO33" s="7">
        <f t="shared" ref="CO33:CP33" si="358">IF(OR(CO31="",CO32=""),"",CO31+CO32)</f>
        <v>249.05386471610677</v>
      </c>
      <c r="CP33" s="7">
        <f t="shared" si="358"/>
        <v>134.14862010440618</v>
      </c>
      <c r="CQ33" s="7">
        <f t="shared" ref="CQ33:CR33" si="359">IF(OR(CQ31="",CQ32=""),"",CQ31+CQ32)</f>
        <v>56.393253132490543</v>
      </c>
      <c r="CR33" s="7">
        <f t="shared" si="359"/>
        <v>43.528682392101302</v>
      </c>
      <c r="CS33" s="7">
        <f t="shared" ref="CS33:CU33" si="360">IF(OR(CS31="",CS32=""),"",CS31+CS32)</f>
        <v>5.8218889098819773</v>
      </c>
      <c r="CT33" s="7">
        <f t="shared" si="360"/>
        <v>-147.31308274026298</v>
      </c>
      <c r="CU33" s="7">
        <f t="shared" si="360"/>
        <v>-333.97334377605938</v>
      </c>
    </row>
    <row r="34" spans="1:99" s="4" customFormat="1" hidden="1" outlineLevel="1" x14ac:dyDescent="0.35">
      <c r="A34" s="295"/>
      <c r="B34" s="18" t="s">
        <v>15</v>
      </c>
      <c r="C34" s="26"/>
      <c r="D34" s="26"/>
      <c r="E34" s="7">
        <f>E33</f>
        <v>0</v>
      </c>
      <c r="F34" s="7">
        <f>IF(OR(F33="",E34=""),"",F33+E34)</f>
        <v>1329.6055809798499</v>
      </c>
      <c r="G34" s="7">
        <f t="shared" ref="G34:N34" si="361">IF(OR(G33="",F34=""),"",G33+F34)</f>
        <v>-1599.631277973609</v>
      </c>
      <c r="H34" s="7">
        <f t="shared" si="361"/>
        <v>-72927.244703242628</v>
      </c>
      <c r="I34" s="7">
        <f t="shared" si="361"/>
        <v>-74810.85019156718</v>
      </c>
      <c r="J34" s="7">
        <f t="shared" si="361"/>
        <v>39759.390268690782</v>
      </c>
      <c r="K34" s="7">
        <f t="shared" si="361"/>
        <v>477670.95233766112</v>
      </c>
      <c r="L34" s="7">
        <f t="shared" si="361"/>
        <v>431835.69617882412</v>
      </c>
      <c r="M34" s="7">
        <f t="shared" si="361"/>
        <v>480392.76843084965</v>
      </c>
      <c r="N34" s="7">
        <f t="shared" si="361"/>
        <v>573644.01323845179</v>
      </c>
      <c r="O34" s="7">
        <f>IF(OR(O33="",N34=""),"",O33+O29+N34)</f>
        <v>497475.21103015641</v>
      </c>
      <c r="P34" s="7">
        <f>IF(OR(P33="",O34=""),"",P33+P29+O34+P26)</f>
        <v>7064373.3899421608</v>
      </c>
      <c r="Q34" s="7">
        <f>IF(OR(Q33="",P34=""),"",Q33+Q29+P34)</f>
        <v>6274768.4086441109</v>
      </c>
      <c r="R34" s="7">
        <f>IF(OR(R33="",Q34=""),"",R33+R29+Q34)</f>
        <v>5498065.535499461</v>
      </c>
      <c r="S34" s="7">
        <f t="shared" ref="S34:AM34" si="362">IF(OR(S33="",R34=""),"",S33+S29+R34)</f>
        <v>4768021.8528987356</v>
      </c>
      <c r="T34" s="7">
        <f>IF(OR(T33="",S34=""),"",T33+T29+S34)</f>
        <v>4402498.9903701507</v>
      </c>
      <c r="U34" s="7">
        <f t="shared" si="362"/>
        <v>4023039.9265012438</v>
      </c>
      <c r="V34" s="7">
        <f t="shared" si="362"/>
        <v>3752514.3154887492</v>
      </c>
      <c r="W34" s="7">
        <f t="shared" si="362"/>
        <v>3331589.414176926</v>
      </c>
      <c r="X34" s="7">
        <f t="shared" si="362"/>
        <v>2439526.4163848781</v>
      </c>
      <c r="Y34" s="7">
        <f t="shared" si="362"/>
        <v>1789582.4427175967</v>
      </c>
      <c r="Z34" s="7">
        <f t="shared" si="362"/>
        <v>1029917.0738599547</v>
      </c>
      <c r="AA34" s="7">
        <f t="shared" si="362"/>
        <v>-394092.18583238591</v>
      </c>
      <c r="AB34" s="7">
        <f t="shared" si="362"/>
        <v>-1268955.6422515034</v>
      </c>
      <c r="AC34" s="7">
        <f t="shared" si="362"/>
        <v>-1919740.0403075269</v>
      </c>
      <c r="AD34" s="7">
        <f t="shared" si="362"/>
        <v>-2736720.7160307006</v>
      </c>
      <c r="AE34" s="7">
        <f t="shared" si="362"/>
        <v>-3131103.1395762051</v>
      </c>
      <c r="AF34" s="7">
        <f t="shared" si="362"/>
        <v>-2412003.9003119762</v>
      </c>
      <c r="AG34" s="7">
        <f t="shared" si="362"/>
        <v>-1185239.0929393563</v>
      </c>
      <c r="AH34" s="7">
        <f t="shared" si="362"/>
        <v>103424.51856682287</v>
      </c>
      <c r="AI34" s="7">
        <f t="shared" si="362"/>
        <v>375217.00542823679</v>
      </c>
      <c r="AJ34" s="7">
        <f t="shared" si="362"/>
        <v>-89279.674788240227</v>
      </c>
      <c r="AK34" s="7">
        <f t="shared" si="362"/>
        <v>-527124.77666072757</v>
      </c>
      <c r="AL34" s="7">
        <f t="shared" si="362"/>
        <v>-1147324.4923273576</v>
      </c>
      <c r="AM34" s="7">
        <f t="shared" si="362"/>
        <v>-1909045.4612670527</v>
      </c>
      <c r="AN34" s="7">
        <f t="shared" ref="AN34" si="363">IF(OR(AN33="",AM34=""),"",AN33+AN29+AM34)</f>
        <v>-2818023.734388011</v>
      </c>
      <c r="AO34" s="7">
        <f t="shared" ref="AO34" si="364">IF(OR(AO33="",AN34=""),"",AO33+AO29+AN34)</f>
        <v>-3471053.2003729353</v>
      </c>
      <c r="AP34" s="7">
        <f t="shared" ref="AP34" si="365">IF(OR(AP33="",AO34=""),"",AP33+AP29+AO34)</f>
        <v>-3850786.452948228</v>
      </c>
      <c r="AQ34" s="7">
        <f t="shared" ref="AQ34" si="366">IF(OR(AQ33="",AP34=""),"",AQ33+AQ29+AP34)</f>
        <v>-4297064.6236972502</v>
      </c>
      <c r="AR34" s="7">
        <f t="shared" ref="AR34" si="367">IF(OR(AR33="",AQ34=""),"",AR33+AR29+AQ34)</f>
        <v>-2651480.9509084746</v>
      </c>
      <c r="AS34" s="7">
        <f>IF(OR(AS33="",AR34=""),"",AS33+AS29+AR34)</f>
        <v>-933915.25303540658</v>
      </c>
      <c r="AT34" s="7">
        <f t="shared" ref="AT34" si="368">IF(OR(AT33="",AS34=""),"",AT33+AT29+AS34)</f>
        <v>954453.02026880695</v>
      </c>
      <c r="AU34" s="7">
        <f t="shared" ref="AU34" si="369">IF(OR(AU33="",AT34=""),"",AU33+AU29+AT34)</f>
        <v>1507477.4382679467</v>
      </c>
      <c r="AV34" s="7">
        <f t="shared" ref="AV34" si="370">IF(OR(AV33="",AU34=""),"",AV33+AV29+AU34)</f>
        <v>889816.16442684305</v>
      </c>
      <c r="AW34" s="7">
        <f t="shared" ref="AW34" si="371">IF(OR(AW33="",AV34=""),"",AW33+AW29+AV34)</f>
        <v>484478.35343073856</v>
      </c>
      <c r="AX34" s="7">
        <f t="shared" ref="AX34" si="372">IF(OR(AX33="",AW34=""),"",AX33+AX29+AW34)</f>
        <v>-102537.98725972057</v>
      </c>
      <c r="AY34" s="7">
        <f t="shared" ref="AY34" si="373">IF(OR(AY33="",AX34=""),"",AY33+AY29+AX34)</f>
        <v>-824728.10348134546</v>
      </c>
      <c r="AZ34" s="7">
        <f t="shared" ref="AZ34" si="374">IF(OR(AZ33="",AY34=""),"",AZ33+AZ29+AY34)</f>
        <v>-2783203.2266318467</v>
      </c>
      <c r="BA34" s="7">
        <f t="shared" ref="BA34" si="375">IF(OR(BA33="",AZ34=""),"",BA33+BA29+AZ34)</f>
        <v>-2410566.5311978352</v>
      </c>
      <c r="BB34" s="7">
        <f t="shared" ref="BB34" si="376">IF(OR(BB33="",BA34=""),"",BB33+BB29+BA34)</f>
        <v>-2506928.3296415904</v>
      </c>
      <c r="BC34" s="7">
        <f t="shared" ref="BC34" si="377">IF(OR(BC33="",BB34=""),"",BC33+BC29+BB34)</f>
        <v>-2592584.5994478348</v>
      </c>
      <c r="BD34" s="7">
        <f t="shared" ref="BD34" si="378">IF(OR(BD33="",BC34=""),"",BD33+BD29+BC34)</f>
        <v>-2703955.707754205</v>
      </c>
      <c r="BE34" s="7">
        <f t="shared" ref="BE34" si="379">IF(OR(BE33="",BD34=""),"",BE33+BE29+BD34)</f>
        <v>-2853328.6117432509</v>
      </c>
      <c r="BF34" s="7">
        <f t="shared" ref="BF34" si="380">IF(OR(BF33="",BE34=""),"",BF33+BF29+BE34)</f>
        <v>-2993283.7119566547</v>
      </c>
      <c r="BG34" s="7">
        <f t="shared" ref="BG34" si="381">IF(OR(BG33="",BF34=""),"",BG33+BG29+BF34)</f>
        <v>-3119582.527414429</v>
      </c>
      <c r="BH34" s="7">
        <f t="shared" ref="BH34" si="382">IF(OR(BH33="",BG34=""),"",BH33+BH29+BG34)</f>
        <v>-3205550.5426718877</v>
      </c>
      <c r="BI34" s="7">
        <f t="shared" ref="BI34" si="383">IF(OR(BI33="",BH34=""),"",BI33+BI29+BH34)</f>
        <v>-3297503.0103683639</v>
      </c>
      <c r="BJ34" s="7">
        <f t="shared" ref="BJ34:CB34" si="384">IF(OR(BJ33="",BI34=""),"",BJ33+BJ29+BI34)</f>
        <v>-3419171.0762022007</v>
      </c>
      <c r="BK34" s="7">
        <f t="shared" si="384"/>
        <v>-3576917.1863053888</v>
      </c>
      <c r="BL34" s="7">
        <f t="shared" si="384"/>
        <v>-3462390.0460068155</v>
      </c>
      <c r="BM34" s="7">
        <f t="shared" si="384"/>
        <v>-3132101.2060231538</v>
      </c>
      <c r="BN34" s="7">
        <f t="shared" si="384"/>
        <v>-2908781.4347078195</v>
      </c>
      <c r="BO34" s="7">
        <f t="shared" si="384"/>
        <v>-2699109.0053561926</v>
      </c>
      <c r="BP34" s="7">
        <f t="shared" si="384"/>
        <v>-2424851.5648602825</v>
      </c>
      <c r="BQ34" s="7">
        <f t="shared" si="384"/>
        <v>-2062562.2385074629</v>
      </c>
      <c r="BR34" s="7">
        <f t="shared" si="384"/>
        <v>-1693058.6164762257</v>
      </c>
      <c r="BS34" s="7">
        <f t="shared" si="384"/>
        <v>-1329887.1774208932</v>
      </c>
      <c r="BT34" s="7">
        <f t="shared" si="384"/>
        <v>-1077903.091988001</v>
      </c>
      <c r="BU34" s="7">
        <f t="shared" si="384"/>
        <v>-841350.61978191836</v>
      </c>
      <c r="BV34" s="7">
        <f t="shared" si="384"/>
        <v>-545291.64580185909</v>
      </c>
      <c r="BW34" s="7">
        <f t="shared" si="384"/>
        <v>-163519.43818466493</v>
      </c>
      <c r="BX34" s="7">
        <f t="shared" si="384"/>
        <v>83209.647640791081</v>
      </c>
      <c r="BY34" s="7">
        <f t="shared" si="384"/>
        <v>97333.148116127326</v>
      </c>
      <c r="BZ34" s="7">
        <f t="shared" si="384"/>
        <v>105461.25901764051</v>
      </c>
      <c r="CA34" s="7">
        <f t="shared" si="384"/>
        <v>113620.61069491193</v>
      </c>
      <c r="CB34" s="7">
        <f t="shared" si="384"/>
        <v>124298.28928498033</v>
      </c>
      <c r="CC34" s="7">
        <f t="shared" ref="CC34:CR34" si="385">IF(OR(CC33="",CB34=""),"",CC33+CC29+CB34)</f>
        <v>139005.06480251608</v>
      </c>
      <c r="CD34" s="7">
        <f t="shared" si="385"/>
        <v>152985.78444806105</v>
      </c>
      <c r="CE34" s="7">
        <f t="shared" si="385"/>
        <v>164820.69968768809</v>
      </c>
      <c r="CF34" s="7">
        <f t="shared" si="385"/>
        <v>179448.39251407248</v>
      </c>
      <c r="CG34" s="7">
        <f t="shared" si="385"/>
        <v>187582.17835932411</v>
      </c>
      <c r="CH34" s="7">
        <f t="shared" si="385"/>
        <v>200149.00118157061</v>
      </c>
      <c r="CI34" s="7">
        <f t="shared" si="385"/>
        <v>215470.09987079958</v>
      </c>
      <c r="CJ34" s="7">
        <f t="shared" si="385"/>
        <v>215207.28181961254</v>
      </c>
      <c r="CK34" s="7">
        <f t="shared" si="385"/>
        <v>198967.72114114373</v>
      </c>
      <c r="CL34" s="7">
        <f t="shared" si="385"/>
        <v>184939.07709845091</v>
      </c>
      <c r="CM34" s="7">
        <f t="shared" si="385"/>
        <v>173085.75662520205</v>
      </c>
      <c r="CN34" s="7">
        <f t="shared" si="385"/>
        <v>157512.42128455749</v>
      </c>
      <c r="CO34" s="7">
        <f t="shared" si="385"/>
        <v>136859.44514927361</v>
      </c>
      <c r="CP34" s="7">
        <f t="shared" si="385"/>
        <v>115441.39376937802</v>
      </c>
      <c r="CQ34" s="7">
        <f t="shared" si="385"/>
        <v>95561.477022510502</v>
      </c>
      <c r="CR34" s="7">
        <f t="shared" si="385"/>
        <v>81150.555704902596</v>
      </c>
      <c r="CS34" s="7">
        <f t="shared" ref="CS34" si="386">IF(OR(CS33="",CR34=""),"",CS33+CS29+CR34)</f>
        <v>67743.137593812484</v>
      </c>
      <c r="CT34" s="7">
        <f t="shared" ref="CT34" si="387">IF(OR(CT33="",CS34=""),"",CT33+CT29+CS34)</f>
        <v>49217.034511072219</v>
      </c>
      <c r="CU34" s="7">
        <f t="shared" ref="CU34" si="388">IF(OR(CU33="",CT34=""),"",CU33+CU29+CT34)</f>
        <v>24767.091167296159</v>
      </c>
    </row>
    <row r="35" spans="1:99" s="4" customFormat="1" ht="8.25" hidden="1" customHeight="1" outlineLevel="1" x14ac:dyDescent="0.35">
      <c r="A35" s="40"/>
      <c r="B35" s="11"/>
      <c r="C35" s="11"/>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row>
    <row r="36" spans="1:99" s="4" customFormat="1" ht="15" hidden="1" customHeight="1" outlineLevel="1" x14ac:dyDescent="0.35">
      <c r="A36" s="295" t="s">
        <v>21</v>
      </c>
      <c r="B36" s="15"/>
      <c r="C36" s="30"/>
      <c r="D36" s="30"/>
      <c r="E36" s="7"/>
      <c r="F36" s="7"/>
      <c r="G36" s="7"/>
      <c r="H36" s="7"/>
      <c r="I36" s="7"/>
      <c r="J36" s="7"/>
      <c r="K36" s="7"/>
      <c r="L36" s="7"/>
      <c r="M36" s="7"/>
      <c r="N36" s="7"/>
      <c r="O36" s="7"/>
      <c r="P36" s="68">
        <v>668388.03466751985</v>
      </c>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125">
        <v>-1416.2097759493299</v>
      </c>
      <c r="CG36" s="7"/>
      <c r="CH36" s="7"/>
      <c r="CI36" s="113">
        <f>'MEEIA 2 adjs'!EC43</f>
        <v>76.803899278672134</v>
      </c>
      <c r="CJ36" s="7"/>
      <c r="CK36" s="7"/>
      <c r="CL36" s="7"/>
      <c r="CM36" s="7"/>
      <c r="CN36" s="7"/>
      <c r="CO36" s="7"/>
      <c r="CP36" s="7"/>
      <c r="CQ36" s="7"/>
      <c r="CR36" s="7"/>
      <c r="CS36" s="7"/>
      <c r="CT36" s="7"/>
      <c r="CU36" s="7"/>
    </row>
    <row r="37" spans="1:99" s="2" customFormat="1" ht="15" hidden="1" customHeight="1" outlineLevel="1" x14ac:dyDescent="0.35">
      <c r="A37" s="295"/>
      <c r="B37" s="15" t="s">
        <v>28</v>
      </c>
      <c r="C37" s="30"/>
      <c r="D37" s="30"/>
      <c r="E37" s="20">
        <f>IF('M2 Allocations - TD'!D6="","",'M2 Allocations - TD'!D32)</f>
        <v>0</v>
      </c>
      <c r="F37" s="20">
        <f>IF('M2 Allocations - TD'!E6="","",'M2 Allocations - TD'!E32)</f>
        <v>0</v>
      </c>
      <c r="G37" s="20">
        <f>IF('M2 Allocations - TD'!F6="","",'M2 Allocations - TD'!F32)</f>
        <v>0</v>
      </c>
      <c r="H37" s="20">
        <f>IF('M2 Allocations - TD'!G6="","",'M2 Allocations - TD'!G32)</f>
        <v>4167.9399999999996</v>
      </c>
      <c r="I37" s="20">
        <f>IF('M2 Allocations - TD'!H6="","",'M2 Allocations - TD'!H32)</f>
        <v>13357.940000000002</v>
      </c>
      <c r="J37" s="20">
        <f>IF('M2 Allocations - TD'!I6="","",'M2 Allocations - TD'!I32)</f>
        <v>14670.985238775314</v>
      </c>
      <c r="K37" s="20">
        <f>IF('M2 Allocations - TD'!J6="","",'M2 Allocations - TD'!J32)</f>
        <v>22602.465674921033</v>
      </c>
      <c r="L37" s="20">
        <f>IF('M2 Allocations - TD'!K6="","",'M2 Allocations - TD'!K32)</f>
        <v>23670.862866768453</v>
      </c>
      <c r="M37" s="20">
        <f>IF('M2 Allocations - TD'!L6="","",'M2 Allocations - TD'!L32)</f>
        <v>27753.308601536653</v>
      </c>
      <c r="N37" s="20">
        <f>IF('M2 Allocations - TD'!M6="","",'M2 Allocations - TD'!M32)</f>
        <v>37258.575758638253</v>
      </c>
      <c r="O37" s="20">
        <f>IF('M2 Allocations - TD'!N6="","",'M2 Allocations - TD'!N32)</f>
        <v>47579.322188278435</v>
      </c>
      <c r="P37" s="20">
        <f>IF('M2 Allocations - TD'!O6="","",'M2 Allocations - TD'!O32)</f>
        <v>42911.041729266297</v>
      </c>
      <c r="Q37" s="20">
        <f>IF('M2 Allocations - TD'!P6="","",'M2 Allocations - TD'!P32)</f>
        <v>52823.001162257649</v>
      </c>
      <c r="R37" s="20">
        <f>IF('M2 Allocations - TD'!Q6="","",'M2 Allocations - TD'!Q32)</f>
        <v>25950.307634173645</v>
      </c>
      <c r="S37" s="20">
        <f>IF('M2 Allocations - TD'!R6="","",'M2 Allocations - TD'!R32)</f>
        <v>48983.559131334005</v>
      </c>
      <c r="T37" s="20">
        <f>IF('M2 Allocations - TD'!S6="","",'M2 Allocations - TD'!S32)</f>
        <v>90621.489340586311</v>
      </c>
      <c r="U37" s="20">
        <f>IF('M2 Allocations - TD'!T6="","",'M2 Allocations - TD'!T32)</f>
        <v>138931.90000000002</v>
      </c>
      <c r="V37" s="20">
        <f>IF('M2 Allocations - TD'!U6="","",'M2 Allocations - TD'!U32)</f>
        <v>133700.2685394297</v>
      </c>
      <c r="W37" s="20">
        <f>IF('M2 Allocations - TD'!V6="","",'M2 Allocations - TD'!V32)</f>
        <v>151757.81340251025</v>
      </c>
      <c r="X37" s="20">
        <f>IF('M2 Allocations - TD'!W6="","",'M2 Allocations - TD'!W32)</f>
        <v>116837.79257470783</v>
      </c>
      <c r="Y37" s="20">
        <f>IF('M2 Allocations - TD'!X6="","",'M2 Allocations - TD'!X32)</f>
        <v>88133.517269885691</v>
      </c>
      <c r="Z37" s="20">
        <f>IF('M2 Allocations - TD'!Y6="","",'M2 Allocations - TD'!Y32)</f>
        <v>126989.00719390194</v>
      </c>
      <c r="AA37" s="20">
        <f>IF('M2 Allocations - TD'!Z6="","",'M2 Allocations - TD'!Z32)</f>
        <v>151376.91870679389</v>
      </c>
      <c r="AB37" s="20">
        <f>IF('M2 Allocations - TD'!AA6="","",'M2 Allocations - TD'!AA32)</f>
        <v>131012.65264951537</v>
      </c>
      <c r="AC37" s="20">
        <f>IF('M2 Allocations - TD'!AB6="","",'M2 Allocations - TD'!AB32)</f>
        <v>161984.73662810036</v>
      </c>
      <c r="AD37" s="20">
        <f>IF('M2 Allocations - TD'!AC6="","",'M2 Allocations - TD'!AC32)</f>
        <v>186884.98622710272</v>
      </c>
      <c r="AE37" s="20">
        <f>IF('M2 Allocations - TD'!AD6="","",'M2 Allocations - TD'!AD32)</f>
        <v>260709.07600105793</v>
      </c>
      <c r="AF37" s="20">
        <f>IF('M2 Allocations - TD'!AE6="","",'M2 Allocations - TD'!AE32)</f>
        <v>394275.90039880731</v>
      </c>
      <c r="AG37" s="20">
        <f>IF('M2 Allocations - TD'!AF6="","",'M2 Allocations - TD'!AF32)</f>
        <v>517564.58433629415</v>
      </c>
      <c r="AH37" s="20">
        <f>IF('M2 Allocations - TD'!AG6="","",'M2 Allocations - TD'!AG32)</f>
        <v>456642.37398614379</v>
      </c>
      <c r="AI37" s="20">
        <f>IF('M2 Allocations - TD'!AH6="","",'M2 Allocations - TD'!AH32)</f>
        <v>495377.09665466635</v>
      </c>
      <c r="AJ37" s="20">
        <f>IF('M2 Allocations - TD'!AI6="","",'M2 Allocations - TD'!AI32)</f>
        <v>348239.88671273278</v>
      </c>
      <c r="AK37" s="20">
        <f>IF('M2 Allocations - TD'!AJ6="","",'M2 Allocations - TD'!AJ32)</f>
        <v>315404.35918017995</v>
      </c>
      <c r="AL37" s="20">
        <f>IF('M2 Allocations - TD'!AK6="","",'M2 Allocations - TD'!AK32)</f>
        <v>349367.88347835495</v>
      </c>
      <c r="AM37" s="20">
        <f>IF('M2 Allocations - TD'!AL6="","",'M2 Allocations - TD'!AL32)</f>
        <v>376670.80776353204</v>
      </c>
      <c r="AN37" s="20">
        <f>IF('M2 Allocations - TD'!AM6="","",'M2 Allocations - TD'!AM32)</f>
        <v>315666.15712072933</v>
      </c>
      <c r="AO37" s="20">
        <f>IF('M2 Allocations - TD'!AN6="","",'M2 Allocations - TD'!AN32)</f>
        <v>426235.9958025862</v>
      </c>
      <c r="AP37" s="20">
        <f>IF('M2 Allocations - TD'!AO6="","",'M2 Allocations - TD'!AO32)</f>
        <v>429805.50677490461</v>
      </c>
      <c r="AQ37" s="20">
        <f>IF('M2 Allocations - TD'!AP6="","",'M2 Allocations - TD'!AP32)</f>
        <v>425502.70439957909</v>
      </c>
      <c r="AR37" s="20">
        <f>IF('M2 Allocations - TD'!AQ6="","",'M2 Allocations - TD'!AQ32)</f>
        <v>711026.13316380861</v>
      </c>
      <c r="AS37" s="20">
        <f>IF('M2 Allocations - TD'!AR6="","",'M2 Allocations - TD'!AR32)</f>
        <v>906630.75933951</v>
      </c>
      <c r="AT37" s="20">
        <f>IF('M2 Allocations - TD'!AS6="","",'M2 Allocations - TD'!AS32)</f>
        <v>735303.71734464087</v>
      </c>
      <c r="AU37" s="20">
        <f>IF('M2 Allocations - TD'!AT6="","",'M2 Allocations - TD'!AT32)</f>
        <v>765682.15647802898</v>
      </c>
      <c r="AV37" s="20">
        <f>IF('M2 Allocations - TD'!AU6="","",'M2 Allocations - TD'!AU32)</f>
        <v>522721.08210263157</v>
      </c>
      <c r="AW37" s="20">
        <f>IF('M2 Allocations - TD'!AV6="","",'M2 Allocations - TD'!AV32)</f>
        <v>445892.99890309712</v>
      </c>
      <c r="AX37" s="20">
        <f>IF('M2 Allocations - TD'!AW6="","",'M2 Allocations - TD'!AW32)</f>
        <v>380966.65670412086</v>
      </c>
      <c r="AY37" s="20">
        <f>IF('M2 Allocations - TD'!AX6="","",'M2 Allocations - TD'!AX32)</f>
        <v>451558.90985025105</v>
      </c>
      <c r="AZ37" s="20">
        <f>IF('M2 Allocations - TD'!AY6="","",'M2 Allocations - TD'!AY32)</f>
        <v>349160.22599545511</v>
      </c>
      <c r="BA37" s="20">
        <f>IF('M2 Allocations - TD'!AZ6="","",'M2 Allocations - TD'!AZ32)</f>
        <v>388715.00802980497</v>
      </c>
      <c r="BB37" s="20">
        <f>IF('M2 Allocations - TD'!BA6="","",'M2 Allocations - TD'!BA32)</f>
        <v>0</v>
      </c>
      <c r="BC37" s="20">
        <f>IF('M2 Allocations - TD'!BB6="","",'M2 Allocations - TD'!BB32)</f>
        <v>-280.76739666505853</v>
      </c>
      <c r="BD37" s="20">
        <f>IF('M2 Allocations - TD'!BC6="","",'M2 Allocations - TD'!BC32)</f>
        <v>0</v>
      </c>
      <c r="BE37" s="20">
        <f>IF('M2 Allocations - TD'!BD6="","",'M2 Allocations - TD'!BD32)</f>
        <v>0</v>
      </c>
      <c r="BF37" s="20">
        <f>IF('M2 Allocations - TD'!BE6="","",'M2 Allocations - TD'!BE32)</f>
        <v>0</v>
      </c>
      <c r="BG37" s="20">
        <f>IF('M2 Allocations - TD'!BF6="","",'M2 Allocations - TD'!BF32)</f>
        <v>0</v>
      </c>
      <c r="BH37" s="20">
        <f>IF('M2 Allocations - TD'!BG6="","",'M2 Allocations - TD'!BG32)</f>
        <v>0</v>
      </c>
      <c r="BI37" s="20">
        <f>IF('M2 Allocations - TD'!BH6="","",'M2 Allocations - TD'!BH32)</f>
        <v>0</v>
      </c>
      <c r="BJ37" s="20">
        <f>IF('M2 Allocations - TD'!BI6="","",'M2 Allocations - TD'!BI32)</f>
        <v>0</v>
      </c>
      <c r="BK37" s="20">
        <f>IF('M2 Allocations - TD'!BJ6="","",'M2 Allocations - TD'!BJ32)</f>
        <v>0</v>
      </c>
      <c r="BL37" s="20">
        <f>IF('M2 Allocations - TD'!BK6="","",'M2 Allocations - TD'!BK32)</f>
        <v>255.64000000059605</v>
      </c>
      <c r="BM37" s="20">
        <f>IF('M2 Allocations - TD'!BL6="","",'M2 Allocations - TD'!BL32)</f>
        <v>592.33999999985099</v>
      </c>
      <c r="BN37" s="20">
        <f>IF('M2 Allocations - TD'!BM6="","",'M2 Allocations - TD'!BM32)</f>
        <v>632.41000000014901</v>
      </c>
      <c r="BO37" s="20">
        <f>IF('M2 Allocations - TD'!BN6="","",'M2 Allocations - TD'!BN32)</f>
        <v>892.52999999932945</v>
      </c>
      <c r="BP37" s="20">
        <f>IF('M2 Allocations - TD'!BO6="","",'M2 Allocations - TD'!BO32)</f>
        <v>1958.390000000596</v>
      </c>
      <c r="BQ37" s="20">
        <f>IF('M2 Allocations - TD'!BP6="","",'M2 Allocations - TD'!BP32)</f>
        <v>2575.9900000002235</v>
      </c>
      <c r="BR37" s="20">
        <f>IF('M2 Allocations - TD'!BQ6="","",'M2 Allocations - TD'!BQ32)</f>
        <v>2901.589999999851</v>
      </c>
      <c r="BS37" s="20">
        <f>IF('M2 Allocations - TD'!BR6="","",'M2 Allocations - TD'!BR32)</f>
        <v>2255.2100000008941</v>
      </c>
      <c r="BT37" s="20">
        <f>IF('M2 Allocations - TD'!BS6="","",'M2 Allocations - TD'!BS32)</f>
        <v>1201.0499999988824</v>
      </c>
      <c r="BU37" s="20">
        <f>IF('M2 Allocations - TD'!BT6="","",'M2 Allocations - TD'!BT32)</f>
        <v>993.04000000096858</v>
      </c>
      <c r="BV37" s="20">
        <f>IF('M2 Allocations - TD'!BU6="","",'M2 Allocations - TD'!BU32)</f>
        <v>1022.7099999990314</v>
      </c>
      <c r="BW37" s="20">
        <f>IF('M2 Allocations - TD'!BV6="","",'M2 Allocations - TD'!BV32)</f>
        <v>1061.0999999996275</v>
      </c>
      <c r="BX37" s="20">
        <f>IF('M2 Allocations - TD'!BW6="","",'M2 Allocations - TD'!BW32)</f>
        <v>818.65000000037253</v>
      </c>
      <c r="BY37" s="20">
        <f>IF('M2 Allocations - TD'!BX6="","",'M2 Allocations - TD'!BX32)</f>
        <v>0</v>
      </c>
      <c r="BZ37" s="20">
        <f>IF('M2 Allocations - TD'!BY6="","",'M2 Allocations - TD'!BY32)</f>
        <v>0</v>
      </c>
      <c r="CA37" s="20">
        <f>IF('M2 Allocations - TD'!BZ6="","",'M2 Allocations - TD'!BZ32)</f>
        <v>0</v>
      </c>
      <c r="CB37" s="20">
        <f>IF('M2 Allocations - TD'!CA6="","",'M2 Allocations - TD'!CA32)</f>
        <v>0</v>
      </c>
      <c r="CC37" s="20">
        <f>IF('M2 Allocations - TD'!CB6="","",'M2 Allocations - TD'!CB32)</f>
        <v>0</v>
      </c>
      <c r="CD37" s="20">
        <f>IF('M2 Allocations - TD'!CC6="","",'M2 Allocations - TD'!CC32)</f>
        <v>0</v>
      </c>
      <c r="CE37" s="20">
        <f>IF('M2 Allocations - TD'!CD6="","",'M2 Allocations - TD'!CD32)</f>
        <v>0</v>
      </c>
      <c r="CF37" s="20">
        <f>IF('M2 Allocations - TD'!CE6="","",'M2 Allocations - TD'!CE32)</f>
        <v>0</v>
      </c>
      <c r="CG37" s="20">
        <f>IF('M2 Allocations - TD'!CF6="","",'M2 Allocations - TD'!CF32)</f>
        <v>0</v>
      </c>
      <c r="CH37" s="20">
        <f>IF('M2 Allocations - TD'!CG6="","",'M2 Allocations - TD'!CG32)</f>
        <v>0</v>
      </c>
      <c r="CI37" s="20">
        <f>IF('M2 Allocations - TD'!CH6="","",'M2 Allocations - TD'!CH32)</f>
        <v>0</v>
      </c>
      <c r="CJ37" s="20">
        <f>IF('M2 Allocations - TD'!CI6="","",'M2 Allocations - TD'!CI32)</f>
        <v>0</v>
      </c>
      <c r="CK37" s="20">
        <f>IF('M2 Allocations - TD'!CJ6="","",'M2 Allocations - TD'!CJ32)</f>
        <v>0</v>
      </c>
      <c r="CL37" s="20">
        <f>IF('M2 Allocations - TD'!CK6="","",'M2 Allocations - TD'!CK32)</f>
        <v>0</v>
      </c>
      <c r="CM37" s="20">
        <f>IF('M2 Allocations - TD'!CL6="","",'M2 Allocations - TD'!CL32)</f>
        <v>0</v>
      </c>
      <c r="CN37" s="20">
        <f>IF('M2 Allocations - TD'!CM6="","",'M2 Allocations - TD'!CM32)</f>
        <v>0</v>
      </c>
      <c r="CO37" s="20">
        <f>IF('M2 Allocations - TD'!CN6="","",'M2 Allocations - TD'!CN32)</f>
        <v>0</v>
      </c>
      <c r="CP37" s="20">
        <f>IF('M2 Allocations - TD'!CO6="","",'M2 Allocations - TD'!CO32)</f>
        <v>0</v>
      </c>
      <c r="CQ37" s="20">
        <f>IF('M2 Allocations - TD'!CP6="","",'M2 Allocations - TD'!CP32)</f>
        <v>0</v>
      </c>
      <c r="CR37" s="20">
        <f>IF('M2 Allocations - TD'!CQ6="","",'M2 Allocations - TD'!CQ32)</f>
        <v>0</v>
      </c>
      <c r="CS37" s="20">
        <f>IF('M2 Allocations - TD'!CR6="","",'M2 Allocations - TD'!CR32)</f>
        <v>0</v>
      </c>
      <c r="CT37" s="20">
        <f>IF('M2 Allocations - TD'!CS6="","",'M2 Allocations - TD'!CS32)</f>
        <v>0</v>
      </c>
      <c r="CU37" s="20">
        <f>IF('M2 Allocations - TD'!CT6="","",'M2 Allocations - TD'!CT32)</f>
        <v>0</v>
      </c>
    </row>
    <row r="38" spans="1:99" s="4" customFormat="1" ht="15" hidden="1" customHeight="1" outlineLevel="1" x14ac:dyDescent="0.35">
      <c r="A38" s="295"/>
      <c r="B38" s="16" t="s">
        <v>26</v>
      </c>
      <c r="C38" s="24"/>
      <c r="D38" s="24"/>
      <c r="E38" s="22">
        <v>0</v>
      </c>
      <c r="F38" s="22">
        <v>0</v>
      </c>
      <c r="G38" s="22">
        <v>856.28</v>
      </c>
      <c r="H38" s="22">
        <v>12419.27</v>
      </c>
      <c r="I38" s="22">
        <v>14760.05</v>
      </c>
      <c r="J38" s="22">
        <v>14736.25</v>
      </c>
      <c r="K38" s="22">
        <v>14174.52</v>
      </c>
      <c r="L38" s="22">
        <v>12053.27</v>
      </c>
      <c r="M38" s="22">
        <v>10707.26</v>
      </c>
      <c r="N38" s="22">
        <v>12431.58</v>
      </c>
      <c r="O38" s="22">
        <v>27338.89</v>
      </c>
      <c r="P38" s="22">
        <f>144458.09+268.19</f>
        <v>144726.28</v>
      </c>
      <c r="Q38" s="22">
        <f>128591.46-105.49</f>
        <v>128485.97</v>
      </c>
      <c r="R38" s="20">
        <f>IF('M2 Allocations - TD'!Q51="","",'M2 Allocations - TD'!Q69)</f>
        <v>117754.86766427531</v>
      </c>
      <c r="S38" s="20">
        <f>IF('M2 Allocations - TD'!R51="","",'M2 Allocations - TD'!R69)</f>
        <v>117111.78358657917</v>
      </c>
      <c r="T38" s="20">
        <f>IF('M2 Allocations - TD'!S51="","",'M2 Allocations - TD'!S69)</f>
        <v>139211.1271761941</v>
      </c>
      <c r="U38" s="20">
        <f>IF('M2 Allocations - TD'!T51="","",'M2 Allocations - TD'!T69)</f>
        <v>160900.46992761682</v>
      </c>
      <c r="V38" s="20">
        <f>IF('M2 Allocations - TD'!U51="","",'M2 Allocations - TD'!U69)</f>
        <v>162415.72720926077</v>
      </c>
      <c r="W38" s="20">
        <f>IF('M2 Allocations - TD'!V51="","",'M2 Allocations - TD'!V69)</f>
        <v>145481.1603029698</v>
      </c>
      <c r="X38" s="20">
        <f>IF('M2 Allocations - TD'!W51="","",'M2 Allocations - TD'!W69)</f>
        <v>137867.15538119225</v>
      </c>
      <c r="Y38" s="20">
        <f>IF('M2 Allocations - TD'!X51="","",'M2 Allocations - TD'!X69)</f>
        <v>122671.59779667509</v>
      </c>
      <c r="Z38" s="20">
        <f>IF('M2 Allocations - TD'!Y51="","",'M2 Allocations - TD'!Y69)</f>
        <v>134648.09810155624</v>
      </c>
      <c r="AA38" s="20">
        <f>IF('M2 Allocations - TD'!Z51="","",'M2 Allocations - TD'!Z69)</f>
        <v>193970.45230344273</v>
      </c>
      <c r="AB38" s="20">
        <f>IF('M2 Allocations - TD'!AA51="","",'M2 Allocations - TD'!AA69)</f>
        <v>337014.49</v>
      </c>
      <c r="AC38" s="20">
        <f>IF('M2 Allocations - TD'!AB51="","",'M2 Allocations - TD'!AB69)</f>
        <v>295708.57620644657</v>
      </c>
      <c r="AD38" s="20">
        <f>IF('M2 Allocations - TD'!AC51="","",'M2 Allocations - TD'!AC69)</f>
        <v>291406.59328999976</v>
      </c>
      <c r="AE38" s="20">
        <f>IF('M2 Allocations - TD'!AD51="","",'M2 Allocations - TD'!AD69)</f>
        <v>264923.25566753082</v>
      </c>
      <c r="AF38" s="20">
        <f>IF('M2 Allocations - TD'!AE51="","",'M2 Allocations - TD'!AE69)</f>
        <v>333657.21503767214</v>
      </c>
      <c r="AG38" s="20">
        <f>IF('M2 Allocations - TD'!AF51="","",'M2 Allocations - TD'!AF69)</f>
        <v>367915.86365673423</v>
      </c>
      <c r="AH38" s="20">
        <f>IF('M2 Allocations - TD'!AG51="","",'M2 Allocations - TD'!AG69)</f>
        <v>344001.06732957577</v>
      </c>
      <c r="AI38" s="20">
        <f>IF('M2 Allocations - TD'!AH51="","",'M2 Allocations - TD'!AH69)</f>
        <v>338126.29031171976</v>
      </c>
      <c r="AJ38" s="20">
        <f>IF('M2 Allocations - TD'!AI51="","",'M2 Allocations - TD'!AI69)</f>
        <v>297845.76900715684</v>
      </c>
      <c r="AK38" s="20">
        <f>IF('M2 Allocations - TD'!AJ51="","",'M2 Allocations - TD'!AJ69)</f>
        <v>267618.62093979405</v>
      </c>
      <c r="AL38" s="20">
        <f>IF('M2 Allocations - TD'!AK51="","",'M2 Allocations - TD'!AK69)</f>
        <v>322555.10705520917</v>
      </c>
      <c r="AM38" s="20">
        <f>IF('M2 Allocations - TD'!AL51="","",'M2 Allocations - TD'!AL69)</f>
        <v>371341.16797562933</v>
      </c>
      <c r="AN38" s="20">
        <f>IF('M2 Allocations - TD'!AM51="","",'M2 Allocations - TD'!AM69)</f>
        <v>701136.2388481237</v>
      </c>
      <c r="AO38" s="20">
        <f>IF('M2 Allocations - TD'!AN51="","",'M2 Allocations - TD'!AN69)</f>
        <v>660367.02395744435</v>
      </c>
      <c r="AP38" s="20">
        <f>IF('M2 Allocations - TD'!AO51="","",'M2 Allocations - TD'!AO69)</f>
        <v>536256.50994038768</v>
      </c>
      <c r="AQ38" s="20">
        <f>IF('M2 Allocations - TD'!AP51="","",'M2 Allocations - TD'!AP69)</f>
        <v>506299.41162084811</v>
      </c>
      <c r="AR38" s="20">
        <f>IF('M2 Allocations - TD'!AQ51="","",'M2 Allocations - TD'!AQ69)</f>
        <v>591277.49932374491</v>
      </c>
      <c r="AS38" s="20">
        <f>IF('M2 Allocations - TD'!AR51="","",'M2 Allocations - TD'!AR69)</f>
        <v>676039.62753147213</v>
      </c>
      <c r="AT38" s="20">
        <f>IF('M2 Allocations - TD'!AS51="","",'M2 Allocations - TD'!AS69)</f>
        <v>694696.60025960801</v>
      </c>
      <c r="AU38" s="20">
        <f>IF('M2 Allocations - TD'!AT51="","",'M2 Allocations - TD'!AT69)</f>
        <v>670877.10139883822</v>
      </c>
      <c r="AV38" s="20">
        <f>IF('M2 Allocations - TD'!AU51="","",'M2 Allocations - TD'!AU69)</f>
        <v>604713.02387172775</v>
      </c>
      <c r="AW38" s="20">
        <f>IF('M2 Allocations - TD'!AV51="","",'M2 Allocations - TD'!AV69)</f>
        <v>541098.36747130833</v>
      </c>
      <c r="AX38" s="20">
        <f>IF('M2 Allocations - TD'!AW51="","",'M2 Allocations - TD'!AW69)</f>
        <v>635047.56064080668</v>
      </c>
      <c r="AY38" s="20">
        <f>IF('M2 Allocations - TD'!AX51="","",'M2 Allocations - TD'!AX69)</f>
        <v>677042.48835283797</v>
      </c>
      <c r="AZ38" s="20">
        <f>IF('M2 Allocations - TD'!AY51="","",'M2 Allocations - TD'!AY69)</f>
        <v>415381.06618172349</v>
      </c>
      <c r="BA38" s="20">
        <f>IF('M2 Allocations - TD'!AZ51="","",'M2 Allocations - TD'!AZ69)</f>
        <v>87488.365088698483</v>
      </c>
      <c r="BB38" s="20">
        <f>IF('M2 Allocations - TD'!BA51="","",'M2 Allocations - TD'!BA69)</f>
        <v>64808.481988010986</v>
      </c>
      <c r="BC38" s="20">
        <f>IF('M2 Allocations - TD'!BB51="","",'M2 Allocations - TD'!BB69)</f>
        <v>59023.185490174175</v>
      </c>
      <c r="BD38" s="20">
        <f>IF('M2 Allocations - TD'!BC51="","",'M2 Allocations - TD'!BC69)</f>
        <v>73834.949720540346</v>
      </c>
      <c r="BE38" s="20">
        <f>IF('M2 Allocations - TD'!BD51="","",'M2 Allocations - TD'!BD69)</f>
        <v>92018.552084119583</v>
      </c>
      <c r="BF38" s="20">
        <f>IF('M2 Allocations - TD'!BE51="","",'M2 Allocations - TD'!BE69)</f>
        <v>90580.739582948823</v>
      </c>
      <c r="BG38" s="20">
        <f>IF('M2 Allocations - TD'!BF51="","",'M2 Allocations - TD'!BF69)</f>
        <v>86046.105340623792</v>
      </c>
      <c r="BH38" s="20">
        <f>IF('M2 Allocations - TD'!BG51="","",'M2 Allocations - TD'!BG69)</f>
        <v>69862.512633552527</v>
      </c>
      <c r="BI38" s="20">
        <f>IF('M2 Allocations - TD'!BH51="","",'M2 Allocations - TD'!BH69)</f>
        <v>69704.10872407959</v>
      </c>
      <c r="BJ38" s="20">
        <f>IF('M2 Allocations - TD'!BI51="","",'M2 Allocations - TD'!BI69)</f>
        <v>80360.687024982573</v>
      </c>
      <c r="BK38" s="20">
        <f>IF('M2 Allocations - TD'!BJ51="","",'M2 Allocations - TD'!BJ69)</f>
        <v>95761.440926806667</v>
      </c>
      <c r="BL38" s="20">
        <f>IF('M2 Allocations - TD'!BK51="","",'M2 Allocations - TD'!BK69)</f>
        <v>-1907.9937762007746</v>
      </c>
      <c r="BM38" s="20">
        <f>IF('M2 Allocations - TD'!BL51="","",'M2 Allocations - TD'!BL69)</f>
        <v>-102362.10040602235</v>
      </c>
      <c r="BN38" s="20">
        <f>IF('M2 Allocations - TD'!BM51="","",'M2 Allocations - TD'!BM69)</f>
        <v>-81659.759942022312</v>
      </c>
      <c r="BO38" s="20">
        <f>IF('M2 Allocations - TD'!BN51="","",'M2 Allocations - TD'!BN69)</f>
        <v>-80583.41964173934</v>
      </c>
      <c r="BP38" s="20">
        <f>IF('M2 Allocations - TD'!BO51="","",'M2 Allocations - TD'!BO69)</f>
        <v>-95520.020947600293</v>
      </c>
      <c r="BQ38" s="20">
        <f>IF('M2 Allocations - TD'!BP51="","",'M2 Allocations - TD'!BP69)</f>
        <v>-112468.59809397052</v>
      </c>
      <c r="BR38" s="20">
        <f>IF('M2 Allocations - TD'!BQ51="","",'M2 Allocations - TD'!BQ69)</f>
        <v>-112970.29647430769</v>
      </c>
      <c r="BS38" s="20">
        <f>IF('M2 Allocations - TD'!BR51="","",'M2 Allocations - TD'!BR69)</f>
        <v>-114176.56432782451</v>
      </c>
      <c r="BT38" s="20">
        <f>IF('M2 Allocations - TD'!BS51="","",'M2 Allocations - TD'!BS69)</f>
        <v>-95359.199900074542</v>
      </c>
      <c r="BU38" s="20">
        <f>IF('M2 Allocations - TD'!BT51="","",'M2 Allocations - TD'!BT69)</f>
        <v>-85048.337899656035</v>
      </c>
      <c r="BV38" s="20">
        <f>IF('M2 Allocations - TD'!BU51="","",'M2 Allocations - TD'!BU69)</f>
        <v>-96923.929909834478</v>
      </c>
      <c r="BW38" s="20">
        <f>IF('M2 Allocations - TD'!BV51="","",'M2 Allocations - TD'!BV69)</f>
        <v>-114316.61954150567</v>
      </c>
      <c r="BX38" s="20">
        <f>IF('M2 Allocations - TD'!BW51="","",'M2 Allocations - TD'!BW69)</f>
        <v>-70347.05152582172</v>
      </c>
      <c r="BY38" s="20">
        <f>IF('M2 Allocations - TD'!BX51="","",'M2 Allocations - TD'!BX69)</f>
        <v>-3800.9561632831483</v>
      </c>
      <c r="BZ38" s="20">
        <f>IF('M2 Allocations - TD'!BY51="","",'M2 Allocations - TD'!BY69)</f>
        <v>-3430.8126987825262</v>
      </c>
      <c r="CA38" s="20">
        <f>IF('M2 Allocations - TD'!BZ51="","",'M2 Allocations - TD'!BZ69)</f>
        <v>-3159.8932354852132</v>
      </c>
      <c r="CB38" s="20">
        <f>IF('M2 Allocations - TD'!CA51="","",'M2 Allocations - TD'!CA69)</f>
        <v>-3581.5162113053066</v>
      </c>
      <c r="CC38" s="20">
        <f>IF('M2 Allocations - TD'!CB51="","",'M2 Allocations - TD'!CB69)</f>
        <v>-4119.5944291965261</v>
      </c>
      <c r="CD38" s="20">
        <f>IF('M2 Allocations - TD'!CC51="","",'M2 Allocations - TD'!CC69)</f>
        <v>-4322.0730845019007</v>
      </c>
      <c r="CE38" s="20">
        <f>IF('M2 Allocations - TD'!CD51="","",'M2 Allocations - TD'!CD69)</f>
        <v>-3929.9254185913205</v>
      </c>
      <c r="CF38" s="20">
        <f>IF('M2 Allocations - TD'!CE51="","",'M2 Allocations - TD'!CE69)</f>
        <v>-3276.9745441742421</v>
      </c>
      <c r="CG38" s="20">
        <f>IF('M2 Allocations - TD'!CF51="","",'M2 Allocations - TD'!CF69)</f>
        <v>-3126.7202336261671</v>
      </c>
      <c r="CH38" s="20">
        <f>IF('M2 Allocations - TD'!CG51="","",'M2 Allocations - TD'!CG69)</f>
        <v>-3790.1875290561552</v>
      </c>
      <c r="CI38" s="20">
        <f>IF('M2 Allocations - TD'!CH51="","",'M2 Allocations - TD'!CH69)</f>
        <v>-4362.528537781639</v>
      </c>
      <c r="CJ38" s="20">
        <f>IF('M2 Allocations - TD'!CI51="","",'M2 Allocations - TD'!CI69)</f>
        <v>-59.450608927867215</v>
      </c>
      <c r="CK38" s="20">
        <f>IF('M2 Allocations - TD'!CJ51="","",'M2 Allocations - TD'!CJ69)</f>
        <v>4524.2006448409011</v>
      </c>
      <c r="CL38" s="20">
        <f>IF('M2 Allocations - TD'!CK51="","",'M2 Allocations - TD'!CK69)</f>
        <v>4143.0276488103909</v>
      </c>
      <c r="CM38" s="20">
        <f>IF('M2 Allocations - TD'!CL51="","",'M2 Allocations - TD'!CL69)</f>
        <v>3845.7337142260185</v>
      </c>
      <c r="CN38" s="20">
        <f>IF('M2 Allocations - TD'!CM51="","",'M2 Allocations - TD'!CM69)</f>
        <v>4680.4644940813678</v>
      </c>
      <c r="CO38" s="20">
        <f>IF('M2 Allocations - TD'!CN51="","",'M2 Allocations - TD'!CN69)</f>
        <v>5373.591493144434</v>
      </c>
      <c r="CP38" s="20">
        <f>IF('M2 Allocations - TD'!CO51="","",'M2 Allocations - TD'!CO69)</f>
        <v>5513.3199284737602</v>
      </c>
      <c r="CQ38" s="20">
        <f>IF('M2 Allocations - TD'!CP51="","",'M2 Allocations - TD'!CP69)</f>
        <v>5569.4194265403466</v>
      </c>
      <c r="CR38" s="20">
        <f>IF('M2 Allocations - TD'!CQ51="","",'M2 Allocations - TD'!CQ69)</f>
        <v>4526.9681321419803</v>
      </c>
      <c r="CS38" s="20">
        <f>IF('M2 Allocations - TD'!CR51="","",'M2 Allocations - TD'!CR69)</f>
        <v>4196.9354561870714</v>
      </c>
      <c r="CT38" s="20">
        <f>IF('M2 Allocations - TD'!CS51="","",'M2 Allocations - TD'!CS69)</f>
        <v>4916.3626186835527</v>
      </c>
      <c r="CU38" s="20">
        <f>IF('M2 Allocations - TD'!CT51="","",'M2 Allocations - TD'!CT69)</f>
        <v>5721.3202490727872</v>
      </c>
    </row>
    <row r="39" spans="1:99" s="4" customFormat="1" ht="15" hidden="1" customHeight="1" outlineLevel="1" x14ac:dyDescent="0.35">
      <c r="A39" s="295"/>
      <c r="B39" s="16" t="s">
        <v>51</v>
      </c>
      <c r="C39" s="24"/>
      <c r="D39" s="24"/>
      <c r="E39" s="22"/>
      <c r="F39" s="22"/>
      <c r="G39" s="22"/>
      <c r="H39" s="22"/>
      <c r="I39" s="22"/>
      <c r="J39" s="22"/>
      <c r="K39" s="22"/>
      <c r="L39" s="22"/>
      <c r="M39" s="22"/>
      <c r="N39" s="22"/>
      <c r="O39" s="22">
        <f>+'M2 TD amort'!C15</f>
        <v>0</v>
      </c>
      <c r="P39" s="22">
        <f>IF(P38="","",-'M2 TD amort'!D15)</f>
        <v>-57670.81</v>
      </c>
      <c r="Q39" s="22">
        <f>IF(Q38="","",-'M2 TD amort'!E15)</f>
        <v>-51199.34</v>
      </c>
      <c r="R39" s="20">
        <f>IF(R38="","",-'M2 TD amort'!F15)</f>
        <v>-48454.46</v>
      </c>
      <c r="S39" s="20">
        <f>IF(S38="","",-'M2 TD amort'!G15)</f>
        <v>-47961.66</v>
      </c>
      <c r="T39" s="20">
        <f>IF(T38="","",-'M2 TD amort'!H15)</f>
        <v>-56993.58</v>
      </c>
      <c r="U39" s="20">
        <f>IF(U38="","",-'M2 TD amort'!I15)</f>
        <v>-66068.81</v>
      </c>
      <c r="V39" s="20">
        <f>IF(V38="","",-'M2 TD amort'!J15)</f>
        <v>-66699.539999999994</v>
      </c>
      <c r="W39" s="20">
        <f>IF(W38="","",-'M2 TD amort'!K15)</f>
        <v>-59653.25</v>
      </c>
      <c r="X39" s="20">
        <f>IF(X38="","",-'M2 TD amort'!L15)</f>
        <v>-56484.08</v>
      </c>
      <c r="Y39" s="20">
        <f>IF(Y38="","",-'M2 TD amort'!M15)</f>
        <v>-50487.58</v>
      </c>
      <c r="Z39" s="20">
        <f>IF(Z38="","",-'M2 TD amort'!N15)</f>
        <v>-55758.36</v>
      </c>
      <c r="AA39" s="20">
        <f>IF(AA38="","",-'M2 TD amort'!O15)</f>
        <v>-80581.48</v>
      </c>
      <c r="AB39" s="20">
        <f>IF(AB38="","",-'M2 TD amort'!P15)</f>
        <v>-22915.75</v>
      </c>
      <c r="AC39" s="20">
        <f>IF(AC38="","",-'M2 TD amort'!Q15)</f>
        <v>-20081.22</v>
      </c>
      <c r="AD39" s="20">
        <f>IF(AD38="","",-'M2 TD amort'!R15)</f>
        <v>-19791.830000000002</v>
      </c>
      <c r="AE39" s="20">
        <f>IF(AE38="","",-'M2 TD amort'!S15)</f>
        <v>-17914.810000000001</v>
      </c>
      <c r="AF39" s="20">
        <f>IF(AF38="","",-'M2 TD amort'!T15)</f>
        <v>-22552.86</v>
      </c>
      <c r="AG39" s="20">
        <f>IF(AG38="","",-'M2 TD amort'!U15)</f>
        <v>-24883.18</v>
      </c>
      <c r="AH39" s="20">
        <f>IF(AH38="","",-'M2 TD amort'!V15)</f>
        <v>-23251.17</v>
      </c>
      <c r="AI39" s="20">
        <f>IF(AI38="","",-'M2 TD amort'!W15)</f>
        <v>-22846.74</v>
      </c>
      <c r="AJ39" s="20">
        <f>IF(AJ38="","",-'M2 TD amort'!X15)</f>
        <v>-20130.740000000002</v>
      </c>
      <c r="AK39" s="20">
        <f>IF(AK38="","",-'M2 TD amort'!Y15)</f>
        <v>-18136.46</v>
      </c>
      <c r="AL39" s="20">
        <f>IF(AL38="","",-'M2 TD amort'!Z15)</f>
        <v>-21919.72</v>
      </c>
      <c r="AM39" s="20">
        <f>IF(AM38="","",-'M2 TD amort'!AA15)</f>
        <v>-25229.34</v>
      </c>
      <c r="AN39" s="20">
        <f>IF(AN38="","",-'M2 TD amort'!AB15)</f>
        <v>-41190.97</v>
      </c>
      <c r="AO39" s="20">
        <f>IF(AO38="","",-'M2 TD amort'!AC15)</f>
        <v>-38787.67</v>
      </c>
      <c r="AP39" s="20">
        <f>IF(AP38="","",-'M2 TD amort'!AD15)</f>
        <v>-31443.78</v>
      </c>
      <c r="AQ39" s="20">
        <f>IF(AQ38="","",-'M2 TD amort'!AE15)</f>
        <v>-29644</v>
      </c>
      <c r="AR39" s="20">
        <f>IF(AR38="","",-'M2 TD amort'!AF15)</f>
        <v>-34609.08</v>
      </c>
      <c r="AS39" s="20">
        <f>IF(AS38="","",-'M2 TD amort'!AG15)</f>
        <v>-39585.75</v>
      </c>
      <c r="AT39" s="20">
        <f>IF(AT38="","",-'M2 TD amort'!AH15)</f>
        <v>-40683.480000000003</v>
      </c>
      <c r="AU39" s="20">
        <f>IF(AU38="","",-'M2 TD amort'!AI15)</f>
        <v>-39274.67</v>
      </c>
      <c r="AV39" s="20">
        <f>IF(AV38="","",-'M2 TD amort'!AJ15)</f>
        <v>-35394.61</v>
      </c>
      <c r="AW39" s="20">
        <f>IF(AW38="","",-'M2 TD amort'!AK15)</f>
        <v>-31714.62</v>
      </c>
      <c r="AX39" s="20">
        <f>IF(AX38="","",-'M2 TD amort'!AL15)</f>
        <v>-37264.32</v>
      </c>
      <c r="AY39" s="20">
        <f>IF(AY38="","",-'M2 TD amort'!AM15)</f>
        <v>-39738.61</v>
      </c>
      <c r="AZ39" s="20">
        <f>IF(AZ38="","",-'M2 TD amort'!AN15)</f>
        <v>259244.3</v>
      </c>
      <c r="BA39" s="20">
        <f>IF(BA38="","",-'M2 TD amort'!AO15)</f>
        <v>54461.07</v>
      </c>
      <c r="BB39" s="20">
        <f>IF(BB38="","",-'M2 TD amort'!AP15)</f>
        <v>40308.699999999997</v>
      </c>
      <c r="BC39" s="20">
        <f>IF(BC38="","",-'M2 TD amort'!AQ15)</f>
        <v>36689.64</v>
      </c>
      <c r="BD39" s="20">
        <f>IF(BD38="","",-'M2 TD amort'!AR15)</f>
        <v>45879.44</v>
      </c>
      <c r="BE39" s="20">
        <f>IF(BE38="","",-'M2 TD amort'!AS15)</f>
        <v>57185.74</v>
      </c>
      <c r="BF39" s="20">
        <f>IF(BF38="","",-'M2 TD amort'!AT15)</f>
        <v>56277.09</v>
      </c>
      <c r="BG39" s="20">
        <f>IF(BG38="","",-'M2 TD amort'!AU15)</f>
        <v>53447.12</v>
      </c>
      <c r="BH39" s="20">
        <f>IF(BH38="","",-'M2 TD amort'!AV15)</f>
        <v>43395.75</v>
      </c>
      <c r="BI39" s="20">
        <f>IF(BI38="","",-'M2 TD amort'!AW15)</f>
        <v>43326.04</v>
      </c>
      <c r="BJ39" s="20">
        <f>IF(BJ38="","",-'M2 TD amort'!AX15)</f>
        <v>49988.83</v>
      </c>
      <c r="BK39" s="20">
        <f>IF(BK38="","",-'M2 TD amort'!AY15)</f>
        <v>59615.22</v>
      </c>
      <c r="BL39" s="20">
        <f>IF(BL38="","",-'M2 TD amort'!AZ15)</f>
        <v>2335.62</v>
      </c>
      <c r="BM39" s="20">
        <f>IF(BM38="","",-'M2 TD amort'!BA15)</f>
        <v>104083.7</v>
      </c>
      <c r="BN39" s="20">
        <f>IF(BN38="","",-'M2 TD amort'!BB15)</f>
        <v>82832.47</v>
      </c>
      <c r="BO39" s="20">
        <f>IF(BO38="","",-'M2 TD amort'!BC15)</f>
        <v>81630.89</v>
      </c>
      <c r="BP39" s="20">
        <f>IF(BP38="","",-'M2 TD amort'!BD15)</f>
        <v>96732.3</v>
      </c>
      <c r="BQ39" s="20">
        <f>IF(BQ38="","",-'M2 TD amort'!BE15)</f>
        <v>113949.84</v>
      </c>
      <c r="BR39" s="20">
        <f>IF(BR38="","",-'M2 TD amort'!BF15)</f>
        <v>114477</v>
      </c>
      <c r="BS39" s="20">
        <f>IF(BS38="","",-'M2 TD amort'!BG15)</f>
        <v>115688.1</v>
      </c>
      <c r="BT39" s="20">
        <f>IF(BT38="","",-'M2 TD amort'!BH15)</f>
        <v>96527.89</v>
      </c>
      <c r="BU39" s="20">
        <f>IF(BU38="","",-'M2 TD amort'!BI15)</f>
        <v>86249.99</v>
      </c>
      <c r="BV39" s="20">
        <f>IF(BV38="","",-'M2 TD amort'!BJ15)</f>
        <v>98347.18</v>
      </c>
      <c r="BW39" s="20">
        <f>IF(BW38="","",-'M2 TD amort'!BK15)</f>
        <v>116084.16</v>
      </c>
      <c r="BX39" s="20">
        <f>IF(BX38="","",-'M2 TD amort'!BL15)</f>
        <v>72696.31</v>
      </c>
      <c r="BY39" s="20">
        <f>IF(BY38="","",-'M2 TD amort'!BM15)</f>
        <v>3930.01</v>
      </c>
      <c r="BZ39" s="20">
        <f>IF(BZ38="","",-'M2 TD amort'!BN15)</f>
        <v>3532.61</v>
      </c>
      <c r="CA39" s="20">
        <f>IF(CA38="","",-'M2 TD amort'!BO15)</f>
        <v>3250.65</v>
      </c>
      <c r="CB39" s="20">
        <f>IF(CB38="","",-'M2 TD amort'!BP15)</f>
        <v>3684.79</v>
      </c>
      <c r="CC39" s="20">
        <f>IF(CC38="","",-'M2 TD amort'!BQ15)</f>
        <v>4244.25</v>
      </c>
      <c r="CD39" s="20">
        <f>IF(CD38="","",-'M2 TD amort'!BR15)</f>
        <v>4450.8100000000004</v>
      </c>
      <c r="CE39" s="20">
        <f>IF(CE38="","",-'M2 TD amort'!BS15)</f>
        <v>4045.9</v>
      </c>
      <c r="CF39" s="20">
        <f>IF(CF38="","",-'M2 TD amort'!BT15)</f>
        <v>3372.86</v>
      </c>
      <c r="CG39" s="20">
        <f>IF(CG38="","",-'M2 TD amort'!BU15)</f>
        <v>3221.24</v>
      </c>
      <c r="CH39" s="20">
        <f>IF(CH38="","",-'M2 TD amort'!BV15)</f>
        <v>3921.68</v>
      </c>
      <c r="CI39" s="20">
        <f>IF(CI38="","",-'M2 TD amort'!BW15)</f>
        <v>4514.43</v>
      </c>
      <c r="CJ39" s="20">
        <f>IF(CJ38="","",-'M2 TD amort'!BX15)</f>
        <v>58.87</v>
      </c>
      <c r="CK39" s="20">
        <f>IF(CK38="","",-'M2 TD amort'!BY15)</f>
        <v>-4613.01</v>
      </c>
      <c r="CL39" s="20">
        <f>IF(CL38="","",-'M2 TD amort'!BZ15)</f>
        <v>-4219.75</v>
      </c>
      <c r="CM39" s="20">
        <f>IF(CM38="","",-'M2 TD amort'!CA15)</f>
        <v>-3905.78</v>
      </c>
      <c r="CN39" s="20">
        <f>IF(CN38="","",-'M2 TD amort'!CB15)</f>
        <v>-4751.55</v>
      </c>
      <c r="CO39" s="20">
        <f>IF(CO38="","",-'M2 TD amort'!CC15)</f>
        <v>-5463.54</v>
      </c>
      <c r="CP39" s="20">
        <f>IF(CP38="","",-'M2 TD amort'!CD15)</f>
        <v>-5606.45</v>
      </c>
      <c r="CQ39" s="20">
        <f>IF(CQ38="","",-'M2 TD amort'!CE15)</f>
        <v>-5658.03</v>
      </c>
      <c r="CR39" s="20">
        <f>IF(CR38="","",-'M2 TD amort'!CF15)</f>
        <v>-4599.68</v>
      </c>
      <c r="CS39" s="20">
        <f>IF(CS38="","",-'M2 TD amort'!CG15)</f>
        <v>-4263.49</v>
      </c>
      <c r="CT39" s="20">
        <f>IF(CT38="","",-'M2 TD amort'!CH15)</f>
        <v>-5004.8599999999997</v>
      </c>
      <c r="CU39" s="20">
        <f>IF(CU38="","",-'M2 TD amort'!CI15)</f>
        <v>-5833.09</v>
      </c>
    </row>
    <row r="40" spans="1:99" s="4" customFormat="1" ht="15" hidden="1" customHeight="1" outlineLevel="1" x14ac:dyDescent="0.35">
      <c r="A40" s="295"/>
      <c r="B40" s="16" t="s">
        <v>52</v>
      </c>
      <c r="C40" s="24"/>
      <c r="D40" s="24"/>
      <c r="E40" s="7"/>
      <c r="F40" s="7"/>
      <c r="G40" s="7"/>
      <c r="H40" s="7"/>
      <c r="I40" s="7"/>
      <c r="J40" s="7"/>
      <c r="K40" s="7"/>
      <c r="L40" s="7"/>
      <c r="M40" s="7"/>
      <c r="N40" s="7"/>
      <c r="O40" s="7">
        <f>IF(OR(O39="",O38=""),"",O38+O39)</f>
        <v>27338.89</v>
      </c>
      <c r="P40" s="7">
        <f t="shared" ref="P40" si="389">IF(OR(P39="",P38=""),"",P38+P39)</f>
        <v>87055.47</v>
      </c>
      <c r="Q40" s="7">
        <f t="shared" ref="Q40" si="390">IF(OR(Q39="",Q38=""),"",Q38+Q39)</f>
        <v>77286.63</v>
      </c>
      <c r="R40" s="7">
        <f t="shared" ref="R40" si="391">IF(OR(R39="",R38=""),"",R38+R39)</f>
        <v>69300.407664275321</v>
      </c>
      <c r="S40" s="7">
        <f t="shared" ref="S40" si="392">IF(OR(S39="",S38=""),"",S38+S39)</f>
        <v>69150.123586579168</v>
      </c>
      <c r="T40" s="7">
        <f t="shared" ref="T40" si="393">IF(OR(T39="",T38=""),"",T38+T39)</f>
        <v>82217.547176194101</v>
      </c>
      <c r="U40" s="7">
        <f t="shared" ref="U40" si="394">IF(OR(U39="",U38=""),"",U38+U39)</f>
        <v>94831.659927616827</v>
      </c>
      <c r="V40" s="7">
        <f t="shared" ref="V40" si="395">IF(OR(V39="",V38=""),"",V38+V39)</f>
        <v>95716.187209260781</v>
      </c>
      <c r="W40" s="7">
        <f t="shared" ref="W40" si="396">IF(OR(W39="",W38=""),"",W38+W39)</f>
        <v>85827.910302969802</v>
      </c>
      <c r="X40" s="7">
        <f t="shared" ref="X40" si="397">IF(OR(X39="",X38=""),"",X38+X39)</f>
        <v>81383.075381192248</v>
      </c>
      <c r="Y40" s="7">
        <f t="shared" ref="Y40" si="398">IF(OR(Y39="",Y38=""),"",Y38+Y39)</f>
        <v>72184.017796675093</v>
      </c>
      <c r="Z40" s="7">
        <f t="shared" ref="Z40" si="399">IF(OR(Z39="",Z38=""),"",Z38+Z39)</f>
        <v>78889.738101556242</v>
      </c>
      <c r="AA40" s="7">
        <f t="shared" ref="AA40" si="400">IF(OR(AA39="",AA38=""),"",AA38+AA39)</f>
        <v>113388.97230344273</v>
      </c>
      <c r="AB40" s="7">
        <f t="shared" ref="AB40" si="401">IF(OR(AB39="",AB38=""),"",AB38+AB39)</f>
        <v>314098.74</v>
      </c>
      <c r="AC40" s="7">
        <f t="shared" ref="AC40" si="402">IF(OR(AC39="",AC38=""),"",AC38+AC39)</f>
        <v>275627.35620644654</v>
      </c>
      <c r="AD40" s="7">
        <f t="shared" ref="AD40" si="403">IF(OR(AD39="",AD38=""),"",AD38+AD39)</f>
        <v>271614.76328999974</v>
      </c>
      <c r="AE40" s="7">
        <f t="shared" ref="AE40" si="404">IF(OR(AE39="",AE38=""),"",AE38+AE39)</f>
        <v>247008.44566753082</v>
      </c>
      <c r="AF40" s="7">
        <f t="shared" ref="AF40" si="405">IF(OR(AF39="",AF38=""),"",AF38+AF39)</f>
        <v>311104.35503767215</v>
      </c>
      <c r="AG40" s="7">
        <f t="shared" ref="AG40" si="406">IF(OR(AG39="",AG38=""),"",AG38+AG39)</f>
        <v>343032.68365673424</v>
      </c>
      <c r="AH40" s="7">
        <f t="shared" ref="AH40" si="407">IF(OR(AH39="",AH38=""),"",AH38+AH39)</f>
        <v>320749.89732957579</v>
      </c>
      <c r="AI40" s="7">
        <f t="shared" ref="AI40" si="408">IF(OR(AI39="",AI38=""),"",AI38+AI39)</f>
        <v>315279.55031171977</v>
      </c>
      <c r="AJ40" s="7">
        <f t="shared" ref="AJ40" si="409">IF(OR(AJ39="",AJ38=""),"",AJ38+AJ39)</f>
        <v>277715.02900715685</v>
      </c>
      <c r="AK40" s="7">
        <f t="shared" ref="AK40" si="410">IF(OR(AK39="",AK38=""),"",AK38+AK39)</f>
        <v>249482.16093979406</v>
      </c>
      <c r="AL40" s="7">
        <f t="shared" ref="AL40" si="411">IF(OR(AL39="",AL38=""),"",AL38+AL39)</f>
        <v>300635.38705520914</v>
      </c>
      <c r="AM40" s="7">
        <f t="shared" ref="AM40:BJ40" si="412">IF(OR(AM39="",AM38=""),"",AM38+AM39)</f>
        <v>346111.82797562931</v>
      </c>
      <c r="AN40" s="7">
        <f t="shared" si="412"/>
        <v>659945.26884812373</v>
      </c>
      <c r="AO40" s="7">
        <f t="shared" si="412"/>
        <v>621579.35395744431</v>
      </c>
      <c r="AP40" s="7">
        <f t="shared" si="412"/>
        <v>504812.72994038765</v>
      </c>
      <c r="AQ40" s="7">
        <f t="shared" si="412"/>
        <v>476655.41162084811</v>
      </c>
      <c r="AR40" s="7">
        <f t="shared" si="412"/>
        <v>556668.41932374495</v>
      </c>
      <c r="AS40" s="7">
        <f t="shared" si="412"/>
        <v>636453.87753147213</v>
      </c>
      <c r="AT40" s="7">
        <f t="shared" si="412"/>
        <v>654013.12025960803</v>
      </c>
      <c r="AU40" s="7">
        <f t="shared" si="412"/>
        <v>631602.43139883818</v>
      </c>
      <c r="AV40" s="7">
        <f t="shared" si="412"/>
        <v>569318.41387172777</v>
      </c>
      <c r="AW40" s="7">
        <f t="shared" si="412"/>
        <v>509383.74747130834</v>
      </c>
      <c r="AX40" s="7">
        <f t="shared" si="412"/>
        <v>597783.24064080673</v>
      </c>
      <c r="AY40" s="7">
        <f t="shared" si="412"/>
        <v>637303.87835283799</v>
      </c>
      <c r="AZ40" s="7">
        <f t="shared" si="412"/>
        <v>674625.36618172354</v>
      </c>
      <c r="BA40" s="7">
        <f t="shared" si="412"/>
        <v>141949.43508869849</v>
      </c>
      <c r="BB40" s="7">
        <f t="shared" si="412"/>
        <v>105117.18198801098</v>
      </c>
      <c r="BC40" s="7">
        <f t="shared" si="412"/>
        <v>95712.825490174175</v>
      </c>
      <c r="BD40" s="7">
        <f t="shared" si="412"/>
        <v>119714.38972054035</v>
      </c>
      <c r="BE40" s="7">
        <f t="shared" si="412"/>
        <v>149204.29208411957</v>
      </c>
      <c r="BF40" s="7">
        <f t="shared" si="412"/>
        <v>146857.82958294882</v>
      </c>
      <c r="BG40" s="7">
        <f t="shared" si="412"/>
        <v>139493.22534062379</v>
      </c>
      <c r="BH40" s="7">
        <f t="shared" si="412"/>
        <v>113258.26263355253</v>
      </c>
      <c r="BI40" s="7">
        <f t="shared" si="412"/>
        <v>113030.1487240796</v>
      </c>
      <c r="BJ40" s="7">
        <f t="shared" si="412"/>
        <v>130349.51702498258</v>
      </c>
      <c r="BK40" s="7">
        <f t="shared" ref="BK40:BL40" si="413">IF(OR(BK39="",BK38=""),"",BK38+BK39)</f>
        <v>155376.66092680668</v>
      </c>
      <c r="BL40" s="7">
        <f t="shared" si="413"/>
        <v>427.62622379922527</v>
      </c>
      <c r="BM40" s="7">
        <f t="shared" ref="BM40:BN40" si="414">IF(OR(BM39="",BM38=""),"",BM38+BM39)</f>
        <v>1721.5995939776476</v>
      </c>
      <c r="BN40" s="7">
        <f t="shared" si="414"/>
        <v>1172.7100579776888</v>
      </c>
      <c r="BO40" s="7">
        <f t="shared" ref="BO40:BP40" si="415">IF(OR(BO39="",BO38=""),"",BO38+BO39)</f>
        <v>1047.4703582606599</v>
      </c>
      <c r="BP40" s="7">
        <f t="shared" si="415"/>
        <v>1212.2790523997101</v>
      </c>
      <c r="BQ40" s="7">
        <f t="shared" ref="BQ40:BR40" si="416">IF(OR(BQ39="",BQ38=""),"",BQ38+BQ39)</f>
        <v>1481.2419060294778</v>
      </c>
      <c r="BR40" s="7">
        <f t="shared" si="416"/>
        <v>1506.7035256923118</v>
      </c>
      <c r="BS40" s="7">
        <f t="shared" ref="BS40:BT40" si="417">IF(OR(BS39="",BS38=""),"",BS38+BS39)</f>
        <v>1511.5356721754943</v>
      </c>
      <c r="BT40" s="7">
        <f t="shared" si="417"/>
        <v>1168.6900999254576</v>
      </c>
      <c r="BU40" s="7">
        <f t="shared" ref="BU40:BV40" si="418">IF(OR(BU39="",BU38=""),"",BU38+BU39)</f>
        <v>1201.6521003439702</v>
      </c>
      <c r="BV40" s="7">
        <f t="shared" si="418"/>
        <v>1423.2500901655148</v>
      </c>
      <c r="BW40" s="7">
        <f t="shared" ref="BW40:BX40" si="419">IF(OR(BW39="",BW38=""),"",BW38+BW39)</f>
        <v>1767.5404584943317</v>
      </c>
      <c r="BX40" s="7">
        <f t="shared" si="419"/>
        <v>2349.2584741782775</v>
      </c>
      <c r="BY40" s="7">
        <f t="shared" ref="BY40:BZ40" si="420">IF(OR(BY39="",BY38=""),"",BY38+BY39)</f>
        <v>129.05383671685195</v>
      </c>
      <c r="BZ40" s="7">
        <f t="shared" si="420"/>
        <v>101.79730121747389</v>
      </c>
      <c r="CA40" s="7">
        <f t="shared" ref="CA40:CB40" si="421">IF(OR(CA39="",CA38=""),"",CA38+CA39)</f>
        <v>90.756764514786937</v>
      </c>
      <c r="CB40" s="7">
        <f t="shared" si="421"/>
        <v>103.27378869469339</v>
      </c>
      <c r="CC40" s="7">
        <f t="shared" ref="CC40:CD40" si="422">IF(OR(CC39="",CC38=""),"",CC38+CC39)</f>
        <v>124.65557080347389</v>
      </c>
      <c r="CD40" s="7">
        <f t="shared" si="422"/>
        <v>128.73691549809973</v>
      </c>
      <c r="CE40" s="7">
        <f t="shared" ref="CE40:CF40" si="423">IF(OR(CE39="",CE38=""),"",CE38+CE39)</f>
        <v>115.97458140867957</v>
      </c>
      <c r="CF40" s="7">
        <f t="shared" si="423"/>
        <v>95.885455825758072</v>
      </c>
      <c r="CG40" s="7">
        <f t="shared" ref="CG40:CH40" si="424">IF(OR(CG39="",CG38=""),"",CG38+CG39)</f>
        <v>94.519766373832681</v>
      </c>
      <c r="CH40" s="7">
        <f t="shared" si="424"/>
        <v>131.49247094384464</v>
      </c>
      <c r="CI40" s="7">
        <f t="shared" ref="CI40:CJ40" si="425">IF(OR(CI39="",CI38=""),"",CI38+CI39)</f>
        <v>151.9014622183613</v>
      </c>
      <c r="CJ40" s="7">
        <f t="shared" si="425"/>
        <v>-0.58060892786721752</v>
      </c>
      <c r="CK40" s="7">
        <f t="shared" ref="CK40:CL40" si="426">IF(OR(CK39="",CK38=""),"",CK38+CK39)</f>
        <v>-88.809355159099141</v>
      </c>
      <c r="CL40" s="7">
        <f t="shared" si="426"/>
        <v>-76.722351189609071</v>
      </c>
      <c r="CM40" s="7">
        <f t="shared" ref="CM40:CN40" si="427">IF(OR(CM39="",CM38=""),"",CM38+CM39)</f>
        <v>-60.046285773981708</v>
      </c>
      <c r="CN40" s="7">
        <f t="shared" si="427"/>
        <v>-71.085505918632407</v>
      </c>
      <c r="CO40" s="7">
        <f t="shared" ref="CO40:CP40" si="428">IF(OR(CO39="",CO38=""),"",CO38+CO39)</f>
        <v>-89.948506855565938</v>
      </c>
      <c r="CP40" s="7">
        <f t="shared" si="428"/>
        <v>-93.13007152623959</v>
      </c>
      <c r="CQ40" s="7">
        <f t="shared" ref="CQ40:CR40" si="429">IF(OR(CQ39="",CQ38=""),"",CQ38+CQ39)</f>
        <v>-88.610573459653097</v>
      </c>
      <c r="CR40" s="7">
        <f t="shared" si="429"/>
        <v>-72.711867858020014</v>
      </c>
      <c r="CS40" s="7">
        <f t="shared" ref="CS40:CU40" si="430">IF(OR(CS39="",CS38=""),"",CS38+CS39)</f>
        <v>-66.554543812928387</v>
      </c>
      <c r="CT40" s="7">
        <f t="shared" si="430"/>
        <v>-88.49738131644699</v>
      </c>
      <c r="CU40" s="7">
        <f t="shared" si="430"/>
        <v>-111.76975092721295</v>
      </c>
    </row>
    <row r="41" spans="1:99" s="4" customFormat="1" hidden="1" outlineLevel="1" x14ac:dyDescent="0.35">
      <c r="A41" s="295"/>
      <c r="B41" s="16" t="s">
        <v>13</v>
      </c>
      <c r="C41" s="24"/>
      <c r="D41" s="24"/>
      <c r="E41" s="7">
        <f t="shared" ref="E41:N41" si="431">IF(OR(E38="",E37=""),"",E37-E38)</f>
        <v>0</v>
      </c>
      <c r="F41" s="7">
        <f t="shared" si="431"/>
        <v>0</v>
      </c>
      <c r="G41" s="7">
        <f t="shared" si="431"/>
        <v>-856.28</v>
      </c>
      <c r="H41" s="7">
        <f t="shared" si="431"/>
        <v>-8251.3300000000017</v>
      </c>
      <c r="I41" s="7">
        <f t="shared" si="431"/>
        <v>-1402.1099999999969</v>
      </c>
      <c r="J41" s="7">
        <f t="shared" si="431"/>
        <v>-65.264761224685572</v>
      </c>
      <c r="K41" s="7">
        <f t="shared" si="431"/>
        <v>8427.9456749210331</v>
      </c>
      <c r="L41" s="7">
        <f t="shared" si="431"/>
        <v>11617.592866768453</v>
      </c>
      <c r="M41" s="7">
        <f t="shared" si="431"/>
        <v>17046.048601536655</v>
      </c>
      <c r="N41" s="7">
        <f t="shared" si="431"/>
        <v>24826.995758638252</v>
      </c>
      <c r="O41" s="7">
        <f>IF(OR(O40="",O37=""),"",O37-O40)</f>
        <v>20240.432188278435</v>
      </c>
      <c r="P41" s="7">
        <f t="shared" ref="P41:AM41" si="432">IF(OR(P40="",P37=""),"",P37-P40)</f>
        <v>-44144.428270733704</v>
      </c>
      <c r="Q41" s="7">
        <f t="shared" si="432"/>
        <v>-24463.628837742355</v>
      </c>
      <c r="R41" s="7">
        <f>IF(OR(R40="",R37=""),"",R37-R40)</f>
        <v>-43350.100030101676</v>
      </c>
      <c r="S41" s="7">
        <f t="shared" si="432"/>
        <v>-20166.564455245163</v>
      </c>
      <c r="T41" s="7">
        <f t="shared" si="432"/>
        <v>8403.9421643922105</v>
      </c>
      <c r="U41" s="7">
        <f t="shared" si="432"/>
        <v>44100.240072383196</v>
      </c>
      <c r="V41" s="7">
        <f t="shared" si="432"/>
        <v>37984.08133016892</v>
      </c>
      <c r="W41" s="7">
        <f t="shared" si="432"/>
        <v>65929.903099540446</v>
      </c>
      <c r="X41" s="7">
        <f t="shared" si="432"/>
        <v>35454.717193515578</v>
      </c>
      <c r="Y41" s="7">
        <f t="shared" si="432"/>
        <v>15949.499473210599</v>
      </c>
      <c r="Z41" s="7">
        <f t="shared" si="432"/>
        <v>48099.269092345698</v>
      </c>
      <c r="AA41" s="7">
        <f t="shared" si="432"/>
        <v>37987.946403351161</v>
      </c>
      <c r="AB41" s="7">
        <f t="shared" si="432"/>
        <v>-183086.08735048462</v>
      </c>
      <c r="AC41" s="7">
        <f t="shared" si="432"/>
        <v>-113642.61957834617</v>
      </c>
      <c r="AD41" s="7">
        <f t="shared" si="432"/>
        <v>-84729.777062897017</v>
      </c>
      <c r="AE41" s="7">
        <f t="shared" si="432"/>
        <v>13700.630333527108</v>
      </c>
      <c r="AF41" s="7">
        <f t="shared" si="432"/>
        <v>83171.545361135155</v>
      </c>
      <c r="AG41" s="7">
        <f t="shared" si="432"/>
        <v>174531.90067955991</v>
      </c>
      <c r="AH41" s="7">
        <f t="shared" si="432"/>
        <v>135892.476656568</v>
      </c>
      <c r="AI41" s="7">
        <f t="shared" si="432"/>
        <v>180097.54634294659</v>
      </c>
      <c r="AJ41" s="7">
        <f t="shared" si="432"/>
        <v>70524.857705575938</v>
      </c>
      <c r="AK41" s="7">
        <f t="shared" si="432"/>
        <v>65922.198240385886</v>
      </c>
      <c r="AL41" s="7">
        <f t="shared" si="432"/>
        <v>48732.496423145814</v>
      </c>
      <c r="AM41" s="7">
        <f t="shared" si="432"/>
        <v>30558.979787902732</v>
      </c>
      <c r="AN41" s="7">
        <f t="shared" ref="AN41:BJ41" si="433">IF(OR(AN40="",AN37=""),"",AN37-AN40)</f>
        <v>-344279.1117273944</v>
      </c>
      <c r="AO41" s="7">
        <f t="shared" si="433"/>
        <v>-195343.35815485811</v>
      </c>
      <c r="AP41" s="7">
        <f t="shared" si="433"/>
        <v>-75007.223165483039</v>
      </c>
      <c r="AQ41" s="7">
        <f t="shared" si="433"/>
        <v>-51152.707221269025</v>
      </c>
      <c r="AR41" s="7">
        <f t="shared" si="433"/>
        <v>154357.71384006366</v>
      </c>
      <c r="AS41" s="7">
        <f t="shared" si="433"/>
        <v>270176.88180803787</v>
      </c>
      <c r="AT41" s="7">
        <f t="shared" si="433"/>
        <v>81290.597085032845</v>
      </c>
      <c r="AU41" s="7">
        <f t="shared" si="433"/>
        <v>134079.7250791908</v>
      </c>
      <c r="AV41" s="7">
        <f t="shared" si="433"/>
        <v>-46597.331769096199</v>
      </c>
      <c r="AW41" s="7">
        <f t="shared" si="433"/>
        <v>-63490.748568211216</v>
      </c>
      <c r="AX41" s="7">
        <f t="shared" si="433"/>
        <v>-216816.58393668587</v>
      </c>
      <c r="AY41" s="7">
        <f t="shared" si="433"/>
        <v>-185744.96850258694</v>
      </c>
      <c r="AZ41" s="7">
        <f t="shared" si="433"/>
        <v>-325465.14018626843</v>
      </c>
      <c r="BA41" s="7">
        <f t="shared" si="433"/>
        <v>246765.57294110648</v>
      </c>
      <c r="BB41" s="7">
        <f t="shared" si="433"/>
        <v>-105117.18198801098</v>
      </c>
      <c r="BC41" s="7">
        <f t="shared" si="433"/>
        <v>-95993.592886839237</v>
      </c>
      <c r="BD41" s="7">
        <f t="shared" si="433"/>
        <v>-119714.38972054035</v>
      </c>
      <c r="BE41" s="7">
        <f t="shared" si="433"/>
        <v>-149204.29208411957</v>
      </c>
      <c r="BF41" s="7">
        <f t="shared" si="433"/>
        <v>-146857.82958294882</v>
      </c>
      <c r="BG41" s="7">
        <f t="shared" si="433"/>
        <v>-139493.22534062379</v>
      </c>
      <c r="BH41" s="7">
        <f t="shared" si="433"/>
        <v>-113258.26263355253</v>
      </c>
      <c r="BI41" s="7">
        <f t="shared" si="433"/>
        <v>-113030.1487240796</v>
      </c>
      <c r="BJ41" s="7">
        <f t="shared" si="433"/>
        <v>-130349.51702498258</v>
      </c>
      <c r="BK41" s="7">
        <f t="shared" ref="BK41:BL41" si="434">IF(OR(BK40="",BK37=""),"",BK37-BK40)</f>
        <v>-155376.66092680668</v>
      </c>
      <c r="BL41" s="7">
        <f t="shared" si="434"/>
        <v>-171.98622379862923</v>
      </c>
      <c r="BM41" s="7">
        <f t="shared" ref="BM41:BN41" si="435">IF(OR(BM40="",BM37=""),"",BM37-BM40)</f>
        <v>-1129.2595939777966</v>
      </c>
      <c r="BN41" s="7">
        <f t="shared" si="435"/>
        <v>-540.30005797753984</v>
      </c>
      <c r="BO41" s="7">
        <f t="shared" ref="BO41:BP41" si="436">IF(OR(BO40="",BO37=""),"",BO37-BO40)</f>
        <v>-154.9403582613304</v>
      </c>
      <c r="BP41" s="7">
        <f t="shared" si="436"/>
        <v>746.11094760088599</v>
      </c>
      <c r="BQ41" s="7">
        <f t="shared" ref="BQ41:BR41" si="437">IF(OR(BQ40="",BQ37=""),"",BQ37-BQ40)</f>
        <v>1094.7480939707457</v>
      </c>
      <c r="BR41" s="7">
        <f t="shared" si="437"/>
        <v>1394.8864743075392</v>
      </c>
      <c r="BS41" s="7">
        <f t="shared" ref="BS41:BT41" si="438">IF(OR(BS40="",BS37=""),"",BS37-BS40)</f>
        <v>743.67432782539981</v>
      </c>
      <c r="BT41" s="7">
        <f t="shared" si="438"/>
        <v>32.359900073424797</v>
      </c>
      <c r="BU41" s="7">
        <f t="shared" ref="BU41:BV41" si="439">IF(OR(BU40="",BU37=""),"",BU37-BU40)</f>
        <v>-208.61210034300166</v>
      </c>
      <c r="BV41" s="7">
        <f t="shared" si="439"/>
        <v>-400.54009016648342</v>
      </c>
      <c r="BW41" s="7">
        <f t="shared" ref="BW41:BX41" si="440">IF(OR(BW40="",BW37=""),"",BW37-BW40)</f>
        <v>-706.44045849470422</v>
      </c>
      <c r="BX41" s="7">
        <f t="shared" si="440"/>
        <v>-1530.608474177905</v>
      </c>
      <c r="BY41" s="7">
        <f t="shared" ref="BY41:BZ41" si="441">IF(OR(BY40="",BY37=""),"",BY37-BY40)</f>
        <v>-129.05383671685195</v>
      </c>
      <c r="BZ41" s="7">
        <f t="shared" si="441"/>
        <v>-101.79730121747389</v>
      </c>
      <c r="CA41" s="7">
        <f t="shared" ref="CA41:CB41" si="442">IF(OR(CA40="",CA37=""),"",CA37-CA40)</f>
        <v>-90.756764514786937</v>
      </c>
      <c r="CB41" s="7">
        <f t="shared" si="442"/>
        <v>-103.27378869469339</v>
      </c>
      <c r="CC41" s="7">
        <f t="shared" ref="CC41:CD41" si="443">IF(OR(CC40="",CC37=""),"",CC37-CC40)</f>
        <v>-124.65557080347389</v>
      </c>
      <c r="CD41" s="7">
        <f t="shared" si="443"/>
        <v>-128.73691549809973</v>
      </c>
      <c r="CE41" s="7">
        <f t="shared" ref="CE41" si="444">IF(OR(CE40="",CE37=""),"",CE37-CE40)</f>
        <v>-115.97458140867957</v>
      </c>
      <c r="CF41" s="125">
        <f>IF(OR(CF40="",CF37=""),"",CF37-CF40)+CF36</f>
        <v>-1512.095231775088</v>
      </c>
      <c r="CG41" s="7">
        <f t="shared" ref="CG41:CL41" si="445">IF(OR(CG40="",CG37=""),"",CG37-CG40)</f>
        <v>-94.519766373832681</v>
      </c>
      <c r="CH41" s="7">
        <f t="shared" si="445"/>
        <v>-131.49247094384464</v>
      </c>
      <c r="CI41" s="7">
        <f t="shared" si="445"/>
        <v>-151.9014622183613</v>
      </c>
      <c r="CJ41" s="7">
        <f t="shared" si="445"/>
        <v>0.58060892786721752</v>
      </c>
      <c r="CK41" s="7">
        <f t="shared" si="445"/>
        <v>88.809355159099141</v>
      </c>
      <c r="CL41" s="7">
        <f t="shared" si="445"/>
        <v>76.722351189609071</v>
      </c>
      <c r="CM41" s="7">
        <f t="shared" ref="CM41:CN41" si="446">IF(OR(CM40="",CM37=""),"",CM37-CM40)</f>
        <v>60.046285773981708</v>
      </c>
      <c r="CN41" s="7">
        <f t="shared" si="446"/>
        <v>71.085505918632407</v>
      </c>
      <c r="CO41" s="7">
        <f t="shared" ref="CO41:CP41" si="447">IF(OR(CO40="",CO37=""),"",CO37-CO40)</f>
        <v>89.948506855565938</v>
      </c>
      <c r="CP41" s="7">
        <f t="shared" si="447"/>
        <v>93.13007152623959</v>
      </c>
      <c r="CQ41" s="7">
        <f t="shared" ref="CQ41:CR41" si="448">IF(OR(CQ40="",CQ37=""),"",CQ37-CQ40)</f>
        <v>88.610573459653097</v>
      </c>
      <c r="CR41" s="7">
        <f t="shared" si="448"/>
        <v>72.711867858020014</v>
      </c>
      <c r="CS41" s="7">
        <f t="shared" ref="CS41:CU41" si="449">IF(OR(CS40="",CS37=""),"",CS37-CS40)</f>
        <v>66.554543812928387</v>
      </c>
      <c r="CT41" s="7">
        <f t="shared" si="449"/>
        <v>88.49738131644699</v>
      </c>
      <c r="CU41" s="7">
        <f t="shared" si="449"/>
        <v>111.76975092721295</v>
      </c>
    </row>
    <row r="42" spans="1:99" s="4" customFormat="1" hidden="1" outlineLevel="1" x14ac:dyDescent="0.35">
      <c r="A42" s="295"/>
      <c r="B42" s="17" t="s">
        <v>8</v>
      </c>
      <c r="C42" s="28"/>
      <c r="D42" s="28"/>
      <c r="E42" s="7">
        <f t="shared" ref="E42:N42" si="450">IF(OR(E9="",E41=""),"",(E41+D44)*E9/12)</f>
        <v>0</v>
      </c>
      <c r="F42" s="7">
        <f t="shared" si="450"/>
        <v>0</v>
      </c>
      <c r="G42" s="7">
        <f t="shared" si="450"/>
        <v>-0.5393094052666666</v>
      </c>
      <c r="H42" s="7">
        <f t="shared" si="450"/>
        <v>-4.7538619098044377</v>
      </c>
      <c r="I42" s="7">
        <f t="shared" si="450"/>
        <v>-5.5119961919362872</v>
      </c>
      <c r="J42" s="7">
        <f t="shared" si="450"/>
        <v>-6.7446125522088956</v>
      </c>
      <c r="K42" s="7">
        <f t="shared" si="450"/>
        <v>-1.3627163896022407</v>
      </c>
      <c r="L42" s="7">
        <f t="shared" si="450"/>
        <v>5.9873784623920256</v>
      </c>
      <c r="M42" s="7">
        <f t="shared" si="450"/>
        <v>16.877210385758971</v>
      </c>
      <c r="N42" s="7">
        <f t="shared" si="450"/>
        <v>41.17234852035925</v>
      </c>
      <c r="O42" s="8">
        <f>IF(OR(O9="",O41=""),"",(O39+O41+N44)*O9/12)</f>
        <v>53.721866077378365</v>
      </c>
      <c r="P42" s="8">
        <f>IF(OR(P9="",P41=""),"",(P39+P41+O44+P36)*P9/12)</f>
        <v>478.69175477452603</v>
      </c>
      <c r="Q42" s="8">
        <f t="shared" ref="Q42:AM42" si="451">IF(OR(Q9="",Q41=""),"",(Q39+Q41+P44)*Q9/12)</f>
        <v>539.61008778516134</v>
      </c>
      <c r="R42" s="8">
        <f t="shared" si="451"/>
        <v>452.14784409044137</v>
      </c>
      <c r="S42" s="8">
        <f t="shared" si="451"/>
        <v>387.29160400475143</v>
      </c>
      <c r="T42" s="8">
        <f t="shared" si="451"/>
        <v>418.21542721847476</v>
      </c>
      <c r="U42" s="8">
        <f t="shared" si="451"/>
        <v>387.83629844195974</v>
      </c>
      <c r="V42" s="8">
        <f t="shared" si="451"/>
        <v>374.1400605921101</v>
      </c>
      <c r="W42" s="8">
        <f t="shared" si="451"/>
        <v>377.3976007996996</v>
      </c>
      <c r="X42" s="8">
        <f t="shared" si="451"/>
        <v>353.09439018686572</v>
      </c>
      <c r="Y42" s="8">
        <f t="shared" si="451"/>
        <v>310.0531538233613</v>
      </c>
      <c r="Z42" s="8">
        <f t="shared" si="451"/>
        <v>370.24863184733528</v>
      </c>
      <c r="AA42" s="8">
        <f t="shared" si="451"/>
        <v>297.75036265972221</v>
      </c>
      <c r="AB42" s="8">
        <f t="shared" si="451"/>
        <v>3.9406562977996047</v>
      </c>
      <c r="AC42" s="8">
        <f t="shared" si="451"/>
        <v>-224.44909216069141</v>
      </c>
      <c r="AD42" s="8">
        <f t="shared" si="451"/>
        <v>-454.30115981031298</v>
      </c>
      <c r="AE42" s="8">
        <f t="shared" si="451"/>
        <v>-440.76120617858192</v>
      </c>
      <c r="AF42" s="8">
        <f t="shared" si="451"/>
        <v>-342.63517834923005</v>
      </c>
      <c r="AG42" s="8">
        <f t="shared" si="451"/>
        <v>-60.758323521348053</v>
      </c>
      <c r="AH42" s="8">
        <f t="shared" si="451"/>
        <v>157.9706483243875</v>
      </c>
      <c r="AI42" s="8">
        <f t="shared" si="451"/>
        <v>463.7087116264438</v>
      </c>
      <c r="AJ42" s="8">
        <f t="shared" si="451"/>
        <v>593.43289154580566</v>
      </c>
      <c r="AK42" s="8">
        <f t="shared" si="451"/>
        <v>712.14839637795876</v>
      </c>
      <c r="AL42" s="8">
        <f t="shared" si="451"/>
        <v>839.43109276045823</v>
      </c>
      <c r="AM42" s="8">
        <f t="shared" si="451"/>
        <v>889.26436458247372</v>
      </c>
      <c r="AN42" s="8">
        <f t="shared" ref="AN42" si="452">IF(OR(AN9="",AN41=""),"",(AN39+AN41+AM44)*AN9/12)</f>
        <v>-30.116302752414814</v>
      </c>
      <c r="AO42" s="8">
        <f t="shared" ref="AO42" si="453">IF(OR(AO9="",AO41=""),"",(AO39+AO41+AN44)*AO9/12)</f>
        <v>-573.5571385907167</v>
      </c>
      <c r="AP42" s="8">
        <f t="shared" ref="AP42" si="454">IF(OR(AP9="",AP41=""),"",(AP39+AP41+AO44)*AP9/12)</f>
        <v>-785.1692767648583</v>
      </c>
      <c r="AQ42" s="8">
        <f t="shared" ref="AQ42" si="455">IF(OR(AQ9="",AQ41=""),"",(AQ39+AQ41+AP44)*AQ9/12)</f>
        <v>-971.63891160630089</v>
      </c>
      <c r="AR42" s="8">
        <f t="shared" ref="AR42" si="456">IF(OR(AR9="",AR41=""),"",(AR39+AR41+AQ44)*AR9/12)</f>
        <v>-699.42520004406572</v>
      </c>
      <c r="AS42" s="8">
        <f t="shared" ref="AS42" si="457">IF(OR(AS9="",AS41=""),"",(AS39+AS41+AR44)*AS9/12)</f>
        <v>-187.74380263959725</v>
      </c>
      <c r="AT42" s="8">
        <f t="shared" ref="AT42" si="458">IF(OR(AT9="",AT41=""),"",(AT39+AT41+AS44)*AT9/12)</f>
        <v>-90.918466029773697</v>
      </c>
      <c r="AU42" s="8">
        <f t="shared" ref="AU42" si="459">IF(OR(AU9="",AU41=""),"",(AU39+AU41+AT44)*AU9/12)</f>
        <v>89.249677878880377</v>
      </c>
      <c r="AV42" s="8">
        <f t="shared" ref="AV42" si="460">IF(OR(AV9="",AV41=""),"",(AV39+AV41+AU44)*AV9/12)</f>
        <v>-59.175137378642411</v>
      </c>
      <c r="AW42" s="8">
        <f t="shared" ref="AW42" si="461">IF(OR(AW9="",AW41=""),"",(AW39+AW41+AV44)*AW9/12)</f>
        <v>-195.00097790125935</v>
      </c>
      <c r="AX42" s="8">
        <f t="shared" ref="AX42" si="462">IF(OR(AX9="",AX41=""),"",(AX39+AX41+AW44)*AX9/12)</f>
        <v>-611.47828436867201</v>
      </c>
      <c r="AY42" s="8">
        <f t="shared" ref="AY42" si="463">IF(OR(AY9="",AY41=""),"",(AY39+AY41+AX44)*AY9/12)</f>
        <v>-959.06445756177061</v>
      </c>
      <c r="AZ42" s="8">
        <f t="shared" ref="AZ42" si="464">IF(OR(AZ9="",AZ41=""),"",(AZ39+AZ41+AY44)*AZ9/12)</f>
        <v>-1016.6300162275015</v>
      </c>
      <c r="BA42" s="8">
        <f t="shared" ref="BA42" si="465">IF(OR(BA9="",BA41=""),"",(BA39+BA41+AZ44)*BA9/12)</f>
        <v>-592.06872207218237</v>
      </c>
      <c r="BB42" s="8">
        <f t="shared" ref="BB42" si="466">IF(OR(BB9="",BB41=""),"",(BB39+BB41+BA44)*BB9/12)</f>
        <v>-345.35129076763513</v>
      </c>
      <c r="BC42" s="8">
        <f t="shared" ref="BC42" si="467">IF(OR(BC9="",BC41=""),"",(BC39+BC41+BB44)*BC9/12)</f>
        <v>-53.912013038185101</v>
      </c>
      <c r="BD42" s="8">
        <f t="shared" ref="BD42" si="468">IF(OR(BD9="",BD41=""),"",(BD39+BD41+BC44)*BD9/12)</f>
        <v>-60.212386137477118</v>
      </c>
      <c r="BE42" s="8">
        <f t="shared" ref="BE42" si="469">IF(OR(BE9="",BE41=""),"",(BE39+BE41+BD44)*BE9/12)</f>
        <v>-107.67894982065157</v>
      </c>
      <c r="BF42" s="8">
        <f t="shared" ref="BF42" si="470">IF(OR(BF9="",BF41=""),"",(BF39+BF41+BE44)*BF9/12)</f>
        <v>-86.265128885081481</v>
      </c>
      <c r="BG42" s="8">
        <f t="shared" ref="BG42" si="471">IF(OR(BG9="",BG41=""),"",(BG39+BG41+BF44)*BG9/12)</f>
        <v>-87.157885700694521</v>
      </c>
      <c r="BH42" s="8">
        <f t="shared" ref="BH42" si="472">IF(OR(BH9="",BH41=""),"",(BH39+BH41+BG44)*BH9/12)</f>
        <v>-152.33080771503441</v>
      </c>
      <c r="BI42" s="8">
        <f t="shared" ref="BI42" si="473">IF(OR(BI9="",BI41=""),"",(BI39+BI41+BH44)*BI9/12)</f>
        <v>-206.97069129837439</v>
      </c>
      <c r="BJ42" s="8">
        <f t="shared" ref="BJ42:CH42" si="474">IF(OR(BJ9="",BJ41=""),"",(BJ39+BJ41+BI44)*BJ9/12)</f>
        <v>-252.53013484700446</v>
      </c>
      <c r="BK42" s="8">
        <f t="shared" si="474"/>
        <v>-199.34034932726351</v>
      </c>
      <c r="BL42" s="8">
        <f t="shared" si="474"/>
        <v>-224.17815469412071</v>
      </c>
      <c r="BM42" s="8">
        <f t="shared" si="474"/>
        <v>-187.98475113686871</v>
      </c>
      <c r="BN42" s="8">
        <f t="shared" si="474"/>
        <v>-182.65432905234135</v>
      </c>
      <c r="BO42" s="8">
        <f t="shared" si="474"/>
        <v>-166.77069230383159</v>
      </c>
      <c r="BP42" s="8">
        <f t="shared" si="474"/>
        <v>-133.60232045723757</v>
      </c>
      <c r="BQ42" s="8">
        <f t="shared" si="474"/>
        <v>-79.090355427234613</v>
      </c>
      <c r="BR42" s="8">
        <f t="shared" si="474"/>
        <v>-96.450446471347718</v>
      </c>
      <c r="BS42" s="8">
        <f t="shared" si="474"/>
        <v>-72.137120768288469</v>
      </c>
      <c r="BT42" s="8">
        <f t="shared" si="474"/>
        <v>-43.936502451226438</v>
      </c>
      <c r="BU42" s="8">
        <f t="shared" si="474"/>
        <v>-33.896799027812584</v>
      </c>
      <c r="BV42" s="8">
        <f t="shared" si="474"/>
        <v>-36.374195914962691</v>
      </c>
      <c r="BW42" s="8">
        <f t="shared" si="474"/>
        <v>-10.206485686119455</v>
      </c>
      <c r="BX42" s="8">
        <f t="shared" si="474"/>
        <v>4.6633211652036026</v>
      </c>
      <c r="BY42" s="8">
        <f t="shared" si="474"/>
        <v>13.032095954644355</v>
      </c>
      <c r="BZ42" s="8">
        <f t="shared" si="474"/>
        <v>13.091305131004477</v>
      </c>
      <c r="CA42" s="8">
        <f t="shared" si="474"/>
        <v>23.218272374650894</v>
      </c>
      <c r="CB42" s="8">
        <f t="shared" si="474"/>
        <v>40.789731656348017</v>
      </c>
      <c r="CC42" s="8">
        <f t="shared" si="474"/>
        <v>63.590408621350605</v>
      </c>
      <c r="CD42" s="8">
        <f t="shared" si="474"/>
        <v>88.648398406388353</v>
      </c>
      <c r="CE42" s="8">
        <f t="shared" si="474"/>
        <v>107.76376676305294</v>
      </c>
      <c r="CF42" s="8">
        <f t="shared" si="474"/>
        <v>137.28760163302044</v>
      </c>
      <c r="CG42" s="8">
        <f t="shared" si="474"/>
        <v>181.22817604087831</v>
      </c>
      <c r="CH42" s="8">
        <f t="shared" si="474"/>
        <v>210.52714946748316</v>
      </c>
      <c r="CI42" s="293">
        <f>IF(OR(CI9="",CI41=""),"",(CI39+CI41+CH44+CI36)*CI9/12)+CI36</f>
        <v>313.4673769339787</v>
      </c>
      <c r="CJ42" s="293">
        <f t="shared" ref="CJ42:CR42" si="475">IF(OR(CJ9="",CJ41=""),"",(CJ39+CJ41+CI44)*CJ9/12)</f>
        <v>241.01047839256373</v>
      </c>
      <c r="CK42" s="293">
        <f t="shared" si="475"/>
        <v>230.23461987316185</v>
      </c>
      <c r="CL42" s="293">
        <f t="shared" si="475"/>
        <v>225.08594408960838</v>
      </c>
      <c r="CM42" s="293">
        <f t="shared" si="475"/>
        <v>212.36158566572666</v>
      </c>
      <c r="CN42" s="293">
        <f t="shared" si="475"/>
        <v>194.98685850970682</v>
      </c>
      <c r="CO42" s="293">
        <f t="shared" si="475"/>
        <v>173.2281904274686</v>
      </c>
      <c r="CP42" s="293">
        <f t="shared" si="475"/>
        <v>151.13831952147396</v>
      </c>
      <c r="CQ42" s="293">
        <f t="shared" si="475"/>
        <v>126.54695383047071</v>
      </c>
      <c r="CR42" s="293">
        <f t="shared" si="475"/>
        <v>105.91034170554202</v>
      </c>
      <c r="CS42" s="293">
        <f t="shared" ref="CS42" si="476">IF(OR(CS9="",CS41=""),"",(CS39+CS41+CR44)*CS9/12)</f>
        <v>87.100299152169683</v>
      </c>
      <c r="CT42" s="293">
        <f t="shared" ref="CT42" si="477">IF(OR(CT9="",CT41=""),"",(CT39+CT41+CS44)*CT9/12)</f>
        <v>64.895930518442739</v>
      </c>
      <c r="CU42" s="293">
        <f t="shared" ref="CU42" si="478">IF(OR(CU9="",CU41=""),"",(CU39+CU41+CT44)*CU9/12)</f>
        <v>38.888370272648096</v>
      </c>
    </row>
    <row r="43" spans="1:99" s="4" customFormat="1" hidden="1" outlineLevel="1" x14ac:dyDescent="0.35">
      <c r="A43" s="295"/>
      <c r="B43" s="16" t="s">
        <v>14</v>
      </c>
      <c r="C43" s="24"/>
      <c r="D43" s="24"/>
      <c r="E43" s="7">
        <f t="shared" ref="E43:N43" si="479">IF(OR(E41="",E42=""),"",E41+E42)</f>
        <v>0</v>
      </c>
      <c r="F43" s="7">
        <f t="shared" si="479"/>
        <v>0</v>
      </c>
      <c r="G43" s="7">
        <f t="shared" si="479"/>
        <v>-856.81930940526661</v>
      </c>
      <c r="H43" s="7">
        <f t="shared" si="479"/>
        <v>-8256.0838619098067</v>
      </c>
      <c r="I43" s="7">
        <f t="shared" si="479"/>
        <v>-1407.6219961919332</v>
      </c>
      <c r="J43" s="7">
        <f t="shared" si="479"/>
        <v>-72.009373776894464</v>
      </c>
      <c r="K43" s="7">
        <f t="shared" si="479"/>
        <v>8426.5829585314314</v>
      </c>
      <c r="L43" s="7">
        <f t="shared" si="479"/>
        <v>11623.580245230845</v>
      </c>
      <c r="M43" s="7">
        <f t="shared" si="479"/>
        <v>17062.925811922414</v>
      </c>
      <c r="N43" s="7">
        <f t="shared" si="479"/>
        <v>24868.16810715861</v>
      </c>
      <c r="O43" s="7">
        <f>IF(OR(O41="",O42=""),"",O41+O42)</f>
        <v>20294.154054355815</v>
      </c>
      <c r="P43" s="7">
        <f t="shared" ref="P43:AM43" si="480">IF(OR(P41="",P42=""),"",P41+P42)</f>
        <v>-43665.736515959179</v>
      </c>
      <c r="Q43" s="7">
        <f t="shared" si="480"/>
        <v>-23924.018749957195</v>
      </c>
      <c r="R43" s="7">
        <f t="shared" si="480"/>
        <v>-42897.952186011236</v>
      </c>
      <c r="S43" s="7">
        <f t="shared" si="480"/>
        <v>-19779.27285124041</v>
      </c>
      <c r="T43" s="7">
        <f t="shared" si="480"/>
        <v>8822.1575916106849</v>
      </c>
      <c r="U43" s="7">
        <f t="shared" si="480"/>
        <v>44488.076370825154</v>
      </c>
      <c r="V43" s="7">
        <f t="shared" si="480"/>
        <v>38358.221390761028</v>
      </c>
      <c r="W43" s="7">
        <f t="shared" si="480"/>
        <v>66307.300700340144</v>
      </c>
      <c r="X43" s="7">
        <f t="shared" si="480"/>
        <v>35807.811583702445</v>
      </c>
      <c r="Y43" s="7">
        <f t="shared" si="480"/>
        <v>16259.55262703396</v>
      </c>
      <c r="Z43" s="7">
        <f t="shared" si="480"/>
        <v>48469.517724193036</v>
      </c>
      <c r="AA43" s="7">
        <f t="shared" si="480"/>
        <v>38285.696766010886</v>
      </c>
      <c r="AB43" s="7">
        <f t="shared" si="480"/>
        <v>-183082.14669418681</v>
      </c>
      <c r="AC43" s="7">
        <f t="shared" si="480"/>
        <v>-113867.06867050687</v>
      </c>
      <c r="AD43" s="7">
        <f t="shared" si="480"/>
        <v>-85184.078222707336</v>
      </c>
      <c r="AE43" s="7">
        <f t="shared" si="480"/>
        <v>13259.869127348526</v>
      </c>
      <c r="AF43" s="7">
        <f t="shared" si="480"/>
        <v>82828.910182785927</v>
      </c>
      <c r="AG43" s="7">
        <f t="shared" si="480"/>
        <v>174471.14235603856</v>
      </c>
      <c r="AH43" s="7">
        <f t="shared" si="480"/>
        <v>136050.44730489238</v>
      </c>
      <c r="AI43" s="7">
        <f t="shared" si="480"/>
        <v>180561.25505457303</v>
      </c>
      <c r="AJ43" s="7">
        <f t="shared" si="480"/>
        <v>71118.290597121741</v>
      </c>
      <c r="AK43" s="7">
        <f t="shared" si="480"/>
        <v>66634.346636763847</v>
      </c>
      <c r="AL43" s="7">
        <f t="shared" si="480"/>
        <v>49571.927515906274</v>
      </c>
      <c r="AM43" s="7">
        <f t="shared" si="480"/>
        <v>31448.244152485204</v>
      </c>
      <c r="AN43" s="7">
        <f t="shared" ref="AN43:BJ43" si="481">IF(OR(AN41="",AN42=""),"",AN41+AN42)</f>
        <v>-344309.2280301468</v>
      </c>
      <c r="AO43" s="7">
        <f t="shared" si="481"/>
        <v>-195916.91529344884</v>
      </c>
      <c r="AP43" s="7">
        <f t="shared" si="481"/>
        <v>-75792.392442247903</v>
      </c>
      <c r="AQ43" s="7">
        <f t="shared" si="481"/>
        <v>-52124.346132875326</v>
      </c>
      <c r="AR43" s="7">
        <f t="shared" si="481"/>
        <v>153658.2886400196</v>
      </c>
      <c r="AS43" s="7">
        <f t="shared" si="481"/>
        <v>269989.13800539827</v>
      </c>
      <c r="AT43" s="7">
        <f t="shared" si="481"/>
        <v>81199.678619003069</v>
      </c>
      <c r="AU43" s="7">
        <f t="shared" si="481"/>
        <v>134168.97475706969</v>
      </c>
      <c r="AV43" s="7">
        <f t="shared" si="481"/>
        <v>-46656.506906474839</v>
      </c>
      <c r="AW43" s="7">
        <f t="shared" si="481"/>
        <v>-63685.749546112478</v>
      </c>
      <c r="AX43" s="7">
        <f t="shared" si="481"/>
        <v>-217428.06222105454</v>
      </c>
      <c r="AY43" s="7">
        <f t="shared" si="481"/>
        <v>-186704.0329601487</v>
      </c>
      <c r="AZ43" s="7">
        <f t="shared" si="481"/>
        <v>-326481.77020249591</v>
      </c>
      <c r="BA43" s="7">
        <f t="shared" si="481"/>
        <v>246173.50421903431</v>
      </c>
      <c r="BB43" s="7">
        <f t="shared" si="481"/>
        <v>-105462.53327877862</v>
      </c>
      <c r="BC43" s="7">
        <f t="shared" si="481"/>
        <v>-96047.504899877415</v>
      </c>
      <c r="BD43" s="7">
        <f t="shared" si="481"/>
        <v>-119774.60210667782</v>
      </c>
      <c r="BE43" s="7">
        <f t="shared" si="481"/>
        <v>-149311.97103394024</v>
      </c>
      <c r="BF43" s="7">
        <f t="shared" si="481"/>
        <v>-146944.0947118339</v>
      </c>
      <c r="BG43" s="7">
        <f t="shared" si="481"/>
        <v>-139580.38322632448</v>
      </c>
      <c r="BH43" s="7">
        <f t="shared" si="481"/>
        <v>-113410.59344126756</v>
      </c>
      <c r="BI43" s="7">
        <f t="shared" si="481"/>
        <v>-113237.11941537797</v>
      </c>
      <c r="BJ43" s="7">
        <f t="shared" si="481"/>
        <v>-130602.04715982958</v>
      </c>
      <c r="BK43" s="7">
        <f t="shared" ref="BK43:BL43" si="482">IF(OR(BK41="",BK42=""),"",BK41+BK42)</f>
        <v>-155576.00127613393</v>
      </c>
      <c r="BL43" s="7">
        <f t="shared" si="482"/>
        <v>-396.16437849274996</v>
      </c>
      <c r="BM43" s="7">
        <f t="shared" ref="BM43:BN43" si="483">IF(OR(BM41="",BM42=""),"",BM41+BM42)</f>
        <v>-1317.2443451146653</v>
      </c>
      <c r="BN43" s="7">
        <f t="shared" si="483"/>
        <v>-722.95438702988122</v>
      </c>
      <c r="BO43" s="7">
        <f t="shared" ref="BO43:BP43" si="484">IF(OR(BO41="",BO42=""),"",BO41+BO42)</f>
        <v>-321.711050565162</v>
      </c>
      <c r="BP43" s="7">
        <f t="shared" si="484"/>
        <v>612.50862714364848</v>
      </c>
      <c r="BQ43" s="7">
        <f t="shared" ref="BQ43:BR43" si="485">IF(OR(BQ41="",BQ42=""),"",BQ41+BQ42)</f>
        <v>1015.6577385435111</v>
      </c>
      <c r="BR43" s="7">
        <f t="shared" si="485"/>
        <v>1298.4360278361914</v>
      </c>
      <c r="BS43" s="7">
        <f t="shared" ref="BS43:BT43" si="486">IF(OR(BS41="",BS42=""),"",BS41+BS42)</f>
        <v>671.53720705711135</v>
      </c>
      <c r="BT43" s="7">
        <f t="shared" si="486"/>
        <v>-11.576602377801642</v>
      </c>
      <c r="BU43" s="7">
        <f t="shared" ref="BU43:BV43" si="487">IF(OR(BU41="",BU42=""),"",BU41+BU42)</f>
        <v>-242.50889937081425</v>
      </c>
      <c r="BV43" s="7">
        <f t="shared" si="487"/>
        <v>-436.91428608144611</v>
      </c>
      <c r="BW43" s="7">
        <f t="shared" ref="BW43:BX43" si="488">IF(OR(BW41="",BW42=""),"",BW41+BW42)</f>
        <v>-716.64694418082365</v>
      </c>
      <c r="BX43" s="7">
        <f t="shared" si="488"/>
        <v>-1525.9451530127014</v>
      </c>
      <c r="BY43" s="7">
        <f t="shared" ref="BY43:BZ43" si="489">IF(OR(BY41="",BY42=""),"",BY41+BY42)</f>
        <v>-116.0217407622076</v>
      </c>
      <c r="BZ43" s="7">
        <f t="shared" si="489"/>
        <v>-88.705996086469412</v>
      </c>
      <c r="CA43" s="7">
        <f t="shared" ref="CA43:CB43" si="490">IF(OR(CA41="",CA42=""),"",CA41+CA42)</f>
        <v>-67.538492140136043</v>
      </c>
      <c r="CB43" s="7">
        <f t="shared" si="490"/>
        <v>-62.484057038345377</v>
      </c>
      <c r="CC43" s="7">
        <f t="shared" ref="CC43:CD43" si="491">IF(OR(CC41="",CC42=""),"",CC41+CC42)</f>
        <v>-61.065162182123288</v>
      </c>
      <c r="CD43" s="7">
        <f t="shared" si="491"/>
        <v>-40.088517091711381</v>
      </c>
      <c r="CE43" s="7">
        <f t="shared" ref="CE43:CF43" si="492">IF(OR(CE41="",CE42=""),"",CE41+CE42)</f>
        <v>-8.2108146456266269</v>
      </c>
      <c r="CF43" s="7">
        <f t="shared" si="492"/>
        <v>-1374.8076301420676</v>
      </c>
      <c r="CG43" s="7">
        <f t="shared" ref="CG43:CH43" si="493">IF(OR(CG41="",CG42=""),"",CG41+CG42)</f>
        <v>86.708409667045629</v>
      </c>
      <c r="CH43" s="7">
        <f t="shared" si="493"/>
        <v>79.034678523638519</v>
      </c>
      <c r="CI43" s="7">
        <f t="shared" ref="CI43:CJ43" si="494">IF(OR(CI41="",CI42=""),"",CI41+CI42)</f>
        <v>161.5659147156174</v>
      </c>
      <c r="CJ43" s="7">
        <f t="shared" si="494"/>
        <v>241.59108732043094</v>
      </c>
      <c r="CK43" s="7">
        <f t="shared" ref="CK43:CL43" si="495">IF(OR(CK41="",CK42=""),"",CK41+CK42)</f>
        <v>319.04397503226096</v>
      </c>
      <c r="CL43" s="7">
        <f t="shared" si="495"/>
        <v>301.80829527921742</v>
      </c>
      <c r="CM43" s="7">
        <f t="shared" ref="CM43:CN43" si="496">IF(OR(CM41="",CM42=""),"",CM41+CM42)</f>
        <v>272.4078714397084</v>
      </c>
      <c r="CN43" s="7">
        <f t="shared" si="496"/>
        <v>266.07236442833926</v>
      </c>
      <c r="CO43" s="7">
        <f t="shared" ref="CO43:CP43" si="497">IF(OR(CO41="",CO42=""),"",CO41+CO42)</f>
        <v>263.17669728303451</v>
      </c>
      <c r="CP43" s="7">
        <f t="shared" si="497"/>
        <v>244.26839104771355</v>
      </c>
      <c r="CQ43" s="7">
        <f t="shared" ref="CQ43:CR43" si="498">IF(OR(CQ41="",CQ42=""),"",CQ41+CQ42)</f>
        <v>215.15752729012382</v>
      </c>
      <c r="CR43" s="7">
        <f t="shared" si="498"/>
        <v>178.62220956356202</v>
      </c>
      <c r="CS43" s="7">
        <f t="shared" ref="CS43:CU43" si="499">IF(OR(CS41="",CS42=""),"",CS41+CS42)</f>
        <v>153.65484296509806</v>
      </c>
      <c r="CT43" s="7">
        <f t="shared" si="499"/>
        <v>153.39331183488974</v>
      </c>
      <c r="CU43" s="7">
        <f t="shared" si="499"/>
        <v>150.65812119986106</v>
      </c>
    </row>
    <row r="44" spans="1:99" s="4" customFormat="1" hidden="1" outlineLevel="1" x14ac:dyDescent="0.35">
      <c r="A44" s="295"/>
      <c r="B44" s="18" t="s">
        <v>16</v>
      </c>
      <c r="C44" s="26"/>
      <c r="D44" s="26"/>
      <c r="E44" s="7">
        <f>E43</f>
        <v>0</v>
      </c>
      <c r="F44" s="7">
        <f>IF(OR(F43="",E44=""),"",F43+E44)</f>
        <v>0</v>
      </c>
      <c r="G44" s="7">
        <f t="shared" ref="G44:N44" si="500">IF(OR(G43="",F44=""),"",G43+F44)</f>
        <v>-856.81930940526661</v>
      </c>
      <c r="H44" s="7">
        <f t="shared" si="500"/>
        <v>-9112.9031713150725</v>
      </c>
      <c r="I44" s="7">
        <f t="shared" si="500"/>
        <v>-10520.525167507007</v>
      </c>
      <c r="J44" s="7">
        <f t="shared" si="500"/>
        <v>-10592.534541283901</v>
      </c>
      <c r="K44" s="7">
        <f t="shared" si="500"/>
        <v>-2165.9515827524701</v>
      </c>
      <c r="L44" s="7">
        <f t="shared" si="500"/>
        <v>9457.6286624783752</v>
      </c>
      <c r="M44" s="7">
        <f t="shared" si="500"/>
        <v>26520.554474400789</v>
      </c>
      <c r="N44" s="7">
        <f t="shared" si="500"/>
        <v>51388.722581559399</v>
      </c>
      <c r="O44" s="7">
        <f>IF(OR(O43="",N44=""),"",O43+O39+N44)</f>
        <v>71682.876635915221</v>
      </c>
      <c r="P44" s="7">
        <f>IF(OR(P43="",O44=""),"",P43+P39+O44+P36)</f>
        <v>638734.3647874759</v>
      </c>
      <c r="Q44" s="7">
        <f t="shared" ref="Q44" si="501">IF(OR(Q43="",P44=""),"",Q43+Q39+P44)</f>
        <v>563611.00603751873</v>
      </c>
      <c r="R44" s="7">
        <f t="shared" ref="R44" si="502">IF(OR(R43="",Q44=""),"",R43+R39+Q44)</f>
        <v>472258.59385150752</v>
      </c>
      <c r="S44" s="7">
        <f t="shared" ref="S44" si="503">IF(OR(S43="",R44=""),"",S43+S39+R44)</f>
        <v>404517.66100026714</v>
      </c>
      <c r="T44" s="7">
        <f t="shared" ref="T44" si="504">IF(OR(T43="",S44=""),"",T43+T39+S44)</f>
        <v>356346.2385918778</v>
      </c>
      <c r="U44" s="7">
        <f t="shared" ref="U44" si="505">IF(OR(U43="",T44=""),"",U43+U39+T44)</f>
        <v>334765.50496270298</v>
      </c>
      <c r="V44" s="7">
        <f t="shared" ref="V44" si="506">IF(OR(V43="",U44=""),"",V43+V39+U44)</f>
        <v>306424.18635346403</v>
      </c>
      <c r="W44" s="7">
        <f t="shared" ref="W44" si="507">IF(OR(W43="",V44=""),"",W43+W39+V44)</f>
        <v>313078.23705380416</v>
      </c>
      <c r="X44" s="7">
        <f t="shared" ref="X44" si="508">IF(OR(X43="",W44=""),"",X43+X39+W44)</f>
        <v>292401.96863750659</v>
      </c>
      <c r="Y44" s="7">
        <f t="shared" ref="Y44" si="509">IF(OR(Y43="",X44=""),"",Y43+Y39+X44)</f>
        <v>258173.94126454054</v>
      </c>
      <c r="Z44" s="7">
        <f t="shared" ref="Z44" si="510">IF(OR(Z43="",Y44=""),"",Z43+Z39+Y44)</f>
        <v>250885.09898873357</v>
      </c>
      <c r="AA44" s="7">
        <f t="shared" ref="AA44" si="511">IF(OR(AA43="",Z44=""),"",AA43+AA39+Z44)</f>
        <v>208589.31575474446</v>
      </c>
      <c r="AB44" s="7">
        <f t="shared" ref="AB44" si="512">IF(OR(AB43="",AA44=""),"",AB43+AB39+AA44)</f>
        <v>2591.4190605576441</v>
      </c>
      <c r="AC44" s="7">
        <f t="shared" ref="AC44" si="513">IF(OR(AC43="",AB44=""),"",AC43+AC39+AB44)</f>
        <v>-131356.86960994921</v>
      </c>
      <c r="AD44" s="7">
        <f t="shared" ref="AD44" si="514">IF(OR(AD43="",AC44=""),"",AD43+AD39+AC44)</f>
        <v>-236332.77783265655</v>
      </c>
      <c r="AE44" s="7">
        <f t="shared" ref="AE44" si="515">IF(OR(AE43="",AD44=""),"",AE43+AE39+AD44)</f>
        <v>-240987.71870530801</v>
      </c>
      <c r="AF44" s="7">
        <f t="shared" ref="AF44" si="516">IF(OR(AF43="",AE44=""),"",AF43+AF39+AE44)</f>
        <v>-180711.66852252209</v>
      </c>
      <c r="AG44" s="7">
        <f t="shared" ref="AG44" si="517">IF(OR(AG43="",AF44=""),"",AG43+AG39+AF44)</f>
        <v>-31123.70616648352</v>
      </c>
      <c r="AH44" s="7">
        <f t="shared" ref="AH44" si="518">IF(OR(AH43="",AG44=""),"",AH43+AH39+AG44)</f>
        <v>81675.571138408864</v>
      </c>
      <c r="AI44" s="7">
        <f t="shared" ref="AI44" si="519">IF(OR(AI43="",AH44=""),"",AI43+AI39+AH44)</f>
        <v>239390.08619298192</v>
      </c>
      <c r="AJ44" s="7">
        <f t="shared" ref="AJ44" si="520">IF(OR(AJ43="",AI44=""),"",AJ43+AJ39+AI44)</f>
        <v>290377.63679010363</v>
      </c>
      <c r="AK44" s="7">
        <f t="shared" ref="AK44" si="521">IF(OR(AK43="",AJ44=""),"",AK43+AK39+AJ44)</f>
        <v>338875.5234268675</v>
      </c>
      <c r="AL44" s="7">
        <f t="shared" ref="AL44" si="522">IF(OR(AL43="",AK44=""),"",AL43+AL39+AK44)</f>
        <v>366527.73094277375</v>
      </c>
      <c r="AM44" s="7">
        <f t="shared" ref="AM44" si="523">IF(OR(AM43="",AL44=""),"",AM43+AM39+AL44)</f>
        <v>372746.63509525894</v>
      </c>
      <c r="AN44" s="7">
        <f t="shared" ref="AN44" si="524">IF(OR(AN43="",AM44=""),"",AN43+AN39+AM44)</f>
        <v>-12753.562934887828</v>
      </c>
      <c r="AO44" s="7">
        <f t="shared" ref="AO44" si="525">IF(OR(AO43="",AN44=""),"",AO43+AO39+AN44)</f>
        <v>-247458.14822833665</v>
      </c>
      <c r="AP44" s="7">
        <f t="shared" ref="AP44" si="526">IF(OR(AP43="",AO44=""),"",AP43+AP39+AO44)</f>
        <v>-354694.32067058457</v>
      </c>
      <c r="AQ44" s="7">
        <f t="shared" ref="AQ44" si="527">IF(OR(AQ43="",AP44=""),"",AQ43+AQ39+AP44)</f>
        <v>-436462.66680345987</v>
      </c>
      <c r="AR44" s="7">
        <f t="shared" ref="AR44" si="528">IF(OR(AR43="",AQ44=""),"",AR43+AR39+AQ44)</f>
        <v>-317413.45816344029</v>
      </c>
      <c r="AS44" s="7">
        <f t="shared" ref="AS44" si="529">IF(OR(AS43="",AR44=""),"",AS43+AS39+AR44)</f>
        <v>-87010.070158042014</v>
      </c>
      <c r="AT44" s="7">
        <f t="shared" ref="AT44" si="530">IF(OR(AT43="",AS44=""),"",AT43+AT39+AS44)</f>
        <v>-46493.871539038948</v>
      </c>
      <c r="AU44" s="7">
        <f t="shared" ref="AU44" si="531">IF(OR(AU43="",AT44=""),"",AU43+AU39+AT44)</f>
        <v>48400.433218030747</v>
      </c>
      <c r="AV44" s="7">
        <f t="shared" ref="AV44" si="532">IF(OR(AV43="",AU44=""),"",AV43+AV39+AU44)</f>
        <v>-33650.683688444093</v>
      </c>
      <c r="AW44" s="7">
        <f t="shared" ref="AW44" si="533">IF(OR(AW43="",AV44=""),"",AW43+AW39+AV44)</f>
        <v>-129051.05323455657</v>
      </c>
      <c r="AX44" s="7">
        <f t="shared" ref="AX44" si="534">IF(OR(AX43="",AW44=""),"",AX43+AX39+AW44)</f>
        <v>-383743.43545561109</v>
      </c>
      <c r="AY44" s="7">
        <f t="shared" ref="AY44" si="535">IF(OR(AY43="",AX44=""),"",AY43+AY39+AX44)</f>
        <v>-610186.07841575984</v>
      </c>
      <c r="AZ44" s="7">
        <f t="shared" ref="AZ44" si="536">IF(OR(AZ43="",AY44=""),"",AZ43+AZ39+AY44)</f>
        <v>-677423.54861825577</v>
      </c>
      <c r="BA44" s="7">
        <f t="shared" ref="BA44" si="537">IF(OR(BA43="",AZ44=""),"",BA43+BA39+AZ44)</f>
        <v>-376788.97439922148</v>
      </c>
      <c r="BB44" s="7">
        <f t="shared" ref="BB44" si="538">IF(OR(BB43="",BA44=""),"",BB43+BB39+BA44)</f>
        <v>-441942.80767800007</v>
      </c>
      <c r="BC44" s="7">
        <f t="shared" ref="BC44" si="539">IF(OR(BC43="",BB44=""),"",BC43+BC39+BB44)</f>
        <v>-501300.67257787747</v>
      </c>
      <c r="BD44" s="7">
        <f t="shared" ref="BD44" si="540">IF(OR(BD43="",BC44=""),"",BD43+BD39+BC44)</f>
        <v>-575195.8346845553</v>
      </c>
      <c r="BE44" s="7">
        <f t="shared" ref="BE44" si="541">IF(OR(BE43="",BD44=""),"",BE43+BE39+BD44)</f>
        <v>-667322.06571849552</v>
      </c>
      <c r="BF44" s="7">
        <f t="shared" ref="BF44" si="542">IF(OR(BF43="",BE44=""),"",BF43+BF39+BE44)</f>
        <v>-757989.07043032942</v>
      </c>
      <c r="BG44" s="7">
        <f t="shared" ref="BG44" si="543">IF(OR(BG43="",BF44=""),"",BG43+BG39+BF44)</f>
        <v>-844122.33365665388</v>
      </c>
      <c r="BH44" s="7">
        <f t="shared" ref="BH44" si="544">IF(OR(BH43="",BG44=""),"",BH43+BH39+BG44)</f>
        <v>-914137.17709792149</v>
      </c>
      <c r="BI44" s="7">
        <f t="shared" ref="BI44" si="545">IF(OR(BI43="",BH44=""),"",BI43+BI39+BH44)</f>
        <v>-984048.25651329942</v>
      </c>
      <c r="BJ44" s="7">
        <f t="shared" ref="BJ44:BM44" si="546">IF(OR(BJ43="",BI44=""),"",BJ43+BJ39+BI44)</f>
        <v>-1064661.473673129</v>
      </c>
      <c r="BK44" s="7">
        <f t="shared" si="546"/>
        <v>-1160622.2549492628</v>
      </c>
      <c r="BL44" s="7">
        <f t="shared" si="546"/>
        <v>-1158682.7993277556</v>
      </c>
      <c r="BM44" s="7">
        <f t="shared" si="546"/>
        <v>-1055916.3436728702</v>
      </c>
      <c r="BN44" s="7">
        <f t="shared" ref="BN44:CR44" si="547">IF(OR(BN43="",BM44=""),"",BN43+BN39+BM44)</f>
        <v>-973806.82805990009</v>
      </c>
      <c r="BO44" s="7">
        <f t="shared" si="547"/>
        <v>-892497.64911046531</v>
      </c>
      <c r="BP44" s="7">
        <f t="shared" si="547"/>
        <v>-795152.84048332169</v>
      </c>
      <c r="BQ44" s="7">
        <f t="shared" si="547"/>
        <v>-680187.34274477814</v>
      </c>
      <c r="BR44" s="7">
        <f t="shared" si="547"/>
        <v>-564411.90671694197</v>
      </c>
      <c r="BS44" s="7">
        <f t="shared" si="547"/>
        <v>-448052.26950988488</v>
      </c>
      <c r="BT44" s="7">
        <f t="shared" si="547"/>
        <v>-351535.95611226268</v>
      </c>
      <c r="BU44" s="7">
        <f t="shared" si="547"/>
        <v>-265528.47501163348</v>
      </c>
      <c r="BV44" s="7">
        <f t="shared" si="547"/>
        <v>-167618.20929771493</v>
      </c>
      <c r="BW44" s="7">
        <f t="shared" si="547"/>
        <v>-52250.696241895756</v>
      </c>
      <c r="BX44" s="7">
        <f t="shared" si="547"/>
        <v>18919.668605091545</v>
      </c>
      <c r="BY44" s="7">
        <f t="shared" si="547"/>
        <v>22733.656864329336</v>
      </c>
      <c r="BZ44" s="7">
        <f t="shared" si="547"/>
        <v>26177.560868242865</v>
      </c>
      <c r="CA44" s="7">
        <f t="shared" si="547"/>
        <v>29360.672376102728</v>
      </c>
      <c r="CB44" s="7">
        <f t="shared" si="547"/>
        <v>32982.978319064379</v>
      </c>
      <c r="CC44" s="7">
        <f t="shared" si="547"/>
        <v>37166.163156882256</v>
      </c>
      <c r="CD44" s="7">
        <f t="shared" si="547"/>
        <v>41576.884639790544</v>
      </c>
      <c r="CE44" s="7">
        <f t="shared" si="547"/>
        <v>45614.573825144915</v>
      </c>
      <c r="CF44" s="7">
        <f t="shared" si="547"/>
        <v>47612.626195002849</v>
      </c>
      <c r="CG44" s="7">
        <f t="shared" si="547"/>
        <v>50920.574604669891</v>
      </c>
      <c r="CH44" s="7">
        <f t="shared" si="547"/>
        <v>54921.289283193531</v>
      </c>
      <c r="CI44" s="7">
        <f t="shared" si="547"/>
        <v>59597.28519790915</v>
      </c>
      <c r="CJ44" s="7">
        <f t="shared" si="547"/>
        <v>59897.746285229579</v>
      </c>
      <c r="CK44" s="7">
        <f t="shared" si="547"/>
        <v>55603.780260261839</v>
      </c>
      <c r="CL44" s="7">
        <f t="shared" si="547"/>
        <v>51685.838555541057</v>
      </c>
      <c r="CM44" s="7">
        <f t="shared" si="547"/>
        <v>48052.466426980762</v>
      </c>
      <c r="CN44" s="7">
        <f t="shared" si="547"/>
        <v>43566.988791409101</v>
      </c>
      <c r="CO44" s="7">
        <f t="shared" si="547"/>
        <v>38366.625488692138</v>
      </c>
      <c r="CP44" s="7">
        <f t="shared" si="547"/>
        <v>33004.443879739854</v>
      </c>
      <c r="CQ44" s="7">
        <f t="shared" si="547"/>
        <v>27561.57140702998</v>
      </c>
      <c r="CR44" s="7">
        <f t="shared" si="547"/>
        <v>23140.51361659354</v>
      </c>
      <c r="CS44" s="7">
        <f t="shared" ref="CS44" si="548">IF(OR(CS43="",CR44=""),"",CS43+CS39+CR44)</f>
        <v>19030.67845955864</v>
      </c>
      <c r="CT44" s="7">
        <f t="shared" ref="CT44" si="549">IF(OR(CT43="",CS44=""),"",CT43+CT39+CS44)</f>
        <v>14179.211771393529</v>
      </c>
      <c r="CU44" s="7">
        <f t="shared" ref="CU44" si="550">IF(OR(CU43="",CT44=""),"",CU43+CU39+CT44)</f>
        <v>8496.7798925933894</v>
      </c>
    </row>
    <row r="45" spans="1:99" s="4" customFormat="1" ht="8.25" hidden="1" customHeight="1" outlineLevel="1" x14ac:dyDescent="0.35">
      <c r="A45" s="40"/>
      <c r="B45" s="11"/>
      <c r="C45" s="11"/>
      <c r="D45" s="11"/>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row>
    <row r="46" spans="1:99" s="4" customFormat="1" ht="15" hidden="1" customHeight="1" outlineLevel="1" x14ac:dyDescent="0.35">
      <c r="A46" s="295" t="s">
        <v>22</v>
      </c>
      <c r="B46" s="15"/>
      <c r="C46" s="30"/>
      <c r="D46" s="30"/>
      <c r="E46" s="7"/>
      <c r="F46" s="7"/>
      <c r="G46" s="7"/>
      <c r="H46" s="7"/>
      <c r="I46" s="7"/>
      <c r="J46" s="7"/>
      <c r="K46" s="7"/>
      <c r="L46" s="7"/>
      <c r="M46" s="7"/>
      <c r="N46" s="7"/>
      <c r="O46" s="7"/>
      <c r="P46" s="68">
        <v>905880.95458707912</v>
      </c>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125">
        <v>-2892.28773686762</v>
      </c>
      <c r="CG46" s="7"/>
      <c r="CH46" s="7"/>
      <c r="CI46" s="113">
        <f>'MEEIA 2 adjs'!EC53</f>
        <v>108.16251961473517</v>
      </c>
      <c r="CJ46" s="7"/>
      <c r="CK46" s="7"/>
      <c r="CL46" s="7"/>
      <c r="CM46" s="7"/>
      <c r="CN46" s="7"/>
      <c r="CO46" s="7"/>
      <c r="CP46" s="7"/>
      <c r="CQ46" s="7"/>
      <c r="CR46" s="7"/>
      <c r="CS46" s="7"/>
      <c r="CT46" s="7"/>
      <c r="CU46" s="7"/>
    </row>
    <row r="47" spans="1:99" s="2" customFormat="1" ht="15" hidden="1" customHeight="1" outlineLevel="1" x14ac:dyDescent="0.35">
      <c r="A47" s="295"/>
      <c r="B47" s="15" t="s">
        <v>28</v>
      </c>
      <c r="C47" s="30"/>
      <c r="D47" s="30"/>
      <c r="E47" s="20">
        <f>IF('M2 Allocations - TD'!D7="","",'M2 Allocations - TD'!D33)</f>
        <v>0</v>
      </c>
      <c r="F47" s="20">
        <f>IF('M2 Allocations - TD'!E7="","",'M2 Allocations - TD'!E33)</f>
        <v>0</v>
      </c>
      <c r="G47" s="20">
        <f>IF('M2 Allocations - TD'!F7="","",'M2 Allocations - TD'!F33)</f>
        <v>0</v>
      </c>
      <c r="H47" s="20">
        <f>IF('M2 Allocations - TD'!G7="","",'M2 Allocations - TD'!G33)</f>
        <v>6853.38</v>
      </c>
      <c r="I47" s="20">
        <f>IF('M2 Allocations - TD'!H7="","",'M2 Allocations - TD'!H33)</f>
        <v>24493.5</v>
      </c>
      <c r="J47" s="20">
        <f>IF('M2 Allocations - TD'!I7="","",'M2 Allocations - TD'!I33)</f>
        <v>33902.946879751129</v>
      </c>
      <c r="K47" s="20">
        <f>IF('M2 Allocations - TD'!J7="","",'M2 Allocations - TD'!J33)</f>
        <v>57130.941306139037</v>
      </c>
      <c r="L47" s="20">
        <f>IF('M2 Allocations - TD'!K7="","",'M2 Allocations - TD'!K33)</f>
        <v>48568.434840680449</v>
      </c>
      <c r="M47" s="20">
        <f>IF('M2 Allocations - TD'!L7="","",'M2 Allocations - TD'!L33)</f>
        <v>56402.832716238408</v>
      </c>
      <c r="N47" s="20">
        <f>IF('M2 Allocations - TD'!M7="","",'M2 Allocations - TD'!M33)</f>
        <v>76416.403445979842</v>
      </c>
      <c r="O47" s="20">
        <f>IF('M2 Allocations - TD'!N7="","",'M2 Allocations - TD'!N33)</f>
        <v>98464.472713338357</v>
      </c>
      <c r="P47" s="20">
        <f>IF('M2 Allocations - TD'!O7="","",'M2 Allocations - TD'!O33)</f>
        <v>92820.247439449406</v>
      </c>
      <c r="Q47" s="20">
        <f>IF('M2 Allocations - TD'!P7="","",'M2 Allocations - TD'!P33)</f>
        <v>115878.51859125202</v>
      </c>
      <c r="R47" s="20">
        <f>IF('M2 Allocations - TD'!Q7="","",'M2 Allocations - TD'!Q33)</f>
        <v>64178.344243350926</v>
      </c>
      <c r="S47" s="20">
        <f>IF('M2 Allocations - TD'!R7="","",'M2 Allocations - TD'!R33)</f>
        <v>102867.21859456625</v>
      </c>
      <c r="T47" s="20">
        <f>IF('M2 Allocations - TD'!S7="","",'M2 Allocations - TD'!S33)</f>
        <v>225026.10782354834</v>
      </c>
      <c r="U47" s="20">
        <f>IF('M2 Allocations - TD'!T7="","",'M2 Allocations - TD'!T33)</f>
        <v>332206.05000000005</v>
      </c>
      <c r="V47" s="20">
        <f>IF('M2 Allocations - TD'!U7="","",'M2 Allocations - TD'!U33)</f>
        <v>326565.43828407576</v>
      </c>
      <c r="W47" s="20">
        <f>IF('M2 Allocations - TD'!V7="","",'M2 Allocations - TD'!V33)</f>
        <v>357152.1332604558</v>
      </c>
      <c r="X47" s="20">
        <f>IF('M2 Allocations - TD'!W7="","",'M2 Allocations - TD'!W33)</f>
        <v>233165.34998028661</v>
      </c>
      <c r="Y47" s="20">
        <f>IF('M2 Allocations - TD'!X7="","",'M2 Allocations - TD'!X33)</f>
        <v>242735.19909115109</v>
      </c>
      <c r="Z47" s="20">
        <f>IF('M2 Allocations - TD'!Y7="","",'M2 Allocations - TD'!Y33)</f>
        <v>270260.8911173091</v>
      </c>
      <c r="AA47" s="20">
        <f>IF('M2 Allocations - TD'!Z7="","",'M2 Allocations - TD'!Z33)</f>
        <v>318931.98735694966</v>
      </c>
      <c r="AB47" s="20">
        <f>IF('M2 Allocations - TD'!AA7="","",'M2 Allocations - TD'!AA33)</f>
        <v>278425.9450890508</v>
      </c>
      <c r="AC47" s="20">
        <f>IF('M2 Allocations - TD'!AB7="","",'M2 Allocations - TD'!AB33)</f>
        <v>325174.04680208978</v>
      </c>
      <c r="AD47" s="20">
        <f>IF('M2 Allocations - TD'!AC7="","",'M2 Allocations - TD'!AC33)</f>
        <v>343158.29248776339</v>
      </c>
      <c r="AE47" s="20">
        <f>IF('M2 Allocations - TD'!AD7="","",'M2 Allocations - TD'!AD33)</f>
        <v>457118.03014316031</v>
      </c>
      <c r="AF47" s="20">
        <f>IF('M2 Allocations - TD'!AE7="","",'M2 Allocations - TD'!AE33)</f>
        <v>886825.58305134752</v>
      </c>
      <c r="AG47" s="20">
        <f>IF('M2 Allocations - TD'!AF7="","",'M2 Allocations - TD'!AF33)</f>
        <v>1197518.2821251666</v>
      </c>
      <c r="AH47" s="20">
        <f>IF('M2 Allocations - TD'!AG7="","",'M2 Allocations - TD'!AG33)</f>
        <v>1030275.3853313371</v>
      </c>
      <c r="AI47" s="20">
        <f>IF('M2 Allocations - TD'!AH7="","",'M2 Allocations - TD'!AH33)</f>
        <v>1033786.813176945</v>
      </c>
      <c r="AJ47" s="20">
        <f>IF('M2 Allocations - TD'!AI7="","",'M2 Allocations - TD'!AI33)</f>
        <v>565137.42472021224</v>
      </c>
      <c r="AK47" s="20">
        <f>IF('M2 Allocations - TD'!AJ7="","",'M2 Allocations - TD'!AJ33)</f>
        <v>515386.54786655982</v>
      </c>
      <c r="AL47" s="20">
        <f>IF('M2 Allocations - TD'!AK7="","",'M2 Allocations - TD'!AK33)</f>
        <v>600621.60749234632</v>
      </c>
      <c r="AM47" s="20">
        <f>IF('M2 Allocations - TD'!AL7="","",'M2 Allocations - TD'!AL33)</f>
        <v>677840.83886779845</v>
      </c>
      <c r="AN47" s="20">
        <f>IF('M2 Allocations - TD'!AM7="","",'M2 Allocations - TD'!AM33)</f>
        <v>590569.34077565547</v>
      </c>
      <c r="AO47" s="20">
        <f>IF('M2 Allocations - TD'!AN7="","",'M2 Allocations - TD'!AN33)</f>
        <v>785533.21729427099</v>
      </c>
      <c r="AP47" s="20">
        <f>IF('M2 Allocations - TD'!AO7="","",'M2 Allocations - TD'!AO33)</f>
        <v>759722.89069128735</v>
      </c>
      <c r="AQ47" s="20">
        <f>IF('M2 Allocations - TD'!AP7="","",'M2 Allocations - TD'!AP33)</f>
        <v>730573.86433008127</v>
      </c>
      <c r="AR47" s="20">
        <f>IF('M2 Allocations - TD'!AQ7="","",'M2 Allocations - TD'!AQ33)</f>
        <v>1701261.2984572235</v>
      </c>
      <c r="AS47" s="20">
        <f>IF('M2 Allocations - TD'!AR7="","",'M2 Allocations - TD'!AR33)</f>
        <v>2138329.3142225798</v>
      </c>
      <c r="AT47" s="20">
        <f>IF('M2 Allocations - TD'!AS7="","",'M2 Allocations - TD'!AS33)</f>
        <v>1807748.5219926799</v>
      </c>
      <c r="AU47" s="20">
        <f>IF('M2 Allocations - TD'!AT7="","",'M2 Allocations - TD'!AT33)</f>
        <v>1650674.4488178033</v>
      </c>
      <c r="AV47" s="20">
        <f>IF('M2 Allocations - TD'!AU7="","",'M2 Allocations - TD'!AU33)</f>
        <v>846164.39074269368</v>
      </c>
      <c r="AW47" s="20">
        <f>IF('M2 Allocations - TD'!AV7="","",'M2 Allocations - TD'!AV33)</f>
        <v>722912.52035272913</v>
      </c>
      <c r="AX47" s="20">
        <f>IF('M2 Allocations - TD'!AW7="","",'M2 Allocations - TD'!AW33)</f>
        <v>787449.04813982907</v>
      </c>
      <c r="AY47" s="20">
        <f>IF('M2 Allocations - TD'!AX7="","",'M2 Allocations - TD'!AX33)</f>
        <v>821876.98404895363</v>
      </c>
      <c r="AZ47" s="20">
        <f>IF('M2 Allocations - TD'!AY7="","",'M2 Allocations - TD'!AY33)</f>
        <v>663143.00246334542</v>
      </c>
      <c r="BA47" s="20">
        <f>IF('M2 Allocations - TD'!AZ7="","",'M2 Allocations - TD'!AZ33)</f>
        <v>717865.1381538827</v>
      </c>
      <c r="BB47" s="20">
        <f>IF('M2 Allocations - TD'!BA7="","",'M2 Allocations - TD'!BA33)</f>
        <v>2286.3100000023842</v>
      </c>
      <c r="BC47" s="20">
        <f>IF('M2 Allocations - TD'!BB7="","",'M2 Allocations - TD'!BB33)</f>
        <v>1973.3555017490889</v>
      </c>
      <c r="BD47" s="20">
        <f>IF('M2 Allocations - TD'!BC7="","",'M2 Allocations - TD'!BC33)</f>
        <v>12223.310000002384</v>
      </c>
      <c r="BE47" s="20">
        <f>IF('M2 Allocations - TD'!BD7="","",'M2 Allocations - TD'!BD33)</f>
        <v>22853.179999999702</v>
      </c>
      <c r="BF47" s="20">
        <f>IF('M2 Allocations - TD'!BE7="","",'M2 Allocations - TD'!BE33)</f>
        <v>20540.269999999553</v>
      </c>
      <c r="BG47" s="20">
        <f>IF('M2 Allocations - TD'!BF7="","",'M2 Allocations - TD'!BF33)</f>
        <v>15022.210000000894</v>
      </c>
      <c r="BH47" s="20">
        <f>IF('M2 Allocations - TD'!BG7="","",'M2 Allocations - TD'!BG33)</f>
        <v>6711.089999999851</v>
      </c>
      <c r="BI47" s="20">
        <f>IF('M2 Allocations - TD'!BH7="","",'M2 Allocations - TD'!BH33)</f>
        <v>6702.839999999851</v>
      </c>
      <c r="BJ47" s="20">
        <f>IF('M2 Allocations - TD'!BI7="","",'M2 Allocations - TD'!BI33)</f>
        <v>8127.0399999991059</v>
      </c>
      <c r="BK47" s="20">
        <f>IF('M2 Allocations - TD'!BJ7="","",'M2 Allocations - TD'!BJ33)</f>
        <v>8329.3000000007451</v>
      </c>
      <c r="BL47" s="20">
        <f>IF('M2 Allocations - TD'!BK7="","",'M2 Allocations - TD'!BK33)</f>
        <v>8800.269999999553</v>
      </c>
      <c r="BM47" s="20">
        <f>IF('M2 Allocations - TD'!BL7="","",'M2 Allocations - TD'!BL33)</f>
        <v>10333.070000000298</v>
      </c>
      <c r="BN47" s="20">
        <f>IF('M2 Allocations - TD'!BM7="","",'M2 Allocations - TD'!BM33)</f>
        <v>8760.0100000016391</v>
      </c>
      <c r="BO47" s="20">
        <f>IF('M2 Allocations - TD'!BN7="","",'M2 Allocations - TD'!BN33)</f>
        <v>11044.909999996424</v>
      </c>
      <c r="BP47" s="20">
        <f>IF('M2 Allocations - TD'!BO7="","",'M2 Allocations - TD'!BO33)</f>
        <v>31907.310000002384</v>
      </c>
      <c r="BQ47" s="20">
        <f>IF('M2 Allocations - TD'!BP7="","",'M2 Allocations - TD'!BP33)</f>
        <v>40946.179999999702</v>
      </c>
      <c r="BR47" s="20">
        <f>IF('M2 Allocations - TD'!BQ7="","",'M2 Allocations - TD'!BQ33)</f>
        <v>36410.359999999404</v>
      </c>
      <c r="BS47" s="20">
        <f>IF('M2 Allocations - TD'!BR7="","",'M2 Allocations - TD'!BR33)</f>
        <v>22318.39999999851</v>
      </c>
      <c r="BT47" s="20">
        <f>IF('M2 Allocations - TD'!BS7="","",'M2 Allocations - TD'!BS33)</f>
        <v>8944.2900000028312</v>
      </c>
      <c r="BU47" s="20">
        <f>IF('M2 Allocations - TD'!BT7="","",'M2 Allocations - TD'!BT33)</f>
        <v>9312.6499999985099</v>
      </c>
      <c r="BV47" s="20">
        <f>IF('M2 Allocations - TD'!BU7="","",'M2 Allocations - TD'!BU33)</f>
        <v>11751.719999998808</v>
      </c>
      <c r="BW47" s="20">
        <f>IF('M2 Allocations - TD'!BV7="","",'M2 Allocations - TD'!BV33)</f>
        <v>12005.310000002384</v>
      </c>
      <c r="BX47" s="20">
        <f>IF('M2 Allocations - TD'!BW7="","",'M2 Allocations - TD'!BW33)</f>
        <v>10126.529999997467</v>
      </c>
      <c r="BY47" s="20">
        <f>IF('M2 Allocations - TD'!BX7="","",'M2 Allocations - TD'!BX33)</f>
        <v>0</v>
      </c>
      <c r="BZ47" s="20">
        <f>IF('M2 Allocations - TD'!BY7="","",'M2 Allocations - TD'!BY33)</f>
        <v>0</v>
      </c>
      <c r="CA47" s="20">
        <f>IF('M2 Allocations - TD'!BZ7="","",'M2 Allocations - TD'!BZ33)</f>
        <v>0</v>
      </c>
      <c r="CB47" s="20">
        <f>IF('M2 Allocations - TD'!CA7="","",'M2 Allocations - TD'!CA33)</f>
        <v>0</v>
      </c>
      <c r="CC47" s="20">
        <f>IF('M2 Allocations - TD'!CB7="","",'M2 Allocations - TD'!CB33)</f>
        <v>0</v>
      </c>
      <c r="CD47" s="20">
        <f>IF('M2 Allocations - TD'!CC7="","",'M2 Allocations - TD'!CC33)</f>
        <v>0</v>
      </c>
      <c r="CE47" s="20">
        <f>IF('M2 Allocations - TD'!CD7="","",'M2 Allocations - TD'!CD33)</f>
        <v>0</v>
      </c>
      <c r="CF47" s="20">
        <f>IF('M2 Allocations - TD'!CE7="","",'M2 Allocations - TD'!CE33)</f>
        <v>0</v>
      </c>
      <c r="CG47" s="20">
        <f>IF('M2 Allocations - TD'!CF7="","",'M2 Allocations - TD'!CF33)</f>
        <v>0</v>
      </c>
      <c r="CH47" s="20">
        <f>IF('M2 Allocations - TD'!CG7="","",'M2 Allocations - TD'!CG33)</f>
        <v>0</v>
      </c>
      <c r="CI47" s="20">
        <f>IF('M2 Allocations - TD'!CH7="","",'M2 Allocations - TD'!CH33)</f>
        <v>0</v>
      </c>
      <c r="CJ47" s="20">
        <f>IF('M2 Allocations - TD'!CI7="","",'M2 Allocations - TD'!CI33)</f>
        <v>0</v>
      </c>
      <c r="CK47" s="20">
        <f>IF('M2 Allocations - TD'!CJ7="","",'M2 Allocations - TD'!CJ33)</f>
        <v>0</v>
      </c>
      <c r="CL47" s="20">
        <f>IF('M2 Allocations - TD'!CK7="","",'M2 Allocations - TD'!CK33)</f>
        <v>0</v>
      </c>
      <c r="CM47" s="20">
        <f>IF('M2 Allocations - TD'!CL7="","",'M2 Allocations - TD'!CL33)</f>
        <v>0</v>
      </c>
      <c r="CN47" s="20">
        <f>IF('M2 Allocations - TD'!CM7="","",'M2 Allocations - TD'!CM33)</f>
        <v>0</v>
      </c>
      <c r="CO47" s="20">
        <f>IF('M2 Allocations - TD'!CN7="","",'M2 Allocations - TD'!CN33)</f>
        <v>0</v>
      </c>
      <c r="CP47" s="20">
        <f>IF('M2 Allocations - TD'!CO7="","",'M2 Allocations - TD'!CO33)</f>
        <v>0</v>
      </c>
      <c r="CQ47" s="20">
        <f>IF('M2 Allocations - TD'!CP7="","",'M2 Allocations - TD'!CP33)</f>
        <v>0</v>
      </c>
      <c r="CR47" s="20">
        <f>IF('M2 Allocations - TD'!CQ7="","",'M2 Allocations - TD'!CQ33)</f>
        <v>0</v>
      </c>
      <c r="CS47" s="20">
        <f>IF('M2 Allocations - TD'!CR7="","",'M2 Allocations - TD'!CR33)</f>
        <v>0</v>
      </c>
      <c r="CT47" s="20">
        <f>IF('M2 Allocations - TD'!CS7="","",'M2 Allocations - TD'!CS33)</f>
        <v>0</v>
      </c>
      <c r="CU47" s="20">
        <f>IF('M2 Allocations - TD'!CT7="","",'M2 Allocations - TD'!CT33)</f>
        <v>0</v>
      </c>
    </row>
    <row r="48" spans="1:99" s="4" customFormat="1" ht="15" hidden="1" customHeight="1" outlineLevel="1" x14ac:dyDescent="0.35">
      <c r="A48" s="295"/>
      <c r="B48" s="16" t="s">
        <v>26</v>
      </c>
      <c r="C48" s="24"/>
      <c r="D48" s="24"/>
      <c r="E48" s="22">
        <v>0</v>
      </c>
      <c r="F48" s="22">
        <v>0</v>
      </c>
      <c r="G48" s="22">
        <v>2460.2199999999998</v>
      </c>
      <c r="H48" s="22">
        <v>40611.43</v>
      </c>
      <c r="I48" s="22">
        <v>46133.34</v>
      </c>
      <c r="J48" s="22">
        <v>46227.56</v>
      </c>
      <c r="K48" s="22">
        <v>46423.360000000001</v>
      </c>
      <c r="L48" s="22">
        <v>40852.160000000003</v>
      </c>
      <c r="M48" s="22">
        <v>37249.85</v>
      </c>
      <c r="N48" s="22">
        <v>38727.83</v>
      </c>
      <c r="O48" s="22">
        <v>63808.639999999999</v>
      </c>
      <c r="P48" s="22">
        <f>327646.54+7266.21</f>
        <v>334912.75</v>
      </c>
      <c r="Q48" s="22">
        <f>311663.08+196.57</f>
        <v>311859.65000000002</v>
      </c>
      <c r="R48" s="20">
        <f>IF('M2 Allocations - TD'!Q52="","",'M2 Allocations - TD'!Q70)</f>
        <v>297067.25661237026</v>
      </c>
      <c r="S48" s="20">
        <f>IF('M2 Allocations - TD'!R52="","",'M2 Allocations - TD'!R70)</f>
        <v>306858.76704664429</v>
      </c>
      <c r="T48" s="20">
        <f>IF('M2 Allocations - TD'!S52="","",'M2 Allocations - TD'!S70)</f>
        <v>347930.82125503593</v>
      </c>
      <c r="U48" s="20">
        <f>IF('M2 Allocations - TD'!T52="","",'M2 Allocations - TD'!T70)</f>
        <v>377801.41744412482</v>
      </c>
      <c r="V48" s="20">
        <f>IF('M2 Allocations - TD'!U52="","",'M2 Allocations - TD'!U70)</f>
        <v>384838.10767902108</v>
      </c>
      <c r="W48" s="20">
        <f>IF('M2 Allocations - TD'!V52="","",'M2 Allocations - TD'!V70)</f>
        <v>363327.24534638016</v>
      </c>
      <c r="X48" s="20">
        <f>IF('M2 Allocations - TD'!W52="","",'M2 Allocations - TD'!W70)</f>
        <v>349151.70540680212</v>
      </c>
      <c r="Y48" s="20">
        <f>IF('M2 Allocations - TD'!X52="","",'M2 Allocations - TD'!X70)</f>
        <v>312029.63241835893</v>
      </c>
      <c r="Z48" s="20">
        <f>IF('M2 Allocations - TD'!Y52="","",'M2 Allocations - TD'!Y70)</f>
        <v>324930.27431740938</v>
      </c>
      <c r="AA48" s="20">
        <f>IF('M2 Allocations - TD'!Z52="","",'M2 Allocations - TD'!Z70)</f>
        <v>389339.8693849984</v>
      </c>
      <c r="AB48" s="20">
        <f>IF('M2 Allocations - TD'!AA52="","",'M2 Allocations - TD'!AA70)</f>
        <v>556625.86</v>
      </c>
      <c r="AC48" s="20">
        <f>IF('M2 Allocations - TD'!AB52="","",'M2 Allocations - TD'!AB70)</f>
        <v>519727.84944586566</v>
      </c>
      <c r="AD48" s="20">
        <f>IF('M2 Allocations - TD'!AC52="","",'M2 Allocations - TD'!AC70)</f>
        <v>524323.57207482436</v>
      </c>
      <c r="AE48" s="20">
        <f>IF('M2 Allocations - TD'!AD52="","",'M2 Allocations - TD'!AD70)</f>
        <v>522730.47478252684</v>
      </c>
      <c r="AF48" s="20">
        <f>IF('M2 Allocations - TD'!AE52="","",'M2 Allocations - TD'!AE70)</f>
        <v>623624.8655420111</v>
      </c>
      <c r="AG48" s="20">
        <f>IF('M2 Allocations - TD'!AF52="","",'M2 Allocations - TD'!AF70)</f>
        <v>661725.50586693978</v>
      </c>
      <c r="AH48" s="20">
        <f>IF('M2 Allocations - TD'!AG52="","",'M2 Allocations - TD'!AG70)</f>
        <v>626757.48216571088</v>
      </c>
      <c r="AI48" s="20">
        <f>IF('M2 Allocations - TD'!AH52="","",'M2 Allocations - TD'!AH70)</f>
        <v>638007.84216665139</v>
      </c>
      <c r="AJ48" s="20">
        <f>IF('M2 Allocations - TD'!AI52="","",'M2 Allocations - TD'!AI70)</f>
        <v>579490.47761485481</v>
      </c>
      <c r="AK48" s="20">
        <f>IF('M2 Allocations - TD'!AJ52="","",'M2 Allocations - TD'!AJ70)</f>
        <v>513641.84877388977</v>
      </c>
      <c r="AL48" s="20">
        <f>IF('M2 Allocations - TD'!AK52="","",'M2 Allocations - TD'!AK70)</f>
        <v>557457.11362508603</v>
      </c>
      <c r="AM48" s="20">
        <f>IF('M2 Allocations - TD'!AL52="","",'M2 Allocations - TD'!AL70)</f>
        <v>608808.22123092401</v>
      </c>
      <c r="AN48" s="20">
        <f>IF('M2 Allocations - TD'!AM52="","",'M2 Allocations - TD'!AM70)</f>
        <v>1107018.1450648431</v>
      </c>
      <c r="AO48" s="20">
        <f>IF('M2 Allocations - TD'!AN52="","",'M2 Allocations - TD'!AN70)</f>
        <v>1050923.1514029966</v>
      </c>
      <c r="AP48" s="20">
        <f>IF('M2 Allocations - TD'!AO52="","",'M2 Allocations - TD'!AO70)</f>
        <v>946394.49189445085</v>
      </c>
      <c r="AQ48" s="20">
        <f>IF('M2 Allocations - TD'!AP52="","",'M2 Allocations - TD'!AP70)</f>
        <v>980269.66694109701</v>
      </c>
      <c r="AR48" s="20">
        <f>IF('M2 Allocations - TD'!AQ52="","",'M2 Allocations - TD'!AQ70)</f>
        <v>1091122.5576982794</v>
      </c>
      <c r="AS48" s="20">
        <f>IF('M2 Allocations - TD'!AR52="","",'M2 Allocations - TD'!AR70)</f>
        <v>1173345.4165751</v>
      </c>
      <c r="AT48" s="20">
        <f>IF('M2 Allocations - TD'!AS52="","",'M2 Allocations - TD'!AS70)</f>
        <v>1200301.9882335844</v>
      </c>
      <c r="AU48" s="20">
        <f>IF('M2 Allocations - TD'!AT52="","",'M2 Allocations - TD'!AT70)</f>
        <v>1212308.9277305761</v>
      </c>
      <c r="AV48" s="20">
        <f>IF('M2 Allocations - TD'!AU52="","",'M2 Allocations - TD'!AU70)</f>
        <v>1113467.1918631792</v>
      </c>
      <c r="AW48" s="20">
        <f>IF('M2 Allocations - TD'!AV52="","",'M2 Allocations - TD'!AV70)</f>
        <v>981117.22422696999</v>
      </c>
      <c r="AX48" s="20">
        <f>IF('M2 Allocations - TD'!AW52="","",'M2 Allocations - TD'!AW70)</f>
        <v>1062930.0447087046</v>
      </c>
      <c r="AY48" s="20">
        <f>IF('M2 Allocations - TD'!AX52="","",'M2 Allocations - TD'!AX70)</f>
        <v>1099098.7608177634</v>
      </c>
      <c r="AZ48" s="20">
        <f>IF('M2 Allocations - TD'!AY52="","",'M2 Allocations - TD'!AY70)</f>
        <v>764411.39598139795</v>
      </c>
      <c r="BA48" s="20">
        <f>IF('M2 Allocations - TD'!AZ52="","",'M2 Allocations - TD'!AZ70)</f>
        <v>318623.73714683513</v>
      </c>
      <c r="BB48" s="20">
        <f>IF('M2 Allocations - TD'!BA52="","",'M2 Allocations - TD'!BA70)</f>
        <v>268197.12227908301</v>
      </c>
      <c r="BC48" s="20">
        <f>IF('M2 Allocations - TD'!BB52="","",'M2 Allocations - TD'!BB70)</f>
        <v>249075.16076692482</v>
      </c>
      <c r="BD48" s="20">
        <f>IF('M2 Allocations - TD'!BC52="","",'M2 Allocations - TD'!BC70)</f>
        <v>296551.86746010336</v>
      </c>
      <c r="BE48" s="20">
        <f>IF('M2 Allocations - TD'!BD52="","",'M2 Allocations - TD'!BD70)</f>
        <v>346227.00320999854</v>
      </c>
      <c r="BF48" s="20">
        <f>IF('M2 Allocations - TD'!BE52="","",'M2 Allocations - TD'!BE70)</f>
        <v>344571.98080537363</v>
      </c>
      <c r="BG48" s="20">
        <f>IF('M2 Allocations - TD'!BF52="","",'M2 Allocations - TD'!BF70)</f>
        <v>343418.65957003599</v>
      </c>
      <c r="BH48" s="20">
        <f>IF('M2 Allocations - TD'!BG52="","",'M2 Allocations - TD'!BG70)</f>
        <v>293034.59528354992</v>
      </c>
      <c r="BI48" s="20">
        <f>IF('M2 Allocations - TD'!BH52="","",'M2 Allocations - TD'!BH70)</f>
        <v>285307.32387214003</v>
      </c>
      <c r="BJ48" s="20">
        <f>IF('M2 Allocations - TD'!BI52="","",'M2 Allocations - TD'!BI70)</f>
        <v>306551.46210147406</v>
      </c>
      <c r="BK48" s="20">
        <f>IF('M2 Allocations - TD'!BJ52="","",'M2 Allocations - TD'!BJ70)</f>
        <v>328395.30665898882</v>
      </c>
      <c r="BL48" s="20">
        <f>IF('M2 Allocations - TD'!BK52="","",'M2 Allocations - TD'!BK70)</f>
        <v>129041.97894362173</v>
      </c>
      <c r="BM48" s="20">
        <f>IF('M2 Allocations - TD'!BL52="","",'M2 Allocations - TD'!BL70)</f>
        <v>-116248.37555983226</v>
      </c>
      <c r="BN48" s="20">
        <f>IF('M2 Allocations - TD'!BM52="","",'M2 Allocations - TD'!BM70)</f>
        <v>-104613.38045356744</v>
      </c>
      <c r="BO48" s="20">
        <f>IF('M2 Allocations - TD'!BN52="","",'M2 Allocations - TD'!BN70)</f>
        <v>-106758.31587632833</v>
      </c>
      <c r="BP48" s="20">
        <f>IF('M2 Allocations - TD'!BO52="","",'M2 Allocations - TD'!BO70)</f>
        <v>-119183.41184852651</v>
      </c>
      <c r="BQ48" s="20">
        <f>IF('M2 Allocations - TD'!BP52="","",'M2 Allocations - TD'!BP70)</f>
        <v>-138596.39079341319</v>
      </c>
      <c r="BR48" s="20">
        <f>IF('M2 Allocations - TD'!BQ52="","",'M2 Allocations - TD'!BQ70)</f>
        <v>-137793.28735156739</v>
      </c>
      <c r="BS48" s="20">
        <f>IF('M2 Allocations - TD'!BR52="","",'M2 Allocations - TD'!BR70)</f>
        <v>-140452.99254978076</v>
      </c>
      <c r="BT48" s="20">
        <f>IF('M2 Allocations - TD'!BS52="","",'M2 Allocations - TD'!BS70)</f>
        <v>-123659.88827741763</v>
      </c>
      <c r="BU48" s="20">
        <f>IF('M2 Allocations - TD'!BT52="","",'M2 Allocations - TD'!BT70)</f>
        <v>-109523.64277962862</v>
      </c>
      <c r="BV48" s="20">
        <f>IF('M2 Allocations - TD'!BU52="","",'M2 Allocations - TD'!BU70)</f>
        <v>-119570.42005814648</v>
      </c>
      <c r="BW48" s="20">
        <f>IF('M2 Allocations - TD'!BV52="","",'M2 Allocations - TD'!BV70)</f>
        <v>-127589.09913487616</v>
      </c>
      <c r="BX48" s="20">
        <f>IF('M2 Allocations - TD'!BW52="","",'M2 Allocations - TD'!BW70)</f>
        <v>-90032.567630487814</v>
      </c>
      <c r="BY48" s="20">
        <f>IF('M2 Allocations - TD'!BX52="","",'M2 Allocations - TD'!BX70)</f>
        <v>-29850.366428408659</v>
      </c>
      <c r="BZ48" s="20">
        <f>IF('M2 Allocations - TD'!BY52="","",'M2 Allocations - TD'!BY70)</f>
        <v>-27677.731835119779</v>
      </c>
      <c r="CA48" s="20">
        <f>IF('M2 Allocations - TD'!BZ52="","",'M2 Allocations - TD'!BZ70)</f>
        <v>-28367.49080792554</v>
      </c>
      <c r="CB48" s="20">
        <f>IF('M2 Allocations - TD'!CA52="","",'M2 Allocations - TD'!CA70)</f>
        <v>-31712.240190643679</v>
      </c>
      <c r="CC48" s="20">
        <f>IF('M2 Allocations - TD'!CB52="","",'M2 Allocations - TD'!CB70)</f>
        <v>-36266.351017925241</v>
      </c>
      <c r="CD48" s="20">
        <f>IF('M2 Allocations - TD'!CC52="","",'M2 Allocations - TD'!CC70)</f>
        <v>-35382.790747787352</v>
      </c>
      <c r="CE48" s="20">
        <f>IF('M2 Allocations - TD'!CD52="","",'M2 Allocations - TD'!CD70)</f>
        <v>-33777.721147319782</v>
      </c>
      <c r="CF48" s="20">
        <f>IF('M2 Allocations - TD'!CE52="","",'M2 Allocations - TD'!CE70)</f>
        <v>-29077.038685363284</v>
      </c>
      <c r="CG48" s="20">
        <f>IF('M2 Allocations - TD'!CF52="","",'M2 Allocations - TD'!CF70)</f>
        <v>-27430.212146395083</v>
      </c>
      <c r="CH48" s="20">
        <f>IF('M2 Allocations - TD'!CG52="","",'M2 Allocations - TD'!CG70)</f>
        <v>-31670.308000207406</v>
      </c>
      <c r="CI48" s="20">
        <f>IF('M2 Allocations - TD'!CH52="","",'M2 Allocations - TD'!CH70)</f>
        <v>-32611.705138027606</v>
      </c>
      <c r="CJ48" s="20">
        <f>IF('M2 Allocations - TD'!CI52="","",'M2 Allocations - TD'!CI70)</f>
        <v>-16555.481068991823</v>
      </c>
      <c r="CK48" s="20">
        <f>IF('M2 Allocations - TD'!CJ52="","",'M2 Allocations - TD'!CJ70)</f>
        <v>3230.8735523843402</v>
      </c>
      <c r="CL48" s="20">
        <f>IF('M2 Allocations - TD'!CK52="","",'M2 Allocations - TD'!CK70)</f>
        <v>3208.5524523745844</v>
      </c>
      <c r="CM48" s="20">
        <f>IF('M2 Allocations - TD'!CL52="","",'M2 Allocations - TD'!CL70)</f>
        <v>3375.7446884847041</v>
      </c>
      <c r="CN48" s="20">
        <f>IF('M2 Allocations - TD'!CM52="","",'M2 Allocations - TD'!CM70)</f>
        <v>3694.4912721367164</v>
      </c>
      <c r="CO48" s="20">
        <f>IF('M2 Allocations - TD'!CN52="","",'M2 Allocations - TD'!CN70)</f>
        <v>3963.639586443905</v>
      </c>
      <c r="CP48" s="20">
        <f>IF('M2 Allocations - TD'!CO52="","",'M2 Allocations - TD'!CO70)</f>
        <v>4066.5380749420337</v>
      </c>
      <c r="CQ48" s="20">
        <f>IF('M2 Allocations - TD'!CP52="","",'M2 Allocations - TD'!CP70)</f>
        <v>4093.357048655002</v>
      </c>
      <c r="CR48" s="20">
        <f>IF('M2 Allocations - TD'!CQ52="","",'M2 Allocations - TD'!CQ70)</f>
        <v>3620.366461183919</v>
      </c>
      <c r="CS48" s="20">
        <f>IF('M2 Allocations - TD'!CR52="","",'M2 Allocations - TD'!CR70)</f>
        <v>3387.0675996324594</v>
      </c>
      <c r="CT48" s="20">
        <f>IF('M2 Allocations - TD'!CS52="","",'M2 Allocations - TD'!CS70)</f>
        <v>3619.4564718395895</v>
      </c>
      <c r="CU48" s="20">
        <f>IF('M2 Allocations - TD'!CT52="","",'M2 Allocations - TD'!CT70)</f>
        <v>4016.1861078813718</v>
      </c>
    </row>
    <row r="49" spans="1:99" s="4" customFormat="1" ht="15" hidden="1" customHeight="1" outlineLevel="1" x14ac:dyDescent="0.35">
      <c r="A49" s="295"/>
      <c r="B49" s="16" t="s">
        <v>51</v>
      </c>
      <c r="C49" s="24"/>
      <c r="D49" s="24"/>
      <c r="E49" s="22"/>
      <c r="F49" s="22"/>
      <c r="G49" s="22"/>
      <c r="H49" s="22"/>
      <c r="I49" s="22"/>
      <c r="J49" s="22"/>
      <c r="K49" s="22"/>
      <c r="L49" s="22"/>
      <c r="M49" s="22"/>
      <c r="N49" s="22"/>
      <c r="O49" s="22">
        <f>+'M2 TD amort'!C22</f>
        <v>0</v>
      </c>
      <c r="P49" s="22">
        <f>IF(P48="","",-'M2 TD amort'!D22)</f>
        <v>-71898.7</v>
      </c>
      <c r="Q49" s="22">
        <f>IF(Q48="","",-'M2 TD amort'!E22)</f>
        <v>-66949.69</v>
      </c>
      <c r="R49" s="20">
        <f>IF(R48="","",-'M2 TD amort'!F22)</f>
        <v>-65784.28</v>
      </c>
      <c r="S49" s="20">
        <f>IF(S48="","",-'M2 TD amort'!G22)</f>
        <v>-67640.86</v>
      </c>
      <c r="T49" s="20">
        <f>IF(T48="","",-'M2 TD amort'!H22)</f>
        <v>-76671.17</v>
      </c>
      <c r="U49" s="20">
        <f>IF(U48="","",-'M2 TD amort'!I22)</f>
        <v>-83492.649999999994</v>
      </c>
      <c r="V49" s="20">
        <f>IF(V48="","",-'M2 TD amort'!J22)</f>
        <v>-85057.91</v>
      </c>
      <c r="W49" s="20">
        <f>IF(W48="","",-'M2 TD amort'!K22)</f>
        <v>-80184.02</v>
      </c>
      <c r="X49" s="20">
        <f>IF(X48="","",-'M2 TD amort'!L22)</f>
        <v>-76993.81</v>
      </c>
      <c r="Y49" s="20">
        <f>IF(Y48="","",-'M2 TD amort'!M22)</f>
        <v>-69111.11</v>
      </c>
      <c r="Z49" s="20">
        <f>IF(Z48="","",-'M2 TD amort'!N22)</f>
        <v>-72387.59</v>
      </c>
      <c r="AA49" s="20">
        <f>IF(AA48="","",-'M2 TD amort'!O22)</f>
        <v>-87183.75</v>
      </c>
      <c r="AB49" s="20">
        <f>IF(AB48="","",-'M2 TD amort'!P22)</f>
        <v>41861.18</v>
      </c>
      <c r="AC49" s="20">
        <f>IF(AC48="","",-'M2 TD amort'!Q22)</f>
        <v>39019.480000000003</v>
      </c>
      <c r="AD49" s="20">
        <f>IF(AD48="","",-'M2 TD amort'!R22)</f>
        <v>39371.050000000003</v>
      </c>
      <c r="AE49" s="20">
        <f>IF(AE48="","",-'M2 TD amort'!S22)</f>
        <v>39036.15</v>
      </c>
      <c r="AF49" s="20">
        <f>IF(AF48="","",-'M2 TD amort'!T22)</f>
        <v>46545.52</v>
      </c>
      <c r="AG49" s="20">
        <f>IF(AG48="","",-'M2 TD amort'!U22)</f>
        <v>49426.59</v>
      </c>
      <c r="AH49" s="20">
        <f>IF(AH48="","",-'M2 TD amort'!V22)</f>
        <v>46776.66</v>
      </c>
      <c r="AI49" s="20">
        <f>IF(AI48="","",-'M2 TD amort'!W22)</f>
        <v>47596.959999999999</v>
      </c>
      <c r="AJ49" s="20">
        <f>IF(AJ48="","",-'M2 TD amort'!X22)</f>
        <v>43247.34</v>
      </c>
      <c r="AK49" s="20">
        <f>IF(AK48="","",-'M2 TD amort'!Y22)</f>
        <v>38462.730000000003</v>
      </c>
      <c r="AL49" s="20">
        <f>IF(AL48="","",-'M2 TD amort'!Z22)</f>
        <v>41888.32</v>
      </c>
      <c r="AM49" s="20">
        <f>IF(AM48="","",-'M2 TD amort'!AA22)</f>
        <v>45748.6</v>
      </c>
      <c r="AN49" s="20">
        <f>IF(AN48="","",-'M2 TD amort'!AB22)</f>
        <v>-39945.300000000003</v>
      </c>
      <c r="AO49" s="20">
        <f>IF(AO48="","",-'M2 TD amort'!AC22)</f>
        <v>-37916.46</v>
      </c>
      <c r="AP49" s="20">
        <f>IF(AP48="","",-'M2 TD amort'!AD22)</f>
        <v>-34074.25</v>
      </c>
      <c r="AQ49" s="20">
        <f>IF(AQ48="","",-'M2 TD amort'!AE22)</f>
        <v>-35217.550000000003</v>
      </c>
      <c r="AR49" s="20">
        <f>IF(AR48="","",-'M2 TD amort'!AF22)</f>
        <v>-39184.730000000003</v>
      </c>
      <c r="AS49" s="20">
        <f>IF(AS48="","",-'M2 TD amort'!AG22)</f>
        <v>-42158.83</v>
      </c>
      <c r="AT49" s="20">
        <f>IF(AT48="","",-'M2 TD amort'!AH22)</f>
        <v>-43134.47</v>
      </c>
      <c r="AU49" s="20">
        <f>IF(AU48="","",-'M2 TD amort'!AI22)</f>
        <v>-43546.37</v>
      </c>
      <c r="AV49" s="20">
        <f>IF(AV48="","",-'M2 TD amort'!AJ22)</f>
        <v>-39985.99</v>
      </c>
      <c r="AW49" s="20">
        <f>IF(AW48="","",-'M2 TD amort'!AK22)</f>
        <v>-35295.050000000003</v>
      </c>
      <c r="AX49" s="20">
        <f>IF(AX48="","",-'M2 TD amort'!AL22)</f>
        <v>-38295.129999999997</v>
      </c>
      <c r="AY49" s="20">
        <f>IF(AY48="","",-'M2 TD amort'!AM22)</f>
        <v>-39611.050000000003</v>
      </c>
      <c r="AZ49" s="20">
        <f>IF(AZ48="","",-'M2 TD amort'!AN22)</f>
        <v>-135781.93</v>
      </c>
      <c r="BA49" s="20">
        <f>IF(BA48="","",-'M2 TD amort'!AO22)</f>
        <v>-56245.39</v>
      </c>
      <c r="BB49" s="20">
        <f>IF(BB48="","",-'M2 TD amort'!AP22)</f>
        <v>-47316.91</v>
      </c>
      <c r="BC49" s="20">
        <f>IF(BC48="","",-'M2 TD amort'!AQ22)</f>
        <v>-43930.2</v>
      </c>
      <c r="BD49" s="20">
        <f>IF(BD48="","",-'M2 TD amort'!AR22)</f>
        <v>-52291.199999999997</v>
      </c>
      <c r="BE49" s="20">
        <f>IF(BE48="","",-'M2 TD amort'!AS22)</f>
        <v>-61054.93</v>
      </c>
      <c r="BF49" s="20">
        <f>IF(BF48="","",-'M2 TD amort'!AT22)</f>
        <v>-60755.16</v>
      </c>
      <c r="BG49" s="20">
        <f>IF(BG48="","",-'M2 TD amort'!AU22)</f>
        <v>-60542.36</v>
      </c>
      <c r="BH49" s="20">
        <f>IF(BH48="","",-'M2 TD amort'!AV22)</f>
        <v>-51660.87</v>
      </c>
      <c r="BI49" s="20">
        <f>IF(BI48="","",-'M2 TD amort'!AW22)</f>
        <v>-50317.66</v>
      </c>
      <c r="BJ49" s="20">
        <f>IF(BJ48="","",-'M2 TD amort'!AX22)</f>
        <v>-54088.43</v>
      </c>
      <c r="BK49" s="20">
        <f>IF(BK48="","",-'M2 TD amort'!AY22)</f>
        <v>-57968.47</v>
      </c>
      <c r="BL49" s="20">
        <f>IF(BL48="","",-'M2 TD amort'!AZ22)</f>
        <v>-155185.29</v>
      </c>
      <c r="BM49" s="20">
        <f>IF(BM48="","",-'M2 TD amort'!BA22)</f>
        <v>144151.20000000001</v>
      </c>
      <c r="BN49" s="20">
        <f>IF(BN48="","",-'M2 TD amort'!BB22)</f>
        <v>129139.73</v>
      </c>
      <c r="BO49" s="20">
        <f>IF(BO48="","",-'M2 TD amort'!BC22)</f>
        <v>131496.01999999999</v>
      </c>
      <c r="BP49" s="20">
        <f>IF(BP48="","",-'M2 TD amort'!BD22)</f>
        <v>146683.67000000001</v>
      </c>
      <c r="BQ49" s="20">
        <f>IF(BQ48="","",-'M2 TD amort'!BE22)</f>
        <v>170727.8</v>
      </c>
      <c r="BR49" s="20">
        <f>IF(BR48="","",-'M2 TD amort'!BF22)</f>
        <v>169792.6</v>
      </c>
      <c r="BS49" s="20">
        <f>IF(BS48="","",-'M2 TD amort'!BG22)</f>
        <v>173041.64</v>
      </c>
      <c r="BT49" s="20">
        <f>IF(BT48="","",-'M2 TD amort'!BH22)</f>
        <v>152089.43</v>
      </c>
      <c r="BU49" s="20">
        <f>IF(BU48="","",-'M2 TD amort'!BI22)</f>
        <v>135146.15</v>
      </c>
      <c r="BV49" s="20">
        <f>IF(BV48="","",-'M2 TD amort'!BJ22)</f>
        <v>147703.67000000001</v>
      </c>
      <c r="BW49" s="20">
        <f>IF(BW48="","",-'M2 TD amort'!BK22)</f>
        <v>157813.82</v>
      </c>
      <c r="BX49" s="20">
        <f>IF(BX48="","",-'M2 TD amort'!BL22)</f>
        <v>94457.73</v>
      </c>
      <c r="BY49" s="20">
        <f>IF(BY48="","",-'M2 TD amort'!BM22)</f>
        <v>30773.360000000001</v>
      </c>
      <c r="BZ49" s="20">
        <f>IF(BZ48="","",-'M2 TD amort'!BN22)</f>
        <v>28505.86</v>
      </c>
      <c r="CA49" s="20">
        <f>IF(CA48="","",-'M2 TD amort'!BO22)</f>
        <v>29204.54</v>
      </c>
      <c r="CB49" s="20">
        <f>IF(CB48="","",-'M2 TD amort'!BP22)</f>
        <v>32647.23</v>
      </c>
      <c r="CC49" s="20">
        <f>IF(CC48="","",-'M2 TD amort'!BQ22)</f>
        <v>37342.58</v>
      </c>
      <c r="CD49" s="20">
        <f>IF(CD48="","",-'M2 TD amort'!BR22)</f>
        <v>36437.18</v>
      </c>
      <c r="CE49" s="20">
        <f>IF(CE48="","",-'M2 TD amort'!BS22)</f>
        <v>34781.339999999997</v>
      </c>
      <c r="CF49" s="20">
        <f>IF(CF48="","",-'M2 TD amort'!BT22)</f>
        <v>29940.03</v>
      </c>
      <c r="CG49" s="20">
        <f>IF(CG48="","",-'M2 TD amort'!BU22)</f>
        <v>28253.98</v>
      </c>
      <c r="CH49" s="20">
        <f>IF(CH48="","",-'M2 TD amort'!BV22)</f>
        <v>32650.48</v>
      </c>
      <c r="CI49" s="20">
        <f>IF(CI48="","",-'M2 TD amort'!BW22)</f>
        <v>33625.660000000003</v>
      </c>
      <c r="CJ49" s="20">
        <f>IF(CJ48="","",-'M2 TD amort'!BX22)</f>
        <v>16554.349999999999</v>
      </c>
      <c r="CK49" s="20">
        <f>IF(CK48="","",-'M2 TD amort'!BY22)</f>
        <v>-3415.88</v>
      </c>
      <c r="CL49" s="20">
        <f>IF(CL48="","",-'M2 TD amort'!BZ22)</f>
        <v>-3374.69</v>
      </c>
      <c r="CM49" s="20">
        <f>IF(CM48="","",-'M2 TD amort'!CA22)</f>
        <v>-3515.72</v>
      </c>
      <c r="CN49" s="20">
        <f>IF(CN48="","",-'M2 TD amort'!CB22)</f>
        <v>-3850.08</v>
      </c>
      <c r="CO49" s="20">
        <f>IF(CO48="","",-'M2 TD amort'!CC22)</f>
        <v>-4146.47</v>
      </c>
      <c r="CP49" s="20">
        <f>IF(CP48="","",-'M2 TD amort'!CD22)</f>
        <v>-4258.54</v>
      </c>
      <c r="CQ49" s="20">
        <f>IF(CQ48="","",-'M2 TD amort'!CE22)</f>
        <v>-4280.59</v>
      </c>
      <c r="CR49" s="20">
        <f>IF(CR48="","",-'M2 TD amort'!CF22)</f>
        <v>-3781.21</v>
      </c>
      <c r="CS49" s="20">
        <f>IF(CS48="","",-'M2 TD amort'!CG22)</f>
        <v>-3536.93</v>
      </c>
      <c r="CT49" s="20">
        <f>IF(CT48="","",-'M2 TD amort'!CH22)</f>
        <v>-3801.92</v>
      </c>
      <c r="CU49" s="20">
        <f>IF(CU48="","",-'M2 TD amort'!CI22)</f>
        <v>-4236.54</v>
      </c>
    </row>
    <row r="50" spans="1:99" s="4" customFormat="1" ht="15" hidden="1" customHeight="1" outlineLevel="1" x14ac:dyDescent="0.35">
      <c r="A50" s="295"/>
      <c r="B50" s="16" t="s">
        <v>52</v>
      </c>
      <c r="C50" s="24"/>
      <c r="D50" s="24"/>
      <c r="E50" s="7"/>
      <c r="F50" s="7"/>
      <c r="G50" s="7"/>
      <c r="H50" s="7"/>
      <c r="I50" s="7"/>
      <c r="J50" s="7"/>
      <c r="K50" s="7"/>
      <c r="L50" s="7"/>
      <c r="M50" s="7"/>
      <c r="N50" s="7"/>
      <c r="O50" s="7">
        <f>IF(OR(O49="",O48=""),"",O48+O49)</f>
        <v>63808.639999999999</v>
      </c>
      <c r="P50" s="7">
        <f t="shared" ref="P50" si="551">IF(OR(P49="",P48=""),"",P48+P49)</f>
        <v>263014.05</v>
      </c>
      <c r="Q50" s="7">
        <f t="shared" ref="Q50" si="552">IF(OR(Q49="",Q48=""),"",Q48+Q49)</f>
        <v>244909.96000000002</v>
      </c>
      <c r="R50" s="7">
        <f t="shared" ref="R50" si="553">IF(OR(R49="",R48=""),"",R48+R49)</f>
        <v>231282.97661237026</v>
      </c>
      <c r="S50" s="7">
        <f t="shared" ref="S50" si="554">IF(OR(S49="",S48=""),"",S48+S49)</f>
        <v>239217.90704664431</v>
      </c>
      <c r="T50" s="7">
        <f t="shared" ref="T50" si="555">IF(OR(T49="",T48=""),"",T48+T49)</f>
        <v>271259.65125503595</v>
      </c>
      <c r="U50" s="7">
        <f t="shared" ref="U50" si="556">IF(OR(U49="",U48=""),"",U48+U49)</f>
        <v>294308.76744412479</v>
      </c>
      <c r="V50" s="7">
        <f t="shared" ref="V50" si="557">IF(OR(V49="",V48=""),"",V48+V49)</f>
        <v>299780.19767902105</v>
      </c>
      <c r="W50" s="7">
        <f t="shared" ref="W50" si="558">IF(OR(W49="",W48=""),"",W48+W49)</f>
        <v>283143.22534638015</v>
      </c>
      <c r="X50" s="7">
        <f t="shared" ref="X50" si="559">IF(OR(X49="",X48=""),"",X48+X49)</f>
        <v>272157.89540680213</v>
      </c>
      <c r="Y50" s="7">
        <f t="shared" ref="Y50" si="560">IF(OR(Y49="",Y48=""),"",Y48+Y49)</f>
        <v>242918.52241835895</v>
      </c>
      <c r="Z50" s="7">
        <f t="shared" ref="Z50" si="561">IF(OR(Z49="",Z48=""),"",Z48+Z49)</f>
        <v>252542.68431740938</v>
      </c>
      <c r="AA50" s="7">
        <f t="shared" ref="AA50" si="562">IF(OR(AA49="",AA48=""),"",AA48+AA49)</f>
        <v>302156.1193849984</v>
      </c>
      <c r="AB50" s="7">
        <f t="shared" ref="AB50" si="563">IF(OR(AB49="",AB48=""),"",AB48+AB49)</f>
        <v>598487.04000000004</v>
      </c>
      <c r="AC50" s="7">
        <f t="shared" ref="AC50" si="564">IF(OR(AC49="",AC48=""),"",AC48+AC49)</f>
        <v>558747.3294458657</v>
      </c>
      <c r="AD50" s="7">
        <f t="shared" ref="AD50" si="565">IF(OR(AD49="",AD48=""),"",AD48+AD49)</f>
        <v>563694.62207482441</v>
      </c>
      <c r="AE50" s="7">
        <f t="shared" ref="AE50" si="566">IF(OR(AE49="",AE48=""),"",AE48+AE49)</f>
        <v>561766.62478252687</v>
      </c>
      <c r="AF50" s="7">
        <f t="shared" ref="AF50" si="567">IF(OR(AF49="",AF48=""),"",AF48+AF49)</f>
        <v>670170.38554201112</v>
      </c>
      <c r="AG50" s="7">
        <f t="shared" ref="AG50" si="568">IF(OR(AG49="",AG48=""),"",AG48+AG49)</f>
        <v>711152.09586693975</v>
      </c>
      <c r="AH50" s="7">
        <f t="shared" ref="AH50" si="569">IF(OR(AH49="",AH48=""),"",AH48+AH49)</f>
        <v>673534.14216571092</v>
      </c>
      <c r="AI50" s="7">
        <f t="shared" ref="AI50" si="570">IF(OR(AI49="",AI48=""),"",AI48+AI49)</f>
        <v>685604.80216665135</v>
      </c>
      <c r="AJ50" s="7">
        <f t="shared" ref="AJ50" si="571">IF(OR(AJ49="",AJ48=""),"",AJ48+AJ49)</f>
        <v>622737.81761485478</v>
      </c>
      <c r="AK50" s="7">
        <f t="shared" ref="AK50" si="572">IF(OR(AK49="",AK48=""),"",AK48+AK49)</f>
        <v>552104.57877388981</v>
      </c>
      <c r="AL50" s="7">
        <f t="shared" ref="AL50" si="573">IF(OR(AL49="",AL48=""),"",AL48+AL49)</f>
        <v>599345.43362508598</v>
      </c>
      <c r="AM50" s="7">
        <f t="shared" ref="AM50:BJ50" si="574">IF(OR(AM49="",AM48=""),"",AM48+AM49)</f>
        <v>654556.82123092399</v>
      </c>
      <c r="AN50" s="7">
        <f t="shared" si="574"/>
        <v>1067072.8450648431</v>
      </c>
      <c r="AO50" s="7">
        <f t="shared" si="574"/>
        <v>1013006.6914029967</v>
      </c>
      <c r="AP50" s="7">
        <f t="shared" si="574"/>
        <v>912320.24189445085</v>
      </c>
      <c r="AQ50" s="7">
        <f t="shared" si="574"/>
        <v>945052.11694109696</v>
      </c>
      <c r="AR50" s="7">
        <f t="shared" si="574"/>
        <v>1051937.8276982794</v>
      </c>
      <c r="AS50" s="7">
        <f t="shared" si="574"/>
        <v>1131186.5865751</v>
      </c>
      <c r="AT50" s="7">
        <f t="shared" si="574"/>
        <v>1157167.5182335845</v>
      </c>
      <c r="AU50" s="7">
        <f t="shared" si="574"/>
        <v>1168762.557730576</v>
      </c>
      <c r="AV50" s="7">
        <f t="shared" si="574"/>
        <v>1073481.2018631792</v>
      </c>
      <c r="AW50" s="7">
        <f t="shared" si="574"/>
        <v>945822.17422696995</v>
      </c>
      <c r="AX50" s="7">
        <f t="shared" si="574"/>
        <v>1024634.9147087046</v>
      </c>
      <c r="AY50" s="7">
        <f t="shared" si="574"/>
        <v>1059487.7108177633</v>
      </c>
      <c r="AZ50" s="7">
        <f t="shared" si="574"/>
        <v>628629.46598139801</v>
      </c>
      <c r="BA50" s="7">
        <f t="shared" si="574"/>
        <v>262378.34714683512</v>
      </c>
      <c r="BB50" s="7">
        <f t="shared" si="574"/>
        <v>220880.212279083</v>
      </c>
      <c r="BC50" s="7">
        <f t="shared" si="574"/>
        <v>205144.96076692484</v>
      </c>
      <c r="BD50" s="7">
        <f t="shared" si="574"/>
        <v>244260.66746010334</v>
      </c>
      <c r="BE50" s="7">
        <f t="shared" si="574"/>
        <v>285172.07320999855</v>
      </c>
      <c r="BF50" s="7">
        <f t="shared" si="574"/>
        <v>283816.8208053736</v>
      </c>
      <c r="BG50" s="7">
        <f t="shared" si="574"/>
        <v>282876.299570036</v>
      </c>
      <c r="BH50" s="7">
        <f t="shared" si="574"/>
        <v>241373.72528354992</v>
      </c>
      <c r="BI50" s="7">
        <f t="shared" si="574"/>
        <v>234989.66387214002</v>
      </c>
      <c r="BJ50" s="7">
        <f t="shared" si="574"/>
        <v>252463.03210147406</v>
      </c>
      <c r="BK50" s="7">
        <f t="shared" ref="BK50:BL50" si="575">IF(OR(BK49="",BK48=""),"",BK48+BK49)</f>
        <v>270426.83665898885</v>
      </c>
      <c r="BL50" s="7">
        <f t="shared" si="575"/>
        <v>-26143.311056378283</v>
      </c>
      <c r="BM50" s="7">
        <f t="shared" ref="BM50:BN50" si="576">IF(OR(BM49="",BM48=""),"",BM48+BM49)</f>
        <v>27902.824440167751</v>
      </c>
      <c r="BN50" s="7">
        <f t="shared" si="576"/>
        <v>24526.349546432553</v>
      </c>
      <c r="BO50" s="7">
        <f t="shared" ref="BO50:BP50" si="577">IF(OR(BO49="",BO48=""),"",BO48+BO49)</f>
        <v>24737.704123671661</v>
      </c>
      <c r="BP50" s="7">
        <f t="shared" si="577"/>
        <v>27500.258151473507</v>
      </c>
      <c r="BQ50" s="7">
        <f t="shared" ref="BQ50:BR50" si="578">IF(OR(BQ49="",BQ48=""),"",BQ48+BQ49)</f>
        <v>32131.409206586803</v>
      </c>
      <c r="BR50" s="7">
        <f t="shared" si="578"/>
        <v>31999.31264843262</v>
      </c>
      <c r="BS50" s="7">
        <f t="shared" ref="BS50:BT50" si="579">IF(OR(BS49="",BS48=""),"",BS48+BS49)</f>
        <v>32588.647450219258</v>
      </c>
      <c r="BT50" s="7">
        <f t="shared" si="579"/>
        <v>28429.541722582362</v>
      </c>
      <c r="BU50" s="7">
        <f t="shared" ref="BU50:BV50" si="580">IF(OR(BU49="",BU48=""),"",BU48+BU49)</f>
        <v>25622.507220371379</v>
      </c>
      <c r="BV50" s="7">
        <f t="shared" si="580"/>
        <v>28133.24994185353</v>
      </c>
      <c r="BW50" s="7">
        <f t="shared" ref="BW50:BX50" si="581">IF(OR(BW49="",BW48=""),"",BW48+BW49)</f>
        <v>30224.720865123847</v>
      </c>
      <c r="BX50" s="7">
        <f t="shared" si="581"/>
        <v>4425.1623695121816</v>
      </c>
      <c r="BY50" s="7">
        <f t="shared" ref="BY50:BZ50" si="582">IF(OR(BY49="",BY48=""),"",BY48+BY49)</f>
        <v>922.99357159134161</v>
      </c>
      <c r="BZ50" s="7">
        <f t="shared" si="582"/>
        <v>828.12816488022145</v>
      </c>
      <c r="CA50" s="7">
        <f t="shared" ref="CA50:CB50" si="583">IF(OR(CA49="",CA48=""),"",CA48+CA49)</f>
        <v>837.04919207446073</v>
      </c>
      <c r="CB50" s="7">
        <f t="shared" si="583"/>
        <v>934.98980935632062</v>
      </c>
      <c r="CC50" s="7">
        <f t="shared" ref="CC50:CD50" si="584">IF(OR(CC49="",CC48=""),"",CC48+CC49)</f>
        <v>1076.228982074761</v>
      </c>
      <c r="CD50" s="7">
        <f t="shared" si="584"/>
        <v>1054.389252212648</v>
      </c>
      <c r="CE50" s="7">
        <f t="shared" ref="CE50:CF50" si="585">IF(OR(CE49="",CE48=""),"",CE48+CE49)</f>
        <v>1003.6188526802143</v>
      </c>
      <c r="CF50" s="7">
        <f t="shared" si="585"/>
        <v>862.99131463671438</v>
      </c>
      <c r="CG50" s="7">
        <f t="shared" ref="CG50:CH50" si="586">IF(OR(CG49="",CG48=""),"",CG48+CG49)</f>
        <v>823.76785360491704</v>
      </c>
      <c r="CH50" s="7">
        <f t="shared" si="586"/>
        <v>980.17199979259385</v>
      </c>
      <c r="CI50" s="7">
        <f t="shared" ref="CI50:CJ50" si="587">IF(OR(CI49="",CI48=""),"",CI48+CI49)</f>
        <v>1013.9548619723973</v>
      </c>
      <c r="CJ50" s="7">
        <f t="shared" si="587"/>
        <v>-1.1310689918245771</v>
      </c>
      <c r="CK50" s="7">
        <f t="shared" ref="CK50:CL50" si="588">IF(OR(CK49="",CK48=""),"",CK48+CK49)</f>
        <v>-185.00644761565991</v>
      </c>
      <c r="CL50" s="7">
        <f t="shared" si="588"/>
        <v>-166.13754762541566</v>
      </c>
      <c r="CM50" s="7">
        <f t="shared" ref="CM50:CN50" si="589">IF(OR(CM49="",CM48=""),"",CM48+CM49)</f>
        <v>-139.97531151529574</v>
      </c>
      <c r="CN50" s="7">
        <f t="shared" si="589"/>
        <v>-155.58872786328357</v>
      </c>
      <c r="CO50" s="7">
        <f t="shared" ref="CO50:CP50" si="590">IF(OR(CO49="",CO48=""),"",CO48+CO49)</f>
        <v>-182.83041355609521</v>
      </c>
      <c r="CP50" s="7">
        <f t="shared" si="590"/>
        <v>-192.00192505796622</v>
      </c>
      <c r="CQ50" s="7">
        <f t="shared" ref="CQ50:CR50" si="591">IF(OR(CQ49="",CQ48=""),"",CQ48+CQ49)</f>
        <v>-187.23295134499813</v>
      </c>
      <c r="CR50" s="7">
        <f t="shared" si="591"/>
        <v>-160.84353881608104</v>
      </c>
      <c r="CS50" s="7">
        <f t="shared" ref="CS50:CU50" si="592">IF(OR(CS49="",CS48=""),"",CS48+CS49)</f>
        <v>-149.86240036754043</v>
      </c>
      <c r="CT50" s="7">
        <f t="shared" si="592"/>
        <v>-182.46352816041053</v>
      </c>
      <c r="CU50" s="7">
        <f t="shared" si="592"/>
        <v>-220.35389211862821</v>
      </c>
    </row>
    <row r="51" spans="1:99" s="4" customFormat="1" hidden="1" outlineLevel="1" x14ac:dyDescent="0.35">
      <c r="A51" s="295"/>
      <c r="B51" s="16" t="s">
        <v>13</v>
      </c>
      <c r="C51" s="24"/>
      <c r="D51" s="24"/>
      <c r="E51" s="7">
        <f t="shared" ref="E51:N51" si="593">IF(OR(E48="",E47=""),"",E47-E48)</f>
        <v>0</v>
      </c>
      <c r="F51" s="7">
        <f t="shared" si="593"/>
        <v>0</v>
      </c>
      <c r="G51" s="7">
        <f t="shared" si="593"/>
        <v>-2460.2199999999998</v>
      </c>
      <c r="H51" s="7">
        <f t="shared" si="593"/>
        <v>-33758.050000000003</v>
      </c>
      <c r="I51" s="7">
        <f t="shared" si="593"/>
        <v>-21639.839999999997</v>
      </c>
      <c r="J51" s="7">
        <f t="shared" si="593"/>
        <v>-12324.613120248869</v>
      </c>
      <c r="K51" s="7">
        <f t="shared" si="593"/>
        <v>10707.581306139036</v>
      </c>
      <c r="L51" s="7">
        <f t="shared" si="593"/>
        <v>7716.2748406804458</v>
      </c>
      <c r="M51" s="7">
        <f t="shared" si="593"/>
        <v>19152.98271623841</v>
      </c>
      <c r="N51" s="7">
        <f t="shared" si="593"/>
        <v>37688.57344597984</v>
      </c>
      <c r="O51" s="7">
        <f>IF(OR(O50="",O47=""),"",O47-O50)</f>
        <v>34655.832713338357</v>
      </c>
      <c r="P51" s="7">
        <f t="shared" ref="P51:AM51" si="594">IF(OR(P50="",P47=""),"",P47-P50)</f>
        <v>-170193.80256055057</v>
      </c>
      <c r="Q51" s="7">
        <f t="shared" si="594"/>
        <v>-129031.441408748</v>
      </c>
      <c r="R51" s="7">
        <f t="shared" si="594"/>
        <v>-167104.63236901932</v>
      </c>
      <c r="S51" s="7">
        <f t="shared" si="594"/>
        <v>-136350.68845207806</v>
      </c>
      <c r="T51" s="7">
        <f t="shared" si="594"/>
        <v>-46233.543431487604</v>
      </c>
      <c r="U51" s="7">
        <f t="shared" si="594"/>
        <v>37897.282555875252</v>
      </c>
      <c r="V51" s="7">
        <f t="shared" si="594"/>
        <v>26785.240605054714</v>
      </c>
      <c r="W51" s="7">
        <f t="shared" si="594"/>
        <v>74008.907914075651</v>
      </c>
      <c r="X51" s="7">
        <f t="shared" si="594"/>
        <v>-38992.545426515513</v>
      </c>
      <c r="Y51" s="7">
        <f t="shared" si="594"/>
        <v>-183.32332720785053</v>
      </c>
      <c r="Z51" s="7">
        <f t="shared" si="594"/>
        <v>17718.206799899723</v>
      </c>
      <c r="AA51" s="7">
        <f t="shared" si="594"/>
        <v>16775.867971951258</v>
      </c>
      <c r="AB51" s="7">
        <f t="shared" si="594"/>
        <v>-320061.09491094924</v>
      </c>
      <c r="AC51" s="7">
        <f t="shared" si="594"/>
        <v>-233573.28264377592</v>
      </c>
      <c r="AD51" s="7">
        <f t="shared" si="594"/>
        <v>-220536.32958706102</v>
      </c>
      <c r="AE51" s="7">
        <f t="shared" si="594"/>
        <v>-104648.59463936655</v>
      </c>
      <c r="AF51" s="7">
        <f t="shared" si="594"/>
        <v>216655.1975093364</v>
      </c>
      <c r="AG51" s="7">
        <f t="shared" si="594"/>
        <v>486366.18625822687</v>
      </c>
      <c r="AH51" s="7">
        <f t="shared" si="594"/>
        <v>356741.24316562619</v>
      </c>
      <c r="AI51" s="7">
        <f t="shared" si="594"/>
        <v>348182.01101029362</v>
      </c>
      <c r="AJ51" s="7">
        <f t="shared" si="594"/>
        <v>-57600.392894642544</v>
      </c>
      <c r="AK51" s="7">
        <f t="shared" si="594"/>
        <v>-36718.030907329987</v>
      </c>
      <c r="AL51" s="7">
        <f t="shared" si="594"/>
        <v>1276.1738672603387</v>
      </c>
      <c r="AM51" s="7">
        <f t="shared" si="594"/>
        <v>23284.017636874458</v>
      </c>
      <c r="AN51" s="7">
        <f t="shared" ref="AN51:BJ51" si="595">IF(OR(AN50="",AN47=""),"",AN47-AN50)</f>
        <v>-476503.50428918761</v>
      </c>
      <c r="AO51" s="7">
        <f t="shared" si="595"/>
        <v>-227473.47410872567</v>
      </c>
      <c r="AP51" s="7">
        <f t="shared" si="595"/>
        <v>-152597.3512031635</v>
      </c>
      <c r="AQ51" s="7">
        <f t="shared" si="595"/>
        <v>-214478.25261101569</v>
      </c>
      <c r="AR51" s="7">
        <f t="shared" si="595"/>
        <v>649323.47075894405</v>
      </c>
      <c r="AS51" s="7">
        <f t="shared" si="595"/>
        <v>1007142.7276474799</v>
      </c>
      <c r="AT51" s="7">
        <f t="shared" si="595"/>
        <v>650581.00375909545</v>
      </c>
      <c r="AU51" s="7">
        <f t="shared" si="595"/>
        <v>481911.89108722727</v>
      </c>
      <c r="AV51" s="7">
        <f t="shared" si="595"/>
        <v>-227316.81112048554</v>
      </c>
      <c r="AW51" s="7">
        <f t="shared" si="595"/>
        <v>-222909.65387424082</v>
      </c>
      <c r="AX51" s="7">
        <f t="shared" si="595"/>
        <v>-237185.8665688755</v>
      </c>
      <c r="AY51" s="7">
        <f t="shared" si="595"/>
        <v>-237610.72676880972</v>
      </c>
      <c r="AZ51" s="7">
        <f t="shared" si="595"/>
        <v>34513.536481947405</v>
      </c>
      <c r="BA51" s="7">
        <f t="shared" si="595"/>
        <v>455486.79100704758</v>
      </c>
      <c r="BB51" s="7">
        <f t="shared" si="595"/>
        <v>-218593.90227908062</v>
      </c>
      <c r="BC51" s="7">
        <f t="shared" si="595"/>
        <v>-203171.60526517575</v>
      </c>
      <c r="BD51" s="7">
        <f t="shared" si="595"/>
        <v>-232037.35746010096</v>
      </c>
      <c r="BE51" s="7">
        <f t="shared" si="595"/>
        <v>-262318.89320999885</v>
      </c>
      <c r="BF51" s="7">
        <f t="shared" si="595"/>
        <v>-263276.55080537405</v>
      </c>
      <c r="BG51" s="7">
        <f t="shared" si="595"/>
        <v>-267854.08957003511</v>
      </c>
      <c r="BH51" s="7">
        <f t="shared" si="595"/>
        <v>-234662.63528355007</v>
      </c>
      <c r="BI51" s="7">
        <f t="shared" si="595"/>
        <v>-228286.82387214017</v>
      </c>
      <c r="BJ51" s="7">
        <f t="shared" si="595"/>
        <v>-244335.99210147496</v>
      </c>
      <c r="BK51" s="7">
        <f t="shared" ref="BK51:BL51" si="596">IF(OR(BK50="",BK47=""),"",BK47-BK50)</f>
        <v>-262097.5366589881</v>
      </c>
      <c r="BL51" s="7">
        <f t="shared" si="596"/>
        <v>34943.581056377836</v>
      </c>
      <c r="BM51" s="7">
        <f t="shared" ref="BM51:BN51" si="597">IF(OR(BM50="",BM47=""),"",BM47-BM50)</f>
        <v>-17569.754440167453</v>
      </c>
      <c r="BN51" s="7">
        <f t="shared" si="597"/>
        <v>-15766.339546430914</v>
      </c>
      <c r="BO51" s="7">
        <f t="shared" ref="BO51:BP51" si="598">IF(OR(BO50="",BO47=""),"",BO47-BO50)</f>
        <v>-13692.794123675238</v>
      </c>
      <c r="BP51" s="7">
        <f t="shared" si="598"/>
        <v>4407.0518485288776</v>
      </c>
      <c r="BQ51" s="7">
        <f t="shared" ref="BQ51:BR51" si="599">IF(OR(BQ50="",BQ47=""),"",BQ47-BQ50)</f>
        <v>8814.7707934128994</v>
      </c>
      <c r="BR51" s="7">
        <f t="shared" si="599"/>
        <v>4411.0473515667836</v>
      </c>
      <c r="BS51" s="7">
        <f t="shared" ref="BS51:BT51" si="600">IF(OR(BS50="",BS47=""),"",BS47-BS50)</f>
        <v>-10270.247450220748</v>
      </c>
      <c r="BT51" s="7">
        <f t="shared" si="600"/>
        <v>-19485.251722579531</v>
      </c>
      <c r="BU51" s="7">
        <f t="shared" ref="BU51:BV51" si="601">IF(OR(BU50="",BU47=""),"",BU47-BU50)</f>
        <v>-16309.857220372869</v>
      </c>
      <c r="BV51" s="7">
        <f t="shared" si="601"/>
        <v>-16381.529941854722</v>
      </c>
      <c r="BW51" s="7">
        <f t="shared" ref="BW51:BX51" si="602">IF(OR(BW50="",BW47=""),"",BW47-BW50)</f>
        <v>-18219.410865121463</v>
      </c>
      <c r="BX51" s="7">
        <f t="shared" si="602"/>
        <v>5701.3676304852852</v>
      </c>
      <c r="BY51" s="7">
        <f t="shared" ref="BY51:BZ51" si="603">IF(OR(BY50="",BY47=""),"",BY47-BY50)</f>
        <v>-922.99357159134161</v>
      </c>
      <c r="BZ51" s="7">
        <f t="shared" si="603"/>
        <v>-828.12816488022145</v>
      </c>
      <c r="CA51" s="7">
        <f t="shared" ref="CA51:CB51" si="604">IF(OR(CA50="",CA47=""),"",CA47-CA50)</f>
        <v>-837.04919207446073</v>
      </c>
      <c r="CB51" s="7">
        <f t="shared" si="604"/>
        <v>-934.98980935632062</v>
      </c>
      <c r="CC51" s="7">
        <f t="shared" ref="CC51:CD51" si="605">IF(OR(CC50="",CC47=""),"",CC47-CC50)</f>
        <v>-1076.228982074761</v>
      </c>
      <c r="CD51" s="7">
        <f t="shared" si="605"/>
        <v>-1054.389252212648</v>
      </c>
      <c r="CE51" s="7">
        <f t="shared" ref="CE51" si="606">IF(OR(CE50="",CE47=""),"",CE47-CE50)</f>
        <v>-1003.6188526802143</v>
      </c>
      <c r="CF51" s="125">
        <f>IF(OR(CF50="",CF47=""),"",CF47-CF50)+CF46</f>
        <v>-3755.2790515043343</v>
      </c>
      <c r="CG51" s="7">
        <f t="shared" ref="CG51:CL51" si="607">IF(OR(CG50="",CG47=""),"",CG47-CG50)</f>
        <v>-823.76785360491704</v>
      </c>
      <c r="CH51" s="7">
        <f t="shared" si="607"/>
        <v>-980.17199979259385</v>
      </c>
      <c r="CI51" s="7">
        <f t="shared" si="607"/>
        <v>-1013.9548619723973</v>
      </c>
      <c r="CJ51" s="7">
        <f t="shared" si="607"/>
        <v>1.1310689918245771</v>
      </c>
      <c r="CK51" s="7">
        <f t="shared" si="607"/>
        <v>185.00644761565991</v>
      </c>
      <c r="CL51" s="7">
        <f t="shared" si="607"/>
        <v>166.13754762541566</v>
      </c>
      <c r="CM51" s="7">
        <f t="shared" ref="CM51:CN51" si="608">IF(OR(CM50="",CM47=""),"",CM47-CM50)</f>
        <v>139.97531151529574</v>
      </c>
      <c r="CN51" s="7">
        <f t="shared" si="608"/>
        <v>155.58872786328357</v>
      </c>
      <c r="CO51" s="7">
        <f t="shared" ref="CO51:CP51" si="609">IF(OR(CO50="",CO47=""),"",CO47-CO50)</f>
        <v>182.83041355609521</v>
      </c>
      <c r="CP51" s="7">
        <f t="shared" si="609"/>
        <v>192.00192505796622</v>
      </c>
      <c r="CQ51" s="7">
        <f t="shared" ref="CQ51:CR51" si="610">IF(OR(CQ50="",CQ47=""),"",CQ47-CQ50)</f>
        <v>187.23295134499813</v>
      </c>
      <c r="CR51" s="7">
        <f t="shared" si="610"/>
        <v>160.84353881608104</v>
      </c>
      <c r="CS51" s="7">
        <f t="shared" ref="CS51:CU51" si="611">IF(OR(CS50="",CS47=""),"",CS47-CS50)</f>
        <v>149.86240036754043</v>
      </c>
      <c r="CT51" s="7">
        <f t="shared" si="611"/>
        <v>182.46352816041053</v>
      </c>
      <c r="CU51" s="7">
        <f t="shared" si="611"/>
        <v>220.35389211862821</v>
      </c>
    </row>
    <row r="52" spans="1:99" s="4" customFormat="1" hidden="1" outlineLevel="1" x14ac:dyDescent="0.35">
      <c r="A52" s="295"/>
      <c r="B52" s="17" t="s">
        <v>8</v>
      </c>
      <c r="C52" s="28"/>
      <c r="D52" s="28"/>
      <c r="E52" s="7">
        <f t="shared" ref="E52:N52" si="612">IF(OR(E9="",E51=""),"",(E51+D54)*E9/12)</f>
        <v>0</v>
      </c>
      <c r="F52" s="7">
        <f t="shared" si="612"/>
        <v>0</v>
      </c>
      <c r="G52" s="7">
        <f t="shared" si="612"/>
        <v>-1.5495162622333332</v>
      </c>
      <c r="H52" s="7">
        <f t="shared" si="612"/>
        <v>-18.904391499220328</v>
      </c>
      <c r="I52" s="7">
        <f t="shared" si="612"/>
        <v>-30.340087896858321</v>
      </c>
      <c r="J52" s="7">
        <f t="shared" si="612"/>
        <v>-44.748466039367251</v>
      </c>
      <c r="K52" s="7">
        <f t="shared" si="612"/>
        <v>-37.502709666462287</v>
      </c>
      <c r="L52" s="7">
        <f t="shared" si="612"/>
        <v>-32.872229045923085</v>
      </c>
      <c r="M52" s="7">
        <f t="shared" si="612"/>
        <v>-20.868673648039628</v>
      </c>
      <c r="N52" s="7">
        <f t="shared" si="612"/>
        <v>3.925714633838659</v>
      </c>
      <c r="O52" s="8">
        <f>IF(OR(O9="",O51=""),"",(O49+O51+N54)*O9/12)</f>
        <v>29.666746157027216</v>
      </c>
      <c r="P52" s="8">
        <f>IF(OR(P9="",P51=""),"",(P49+P51+O54+P46)*P9/12)</f>
        <v>527.5303352365413</v>
      </c>
      <c r="Q52" s="8">
        <f t="shared" ref="Q52:AM52" si="613">IF(OR(Q9="",Q51=""),"",(Q49+Q51+P54)*Q9/12)</f>
        <v>486.75683844013219</v>
      </c>
      <c r="R52" s="8">
        <f t="shared" si="613"/>
        <v>264.03810605666047</v>
      </c>
      <c r="S52" s="8">
        <f t="shared" si="613"/>
        <v>68.799241975056603</v>
      </c>
      <c r="T52" s="8">
        <f t="shared" si="613"/>
        <v>-59.978345968477406</v>
      </c>
      <c r="U52" s="8">
        <f t="shared" si="613"/>
        <v>-112.16077847929522</v>
      </c>
      <c r="V52" s="8">
        <f t="shared" si="613"/>
        <v>-189.58901591149342</v>
      </c>
      <c r="W52" s="8">
        <f t="shared" si="613"/>
        <v>-194.85380221735295</v>
      </c>
      <c r="X52" s="8">
        <f t="shared" si="613"/>
        <v>-335.66340871323001</v>
      </c>
      <c r="Y52" s="8">
        <f t="shared" si="613"/>
        <v>-417.54411625669201</v>
      </c>
      <c r="Z52" s="8">
        <f t="shared" si="613"/>
        <v>-594.6513173750152</v>
      </c>
      <c r="AA52" s="8">
        <f t="shared" si="613"/>
        <v>-676.64979570680418</v>
      </c>
      <c r="AB52" s="8">
        <f t="shared" si="613"/>
        <v>-1145.6213357305476</v>
      </c>
      <c r="AC52" s="8">
        <f t="shared" si="613"/>
        <v>-1622.4924484479159</v>
      </c>
      <c r="AD52" s="8">
        <f t="shared" si="613"/>
        <v>-2177.7529458384515</v>
      </c>
      <c r="AE52" s="8">
        <f t="shared" si="613"/>
        <v>-2196.055673068317</v>
      </c>
      <c r="AF52" s="8">
        <f t="shared" si="613"/>
        <v>-1780.9076789998578</v>
      </c>
      <c r="AG52" s="8">
        <f t="shared" si="613"/>
        <v>-789.21302857668149</v>
      </c>
      <c r="AH52" s="8">
        <f t="shared" si="613"/>
        <v>-1.4723605345587236</v>
      </c>
      <c r="AI52" s="8">
        <f t="shared" si="613"/>
        <v>766.65104231200587</v>
      </c>
      <c r="AJ52" s="8">
        <f t="shared" si="613"/>
        <v>781.11189243826402</v>
      </c>
      <c r="AK52" s="8">
        <f t="shared" si="613"/>
        <v>808.58682932986676</v>
      </c>
      <c r="AL52" s="8">
        <f t="shared" si="613"/>
        <v>982.3062995736251</v>
      </c>
      <c r="AM52" s="8">
        <f t="shared" si="613"/>
        <v>1190.7922085434036</v>
      </c>
      <c r="AN52" s="8">
        <f t="shared" ref="AN52" si="614">IF(OR(AN9="",AN51=""),"",(AN49+AN51+AM54)*AN9/12)</f>
        <v>-40.979461694536845</v>
      </c>
      <c r="AO52" s="8">
        <f t="shared" ref="AO52" si="615">IF(OR(AO9="",AO51=""),"",(AO49+AO51+AN54)*AO9/12)</f>
        <v>-656.86449522344037</v>
      </c>
      <c r="AP52" s="8">
        <f t="shared" ref="AP52" si="616">IF(OR(AP9="",AP51=""),"",(AP49+AP51+AO54)*AP9/12)</f>
        <v>-1042.8842992710304</v>
      </c>
      <c r="AQ52" s="8">
        <f t="shared" ref="AQ52" si="617">IF(OR(AQ9="",AQ51=""),"",(AQ49+AQ51+AP54)*AQ9/12)</f>
        <v>-1608.2259340456974</v>
      </c>
      <c r="AR52" s="8">
        <f t="shared" ref="AR52" si="618">IF(OR(AR9="",AR51=""),"",(AR49+AR51+AQ54)*AR9/12)</f>
        <v>-247.95795683516053</v>
      </c>
      <c r="AS52" s="8">
        <f t="shared" ref="AS52" si="619">IF(OR(AS9="",AS51=""),"",(AS49+AS51+AR54)*AS9/12)</f>
        <v>1843.341972866099</v>
      </c>
      <c r="AT52" s="8">
        <f t="shared" ref="AT52" si="620">IF(OR(AT9="",AT51=""),"",(AT49+AT51+AS54)*AT9/12)</f>
        <v>2864.0342708477115</v>
      </c>
      <c r="AU52" s="8">
        <f t="shared" ref="AU52" si="621">IF(OR(AU9="",AU51=""),"",(AU49+AU51+AT54)*AU9/12)</f>
        <v>3515.5400413965067</v>
      </c>
      <c r="AV52" s="8">
        <f t="shared" ref="AV52" si="622">IF(OR(AV9="",AV51=""),"",(AV49+AV51+AU54)*AV9/12)</f>
        <v>2887.6094026440933</v>
      </c>
      <c r="AW52" s="8">
        <f t="shared" ref="AW52" si="623">IF(OR(AW9="",AW51=""),"",(AW49+AW51+AV54)*AW9/12)</f>
        <v>2094.2447951894328</v>
      </c>
      <c r="AX52" s="8">
        <f t="shared" ref="AX52" si="624">IF(OR(AX9="",AX51=""),"",(AX49+AX51+AW54)*AX9/12)</f>
        <v>1772.3312675428433</v>
      </c>
      <c r="AY52" s="8">
        <f t="shared" ref="AY52" si="625">IF(OR(AY9="",AY51=""),"",(AY49+AY51+AX54)*AY9/12)</f>
        <v>1314.5375710958215</v>
      </c>
      <c r="AZ52" s="8">
        <f t="shared" ref="AZ52" si="626">IF(OR(AZ9="",AZ51=""),"",(AZ49+AZ51+AY54)*AZ9/12)</f>
        <v>1104.8156210230293</v>
      </c>
      <c r="BA52" s="8">
        <f t="shared" ref="BA52" si="627">IF(OR(BA9="",BA51=""),"",(BA49+BA51+AZ54)*BA9/12)</f>
        <v>1786.9648898729204</v>
      </c>
      <c r="BB52" s="8">
        <f t="shared" ref="BB52" si="628">IF(OR(BB9="",BB51=""),"",(BB49+BB51+BA54)*BB9/12)</f>
        <v>681.40243134752825</v>
      </c>
      <c r="BC52" s="8">
        <f t="shared" ref="BC52" si="629">IF(OR(BC9="",BC51=""),"",(BC49+BC51+BB54)*BC9/12)</f>
        <v>67.209757498420615</v>
      </c>
      <c r="BD52" s="8">
        <f t="shared" ref="BD52" si="630">IF(OR(BD9="",BD51=""),"",(BD49+BD51+BC54)*BD9/12)</f>
        <v>35.660479476362262</v>
      </c>
      <c r="BE52" s="8">
        <f t="shared" ref="BE52" si="631">IF(OR(BE9="",BE51=""),"",(BE49+BE51+BD54)*BE9/12)</f>
        <v>2.7892288867433432</v>
      </c>
      <c r="BF52" s="8">
        <f t="shared" ref="BF52" si="632">IF(OR(BF9="",BF51=""),"",(BF49+BF51+BE54)*BF9/12)</f>
        <v>-34.914078157991433</v>
      </c>
      <c r="BG52" s="8">
        <f t="shared" ref="BG52" si="633">IF(OR(BG9="",BG51=""),"",(BG49+BG51+BF54)*BG9/12)</f>
        <v>-65.590525310840874</v>
      </c>
      <c r="BH52" s="8">
        <f t="shared" ref="BH52" si="634">IF(OR(BH9="",BH51=""),"",(BH49+BH51+BG54)*BH9/12)</f>
        <v>-153.5943993905278</v>
      </c>
      <c r="BI52" s="8">
        <f t="shared" ref="BI52" si="635">IF(OR(BI9="",BI51=""),"",(BI49+BI51+BH54)*BI9/12)</f>
        <v>-252.51225972469396</v>
      </c>
      <c r="BJ52" s="8">
        <f t="shared" ref="BJ52:CH52" si="636">IF(OR(BJ9="",BJ51=""),"",(BJ49+BJ51+BI54)*BJ9/12)</f>
        <v>-355.63683511169074</v>
      </c>
      <c r="BK52" s="8">
        <f t="shared" si="636"/>
        <v>-312.54504051092721</v>
      </c>
      <c r="BL52" s="8">
        <f t="shared" si="636"/>
        <v>-375.41309181071557</v>
      </c>
      <c r="BM52" s="8">
        <f t="shared" si="636"/>
        <v>-322.96313599808968</v>
      </c>
      <c r="BN52" s="8">
        <f t="shared" si="636"/>
        <v>-319.05948263713418</v>
      </c>
      <c r="BO52" s="8">
        <f t="shared" si="636"/>
        <v>-295.89638063216751</v>
      </c>
      <c r="BP52" s="8">
        <f t="shared" si="636"/>
        <v>-240.7206599987627</v>
      </c>
      <c r="BQ52" s="8">
        <f t="shared" si="636"/>
        <v>-145.72869542682304</v>
      </c>
      <c r="BR52" s="8">
        <f t="shared" si="636"/>
        <v>-184.43221396673536</v>
      </c>
      <c r="BS52" s="8">
        <f t="shared" si="636"/>
        <v>-147.5809188506916</v>
      </c>
      <c r="BT52" s="8">
        <f t="shared" si="636"/>
        <v>-98.004816040377037</v>
      </c>
      <c r="BU52" s="8">
        <f t="shared" si="636"/>
        <v>-84.941653771023212</v>
      </c>
      <c r="BV52" s="8">
        <f t="shared" si="636"/>
        <v>-115.92016346648461</v>
      </c>
      <c r="BW52" s="8">
        <f t="shared" si="636"/>
        <v>-77.091957039179292</v>
      </c>
      <c r="BX52" s="8">
        <f t="shared" si="636"/>
        <v>-72.606903432645424</v>
      </c>
      <c r="BY52" s="8">
        <f t="shared" si="636"/>
        <v>-151.84084377784714</v>
      </c>
      <c r="BZ52" s="8">
        <f t="shared" si="636"/>
        <v>-118.68167734782816</v>
      </c>
      <c r="CA52" s="8">
        <f t="shared" si="636"/>
        <v>-165.36745250356313</v>
      </c>
      <c r="CB52" s="8">
        <f t="shared" si="636"/>
        <v>-219.66450445665825</v>
      </c>
      <c r="CC52" s="8">
        <f t="shared" si="636"/>
        <v>-242.2721320158704</v>
      </c>
      <c r="CD52" s="8">
        <f t="shared" si="636"/>
        <v>-226.9529873177261</v>
      </c>
      <c r="CE52" s="8">
        <f t="shared" si="636"/>
        <v>-172.07710541318775</v>
      </c>
      <c r="CF52" s="8">
        <f t="shared" si="636"/>
        <v>-134.90834045773241</v>
      </c>
      <c r="CG52" s="8">
        <f t="shared" si="636"/>
        <v>-69.13927538310152</v>
      </c>
      <c r="CH52" s="8">
        <f t="shared" si="636"/>
        <v>47.114576041296623</v>
      </c>
      <c r="CI52" s="293">
        <f>IF(OR(CI9="",CI51=""),"",(CI49+CI51+CH54+CI46)*CI9/12)+CI46</f>
        <v>287.61537462781166</v>
      </c>
      <c r="CJ52" s="293">
        <f t="shared" ref="CJ52:CR52" si="637">IF(OR(CJ9="",CJ51=""),"",(CJ49+CJ51+CI54)*CJ9/12)</f>
        <v>249.45028640148701</v>
      </c>
      <c r="CK52" s="293">
        <f t="shared" si="637"/>
        <v>244.33325686237109</v>
      </c>
      <c r="CL52" s="293">
        <f t="shared" si="637"/>
        <v>244.06630695908657</v>
      </c>
      <c r="CM52" s="293">
        <f t="shared" si="637"/>
        <v>233.79476744258204</v>
      </c>
      <c r="CN52" s="293">
        <f t="shared" si="637"/>
        <v>221.22278429323433</v>
      </c>
      <c r="CO52" s="293">
        <f t="shared" si="637"/>
        <v>206.21068640596602</v>
      </c>
      <c r="CP52" s="293">
        <f t="shared" si="637"/>
        <v>191.39988039603449</v>
      </c>
      <c r="CQ52" s="293">
        <f t="shared" si="637"/>
        <v>173.90954909152671</v>
      </c>
      <c r="CR52" s="293">
        <f t="shared" si="637"/>
        <v>157.50794418557118</v>
      </c>
      <c r="CS52" s="293">
        <f t="shared" ref="CS52" si="638">IF(OR(CS9="",CS51=""),"",(CS49+CS51+CR54)*CS9/12)</f>
        <v>142.65881643698503</v>
      </c>
      <c r="CT52" s="293">
        <f t="shared" ref="CT52" si="639">IF(OR(CT9="",CT51=""),"",(CT49+CT51+CS54)*CT9/12)</f>
        <v>126.67291803316253</v>
      </c>
      <c r="CU52" s="293">
        <f t="shared" ref="CU52" si="640">IF(OR(CU9="",CU51=""),"",(CU49+CU51+CT54)*CU9/12)</f>
        <v>108.78940312782323</v>
      </c>
    </row>
    <row r="53" spans="1:99" s="4" customFormat="1" hidden="1" outlineLevel="1" x14ac:dyDescent="0.35">
      <c r="A53" s="295"/>
      <c r="B53" s="16" t="s">
        <v>14</v>
      </c>
      <c r="C53" s="24"/>
      <c r="D53" s="24"/>
      <c r="E53" s="7">
        <f t="shared" ref="E53:N53" si="641">IF(OR(E51="",E52=""),"",E51+E52)</f>
        <v>0</v>
      </c>
      <c r="F53" s="7">
        <f t="shared" si="641"/>
        <v>0</v>
      </c>
      <c r="G53" s="7">
        <f t="shared" si="641"/>
        <v>-2461.7695162622331</v>
      </c>
      <c r="H53" s="7">
        <f t="shared" si="641"/>
        <v>-33776.954391499225</v>
      </c>
      <c r="I53" s="7">
        <f t="shared" si="641"/>
        <v>-21670.180087896853</v>
      </c>
      <c r="J53" s="7">
        <f t="shared" si="641"/>
        <v>-12369.361586288236</v>
      </c>
      <c r="K53" s="7">
        <f t="shared" si="641"/>
        <v>10670.078596472575</v>
      </c>
      <c r="L53" s="7">
        <f t="shared" si="641"/>
        <v>7683.4026116345231</v>
      </c>
      <c r="M53" s="7">
        <f t="shared" si="641"/>
        <v>19132.114042590369</v>
      </c>
      <c r="N53" s="7">
        <f t="shared" si="641"/>
        <v>37692.499160613683</v>
      </c>
      <c r="O53" s="7">
        <f>IF(OR(O51="",O52=""),"",O51+O52)</f>
        <v>34685.499459495382</v>
      </c>
      <c r="P53" s="7">
        <f>IF(OR(P51="",P52=""),"",P51+P52)</f>
        <v>-169666.27222531402</v>
      </c>
      <c r="Q53" s="7">
        <f t="shared" ref="Q53:AM53" si="642">IF(OR(Q51="",Q52=""),"",Q51+Q52)</f>
        <v>-128544.68457030786</v>
      </c>
      <c r="R53" s="7">
        <f t="shared" si="642"/>
        <v>-166840.59426296267</v>
      </c>
      <c r="S53" s="7">
        <f t="shared" si="642"/>
        <v>-136281.88921010299</v>
      </c>
      <c r="T53" s="7">
        <f t="shared" si="642"/>
        <v>-46293.521777456081</v>
      </c>
      <c r="U53" s="7">
        <f t="shared" si="642"/>
        <v>37785.121777395958</v>
      </c>
      <c r="V53" s="7">
        <f t="shared" si="642"/>
        <v>26595.651589143221</v>
      </c>
      <c r="W53" s="7">
        <f t="shared" si="642"/>
        <v>73814.054111858291</v>
      </c>
      <c r="X53" s="7">
        <f t="shared" si="642"/>
        <v>-39328.208835228746</v>
      </c>
      <c r="Y53" s="7">
        <f t="shared" si="642"/>
        <v>-600.86744346454248</v>
      </c>
      <c r="Z53" s="7">
        <f t="shared" si="642"/>
        <v>17123.555482524709</v>
      </c>
      <c r="AA53" s="7">
        <f t="shared" si="642"/>
        <v>16099.218176244454</v>
      </c>
      <c r="AB53" s="7">
        <f t="shared" si="642"/>
        <v>-321206.71624667977</v>
      </c>
      <c r="AC53" s="7">
        <f t="shared" si="642"/>
        <v>-235195.77509222383</v>
      </c>
      <c r="AD53" s="7">
        <f t="shared" si="642"/>
        <v>-222714.08253289945</v>
      </c>
      <c r="AE53" s="7">
        <f t="shared" si="642"/>
        <v>-106844.65031243487</v>
      </c>
      <c r="AF53" s="7">
        <f t="shared" si="642"/>
        <v>214874.28983033655</v>
      </c>
      <c r="AG53" s="7">
        <f t="shared" si="642"/>
        <v>485576.97322965018</v>
      </c>
      <c r="AH53" s="7">
        <f t="shared" si="642"/>
        <v>356739.77080509166</v>
      </c>
      <c r="AI53" s="7">
        <f t="shared" si="642"/>
        <v>348948.66205260565</v>
      </c>
      <c r="AJ53" s="7">
        <f t="shared" si="642"/>
        <v>-56819.281002204283</v>
      </c>
      <c r="AK53" s="7">
        <f t="shared" si="642"/>
        <v>-35909.444078000117</v>
      </c>
      <c r="AL53" s="7">
        <f t="shared" si="642"/>
        <v>2258.4801668339637</v>
      </c>
      <c r="AM53" s="7">
        <f t="shared" si="642"/>
        <v>24474.809845417862</v>
      </c>
      <c r="AN53" s="7">
        <f t="shared" ref="AN53:BJ53" si="643">IF(OR(AN51="",AN52=""),"",AN51+AN52)</f>
        <v>-476544.48375088215</v>
      </c>
      <c r="AO53" s="7">
        <f t="shared" si="643"/>
        <v>-228130.33860394912</v>
      </c>
      <c r="AP53" s="7">
        <f t="shared" si="643"/>
        <v>-153640.23550243455</v>
      </c>
      <c r="AQ53" s="7">
        <f t="shared" si="643"/>
        <v>-216086.4785450614</v>
      </c>
      <c r="AR53" s="7">
        <f t="shared" si="643"/>
        <v>649075.51280210889</v>
      </c>
      <c r="AS53" s="7">
        <f t="shared" si="643"/>
        <v>1008986.069620346</v>
      </c>
      <c r="AT53" s="7">
        <f t="shared" si="643"/>
        <v>653445.03802994313</v>
      </c>
      <c r="AU53" s="7">
        <f t="shared" si="643"/>
        <v>485427.43112862378</v>
      </c>
      <c r="AV53" s="7">
        <f t="shared" si="643"/>
        <v>-224429.20171784144</v>
      </c>
      <c r="AW53" s="7">
        <f t="shared" si="643"/>
        <v>-220815.40907905137</v>
      </c>
      <c r="AX53" s="7">
        <f t="shared" si="643"/>
        <v>-235413.53530133265</v>
      </c>
      <c r="AY53" s="7">
        <f t="shared" si="643"/>
        <v>-236296.18919771389</v>
      </c>
      <c r="AZ53" s="7">
        <f t="shared" si="643"/>
        <v>35618.352102970435</v>
      </c>
      <c r="BA53" s="7">
        <f t="shared" si="643"/>
        <v>457273.75589692051</v>
      </c>
      <c r="BB53" s="7">
        <f t="shared" si="643"/>
        <v>-217912.4998477331</v>
      </c>
      <c r="BC53" s="7">
        <f t="shared" si="643"/>
        <v>-203104.39550767734</v>
      </c>
      <c r="BD53" s="7">
        <f t="shared" si="643"/>
        <v>-232001.69698062461</v>
      </c>
      <c r="BE53" s="7">
        <f t="shared" si="643"/>
        <v>-262316.10398111213</v>
      </c>
      <c r="BF53" s="7">
        <f t="shared" si="643"/>
        <v>-263311.46488353203</v>
      </c>
      <c r="BG53" s="7">
        <f t="shared" si="643"/>
        <v>-267919.68009534595</v>
      </c>
      <c r="BH53" s="7">
        <f t="shared" si="643"/>
        <v>-234816.22968294061</v>
      </c>
      <c r="BI53" s="7">
        <f t="shared" si="643"/>
        <v>-228539.33613186487</v>
      </c>
      <c r="BJ53" s="7">
        <f t="shared" si="643"/>
        <v>-244691.62893658664</v>
      </c>
      <c r="BK53" s="7">
        <f t="shared" ref="BK53:BL53" si="644">IF(OR(BK51="",BK52=""),"",BK51+BK52)</f>
        <v>-262410.08169949905</v>
      </c>
      <c r="BL53" s="7">
        <f t="shared" si="644"/>
        <v>34568.167964567117</v>
      </c>
      <c r="BM53" s="7">
        <f t="shared" ref="BM53:BN53" si="645">IF(OR(BM51="",BM52=""),"",BM51+BM52)</f>
        <v>-17892.717576165542</v>
      </c>
      <c r="BN53" s="7">
        <f t="shared" si="645"/>
        <v>-16085.399029068049</v>
      </c>
      <c r="BO53" s="7">
        <f t="shared" ref="BO53:BP53" si="646">IF(OR(BO51="",BO52=""),"",BO51+BO52)</f>
        <v>-13988.690504307406</v>
      </c>
      <c r="BP53" s="7">
        <f t="shared" si="646"/>
        <v>4166.3311885301146</v>
      </c>
      <c r="BQ53" s="7">
        <f t="shared" ref="BQ53:BR53" si="647">IF(OR(BQ51="",BQ52=""),"",BQ51+BQ52)</f>
        <v>8669.0420979860755</v>
      </c>
      <c r="BR53" s="7">
        <f t="shared" si="647"/>
        <v>4226.615137600048</v>
      </c>
      <c r="BS53" s="7">
        <f t="shared" ref="BS53:BT53" si="648">IF(OR(BS51="",BS52=""),"",BS51+BS52)</f>
        <v>-10417.82836907144</v>
      </c>
      <c r="BT53" s="7">
        <f t="shared" si="648"/>
        <v>-19583.256538619909</v>
      </c>
      <c r="BU53" s="7">
        <f t="shared" ref="BU53:BV53" si="649">IF(OR(BU51="",BU52=""),"",BU51+BU52)</f>
        <v>-16394.798874143893</v>
      </c>
      <c r="BV53" s="7">
        <f t="shared" si="649"/>
        <v>-16497.450105321208</v>
      </c>
      <c r="BW53" s="7">
        <f t="shared" ref="BW53:BX53" si="650">IF(OR(BW51="",BW52=""),"",BW51+BW52)</f>
        <v>-18296.502822160641</v>
      </c>
      <c r="BX53" s="7">
        <f t="shared" si="650"/>
        <v>5628.7607270526396</v>
      </c>
      <c r="BY53" s="7">
        <f t="shared" ref="BY53:BZ53" si="651">IF(OR(BY51="",BY52=""),"",BY51+BY52)</f>
        <v>-1074.8344153691887</v>
      </c>
      <c r="BZ53" s="7">
        <f t="shared" si="651"/>
        <v>-946.80984222804955</v>
      </c>
      <c r="CA53" s="7">
        <f t="shared" ref="CA53:CB53" si="652">IF(OR(CA51="",CA52=""),"",CA51+CA52)</f>
        <v>-1002.4166445780238</v>
      </c>
      <c r="CB53" s="7">
        <f t="shared" si="652"/>
        <v>-1154.6543138129789</v>
      </c>
      <c r="CC53" s="7">
        <f t="shared" ref="CC53:CD53" si="653">IF(OR(CC51="",CC52=""),"",CC51+CC52)</f>
        <v>-1318.5011140906313</v>
      </c>
      <c r="CD53" s="7">
        <f t="shared" si="653"/>
        <v>-1281.3422395303742</v>
      </c>
      <c r="CE53" s="7">
        <f t="shared" ref="CE53:CF53" si="654">IF(OR(CE51="",CE52=""),"",CE51+CE52)</f>
        <v>-1175.6959580934022</v>
      </c>
      <c r="CF53" s="7">
        <f t="shared" si="654"/>
        <v>-3890.1873919620666</v>
      </c>
      <c r="CG53" s="7">
        <f t="shared" ref="CG53:CH53" si="655">IF(OR(CG51="",CG52=""),"",CG51+CG52)</f>
        <v>-892.9071289880186</v>
      </c>
      <c r="CH53" s="7">
        <f t="shared" si="655"/>
        <v>-933.05742375129728</v>
      </c>
      <c r="CI53" s="7">
        <f t="shared" ref="CI53:CJ53" si="656">IF(OR(CI51="",CI52=""),"",CI51+CI52)</f>
        <v>-726.33948734458568</v>
      </c>
      <c r="CJ53" s="7">
        <f t="shared" si="656"/>
        <v>250.58135539331158</v>
      </c>
      <c r="CK53" s="7">
        <f t="shared" ref="CK53:CL53" si="657">IF(OR(CK51="",CK52=""),"",CK51+CK52)</f>
        <v>429.33970447803097</v>
      </c>
      <c r="CL53" s="7">
        <f t="shared" si="657"/>
        <v>410.20385458450221</v>
      </c>
      <c r="CM53" s="7">
        <f t="shared" ref="CM53:CN53" si="658">IF(OR(CM51="",CM52=""),"",CM51+CM52)</f>
        <v>373.77007895787779</v>
      </c>
      <c r="CN53" s="7">
        <f t="shared" si="658"/>
        <v>376.81151215651789</v>
      </c>
      <c r="CO53" s="7">
        <f t="shared" ref="CO53:CP53" si="659">IF(OR(CO51="",CO52=""),"",CO51+CO52)</f>
        <v>389.04109996206125</v>
      </c>
      <c r="CP53" s="7">
        <f t="shared" si="659"/>
        <v>383.40180545400074</v>
      </c>
      <c r="CQ53" s="7">
        <f t="shared" ref="CQ53:CR53" si="660">IF(OR(CQ51="",CQ52=""),"",CQ51+CQ52)</f>
        <v>361.14250043652487</v>
      </c>
      <c r="CR53" s="7">
        <f t="shared" si="660"/>
        <v>318.35148300165224</v>
      </c>
      <c r="CS53" s="7">
        <f t="shared" ref="CS53:CU53" si="661">IF(OR(CS51="",CS52=""),"",CS51+CS52)</f>
        <v>292.52121680452547</v>
      </c>
      <c r="CT53" s="7">
        <f t="shared" si="661"/>
        <v>309.13644619357308</v>
      </c>
      <c r="CU53" s="7">
        <f t="shared" si="661"/>
        <v>329.14329524645143</v>
      </c>
    </row>
    <row r="54" spans="1:99" s="4" customFormat="1" hidden="1" outlineLevel="1" x14ac:dyDescent="0.35">
      <c r="A54" s="295"/>
      <c r="B54" s="18" t="s">
        <v>17</v>
      </c>
      <c r="C54" s="26"/>
      <c r="D54" s="26"/>
      <c r="E54" s="7">
        <f>E53</f>
        <v>0</v>
      </c>
      <c r="F54" s="7">
        <f>IF(OR(F53="",E54=""),"",F53+E54)</f>
        <v>0</v>
      </c>
      <c r="G54" s="7">
        <f t="shared" ref="G54:N54" si="662">IF(OR(G53="",F54=""),"",G53+F54)</f>
        <v>-2461.7695162622331</v>
      </c>
      <c r="H54" s="7">
        <f t="shared" si="662"/>
        <v>-36238.723907761458</v>
      </c>
      <c r="I54" s="7">
        <f t="shared" si="662"/>
        <v>-57908.903995658315</v>
      </c>
      <c r="J54" s="7">
        <f t="shared" si="662"/>
        <v>-70278.265581946558</v>
      </c>
      <c r="K54" s="7">
        <f t="shared" si="662"/>
        <v>-59608.186985473985</v>
      </c>
      <c r="L54" s="7">
        <f t="shared" si="662"/>
        <v>-51924.784373839459</v>
      </c>
      <c r="M54" s="7">
        <f t="shared" si="662"/>
        <v>-32792.670331249086</v>
      </c>
      <c r="N54" s="7">
        <f t="shared" si="662"/>
        <v>4899.8288293645965</v>
      </c>
      <c r="O54" s="7">
        <f>IF(OR(O53="",N54=""),"",O53+O49+N54)</f>
        <v>39585.328288859979</v>
      </c>
      <c r="P54" s="7">
        <f>IF(OR(P53="",O54=""),"",P53+P49+O54+P46)</f>
        <v>703901.31065062503</v>
      </c>
      <c r="Q54" s="7">
        <f t="shared" ref="Q54" si="663">IF(OR(Q53="",P54=""),"",Q53+Q49+P54)</f>
        <v>508406.93608031719</v>
      </c>
      <c r="R54" s="7">
        <f t="shared" ref="R54" si="664">IF(OR(R53="",Q54=""),"",R53+R49+Q54)</f>
        <v>275782.06181735452</v>
      </c>
      <c r="S54" s="7">
        <f t="shared" ref="S54" si="665">IF(OR(S53="",R54=""),"",S53+S49+R54)</f>
        <v>71859.312607251515</v>
      </c>
      <c r="T54" s="7">
        <f t="shared" ref="T54" si="666">IF(OR(T53="",S54=""),"",T53+T49+S54)</f>
        <v>-51105.379170204571</v>
      </c>
      <c r="U54" s="7">
        <f t="shared" ref="U54" si="667">IF(OR(U53="",T54=""),"",U53+U49+T54)</f>
        <v>-96812.907392808615</v>
      </c>
      <c r="V54" s="7">
        <f t="shared" ref="V54" si="668">IF(OR(V53="",U54=""),"",V53+V49+U54)</f>
        <v>-155275.16580366541</v>
      </c>
      <c r="W54" s="7">
        <f t="shared" ref="W54" si="669">IF(OR(W53="",V54=""),"",W53+W49+V54)</f>
        <v>-161645.13169180712</v>
      </c>
      <c r="X54" s="7">
        <f t="shared" ref="X54" si="670">IF(OR(X53="",W54=""),"",X53+X49+W54)</f>
        <v>-277967.15052703588</v>
      </c>
      <c r="Y54" s="7">
        <f t="shared" ref="Y54" si="671">IF(OR(Y53="",X54=""),"",Y53+Y49+X54)</f>
        <v>-347679.12797050038</v>
      </c>
      <c r="Z54" s="7">
        <f t="shared" ref="Z54" si="672">IF(OR(Z53="",Y54=""),"",Z53+Z49+Y54)</f>
        <v>-402943.16248797567</v>
      </c>
      <c r="AA54" s="7">
        <f t="shared" ref="AA54" si="673">IF(OR(AA53="",Z54=""),"",AA53+AA49+Z54)</f>
        <v>-474027.6943117312</v>
      </c>
      <c r="AB54" s="7">
        <f t="shared" ref="AB54" si="674">IF(OR(AB53="",AA54=""),"",AB53+AB49+AA54)</f>
        <v>-753373.23055841099</v>
      </c>
      <c r="AC54" s="7">
        <f t="shared" ref="AC54" si="675">IF(OR(AC53="",AB54=""),"",AC53+AC49+AB54)</f>
        <v>-949549.52565063478</v>
      </c>
      <c r="AD54" s="7">
        <f t="shared" ref="AD54" si="676">IF(OR(AD53="",AC54=""),"",AD53+AD49+AC54)</f>
        <v>-1132892.5581835343</v>
      </c>
      <c r="AE54" s="7">
        <f t="shared" ref="AE54" si="677">IF(OR(AE53="",AD54=""),"",AE53+AE49+AD54)</f>
        <v>-1200701.058495969</v>
      </c>
      <c r="AF54" s="7">
        <f t="shared" ref="AF54" si="678">IF(OR(AF53="",AE54=""),"",AF53+AF49+AE54)</f>
        <v>-939281.24866563245</v>
      </c>
      <c r="AG54" s="7">
        <f t="shared" ref="AG54" si="679">IF(OR(AG53="",AF54=""),"",AG53+AG49+AF54)</f>
        <v>-404277.6854359823</v>
      </c>
      <c r="AH54" s="7">
        <f t="shared" ref="AH54" si="680">IF(OR(AH53="",AG54=""),"",AH53+AH49+AG54)</f>
        <v>-761.25463089067489</v>
      </c>
      <c r="AI54" s="7">
        <f t="shared" ref="AI54" si="681">IF(OR(AI53="",AH54=""),"",AI53+AI49+AH54)</f>
        <v>395784.367421715</v>
      </c>
      <c r="AJ54" s="7">
        <f t="shared" ref="AJ54" si="682">IF(OR(AJ53="",AI54=""),"",AJ53+AJ49+AI54)</f>
        <v>382212.42641951074</v>
      </c>
      <c r="AK54" s="7">
        <f t="shared" ref="AK54" si="683">IF(OR(AK53="",AJ54=""),"",AK53+AK49+AJ54)</f>
        <v>384765.71234151063</v>
      </c>
      <c r="AL54" s="7">
        <f t="shared" ref="AL54" si="684">IF(OR(AL53="",AK54=""),"",AL53+AL49+AK54)</f>
        <v>428912.5125083446</v>
      </c>
      <c r="AM54" s="7">
        <f t="shared" ref="AM54" si="685">IF(OR(AM53="",AL54=""),"",AM53+AM49+AL54)</f>
        <v>499135.92235376243</v>
      </c>
      <c r="AN54" s="7">
        <f t="shared" ref="AN54" si="686">IF(OR(AN53="",AM54=""),"",AN53+AN49+AM54)</f>
        <v>-17353.861397119705</v>
      </c>
      <c r="AO54" s="7">
        <f t="shared" ref="AO54" si="687">IF(OR(AO53="",AN54=""),"",AO53+AO49+AN54)</f>
        <v>-283400.66000106884</v>
      </c>
      <c r="AP54" s="7">
        <f t="shared" ref="AP54" si="688">IF(OR(AP53="",AO54=""),"",AP53+AP49+AO54)</f>
        <v>-471115.14550350339</v>
      </c>
      <c r="AQ54" s="7">
        <f t="shared" ref="AQ54" si="689">IF(OR(AQ53="",AP54=""),"",AQ53+AQ49+AP54)</f>
        <v>-722419.17404856486</v>
      </c>
      <c r="AR54" s="7">
        <f t="shared" ref="AR54" si="690">IF(OR(AR53="",AQ54=""),"",AR53+AR49+AQ54)</f>
        <v>-112528.39124645595</v>
      </c>
      <c r="AS54" s="7">
        <f t="shared" ref="AS54" si="691">IF(OR(AS53="",AR54=""),"",AS53+AS49+AR54)</f>
        <v>854298.84837389004</v>
      </c>
      <c r="AT54" s="7">
        <f t="shared" ref="AT54" si="692">IF(OR(AT53="",AS54=""),"",AT53+AT49+AS54)</f>
        <v>1464609.4164038333</v>
      </c>
      <c r="AU54" s="7">
        <f t="shared" ref="AU54" si="693">IF(OR(AU53="",AT54=""),"",AU53+AU49+AT54)</f>
        <v>1906490.4775324571</v>
      </c>
      <c r="AV54" s="7">
        <f t="shared" ref="AV54" si="694">IF(OR(AV53="",AU54=""),"",AV53+AV49+AU54)</f>
        <v>1642075.2858146157</v>
      </c>
      <c r="AW54" s="7">
        <f t="shared" ref="AW54" si="695">IF(OR(AW53="",AV54=""),"",AW53+AW49+AV54)</f>
        <v>1385964.8267355643</v>
      </c>
      <c r="AX54" s="7">
        <f t="shared" ref="AX54" si="696">IF(OR(AX53="",AW54=""),"",AX53+AX49+AW54)</f>
        <v>1112256.1614342316</v>
      </c>
      <c r="AY54" s="7">
        <f t="shared" ref="AY54" si="697">IF(OR(AY53="",AX54=""),"",AY53+AY49+AX54)</f>
        <v>836348.92223651765</v>
      </c>
      <c r="AZ54" s="7">
        <f t="shared" ref="AZ54" si="698">IF(OR(AZ53="",AY54=""),"",AZ53+AZ49+AY54)</f>
        <v>736185.34433948807</v>
      </c>
      <c r="BA54" s="7">
        <f t="shared" ref="BA54" si="699">IF(OR(BA53="",AZ54=""),"",BA53+BA49+AZ54)</f>
        <v>1137213.7102364085</v>
      </c>
      <c r="BB54" s="7">
        <f t="shared" ref="BB54" si="700">IF(OR(BB53="",BA54=""),"",BB53+BB49+BA54)</f>
        <v>871984.30038867542</v>
      </c>
      <c r="BC54" s="7">
        <f t="shared" ref="BC54" si="701">IF(OR(BC53="",BB54=""),"",BC53+BC49+BB54)</f>
        <v>624949.704880998</v>
      </c>
      <c r="BD54" s="7">
        <f t="shared" ref="BD54" si="702">IF(OR(BD53="",BC54=""),"",BD53+BD49+BC54)</f>
        <v>340656.80790037342</v>
      </c>
      <c r="BE54" s="7">
        <f t="shared" ref="BE54" si="703">IF(OR(BE53="",BD54=""),"",BE53+BE49+BD54)</f>
        <v>17285.773919261293</v>
      </c>
      <c r="BF54" s="7">
        <f t="shared" ref="BF54" si="704">IF(OR(BF53="",BE54=""),"",BF53+BF49+BE54)</f>
        <v>-306780.85096427076</v>
      </c>
      <c r="BG54" s="7">
        <f t="shared" ref="BG54" si="705">IF(OR(BG53="",BF54=""),"",BG53+BG49+BF54)</f>
        <v>-635242.8910596167</v>
      </c>
      <c r="BH54" s="7">
        <f t="shared" ref="BH54" si="706">IF(OR(BH53="",BG54=""),"",BH53+BH49+BG54)</f>
        <v>-921719.99074255733</v>
      </c>
      <c r="BI54" s="7">
        <f t="shared" ref="BI54" si="707">IF(OR(BI53="",BH54=""),"",BI53+BI49+BH54)</f>
        <v>-1200576.9868744221</v>
      </c>
      <c r="BJ54" s="7">
        <f t="shared" ref="BJ54:CR54" si="708">IF(OR(BJ53="",BI54=""),"",BJ53+BJ49+BI54)</f>
        <v>-1499357.0458110087</v>
      </c>
      <c r="BK54" s="7">
        <f t="shared" si="708"/>
        <v>-1819735.5975105078</v>
      </c>
      <c r="BL54" s="7">
        <f t="shared" si="708"/>
        <v>-1940352.7195459406</v>
      </c>
      <c r="BM54" s="7">
        <f t="shared" si="708"/>
        <v>-1814094.2371221061</v>
      </c>
      <c r="BN54" s="7">
        <f t="shared" si="708"/>
        <v>-1701039.9061511741</v>
      </c>
      <c r="BO54" s="7">
        <f t="shared" si="708"/>
        <v>-1583532.5766554815</v>
      </c>
      <c r="BP54" s="7">
        <f t="shared" si="708"/>
        <v>-1432682.5754669514</v>
      </c>
      <c r="BQ54" s="7">
        <f t="shared" si="708"/>
        <v>-1253285.7333689653</v>
      </c>
      <c r="BR54" s="7">
        <f t="shared" si="708"/>
        <v>-1079266.5182313654</v>
      </c>
      <c r="BS54" s="7">
        <f t="shared" si="708"/>
        <v>-916642.70660043682</v>
      </c>
      <c r="BT54" s="7">
        <f t="shared" si="708"/>
        <v>-784136.53313905676</v>
      </c>
      <c r="BU54" s="7">
        <f t="shared" si="708"/>
        <v>-665385.1820132006</v>
      </c>
      <c r="BV54" s="7">
        <f t="shared" si="708"/>
        <v>-534178.9621185218</v>
      </c>
      <c r="BW54" s="7">
        <f t="shared" si="708"/>
        <v>-394661.64494068245</v>
      </c>
      <c r="BX54" s="7">
        <f t="shared" si="708"/>
        <v>-294575.15421362984</v>
      </c>
      <c r="BY54" s="7">
        <f t="shared" si="708"/>
        <v>-264876.62862899899</v>
      </c>
      <c r="BZ54" s="7">
        <f t="shared" si="708"/>
        <v>-237317.57847122705</v>
      </c>
      <c r="CA54" s="7">
        <f t="shared" si="708"/>
        <v>-209115.45511580509</v>
      </c>
      <c r="CB54" s="7">
        <f t="shared" si="708"/>
        <v>-177622.87942961807</v>
      </c>
      <c r="CC54" s="7">
        <f t="shared" si="708"/>
        <v>-141598.8005437087</v>
      </c>
      <c r="CD54" s="7">
        <f t="shared" si="708"/>
        <v>-106442.96278323907</v>
      </c>
      <c r="CE54" s="7">
        <f t="shared" si="708"/>
        <v>-72837.318741332478</v>
      </c>
      <c r="CF54" s="7">
        <f t="shared" si="708"/>
        <v>-46787.476133294549</v>
      </c>
      <c r="CG54" s="7">
        <f t="shared" si="708"/>
        <v>-19426.403262282569</v>
      </c>
      <c r="CH54" s="7">
        <f t="shared" si="708"/>
        <v>12291.019313966135</v>
      </c>
      <c r="CI54" s="7">
        <f t="shared" si="708"/>
        <v>45190.339826621552</v>
      </c>
      <c r="CJ54" s="7">
        <f t="shared" si="708"/>
        <v>61995.271182014862</v>
      </c>
      <c r="CK54" s="7">
        <f t="shared" si="708"/>
        <v>59008.730886492893</v>
      </c>
      <c r="CL54" s="7">
        <f t="shared" si="708"/>
        <v>56044.244741077397</v>
      </c>
      <c r="CM54" s="7">
        <f t="shared" si="708"/>
        <v>52902.294820035277</v>
      </c>
      <c r="CN54" s="7">
        <f t="shared" si="708"/>
        <v>49429.026332191796</v>
      </c>
      <c r="CO54" s="7">
        <f t="shared" si="708"/>
        <v>45671.59743215386</v>
      </c>
      <c r="CP54" s="7">
        <f t="shared" si="708"/>
        <v>41796.459237607858</v>
      </c>
      <c r="CQ54" s="7">
        <f t="shared" si="708"/>
        <v>37877.011738044384</v>
      </c>
      <c r="CR54" s="7">
        <f t="shared" si="708"/>
        <v>34414.153221046035</v>
      </c>
      <c r="CS54" s="7">
        <f t="shared" ref="CS54" si="709">IF(OR(CS53="",CR54=""),"",CS53+CS49+CR54)</f>
        <v>31169.744437850561</v>
      </c>
      <c r="CT54" s="7">
        <f t="shared" ref="CT54" si="710">IF(OR(CT53="",CS54=""),"",CT53+CT49+CS54)</f>
        <v>27676.960884044132</v>
      </c>
      <c r="CU54" s="7">
        <f t="shared" ref="CU54" si="711">IF(OR(CU53="",CT54=""),"",CU53+CU49+CT54)</f>
        <v>23769.564179290584</v>
      </c>
    </row>
    <row r="55" spans="1:99" s="4" customFormat="1" ht="8.25" hidden="1" customHeight="1" outlineLevel="1" x14ac:dyDescent="0.35">
      <c r="A55" s="40"/>
      <c r="B55" s="11"/>
      <c r="C55" s="11"/>
      <c r="D55" s="11"/>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row>
    <row r="56" spans="1:99" s="4" customFormat="1" ht="15" hidden="1" customHeight="1" outlineLevel="1" x14ac:dyDescent="0.35">
      <c r="A56" s="295" t="s">
        <v>23</v>
      </c>
      <c r="B56" s="15"/>
      <c r="C56" s="30"/>
      <c r="D56" s="30"/>
      <c r="E56" s="7"/>
      <c r="F56" s="7"/>
      <c r="G56" s="7"/>
      <c r="H56" s="7"/>
      <c r="I56" s="7"/>
      <c r="J56" s="7"/>
      <c r="K56" s="7"/>
      <c r="L56" s="7"/>
      <c r="M56" s="7"/>
      <c r="N56" s="7"/>
      <c r="O56" s="7"/>
      <c r="P56" s="68">
        <v>2477461.885016053</v>
      </c>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125">
        <v>-1222.8910428397539</v>
      </c>
      <c r="CG56" s="7"/>
      <c r="CH56" s="7"/>
      <c r="CI56" s="113">
        <f>'MEEIA 2 adjs'!EC63</f>
        <v>34.920399904920714</v>
      </c>
      <c r="CJ56" s="7"/>
      <c r="CK56" s="7"/>
      <c r="CL56" s="7"/>
      <c r="CM56" s="7"/>
      <c r="CN56" s="7"/>
      <c r="CO56" s="7"/>
      <c r="CP56" s="7"/>
      <c r="CQ56" s="7"/>
      <c r="CR56" s="7"/>
      <c r="CS56" s="7"/>
      <c r="CT56" s="7"/>
      <c r="CU56" s="7"/>
    </row>
    <row r="57" spans="1:99" s="2" customFormat="1" ht="15" hidden="1" customHeight="1" outlineLevel="1" x14ac:dyDescent="0.35">
      <c r="A57" s="295"/>
      <c r="B57" s="15" t="s">
        <v>28</v>
      </c>
      <c r="C57" s="30"/>
      <c r="D57" s="30"/>
      <c r="E57" s="20">
        <f>IF('M2 Allocations - TD'!D8="","",'M2 Allocations - TD'!D34)</f>
        <v>0</v>
      </c>
      <c r="F57" s="20">
        <f>IF('M2 Allocations - TD'!E8="","",'M2 Allocations - TD'!E34)</f>
        <v>0</v>
      </c>
      <c r="G57" s="20">
        <f>IF('M2 Allocations - TD'!F8="","",'M2 Allocations - TD'!F34)</f>
        <v>0</v>
      </c>
      <c r="H57" s="20">
        <f>IF('M2 Allocations - TD'!G8="","",'M2 Allocations - TD'!G34)</f>
        <v>526.23</v>
      </c>
      <c r="I57" s="20">
        <f>IF('M2 Allocations - TD'!H8="","",'M2 Allocations - TD'!H34)</f>
        <v>1707.2399999999998</v>
      </c>
      <c r="J57" s="20">
        <f>IF('M2 Allocations - TD'!I8="","",'M2 Allocations - TD'!I34)</f>
        <v>2230.0207254609436</v>
      </c>
      <c r="K57" s="20">
        <f>IF('M2 Allocations - TD'!J8="","",'M2 Allocations - TD'!J34)</f>
        <v>4794.6581417484167</v>
      </c>
      <c r="L57" s="20">
        <f>IF('M2 Allocations - TD'!K8="","",'M2 Allocations - TD'!K34)</f>
        <v>4373.862445788076</v>
      </c>
      <c r="M57" s="20">
        <f>IF('M2 Allocations - TD'!L8="","",'M2 Allocations - TD'!L34)</f>
        <v>7453.242982336099</v>
      </c>
      <c r="N57" s="20">
        <f>IF('M2 Allocations - TD'!M8="","",'M2 Allocations - TD'!M34)</f>
        <v>18084.577784318448</v>
      </c>
      <c r="O57" s="20">
        <f>IF('M2 Allocations - TD'!N8="","",'M2 Allocations - TD'!N34)</f>
        <v>27963.810761260709</v>
      </c>
      <c r="P57" s="20">
        <f>IF('M2 Allocations - TD'!O8="","",'M2 Allocations - TD'!O34)</f>
        <v>24456.059952649921</v>
      </c>
      <c r="Q57" s="20">
        <f>IF('M2 Allocations - TD'!P8="","",'M2 Allocations - TD'!P34)</f>
        <v>29615.310672687767</v>
      </c>
      <c r="R57" s="20">
        <f>IF('M2 Allocations - TD'!Q8="","",'M2 Allocations - TD'!Q34)</f>
        <v>12166.436689655247</v>
      </c>
      <c r="S57" s="20">
        <f>IF('M2 Allocations - TD'!R8="","",'M2 Allocations - TD'!R34)</f>
        <v>28108.084360485296</v>
      </c>
      <c r="T57" s="20">
        <f>IF('M2 Allocations - TD'!S8="","",'M2 Allocations - TD'!S34)</f>
        <v>128148.15141495112</v>
      </c>
      <c r="U57" s="20">
        <f>IF('M2 Allocations - TD'!T8="","",'M2 Allocations - TD'!T34)</f>
        <v>175689.74</v>
      </c>
      <c r="V57" s="20">
        <f>IF('M2 Allocations - TD'!U8="","",'M2 Allocations - TD'!U34)</f>
        <v>218402.52810095585</v>
      </c>
      <c r="W57" s="20">
        <f>IF('M2 Allocations - TD'!V8="","",'M2 Allocations - TD'!V34)</f>
        <v>205067.89849978662</v>
      </c>
      <c r="X57" s="20">
        <f>IF('M2 Allocations - TD'!W8="","",'M2 Allocations - TD'!W34)</f>
        <v>101187.08297273742</v>
      </c>
      <c r="Y57" s="20">
        <f>IF('M2 Allocations - TD'!X8="","",'M2 Allocations - TD'!X34)</f>
        <v>97773.438006020719</v>
      </c>
      <c r="Z57" s="20">
        <f>IF('M2 Allocations - TD'!Y8="","",'M2 Allocations - TD'!Y34)</f>
        <v>113746.10309897989</v>
      </c>
      <c r="AA57" s="20">
        <f>IF('M2 Allocations - TD'!Z8="","",'M2 Allocations - TD'!Z34)</f>
        <v>131796.02801249109</v>
      </c>
      <c r="AB57" s="20">
        <f>IF('M2 Allocations - TD'!AA8="","",'M2 Allocations - TD'!AA34)</f>
        <v>116090.38160247794</v>
      </c>
      <c r="AC57" s="20">
        <f>IF('M2 Allocations - TD'!AB8="","",'M2 Allocations - TD'!AB34)</f>
        <v>132068.16497570253</v>
      </c>
      <c r="AD57" s="20">
        <f>IF('M2 Allocations - TD'!AC8="","",'M2 Allocations - TD'!AC34)</f>
        <v>133321.08677453059</v>
      </c>
      <c r="AE57" s="20">
        <f>IF('M2 Allocations - TD'!AD8="","",'M2 Allocations - TD'!AD34)</f>
        <v>180104.81791441111</v>
      </c>
      <c r="AF57" s="20">
        <f>IF('M2 Allocations - TD'!AE8="","",'M2 Allocations - TD'!AE34)</f>
        <v>422991.61425343697</v>
      </c>
      <c r="AG57" s="20">
        <f>IF('M2 Allocations - TD'!AF8="","",'M2 Allocations - TD'!AF34)</f>
        <v>543609.86073367961</v>
      </c>
      <c r="AH57" s="20">
        <f>IF('M2 Allocations - TD'!AG8="","",'M2 Allocations - TD'!AG34)</f>
        <v>486263.01132460969</v>
      </c>
      <c r="AI57" s="20">
        <f>IF('M2 Allocations - TD'!AH8="","",'M2 Allocations - TD'!AH34)</f>
        <v>414107.44556621916</v>
      </c>
      <c r="AJ57" s="20">
        <f>IF('M2 Allocations - TD'!AI8="","",'M2 Allocations - TD'!AI34)</f>
        <v>207208.35422995902</v>
      </c>
      <c r="AK57" s="20">
        <f>IF('M2 Allocations - TD'!AJ8="","",'M2 Allocations - TD'!AJ34)</f>
        <v>191307.18426831797</v>
      </c>
      <c r="AL57" s="20">
        <f>IF('M2 Allocations - TD'!AK8="","",'M2 Allocations - TD'!AK34)</f>
        <v>223825.29632810416</v>
      </c>
      <c r="AM57" s="20">
        <f>IF('M2 Allocations - TD'!AL8="","",'M2 Allocations - TD'!AL34)</f>
        <v>251714.86075436554</v>
      </c>
      <c r="AN57" s="20">
        <f>IF('M2 Allocations - TD'!AM8="","",'M2 Allocations - TD'!AM34)</f>
        <v>220841.99668727524</v>
      </c>
      <c r="AO57" s="20">
        <f>IF('M2 Allocations - TD'!AN8="","",'M2 Allocations - TD'!AN34)</f>
        <v>305651.11265488941</v>
      </c>
      <c r="AP57" s="20">
        <f>IF('M2 Allocations - TD'!AO8="","",'M2 Allocations - TD'!AO34)</f>
        <v>284274.24631552736</v>
      </c>
      <c r="AQ57" s="20">
        <f>IF('M2 Allocations - TD'!AP8="","",'M2 Allocations - TD'!AP34)</f>
        <v>294781.80288519792</v>
      </c>
      <c r="AR57" s="20">
        <f>IF('M2 Allocations - TD'!AQ8="","",'M2 Allocations - TD'!AQ34)</f>
        <v>791914.33120203775</v>
      </c>
      <c r="AS57" s="20">
        <f>IF('M2 Allocations - TD'!AR8="","",'M2 Allocations - TD'!AR34)</f>
        <v>978344.05317777325</v>
      </c>
      <c r="AT57" s="20">
        <f>IF('M2 Allocations - TD'!AS8="","",'M2 Allocations - TD'!AS34)</f>
        <v>874777.66117086785</v>
      </c>
      <c r="AU57" s="20">
        <f>IF('M2 Allocations - TD'!AT8="","",'M2 Allocations - TD'!AT34)</f>
        <v>686805.48036969628</v>
      </c>
      <c r="AV57" s="20">
        <f>IF('M2 Allocations - TD'!AU8="","",'M2 Allocations - TD'!AU34)</f>
        <v>321802.45107933023</v>
      </c>
      <c r="AW57" s="20">
        <f>IF('M2 Allocations - TD'!AV8="","",'M2 Allocations - TD'!AV34)</f>
        <v>280028.89151037188</v>
      </c>
      <c r="AX57" s="20">
        <f>IF('M2 Allocations - TD'!AW8="","",'M2 Allocations - TD'!AW34)</f>
        <v>274144.21732121875</v>
      </c>
      <c r="AY57" s="20">
        <f>IF('M2 Allocations - TD'!AX8="","",'M2 Allocations - TD'!AX34)</f>
        <v>303711.11912158254</v>
      </c>
      <c r="AZ57" s="20">
        <f>IF('M2 Allocations - TD'!AY8="","",'M2 Allocations - TD'!AY34)</f>
        <v>251998.46611210689</v>
      </c>
      <c r="BA57" s="20">
        <f>IF('M2 Allocations - TD'!AZ8="","",'M2 Allocations - TD'!AZ34)</f>
        <v>276069.3565741299</v>
      </c>
      <c r="BB57" s="20">
        <f>IF('M2 Allocations - TD'!BA8="","",'M2 Allocations - TD'!BA34)</f>
        <v>0</v>
      </c>
      <c r="BC57" s="20">
        <f>IF('M2 Allocations - TD'!BB8="","",'M2 Allocations - TD'!BB34)</f>
        <v>-315.01218360235936</v>
      </c>
      <c r="BD57" s="20">
        <f>IF('M2 Allocations - TD'!BC8="","",'M2 Allocations - TD'!BC34)</f>
        <v>0</v>
      </c>
      <c r="BE57" s="20">
        <f>IF('M2 Allocations - TD'!BD8="","",'M2 Allocations - TD'!BD34)</f>
        <v>0</v>
      </c>
      <c r="BF57" s="20">
        <f>IF('M2 Allocations - TD'!BE8="","",'M2 Allocations - TD'!BE34)</f>
        <v>16813.580000000075</v>
      </c>
      <c r="BG57" s="20">
        <f>IF('M2 Allocations - TD'!BF8="","",'M2 Allocations - TD'!BF34)</f>
        <v>19387.400000000373</v>
      </c>
      <c r="BH57" s="20">
        <f>IF('M2 Allocations - TD'!BG8="","",'M2 Allocations - TD'!BG34)</f>
        <v>6785.070000000298</v>
      </c>
      <c r="BI57" s="20">
        <f>IF('M2 Allocations - TD'!BH8="","",'M2 Allocations - TD'!BH34)</f>
        <v>6167.2299999985844</v>
      </c>
      <c r="BJ57" s="20">
        <f>IF('M2 Allocations - TD'!BI8="","",'M2 Allocations - TD'!BI34)</f>
        <v>9586.9900000002235</v>
      </c>
      <c r="BK57" s="20">
        <f>IF('M2 Allocations - TD'!BJ8="","",'M2 Allocations - TD'!BJ34)</f>
        <v>12497.580000000075</v>
      </c>
      <c r="BL57" s="20">
        <f>IF('M2 Allocations - TD'!BK8="","",'M2 Allocations - TD'!BK34)</f>
        <v>10043.310000000522</v>
      </c>
      <c r="BM57" s="20">
        <f>IF('M2 Allocations - TD'!BL8="","",'M2 Allocations - TD'!BL34)</f>
        <v>10496.050000000745</v>
      </c>
      <c r="BN57" s="20">
        <f>IF('M2 Allocations - TD'!BM8="","",'M2 Allocations - TD'!BM34)</f>
        <v>9775.9599999990314</v>
      </c>
      <c r="BO57" s="20">
        <f>IF('M2 Allocations - TD'!BN8="","",'M2 Allocations - TD'!BN34)</f>
        <v>13527.650000000373</v>
      </c>
      <c r="BP57" s="20">
        <f>IF('M2 Allocations - TD'!BO8="","",'M2 Allocations - TD'!BO34)</f>
        <v>36494.849999999627</v>
      </c>
      <c r="BQ57" s="20">
        <f>IF('M2 Allocations - TD'!BP8="","",'M2 Allocations - TD'!BP34)</f>
        <v>47679.970000000671</v>
      </c>
      <c r="BR57" s="20">
        <f>IF('M2 Allocations - TD'!BQ8="","",'M2 Allocations - TD'!BQ34)</f>
        <v>45288.439999999478</v>
      </c>
      <c r="BS57" s="20">
        <f>IF('M2 Allocations - TD'!BR8="","",'M2 Allocations - TD'!BR34)</f>
        <v>29486.400000000373</v>
      </c>
      <c r="BT57" s="20">
        <f>IF('M2 Allocations - TD'!BS8="","",'M2 Allocations - TD'!BS34)</f>
        <v>11833.289999999106</v>
      </c>
      <c r="BU57" s="20">
        <f>IF('M2 Allocations - TD'!BT8="","",'M2 Allocations - TD'!BT34)</f>
        <v>10374.580000000075</v>
      </c>
      <c r="BV57" s="20">
        <f>IF('M2 Allocations - TD'!BU8="","",'M2 Allocations - TD'!BU34)</f>
        <v>12057.450000001118</v>
      </c>
      <c r="BW57" s="20">
        <f>IF('M2 Allocations - TD'!BV8="","",'M2 Allocations - TD'!BV34)</f>
        <v>12824.789999999106</v>
      </c>
      <c r="BX57" s="20">
        <f>IF('M2 Allocations - TD'!BW8="","",'M2 Allocations - TD'!BW34)</f>
        <v>10330.179999999702</v>
      </c>
      <c r="BY57" s="20">
        <f>IF('M2 Allocations - TD'!BX8="","",'M2 Allocations - TD'!BX34)</f>
        <v>0</v>
      </c>
      <c r="BZ57" s="20">
        <f>IF('M2 Allocations - TD'!BY8="","",'M2 Allocations - TD'!BY34)</f>
        <v>0</v>
      </c>
      <c r="CA57" s="20">
        <f>IF('M2 Allocations - TD'!BZ8="","",'M2 Allocations - TD'!BZ34)</f>
        <v>0</v>
      </c>
      <c r="CB57" s="20">
        <f>IF('M2 Allocations - TD'!CA8="","",'M2 Allocations - TD'!CA34)</f>
        <v>0</v>
      </c>
      <c r="CC57" s="20">
        <f>IF('M2 Allocations - TD'!CB8="","",'M2 Allocations - TD'!CB34)</f>
        <v>0</v>
      </c>
      <c r="CD57" s="20">
        <f>IF('M2 Allocations - TD'!CC8="","",'M2 Allocations - TD'!CC34)</f>
        <v>0</v>
      </c>
      <c r="CE57" s="20">
        <f>IF('M2 Allocations - TD'!CD8="","",'M2 Allocations - TD'!CD34)</f>
        <v>0</v>
      </c>
      <c r="CF57" s="20">
        <f>IF('M2 Allocations - TD'!CE8="","",'M2 Allocations - TD'!CE34)</f>
        <v>0</v>
      </c>
      <c r="CG57" s="20">
        <f>IF('M2 Allocations - TD'!CF8="","",'M2 Allocations - TD'!CF34)</f>
        <v>0</v>
      </c>
      <c r="CH57" s="20">
        <f>IF('M2 Allocations - TD'!CG8="","",'M2 Allocations - TD'!CG34)</f>
        <v>0</v>
      </c>
      <c r="CI57" s="20">
        <f>IF('M2 Allocations - TD'!CH8="","",'M2 Allocations - TD'!CH34)</f>
        <v>0</v>
      </c>
      <c r="CJ57" s="20">
        <f>IF('M2 Allocations - TD'!CI8="","",'M2 Allocations - TD'!CI34)</f>
        <v>0</v>
      </c>
      <c r="CK57" s="20">
        <f>IF('M2 Allocations - TD'!CJ8="","",'M2 Allocations - TD'!CJ34)</f>
        <v>0</v>
      </c>
      <c r="CL57" s="20">
        <f>IF('M2 Allocations - TD'!CK8="","",'M2 Allocations - TD'!CK34)</f>
        <v>0</v>
      </c>
      <c r="CM57" s="20">
        <f>IF('M2 Allocations - TD'!CL8="","",'M2 Allocations - TD'!CL34)</f>
        <v>0</v>
      </c>
      <c r="CN57" s="20">
        <f>IF('M2 Allocations - TD'!CM8="","",'M2 Allocations - TD'!CM34)</f>
        <v>0</v>
      </c>
      <c r="CO57" s="20">
        <f>IF('M2 Allocations - TD'!CN8="","",'M2 Allocations - TD'!CN34)</f>
        <v>0</v>
      </c>
      <c r="CP57" s="20">
        <f>IF('M2 Allocations - TD'!CO8="","",'M2 Allocations - TD'!CO34)</f>
        <v>0</v>
      </c>
      <c r="CQ57" s="20">
        <f>IF('M2 Allocations - TD'!CP8="","",'M2 Allocations - TD'!CP34)</f>
        <v>0</v>
      </c>
      <c r="CR57" s="20">
        <f>IF('M2 Allocations - TD'!CQ8="","",'M2 Allocations - TD'!CQ34)</f>
        <v>0</v>
      </c>
      <c r="CS57" s="20">
        <f>IF('M2 Allocations - TD'!CR8="","",'M2 Allocations - TD'!CR34)</f>
        <v>0</v>
      </c>
      <c r="CT57" s="20">
        <f>IF('M2 Allocations - TD'!CS8="","",'M2 Allocations - TD'!CS34)</f>
        <v>0</v>
      </c>
      <c r="CU57" s="20">
        <f>IF('M2 Allocations - TD'!CT8="","",'M2 Allocations - TD'!CT34)</f>
        <v>0</v>
      </c>
    </row>
    <row r="58" spans="1:99" s="4" customFormat="1" ht="15" hidden="1" customHeight="1" outlineLevel="1" x14ac:dyDescent="0.35">
      <c r="A58" s="295"/>
      <c r="B58" s="16" t="s">
        <v>26</v>
      </c>
      <c r="C58" s="24"/>
      <c r="D58" s="24"/>
      <c r="E58" s="22">
        <v>0</v>
      </c>
      <c r="F58" s="22">
        <v>0</v>
      </c>
      <c r="G58" s="22">
        <v>1621.85</v>
      </c>
      <c r="H58" s="22">
        <v>15413.06</v>
      </c>
      <c r="I58" s="22">
        <v>19333.560000000001</v>
      </c>
      <c r="J58" s="22">
        <v>18858.009999999998</v>
      </c>
      <c r="K58" s="22">
        <v>20468.599999999999</v>
      </c>
      <c r="L58" s="22">
        <v>17365.72</v>
      </c>
      <c r="M58" s="22">
        <v>16669.060000000001</v>
      </c>
      <c r="N58" s="22">
        <v>16712.28</v>
      </c>
      <c r="O58" s="22">
        <v>31958.9</v>
      </c>
      <c r="P58" s="22">
        <f>279819.83+48637.08</f>
        <v>328456.91000000003</v>
      </c>
      <c r="Q58" s="22">
        <v>267175.5</v>
      </c>
      <c r="R58" s="20">
        <f>IF('M2 Allocations - TD'!Q53="","",'M2 Allocations - TD'!Q71)</f>
        <v>283136.40886630391</v>
      </c>
      <c r="S58" s="20">
        <f>IF('M2 Allocations - TD'!R53="","",'M2 Allocations - TD'!R71)</f>
        <v>287460.81327816768</v>
      </c>
      <c r="T58" s="20">
        <f>IF('M2 Allocations - TD'!S53="","",'M2 Allocations - TD'!S71)</f>
        <v>330409.77575572423</v>
      </c>
      <c r="U58" s="20">
        <f>IF('M2 Allocations - TD'!T53="","",'M2 Allocations - TD'!T71)</f>
        <v>323201.37525993661</v>
      </c>
      <c r="V58" s="20">
        <f>IF('M2 Allocations - TD'!U53="","",'M2 Allocations - TD'!U71)</f>
        <v>340944.20704658219</v>
      </c>
      <c r="W58" s="20">
        <f>IF('M2 Allocations - TD'!V53="","",'M2 Allocations - TD'!V71)</f>
        <v>328289.08781066153</v>
      </c>
      <c r="X58" s="20">
        <f>IF('M2 Allocations - TD'!W53="","",'M2 Allocations - TD'!W71)</f>
        <v>321452.90171375725</v>
      </c>
      <c r="Y58" s="20">
        <f>IF('M2 Allocations - TD'!X53="","",'M2 Allocations - TD'!X71)</f>
        <v>288778.65587559086</v>
      </c>
      <c r="Z58" s="20">
        <f>IF('M2 Allocations - TD'!Y53="","",'M2 Allocations - TD'!Y71)</f>
        <v>301751.31193612184</v>
      </c>
      <c r="AA58" s="20">
        <f>IF('M2 Allocations - TD'!Z53="","",'M2 Allocations - TD'!Z71)</f>
        <v>332299.53125242464</v>
      </c>
      <c r="AB58" s="20">
        <f>IF('M2 Allocations - TD'!AA53="","",'M2 Allocations - TD'!AA71)</f>
        <v>302428.95</v>
      </c>
      <c r="AC58" s="20">
        <f>IF('M2 Allocations - TD'!AB53="","",'M2 Allocations - TD'!AB71)</f>
        <v>301943.60981245001</v>
      </c>
      <c r="AD58" s="20">
        <f>IF('M2 Allocations - TD'!AC53="","",'M2 Allocations - TD'!AC71)</f>
        <v>278699.7057611302</v>
      </c>
      <c r="AE58" s="20">
        <f>IF('M2 Allocations - TD'!AD53="","",'M2 Allocations - TD'!AD71)</f>
        <v>322370.88601313852</v>
      </c>
      <c r="AF58" s="20">
        <f>IF('M2 Allocations - TD'!AE53="","",'M2 Allocations - TD'!AE71)</f>
        <v>349751.02773569047</v>
      </c>
      <c r="AG58" s="20">
        <f>IF('M2 Allocations - TD'!AF53="","",'M2 Allocations - TD'!AF71)</f>
        <v>361975.97928185289</v>
      </c>
      <c r="AH58" s="20">
        <f>IF('M2 Allocations - TD'!AG53="","",'M2 Allocations - TD'!AG71)</f>
        <v>356032.65352996916</v>
      </c>
      <c r="AI58" s="20">
        <f>IF('M2 Allocations - TD'!AH53="","",'M2 Allocations - TD'!AH71)</f>
        <v>346604.60421828728</v>
      </c>
      <c r="AJ58" s="20">
        <f>IF('M2 Allocations - TD'!AI53="","",'M2 Allocations - TD'!AI71)</f>
        <v>324956.79952393915</v>
      </c>
      <c r="AK58" s="20">
        <f>IF('M2 Allocations - TD'!AJ53="","",'M2 Allocations - TD'!AJ71)</f>
        <v>301584.85459624138</v>
      </c>
      <c r="AL58" s="20">
        <f>IF('M2 Allocations - TD'!AK53="","",'M2 Allocations - TD'!AK71)</f>
        <v>323402.5858220082</v>
      </c>
      <c r="AM58" s="20">
        <f>IF('M2 Allocations - TD'!AL53="","",'M2 Allocations - TD'!AL71)</f>
        <v>296745.40272335312</v>
      </c>
      <c r="AN58" s="20">
        <f>IF('M2 Allocations - TD'!AM53="","",'M2 Allocations - TD'!AM71)</f>
        <v>355667.68860749144</v>
      </c>
      <c r="AO58" s="20">
        <f>IF('M2 Allocations - TD'!AN53="","",'M2 Allocations - TD'!AN71)</f>
        <v>352302.39917248994</v>
      </c>
      <c r="AP58" s="20">
        <f>IF('M2 Allocations - TD'!AO53="","",'M2 Allocations - TD'!AO71)</f>
        <v>338612.44673821039</v>
      </c>
      <c r="AQ58" s="20">
        <f>IF('M2 Allocations - TD'!AP53="","",'M2 Allocations - TD'!AP71)</f>
        <v>338607.64249172056</v>
      </c>
      <c r="AR58" s="20">
        <f>IF('M2 Allocations - TD'!AQ53="","",'M2 Allocations - TD'!AQ71)</f>
        <v>393628.70516997529</v>
      </c>
      <c r="AS58" s="20">
        <f>IF('M2 Allocations - TD'!AR53="","",'M2 Allocations - TD'!AR71)</f>
        <v>395351.293050832</v>
      </c>
      <c r="AT58" s="20">
        <f>IF('M2 Allocations - TD'!AS53="","",'M2 Allocations - TD'!AS71)</f>
        <v>414954.8489846529</v>
      </c>
      <c r="AU58" s="20">
        <f>IF('M2 Allocations - TD'!AT53="","",'M2 Allocations - TD'!AT71)</f>
        <v>412666.27260449337</v>
      </c>
      <c r="AV58" s="20">
        <f>IF('M2 Allocations - TD'!AU53="","",'M2 Allocations - TD'!AU71)</f>
        <v>382499.83186560834</v>
      </c>
      <c r="AW58" s="20">
        <f>IF('M2 Allocations - TD'!AV53="","",'M2 Allocations - TD'!AV71)</f>
        <v>352969.01405759109</v>
      </c>
      <c r="AX58" s="20">
        <f>IF('M2 Allocations - TD'!AW53="","",'M2 Allocations - TD'!AW71)</f>
        <v>354749.07044000481</v>
      </c>
      <c r="AY58" s="20">
        <f>IF('M2 Allocations - TD'!AX53="","",'M2 Allocations - TD'!AX71)</f>
        <v>364800.86761435715</v>
      </c>
      <c r="AZ58" s="20">
        <f>IF('M2 Allocations - TD'!AY53="","",'M2 Allocations - TD'!AY71)</f>
        <v>290547.34153219213</v>
      </c>
      <c r="BA58" s="20">
        <f>IF('M2 Allocations - TD'!AZ53="","",'M2 Allocations - TD'!AZ71)</f>
        <v>123016.66955581112</v>
      </c>
      <c r="BB58" s="20">
        <f>IF('M2 Allocations - TD'!BA53="","",'M2 Allocations - TD'!BA71)</f>
        <v>118618.96587713738</v>
      </c>
      <c r="BC58" s="20">
        <f>IF('M2 Allocations - TD'!BB53="","",'M2 Allocations - TD'!BB71)</f>
        <v>111705.70022132192</v>
      </c>
      <c r="BD58" s="20">
        <f>IF('M2 Allocations - TD'!BC53="","",'M2 Allocations - TD'!BC71)</f>
        <v>130125.71091968814</v>
      </c>
      <c r="BE58" s="20">
        <f>IF('M2 Allocations - TD'!BD53="","",'M2 Allocations - TD'!BD71)</f>
        <v>136950.86579751672</v>
      </c>
      <c r="BF58" s="20">
        <f>IF('M2 Allocations - TD'!BE53="","",'M2 Allocations - TD'!BE71)</f>
        <v>143566.43039610708</v>
      </c>
      <c r="BG58" s="20">
        <f>IF('M2 Allocations - TD'!BF53="","",'M2 Allocations - TD'!BF71)</f>
        <v>143625.78644107448</v>
      </c>
      <c r="BH58" s="20">
        <f>IF('M2 Allocations - TD'!BG53="","",'M2 Allocations - TD'!BG71)</f>
        <v>127662.31996824293</v>
      </c>
      <c r="BI58" s="20">
        <f>IF('M2 Allocations - TD'!BH53="","",'M2 Allocations - TD'!BH71)</f>
        <v>126708.68055025722</v>
      </c>
      <c r="BJ58" s="20">
        <f>IF('M2 Allocations - TD'!BI53="","",'M2 Allocations - TD'!BI71)</f>
        <v>132518.9610920955</v>
      </c>
      <c r="BK58" s="20">
        <f>IF('M2 Allocations - TD'!BJ53="","",'M2 Allocations - TD'!BJ71)</f>
        <v>130056.06716620013</v>
      </c>
      <c r="BL58" s="20">
        <f>IF('M2 Allocations - TD'!BK53="","",'M2 Allocations - TD'!BK71)</f>
        <v>73469.336246691571</v>
      </c>
      <c r="BM58" s="20">
        <f>IF('M2 Allocations - TD'!BL53="","",'M2 Allocations - TD'!BL71)</f>
        <v>-22612.659176541922</v>
      </c>
      <c r="BN58" s="20">
        <f>IF('M2 Allocations - TD'!BM53="","",'M2 Allocations - TD'!BM71)</f>
        <v>-24415.905916675132</v>
      </c>
      <c r="BO58" s="20">
        <f>IF('M2 Allocations - TD'!BN53="","",'M2 Allocations - TD'!BN71)</f>
        <v>-26227.136477870259</v>
      </c>
      <c r="BP58" s="20">
        <f>IF('M2 Allocations - TD'!BO53="","",'M2 Allocations - TD'!BO71)</f>
        <v>-23636.693041994658</v>
      </c>
      <c r="BQ58" s="20">
        <f>IF('M2 Allocations - TD'!BP53="","",'M2 Allocations - TD'!BP71)</f>
        <v>-32709.066060894642</v>
      </c>
      <c r="BR58" s="20">
        <f>IF('M2 Allocations - TD'!BQ53="","",'M2 Allocations - TD'!BQ71)</f>
        <v>-30007.954013018152</v>
      </c>
      <c r="BS58" s="20">
        <f>IF('M2 Allocations - TD'!BR53="","",'M2 Allocations - TD'!BR71)</f>
        <v>-30398.556259296256</v>
      </c>
      <c r="BT58" s="20">
        <f>IF('M2 Allocations - TD'!BS53="","",'M2 Allocations - TD'!BS71)</f>
        <v>-26335.111362820855</v>
      </c>
      <c r="BU58" s="20">
        <f>IF('M2 Allocations - TD'!BT53="","",'M2 Allocations - TD'!BT71)</f>
        <v>-22828.889630809208</v>
      </c>
      <c r="BV58" s="20">
        <f>IF('M2 Allocations - TD'!BU53="","",'M2 Allocations - TD'!BU71)</f>
        <v>-29924.142514541847</v>
      </c>
      <c r="BW58" s="20">
        <f>IF('M2 Allocations - TD'!BV53="","",'M2 Allocations - TD'!BV71)</f>
        <v>-28848.082586273878</v>
      </c>
      <c r="BX58" s="20">
        <f>IF('M2 Allocations - TD'!BW53="","",'M2 Allocations - TD'!BW71)</f>
        <v>-20936.748032217365</v>
      </c>
      <c r="BY58" s="20">
        <f>IF('M2 Allocations - TD'!BX53="","",'M2 Allocations - TD'!BX71)</f>
        <v>-9363.3583204824445</v>
      </c>
      <c r="BZ58" s="20">
        <f>IF('M2 Allocations - TD'!BY53="","",'M2 Allocations - TD'!BY71)</f>
        <v>-9437.0051141241493</v>
      </c>
      <c r="CA58" s="20">
        <f>IF('M2 Allocations - TD'!BZ53="","",'M2 Allocations - TD'!BZ71)</f>
        <v>-9234.9091119732129</v>
      </c>
      <c r="CB58" s="20">
        <f>IF('M2 Allocations - TD'!CA53="","",'M2 Allocations - TD'!CA71)</f>
        <v>-10506.965502226194</v>
      </c>
      <c r="CC58" s="20">
        <f>IF('M2 Allocations - TD'!CB53="","",'M2 Allocations - TD'!CB71)</f>
        <v>-10928.084351774703</v>
      </c>
      <c r="CD58" s="20">
        <f>IF('M2 Allocations - TD'!CC53="","",'M2 Allocations - TD'!CC71)</f>
        <v>-10838.193004551051</v>
      </c>
      <c r="CE58" s="20">
        <f>IF('M2 Allocations - TD'!CD53="","",'M2 Allocations - TD'!CD71)</f>
        <v>-10559.893442002107</v>
      </c>
      <c r="CF58" s="20">
        <f>IF('M2 Allocations - TD'!CE53="","",'M2 Allocations - TD'!CE71)</f>
        <v>-9362.8553505780201</v>
      </c>
      <c r="CG58" s="20">
        <f>IF('M2 Allocations - TD'!CF53="","",'M2 Allocations - TD'!CF71)</f>
        <v>-9452.1264699535604</v>
      </c>
      <c r="CH58" s="20">
        <f>IF('M2 Allocations - TD'!CG53="","",'M2 Allocations - TD'!CG71)</f>
        <v>-9797.8820407188032</v>
      </c>
      <c r="CI58" s="20">
        <f>IF('M2 Allocations - TD'!CH53="","",'M2 Allocations - TD'!CH71)</f>
        <v>-9326.6664870361237</v>
      </c>
      <c r="CJ58" s="20">
        <f>IF('M2 Allocations - TD'!CI53="","",'M2 Allocations - TD'!CI71)</f>
        <v>-6080.9078580485339</v>
      </c>
      <c r="CK58" s="20">
        <f>IF('M2 Allocations - TD'!CJ53="","",'M2 Allocations - TD'!CJ71)</f>
        <v>593.75085601537899</v>
      </c>
      <c r="CL58" s="20">
        <f>IF('M2 Allocations - TD'!CK53="","",'M2 Allocations - TD'!CK71)</f>
        <v>803.2809951605052</v>
      </c>
      <c r="CM58" s="20">
        <f>IF('M2 Allocations - TD'!CL53="","",'M2 Allocations - TD'!CL71)</f>
        <v>814.06279964630232</v>
      </c>
      <c r="CN58" s="20">
        <f>IF('M2 Allocations - TD'!CM53="","",'M2 Allocations - TD'!CM71)</f>
        <v>851.34967874686606</v>
      </c>
      <c r="CO58" s="20">
        <f>IF('M2 Allocations - TD'!CN53="","",'M2 Allocations - TD'!CN71)</f>
        <v>868.7312652382152</v>
      </c>
      <c r="CP58" s="20">
        <f>IF('M2 Allocations - TD'!CO53="","",'M2 Allocations - TD'!CO71)</f>
        <v>981.25994646426079</v>
      </c>
      <c r="CQ58" s="20">
        <f>IF('M2 Allocations - TD'!CP53="","",'M2 Allocations - TD'!CP71)</f>
        <v>939.27443482392925</v>
      </c>
      <c r="CR58" s="20">
        <f>IF('M2 Allocations - TD'!CQ53="","",'M2 Allocations - TD'!CQ71)</f>
        <v>817.13074883847435</v>
      </c>
      <c r="CS58" s="20">
        <f>IF('M2 Allocations - TD'!CR53="","",'M2 Allocations - TD'!CR71)</f>
        <v>813.5866264722813</v>
      </c>
      <c r="CT58" s="20">
        <f>IF('M2 Allocations - TD'!CS53="","",'M2 Allocations - TD'!CS71)</f>
        <v>834.08600576963704</v>
      </c>
      <c r="CU58" s="20">
        <f>IF('M2 Allocations - TD'!CT53="","",'M2 Allocations - TD'!CT71)</f>
        <v>868.23903232828627</v>
      </c>
    </row>
    <row r="59" spans="1:99" s="4" customFormat="1" ht="15" hidden="1" customHeight="1" outlineLevel="1" x14ac:dyDescent="0.35">
      <c r="A59" s="295"/>
      <c r="B59" s="16" t="s">
        <v>51</v>
      </c>
      <c r="C59" s="24"/>
      <c r="D59" s="24"/>
      <c r="E59" s="22"/>
      <c r="F59" s="22"/>
      <c r="G59" s="22"/>
      <c r="H59" s="22"/>
      <c r="I59" s="22"/>
      <c r="J59" s="22"/>
      <c r="K59" s="22"/>
      <c r="L59" s="22"/>
      <c r="M59" s="22"/>
      <c r="N59" s="22"/>
      <c r="O59" s="22">
        <f>+'M2 TD amort'!C29</f>
        <v>0</v>
      </c>
      <c r="P59" s="22">
        <f>IF(P58="","",-'M2 TD amort'!D29)</f>
        <v>-218471.8</v>
      </c>
      <c r="Q59" s="22">
        <f>IF(Q58="","",-'M2 TD amort'!E29)</f>
        <v>-177710.71</v>
      </c>
      <c r="R59" s="20">
        <f>IF(R58="","",-'M2 TD amort'!F29)</f>
        <v>-191229.73</v>
      </c>
      <c r="S59" s="20">
        <f>IF(S58="","",-'M2 TD amort'!G29)</f>
        <v>-193716.84</v>
      </c>
      <c r="T59" s="20">
        <f>IF(T58="","",-'M2 TD amort'!H29)</f>
        <v>-222624.92</v>
      </c>
      <c r="U59" s="20">
        <f>IF(U58="","",-'M2 TD amort'!I29)</f>
        <v>-218073.95</v>
      </c>
      <c r="V59" s="20">
        <f>IF(V58="","",-'M2 TD amort'!J29)</f>
        <v>-230059.35</v>
      </c>
      <c r="W59" s="20">
        <f>IF(W58="","",-'M2 TD amort'!K29)</f>
        <v>-221358.47</v>
      </c>
      <c r="X59" s="20">
        <f>IF(X58="","",-'M2 TD amort'!L29)</f>
        <v>-216663.84</v>
      </c>
      <c r="Y59" s="20">
        <f>IF(Y58="","",-'M2 TD amort'!M29)</f>
        <v>-195061.62</v>
      </c>
      <c r="Z59" s="20">
        <f>IF(Z58="","",-'M2 TD amort'!N29)</f>
        <v>-204414.35</v>
      </c>
      <c r="AA59" s="20">
        <f>IF(AA58="","",-'M2 TD amort'!O29)</f>
        <v>-225860.94</v>
      </c>
      <c r="AB59" s="20">
        <f>IF(AB58="","",-'M2 TD amort'!P29)</f>
        <v>2910.27</v>
      </c>
      <c r="AC59" s="20">
        <f>IF(AC58="","",-'M2 TD amort'!Q29)</f>
        <v>2901.71</v>
      </c>
      <c r="AD59" s="20">
        <f>IF(AD58="","",-'M2 TD amort'!R29)</f>
        <v>2678.69</v>
      </c>
      <c r="AE59" s="20">
        <f>IF(AE58="","",-'M2 TD amort'!S29)</f>
        <v>3084.99</v>
      </c>
      <c r="AF59" s="20">
        <f>IF(AF58="","",-'M2 TD amort'!T29)</f>
        <v>3345.54</v>
      </c>
      <c r="AG59" s="20">
        <f>IF(AG58="","",-'M2 TD amort'!U29)</f>
        <v>3464.54</v>
      </c>
      <c r="AH59" s="20">
        <f>IF(AH58="","",-'M2 TD amort'!V29)</f>
        <v>3405.5</v>
      </c>
      <c r="AI59" s="20">
        <f>IF(AI58="","",-'M2 TD amort'!W29)</f>
        <v>3314.25</v>
      </c>
      <c r="AJ59" s="20">
        <f>IF(AJ58="","",-'M2 TD amort'!X29)</f>
        <v>3107.88</v>
      </c>
      <c r="AK59" s="20">
        <f>IF(AK58="","",-'M2 TD amort'!Y29)</f>
        <v>2892.34</v>
      </c>
      <c r="AL59" s="20">
        <f>IF(AL58="","",-'M2 TD amort'!Z29)</f>
        <v>3110.11</v>
      </c>
      <c r="AM59" s="20">
        <f>IF(AM58="","",-'M2 TD amort'!AA29)</f>
        <v>2854.53</v>
      </c>
      <c r="AN59" s="20">
        <f>IF(AN58="","",-'M2 TD amort'!AB29)</f>
        <v>44923.25</v>
      </c>
      <c r="AO59" s="20">
        <f>IF(AO58="","",-'M2 TD amort'!AC29)</f>
        <v>44472.76</v>
      </c>
      <c r="AP59" s="20">
        <f>IF(AP58="","",-'M2 TD amort'!AD29)</f>
        <v>42630.31</v>
      </c>
      <c r="AQ59" s="20">
        <f>IF(AQ58="","",-'M2 TD amort'!AE29)</f>
        <v>42527.18</v>
      </c>
      <c r="AR59" s="20">
        <f>IF(AR58="","",-'M2 TD amort'!AF29)</f>
        <v>49414.85</v>
      </c>
      <c r="AS59" s="20">
        <f>IF(AS58="","",-'M2 TD amort'!AG29)</f>
        <v>49660.75</v>
      </c>
      <c r="AT59" s="20">
        <f>IF(AT58="","",-'M2 TD amort'!AH29)</f>
        <v>52133.62</v>
      </c>
      <c r="AU59" s="20">
        <f>IF(AU58="","",-'M2 TD amort'!AI29)</f>
        <v>51817.96</v>
      </c>
      <c r="AV59" s="20">
        <f>IF(AV58="","",-'M2 TD amort'!AJ29)</f>
        <v>48015.69</v>
      </c>
      <c r="AW59" s="20">
        <f>IF(AW58="","",-'M2 TD amort'!AK29)</f>
        <v>44402.83</v>
      </c>
      <c r="AX59" s="20">
        <f>IF(AX58="","",-'M2 TD amort'!AL29)</f>
        <v>44707.199999999997</v>
      </c>
      <c r="AY59" s="20">
        <f>IF(AY58="","",-'M2 TD amort'!AM29)</f>
        <v>45991.89</v>
      </c>
      <c r="AZ59" s="20">
        <f>IF(AZ58="","",-'M2 TD amort'!AN29)</f>
        <v>-82846.45</v>
      </c>
      <c r="BA59" s="20">
        <f>IF(BA58="","",-'M2 TD amort'!AO29)</f>
        <v>-34821.199999999997</v>
      </c>
      <c r="BB59" s="20">
        <f>IF(BB58="","",-'M2 TD amort'!AP29)</f>
        <v>-33556.67</v>
      </c>
      <c r="BC59" s="20">
        <f>IF(BC58="","",-'M2 TD amort'!AQ29)</f>
        <v>-31590.7</v>
      </c>
      <c r="BD59" s="20">
        <f>IF(BD58="","",-'M2 TD amort'!AR29)</f>
        <v>-36791.480000000003</v>
      </c>
      <c r="BE59" s="20">
        <f>IF(BE58="","",-'M2 TD amort'!AS29)</f>
        <v>-38724.1</v>
      </c>
      <c r="BF59" s="20">
        <f>IF(BF58="","",-'M2 TD amort'!AT29)</f>
        <v>-40589.17</v>
      </c>
      <c r="BG59" s="20">
        <f>IF(BG58="","",-'M2 TD amort'!AU29)</f>
        <v>-40599.53</v>
      </c>
      <c r="BH59" s="20">
        <f>IF(BH58="","",-'M2 TD amort'!AV29)</f>
        <v>-36087.699999999997</v>
      </c>
      <c r="BI59" s="20">
        <f>IF(BI58="","",-'M2 TD amort'!AW29)</f>
        <v>-35832.050000000003</v>
      </c>
      <c r="BJ59" s="20">
        <f>IF(BJ58="","",-'M2 TD amort'!AX29)</f>
        <v>-37492.33</v>
      </c>
      <c r="BK59" s="20">
        <f>IF(BK58="","",-'M2 TD amort'!AY29)</f>
        <v>-36812.410000000003</v>
      </c>
      <c r="BL59" s="20">
        <f>IF(BL58="","",-'M2 TD amort'!AZ29)</f>
        <v>-123157.44</v>
      </c>
      <c r="BM59" s="20">
        <f>IF(BM58="","",-'M2 TD amort'!BA29)</f>
        <v>40007.54</v>
      </c>
      <c r="BN59" s="20">
        <f>IF(BN58="","",-'M2 TD amort'!BB29)</f>
        <v>42694.89</v>
      </c>
      <c r="BO59" s="20">
        <f>IF(BO58="","",-'M2 TD amort'!BC29)</f>
        <v>45615.15</v>
      </c>
      <c r="BP59" s="20">
        <f>IF(BP58="","",-'M2 TD amort'!BD29)</f>
        <v>41162.83</v>
      </c>
      <c r="BQ59" s="20">
        <f>IF(BQ58="","",-'M2 TD amort'!BE29)</f>
        <v>56959.49</v>
      </c>
      <c r="BR59" s="20">
        <f>IF(BR58="","",-'M2 TD amort'!BF29)</f>
        <v>52295.71</v>
      </c>
      <c r="BS59" s="20">
        <f>IF(BS58="","",-'M2 TD amort'!BG29)</f>
        <v>52959.66</v>
      </c>
      <c r="BT59" s="20">
        <f>IF(BT58="","",-'M2 TD amort'!BH29)</f>
        <v>45730.01</v>
      </c>
      <c r="BU59" s="20">
        <f>IF(BU58="","",-'M2 TD amort'!BI29)</f>
        <v>39890.089999999997</v>
      </c>
      <c r="BV59" s="20">
        <f>IF(BV58="","",-'M2 TD amort'!BJ29)</f>
        <v>52432.800000000003</v>
      </c>
      <c r="BW59" s="20">
        <f>IF(BW58="","",-'M2 TD amort'!BK29)</f>
        <v>50635.33</v>
      </c>
      <c r="BX59" s="20">
        <f>IF(BX58="","",-'M2 TD amort'!BL29)</f>
        <v>23630.6</v>
      </c>
      <c r="BY59" s="20">
        <f>IF(BY58="","",-'M2 TD amort'!BM29)</f>
        <v>10235.24</v>
      </c>
      <c r="BZ59" s="20">
        <f>IF(BZ58="","",-'M2 TD amort'!BN29)</f>
        <v>10302.52</v>
      </c>
      <c r="CA59" s="20">
        <f>IF(CA58="","",-'M2 TD amort'!BO29)</f>
        <v>10077.35</v>
      </c>
      <c r="CB59" s="20">
        <f>IF(CB58="","",-'M2 TD amort'!BP29)</f>
        <v>11463.99</v>
      </c>
      <c r="CC59" s="20">
        <f>IF(CC58="","",-'M2 TD amort'!BQ29)</f>
        <v>11928.19</v>
      </c>
      <c r="CD59" s="20">
        <f>IF(CD58="","",-'M2 TD amort'!BR29)</f>
        <v>11832.42</v>
      </c>
      <c r="CE59" s="20">
        <f>IF(CE58="","",-'M2 TD amort'!BS29)</f>
        <v>11526.06</v>
      </c>
      <c r="CF59" s="20">
        <f>IF(CF58="","",-'M2 TD amort'!BT29)</f>
        <v>10219.18</v>
      </c>
      <c r="CG59" s="20">
        <f>IF(CG58="","",-'M2 TD amort'!BU29)</f>
        <v>10320.07</v>
      </c>
      <c r="CH59" s="20">
        <f>IF(CH58="","",-'M2 TD amort'!BV29)</f>
        <v>10712.45</v>
      </c>
      <c r="CI59" s="20">
        <f>IF(CI58="","",-'M2 TD amort'!BW29)</f>
        <v>10198.379999999999</v>
      </c>
      <c r="CJ59" s="20">
        <f>IF(CJ58="","",-'M2 TD amort'!BX29)</f>
        <v>6080.44</v>
      </c>
      <c r="CK59" s="20">
        <f>IF(CK58="","",-'M2 TD amort'!BY29)</f>
        <v>-667.65</v>
      </c>
      <c r="CL59" s="20">
        <f>IF(CL58="","",-'M2 TD amort'!BZ29)</f>
        <v>-877.65</v>
      </c>
      <c r="CM59" s="20">
        <f>IF(CM58="","",-'M2 TD amort'!CA29)</f>
        <v>-877.06</v>
      </c>
      <c r="CN59" s="20">
        <f>IF(CN58="","",-'M2 TD amort'!CB29)</f>
        <v>-917.12</v>
      </c>
      <c r="CO59" s="20">
        <f>IF(CO58="","",-'M2 TD amort'!CC29)</f>
        <v>-941.31</v>
      </c>
      <c r="CP59" s="20">
        <f>IF(CP58="","",-'M2 TD amort'!CD29)</f>
        <v>-1063.3</v>
      </c>
      <c r="CQ59" s="20">
        <f>IF(CQ58="","",-'M2 TD amort'!CE29)</f>
        <v>-1016.76</v>
      </c>
      <c r="CR59" s="20">
        <f>IF(CR58="","",-'M2 TD amort'!CF29)</f>
        <v>-882.85</v>
      </c>
      <c r="CS59" s="20">
        <f>IF(CS58="","",-'M2 TD amort'!CG29)</f>
        <v>-878.74</v>
      </c>
      <c r="CT59" s="20">
        <f>IF(CT58="","",-'M2 TD amort'!CH29)</f>
        <v>-910.56</v>
      </c>
      <c r="CU59" s="20">
        <f>IF(CU58="","",-'M2 TD amort'!CI29)</f>
        <v>-955.18</v>
      </c>
    </row>
    <row r="60" spans="1:99" s="4" customFormat="1" ht="15" hidden="1" customHeight="1" outlineLevel="1" x14ac:dyDescent="0.35">
      <c r="A60" s="295"/>
      <c r="B60" s="16" t="s">
        <v>52</v>
      </c>
      <c r="C60" s="24"/>
      <c r="D60" s="24"/>
      <c r="E60" s="7"/>
      <c r="F60" s="7"/>
      <c r="G60" s="7"/>
      <c r="H60" s="7"/>
      <c r="I60" s="7"/>
      <c r="J60" s="7"/>
      <c r="K60" s="7"/>
      <c r="L60" s="7"/>
      <c r="M60" s="7"/>
      <c r="N60" s="7"/>
      <c r="O60" s="7">
        <f>IF(OR(O59="",O58=""),"",O58+O59)</f>
        <v>31958.9</v>
      </c>
      <c r="P60" s="7">
        <f t="shared" ref="P60" si="712">IF(OR(P59="",P58=""),"",P58+P59)</f>
        <v>109985.11000000004</v>
      </c>
      <c r="Q60" s="7">
        <f t="shared" ref="Q60" si="713">IF(OR(Q59="",Q58=""),"",Q58+Q59)</f>
        <v>89464.790000000008</v>
      </c>
      <c r="R60" s="7">
        <f t="shared" ref="R60" si="714">IF(OR(R59="",R58=""),"",R58+R59)</f>
        <v>91906.678866303904</v>
      </c>
      <c r="S60" s="7">
        <f t="shared" ref="S60" si="715">IF(OR(S59="",S58=""),"",S58+S59)</f>
        <v>93743.973278167687</v>
      </c>
      <c r="T60" s="7">
        <f t="shared" ref="T60" si="716">IF(OR(T59="",T58=""),"",T58+T59)</f>
        <v>107784.85575572422</v>
      </c>
      <c r="U60" s="7">
        <f t="shared" ref="U60" si="717">IF(OR(U59="",U58=""),"",U58+U59)</f>
        <v>105127.4252599366</v>
      </c>
      <c r="V60" s="7">
        <f t="shared" ref="V60" si="718">IF(OR(V59="",V58=""),"",V58+V59)</f>
        <v>110884.85704658218</v>
      </c>
      <c r="W60" s="7">
        <f t="shared" ref="W60" si="719">IF(OR(W59="",W58=""),"",W58+W59)</f>
        <v>106930.61781066153</v>
      </c>
      <c r="X60" s="7">
        <f t="shared" ref="X60" si="720">IF(OR(X59="",X58=""),"",X58+X59)</f>
        <v>104789.06171375726</v>
      </c>
      <c r="Y60" s="7">
        <f t="shared" ref="Y60" si="721">IF(OR(Y59="",Y58=""),"",Y58+Y59)</f>
        <v>93717.035875590867</v>
      </c>
      <c r="Z60" s="7">
        <f t="shared" ref="Z60" si="722">IF(OR(Z59="",Z58=""),"",Z58+Z59)</f>
        <v>97336.961936121836</v>
      </c>
      <c r="AA60" s="7">
        <f t="shared" ref="AA60" si="723">IF(OR(AA59="",AA58=""),"",AA58+AA59)</f>
        <v>106438.59125242464</v>
      </c>
      <c r="AB60" s="7">
        <f t="shared" ref="AB60" si="724">IF(OR(AB59="",AB58=""),"",AB58+AB59)</f>
        <v>305339.22000000003</v>
      </c>
      <c r="AC60" s="7">
        <f t="shared" ref="AC60" si="725">IF(OR(AC59="",AC58=""),"",AC58+AC59)</f>
        <v>304845.31981245003</v>
      </c>
      <c r="AD60" s="7">
        <f t="shared" ref="AD60" si="726">IF(OR(AD59="",AD58=""),"",AD58+AD59)</f>
        <v>281378.3957611302</v>
      </c>
      <c r="AE60" s="7">
        <f t="shared" ref="AE60" si="727">IF(OR(AE59="",AE58=""),"",AE58+AE59)</f>
        <v>325455.87601313851</v>
      </c>
      <c r="AF60" s="7">
        <f t="shared" ref="AF60" si="728">IF(OR(AF59="",AF58=""),"",AF58+AF59)</f>
        <v>353096.56773569045</v>
      </c>
      <c r="AG60" s="7">
        <f t="shared" ref="AG60" si="729">IF(OR(AG59="",AG58=""),"",AG58+AG59)</f>
        <v>365440.51928185287</v>
      </c>
      <c r="AH60" s="7">
        <f t="shared" ref="AH60" si="730">IF(OR(AH59="",AH58=""),"",AH58+AH59)</f>
        <v>359438.15352996916</v>
      </c>
      <c r="AI60" s="7">
        <f t="shared" ref="AI60" si="731">IF(OR(AI59="",AI58=""),"",AI58+AI59)</f>
        <v>349918.85421828728</v>
      </c>
      <c r="AJ60" s="7">
        <f t="shared" ref="AJ60" si="732">IF(OR(AJ59="",AJ58=""),"",AJ58+AJ59)</f>
        <v>328064.67952393915</v>
      </c>
      <c r="AK60" s="7">
        <f t="shared" ref="AK60" si="733">IF(OR(AK59="",AK58=""),"",AK58+AK59)</f>
        <v>304477.1945962414</v>
      </c>
      <c r="AL60" s="7">
        <f t="shared" ref="AL60" si="734">IF(OR(AL59="",AL58=""),"",AL58+AL59)</f>
        <v>326512.69582200819</v>
      </c>
      <c r="AM60" s="7">
        <f t="shared" ref="AM60:BJ60" si="735">IF(OR(AM59="",AM58=""),"",AM58+AM59)</f>
        <v>299599.93272335315</v>
      </c>
      <c r="AN60" s="7">
        <f t="shared" si="735"/>
        <v>400590.93860749144</v>
      </c>
      <c r="AO60" s="7">
        <f t="shared" si="735"/>
        <v>396775.15917248995</v>
      </c>
      <c r="AP60" s="7">
        <f t="shared" si="735"/>
        <v>381242.75673821039</v>
      </c>
      <c r="AQ60" s="7">
        <f t="shared" si="735"/>
        <v>381134.82249172055</v>
      </c>
      <c r="AR60" s="7">
        <f t="shared" si="735"/>
        <v>443043.55516997527</v>
      </c>
      <c r="AS60" s="7">
        <f t="shared" si="735"/>
        <v>445012.043050832</v>
      </c>
      <c r="AT60" s="7">
        <f t="shared" si="735"/>
        <v>467088.46898465289</v>
      </c>
      <c r="AU60" s="7">
        <f t="shared" si="735"/>
        <v>464484.23260449339</v>
      </c>
      <c r="AV60" s="7">
        <f t="shared" si="735"/>
        <v>430515.52186560835</v>
      </c>
      <c r="AW60" s="7">
        <f t="shared" si="735"/>
        <v>397371.84405759111</v>
      </c>
      <c r="AX60" s="7">
        <f t="shared" si="735"/>
        <v>399456.27044000482</v>
      </c>
      <c r="AY60" s="7">
        <f t="shared" si="735"/>
        <v>410792.75761435716</v>
      </c>
      <c r="AZ60" s="7">
        <f t="shared" si="735"/>
        <v>207700.89153219212</v>
      </c>
      <c r="BA60" s="7">
        <f t="shared" si="735"/>
        <v>88195.469555811127</v>
      </c>
      <c r="BB60" s="7">
        <f t="shared" si="735"/>
        <v>85062.295877137381</v>
      </c>
      <c r="BC60" s="7">
        <f t="shared" si="735"/>
        <v>80115.000221321927</v>
      </c>
      <c r="BD60" s="7">
        <f t="shared" si="735"/>
        <v>93334.230919688125</v>
      </c>
      <c r="BE60" s="7">
        <f t="shared" si="735"/>
        <v>98226.765797516709</v>
      </c>
      <c r="BF60" s="7">
        <f t="shared" si="735"/>
        <v>102977.26039610709</v>
      </c>
      <c r="BG60" s="7">
        <f t="shared" si="735"/>
        <v>103026.25644107448</v>
      </c>
      <c r="BH60" s="7">
        <f t="shared" si="735"/>
        <v>91574.619968242929</v>
      </c>
      <c r="BI60" s="7">
        <f t="shared" si="735"/>
        <v>90876.630550257221</v>
      </c>
      <c r="BJ60" s="7">
        <f t="shared" si="735"/>
        <v>95026.6310920955</v>
      </c>
      <c r="BK60" s="7">
        <f t="shared" ref="BK60:BL60" si="736">IF(OR(BK59="",BK58=""),"",BK58+BK59)</f>
        <v>93243.657166200122</v>
      </c>
      <c r="BL60" s="7">
        <f t="shared" si="736"/>
        <v>-49688.103753308431</v>
      </c>
      <c r="BM60" s="7">
        <f t="shared" ref="BM60:BN60" si="737">IF(OR(BM59="",BM58=""),"",BM58+BM59)</f>
        <v>17394.880823458079</v>
      </c>
      <c r="BN60" s="7">
        <f t="shared" si="737"/>
        <v>18278.984083324867</v>
      </c>
      <c r="BO60" s="7">
        <f t="shared" ref="BO60:BP60" si="738">IF(OR(BO59="",BO58=""),"",BO58+BO59)</f>
        <v>19388.013522129742</v>
      </c>
      <c r="BP60" s="7">
        <f t="shared" si="738"/>
        <v>17526.136958005343</v>
      </c>
      <c r="BQ60" s="7">
        <f t="shared" ref="BQ60:BR60" si="739">IF(OR(BQ59="",BQ58=""),"",BQ58+BQ59)</f>
        <v>24250.423939105356</v>
      </c>
      <c r="BR60" s="7">
        <f t="shared" si="739"/>
        <v>22287.755986981847</v>
      </c>
      <c r="BS60" s="7">
        <f t="shared" ref="BS60:BT60" si="740">IF(OR(BS59="",BS58=""),"",BS58+BS59)</f>
        <v>22561.103740703747</v>
      </c>
      <c r="BT60" s="7">
        <f t="shared" si="740"/>
        <v>19394.898637179147</v>
      </c>
      <c r="BU60" s="7">
        <f t="shared" ref="BU60:BV60" si="741">IF(OR(BU59="",BU58=""),"",BU58+BU59)</f>
        <v>17061.200369190788</v>
      </c>
      <c r="BV60" s="7">
        <f t="shared" si="741"/>
        <v>22508.657485458156</v>
      </c>
      <c r="BW60" s="7">
        <f t="shared" ref="BW60:BX60" si="742">IF(OR(BW59="",BW58=""),"",BW58+BW59)</f>
        <v>21787.247413726123</v>
      </c>
      <c r="BX60" s="7">
        <f t="shared" si="742"/>
        <v>2693.8519677826334</v>
      </c>
      <c r="BY60" s="7">
        <f t="shared" ref="BY60:BZ60" si="743">IF(OR(BY59="",BY58=""),"",BY58+BY59)</f>
        <v>871.88167951755531</v>
      </c>
      <c r="BZ60" s="7">
        <f t="shared" si="743"/>
        <v>865.51488587585118</v>
      </c>
      <c r="CA60" s="7">
        <f t="shared" ref="CA60:CB60" si="744">IF(OR(CA59="",CA58=""),"",CA58+CA59)</f>
        <v>842.44088802678743</v>
      </c>
      <c r="CB60" s="7">
        <f t="shared" si="744"/>
        <v>957.02449777380571</v>
      </c>
      <c r="CC60" s="7">
        <f t="shared" ref="CC60:CD60" si="745">IF(OR(CC59="",CC58=""),"",CC58+CC59)</f>
        <v>1000.105648225297</v>
      </c>
      <c r="CD60" s="7">
        <f t="shared" si="745"/>
        <v>994.22699544894931</v>
      </c>
      <c r="CE60" s="7">
        <f t="shared" ref="CE60:CF60" si="746">IF(OR(CE59="",CE58=""),"",CE58+CE59)</f>
        <v>966.1665579978926</v>
      </c>
      <c r="CF60" s="7">
        <f t="shared" si="746"/>
        <v>856.32464942198021</v>
      </c>
      <c r="CG60" s="7">
        <f t="shared" ref="CG60:CH60" si="747">IF(OR(CG59="",CG58=""),"",CG58+CG59)</f>
        <v>867.94353004643926</v>
      </c>
      <c r="CH60" s="7">
        <f t="shared" si="747"/>
        <v>914.56795928119755</v>
      </c>
      <c r="CI60" s="7">
        <f t="shared" ref="CI60:CJ60" si="748">IF(OR(CI59="",CI58=""),"",CI58+CI59)</f>
        <v>871.71351296387547</v>
      </c>
      <c r="CJ60" s="7">
        <f t="shared" si="748"/>
        <v>-0.46785804853425361</v>
      </c>
      <c r="CK60" s="7">
        <f t="shared" ref="CK60:CL60" si="749">IF(OR(CK59="",CK58=""),"",CK58+CK59)</f>
        <v>-73.899143984620991</v>
      </c>
      <c r="CL60" s="7">
        <f t="shared" si="749"/>
        <v>-74.369004839494778</v>
      </c>
      <c r="CM60" s="7">
        <f t="shared" ref="CM60:CN60" si="750">IF(OR(CM59="",CM58=""),"",CM58+CM59)</f>
        <v>-62.997200353697622</v>
      </c>
      <c r="CN60" s="7">
        <f t="shared" si="750"/>
        <v>-65.770321253133943</v>
      </c>
      <c r="CO60" s="7">
        <f t="shared" ref="CO60:CP60" si="751">IF(OR(CO59="",CO58=""),"",CO58+CO59)</f>
        <v>-72.578734761784744</v>
      </c>
      <c r="CP60" s="7">
        <f t="shared" si="751"/>
        <v>-82.040053535739162</v>
      </c>
      <c r="CQ60" s="7">
        <f t="shared" ref="CQ60:CR60" si="752">IF(OR(CQ59="",CQ58=""),"",CQ58+CQ59)</f>
        <v>-77.485565176070736</v>
      </c>
      <c r="CR60" s="7">
        <f t="shared" si="752"/>
        <v>-65.719251161525676</v>
      </c>
      <c r="CS60" s="7">
        <f t="shared" ref="CS60:CU60" si="753">IF(OR(CS59="",CS58=""),"",CS58+CS59)</f>
        <v>-65.153373527718713</v>
      </c>
      <c r="CT60" s="7">
        <f t="shared" si="753"/>
        <v>-76.473994230362905</v>
      </c>
      <c r="CU60" s="7">
        <f t="shared" si="753"/>
        <v>-86.940967671713679</v>
      </c>
    </row>
    <row r="61" spans="1:99" s="4" customFormat="1" hidden="1" outlineLevel="1" x14ac:dyDescent="0.35">
      <c r="A61" s="295"/>
      <c r="B61" s="16" t="s">
        <v>13</v>
      </c>
      <c r="C61" s="24"/>
      <c r="D61" s="24"/>
      <c r="E61" s="7">
        <f t="shared" ref="E61:N61" si="754">IF(OR(E58="",E57=""),"",E57-E58)</f>
        <v>0</v>
      </c>
      <c r="F61" s="7">
        <f t="shared" si="754"/>
        <v>0</v>
      </c>
      <c r="G61" s="7">
        <f t="shared" si="754"/>
        <v>-1621.85</v>
      </c>
      <c r="H61" s="7">
        <f t="shared" si="754"/>
        <v>-14886.83</v>
      </c>
      <c r="I61" s="7">
        <f t="shared" si="754"/>
        <v>-17626.32</v>
      </c>
      <c r="J61" s="7">
        <f t="shared" si="754"/>
        <v>-16627.989274539053</v>
      </c>
      <c r="K61" s="7">
        <f t="shared" si="754"/>
        <v>-15673.941858251583</v>
      </c>
      <c r="L61" s="7">
        <f t="shared" si="754"/>
        <v>-12991.857554211925</v>
      </c>
      <c r="M61" s="7">
        <f t="shared" si="754"/>
        <v>-9215.8170176639032</v>
      </c>
      <c r="N61" s="7">
        <f t="shared" si="754"/>
        <v>1372.297784318449</v>
      </c>
      <c r="O61" s="7">
        <f>IF(OR(O60="",O57=""),"",O57-O60)</f>
        <v>-3995.0892387392923</v>
      </c>
      <c r="P61" s="7">
        <f t="shared" ref="P61:AM61" si="755">IF(OR(P60="",P57=""),"",P57-P60)</f>
        <v>-85529.050047350116</v>
      </c>
      <c r="Q61" s="7">
        <f t="shared" si="755"/>
        <v>-59849.479327312241</v>
      </c>
      <c r="R61" s="7">
        <f t="shared" si="755"/>
        <v>-79740.242176648651</v>
      </c>
      <c r="S61" s="7">
        <f t="shared" si="755"/>
        <v>-65635.888917682387</v>
      </c>
      <c r="T61" s="7">
        <f t="shared" si="755"/>
        <v>20363.295659226904</v>
      </c>
      <c r="U61" s="7">
        <f t="shared" si="755"/>
        <v>70562.31474006339</v>
      </c>
      <c r="V61" s="7">
        <f t="shared" si="755"/>
        <v>107517.67105437367</v>
      </c>
      <c r="W61" s="7">
        <f t="shared" si="755"/>
        <v>98137.280689125095</v>
      </c>
      <c r="X61" s="7">
        <f t="shared" si="755"/>
        <v>-3601.9787410198333</v>
      </c>
      <c r="Y61" s="7">
        <f t="shared" si="755"/>
        <v>4056.4021304298512</v>
      </c>
      <c r="Z61" s="7">
        <f t="shared" si="755"/>
        <v>16409.141162858054</v>
      </c>
      <c r="AA61" s="7">
        <f t="shared" si="755"/>
        <v>25357.436760066455</v>
      </c>
      <c r="AB61" s="7">
        <f t="shared" si="755"/>
        <v>-189248.83839752211</v>
      </c>
      <c r="AC61" s="7">
        <f t="shared" si="755"/>
        <v>-172777.1548367475</v>
      </c>
      <c r="AD61" s="7">
        <f t="shared" si="755"/>
        <v>-148057.30898659962</v>
      </c>
      <c r="AE61" s="7">
        <f t="shared" si="755"/>
        <v>-145351.0580987274</v>
      </c>
      <c r="AF61" s="7">
        <f t="shared" si="755"/>
        <v>69895.046517746523</v>
      </c>
      <c r="AG61" s="7">
        <f t="shared" si="755"/>
        <v>178169.34145182674</v>
      </c>
      <c r="AH61" s="7">
        <f t="shared" si="755"/>
        <v>126824.85779464053</v>
      </c>
      <c r="AI61" s="7">
        <f t="shared" si="755"/>
        <v>64188.591347931884</v>
      </c>
      <c r="AJ61" s="7">
        <f t="shared" si="755"/>
        <v>-120856.32529398013</v>
      </c>
      <c r="AK61" s="7">
        <f t="shared" si="755"/>
        <v>-113170.01032792343</v>
      </c>
      <c r="AL61" s="7">
        <f t="shared" si="755"/>
        <v>-102687.39949390403</v>
      </c>
      <c r="AM61" s="7">
        <f t="shared" si="755"/>
        <v>-47885.071968987613</v>
      </c>
      <c r="AN61" s="7">
        <f t="shared" ref="AN61:BJ61" si="756">IF(OR(AN60="",AN57=""),"",AN57-AN60)</f>
        <v>-179748.9419202162</v>
      </c>
      <c r="AO61" s="7">
        <f t="shared" si="756"/>
        <v>-91124.046517600538</v>
      </c>
      <c r="AP61" s="7">
        <f t="shared" si="756"/>
        <v>-96968.51042268303</v>
      </c>
      <c r="AQ61" s="7">
        <f t="shared" si="756"/>
        <v>-86353.019606522634</v>
      </c>
      <c r="AR61" s="7">
        <f t="shared" si="756"/>
        <v>348870.77603206248</v>
      </c>
      <c r="AS61" s="7">
        <f t="shared" si="756"/>
        <v>533332.01012694126</v>
      </c>
      <c r="AT61" s="7">
        <f t="shared" si="756"/>
        <v>407689.19218621496</v>
      </c>
      <c r="AU61" s="7">
        <f t="shared" si="756"/>
        <v>222321.24776520289</v>
      </c>
      <c r="AV61" s="7">
        <f t="shared" si="756"/>
        <v>-108713.07078627811</v>
      </c>
      <c r="AW61" s="7">
        <f t="shared" si="756"/>
        <v>-117342.95254721923</v>
      </c>
      <c r="AX61" s="7">
        <f t="shared" si="756"/>
        <v>-125312.05311878608</v>
      </c>
      <c r="AY61" s="7">
        <f t="shared" si="756"/>
        <v>-107081.63849277463</v>
      </c>
      <c r="AZ61" s="7">
        <f t="shared" si="756"/>
        <v>44297.57457991477</v>
      </c>
      <c r="BA61" s="7">
        <f t="shared" si="756"/>
        <v>187873.88701831875</v>
      </c>
      <c r="BB61" s="7">
        <f t="shared" si="756"/>
        <v>-85062.295877137381</v>
      </c>
      <c r="BC61" s="7">
        <f t="shared" si="756"/>
        <v>-80430.012404924288</v>
      </c>
      <c r="BD61" s="7">
        <f t="shared" si="756"/>
        <v>-93334.230919688125</v>
      </c>
      <c r="BE61" s="7">
        <f t="shared" si="756"/>
        <v>-98226.765797516709</v>
      </c>
      <c r="BF61" s="7">
        <f t="shared" si="756"/>
        <v>-86163.680396107011</v>
      </c>
      <c r="BG61" s="7">
        <f t="shared" si="756"/>
        <v>-83638.856441074109</v>
      </c>
      <c r="BH61" s="7">
        <f t="shared" si="756"/>
        <v>-84789.549968242631</v>
      </c>
      <c r="BI61" s="7">
        <f t="shared" si="756"/>
        <v>-84709.400550258637</v>
      </c>
      <c r="BJ61" s="7">
        <f t="shared" si="756"/>
        <v>-85439.641092095277</v>
      </c>
      <c r="BK61" s="7">
        <f t="shared" ref="BK61:BL61" si="757">IF(OR(BK60="",BK57=""),"",BK57-BK60)</f>
        <v>-80746.077166200048</v>
      </c>
      <c r="BL61" s="7">
        <f t="shared" si="757"/>
        <v>59731.413753308952</v>
      </c>
      <c r="BM61" s="7">
        <f t="shared" ref="BM61:BN61" si="758">IF(OR(BM60="",BM57=""),"",BM57-BM60)</f>
        <v>-6898.8308234573342</v>
      </c>
      <c r="BN61" s="7">
        <f t="shared" si="758"/>
        <v>-8503.0240833258358</v>
      </c>
      <c r="BO61" s="7">
        <f t="shared" ref="BO61:BP61" si="759">IF(OR(BO60="",BO57=""),"",BO57-BO60)</f>
        <v>-5860.3635221293698</v>
      </c>
      <c r="BP61" s="7">
        <f t="shared" si="759"/>
        <v>18968.713041994284</v>
      </c>
      <c r="BQ61" s="7">
        <f t="shared" ref="BQ61:BR61" si="760">IF(OR(BQ60="",BQ57=""),"",BQ57-BQ60)</f>
        <v>23429.546060895314</v>
      </c>
      <c r="BR61" s="7">
        <f t="shared" si="760"/>
        <v>23000.684013017632</v>
      </c>
      <c r="BS61" s="7">
        <f t="shared" ref="BS61:BT61" si="761">IF(OR(BS60="",BS57=""),"",BS57-BS60)</f>
        <v>6925.2962592966251</v>
      </c>
      <c r="BT61" s="7">
        <f t="shared" si="761"/>
        <v>-7561.6086371800411</v>
      </c>
      <c r="BU61" s="7">
        <f t="shared" ref="BU61:BV61" si="762">IF(OR(BU60="",BU57=""),"",BU57-BU60)</f>
        <v>-6686.620369190714</v>
      </c>
      <c r="BV61" s="7">
        <f t="shared" si="762"/>
        <v>-10451.207485457038</v>
      </c>
      <c r="BW61" s="7">
        <f t="shared" ref="BW61:BX61" si="763">IF(OR(BW60="",BW57=""),"",BW57-BW60)</f>
        <v>-8962.4574137270174</v>
      </c>
      <c r="BX61" s="7">
        <f t="shared" si="763"/>
        <v>7636.3280322170685</v>
      </c>
      <c r="BY61" s="7">
        <f t="shared" ref="BY61:BZ61" si="764">IF(OR(BY60="",BY57=""),"",BY57-BY60)</f>
        <v>-871.88167951755531</v>
      </c>
      <c r="BZ61" s="7">
        <f t="shared" si="764"/>
        <v>-865.51488587585118</v>
      </c>
      <c r="CA61" s="7">
        <f t="shared" ref="CA61:CB61" si="765">IF(OR(CA60="",CA57=""),"",CA57-CA60)</f>
        <v>-842.44088802678743</v>
      </c>
      <c r="CB61" s="7">
        <f t="shared" si="765"/>
        <v>-957.02449777380571</v>
      </c>
      <c r="CC61" s="7">
        <f t="shared" ref="CC61:CD61" si="766">IF(OR(CC60="",CC57=""),"",CC57-CC60)</f>
        <v>-1000.105648225297</v>
      </c>
      <c r="CD61" s="7">
        <f t="shared" si="766"/>
        <v>-994.22699544894931</v>
      </c>
      <c r="CE61" s="7">
        <f>IF(OR(CE60="",CE57=""),"",CE57-CE60)</f>
        <v>-966.1665579978926</v>
      </c>
      <c r="CF61" s="125">
        <f>IF(OR(CF60="",CF57=""),"",CF57-CF60)+CF56</f>
        <v>-2079.2156922617341</v>
      </c>
      <c r="CG61" s="7">
        <f t="shared" ref="CG61:CL61" si="767">IF(OR(CG60="",CG57=""),"",CG57-CG60)</f>
        <v>-867.94353004643926</v>
      </c>
      <c r="CH61" s="7">
        <f t="shared" si="767"/>
        <v>-914.56795928119755</v>
      </c>
      <c r="CI61" s="7">
        <f t="shared" si="767"/>
        <v>-871.71351296387547</v>
      </c>
      <c r="CJ61" s="7">
        <f t="shared" si="767"/>
        <v>0.46785804853425361</v>
      </c>
      <c r="CK61" s="7">
        <f t="shared" si="767"/>
        <v>73.899143984620991</v>
      </c>
      <c r="CL61" s="7">
        <f t="shared" si="767"/>
        <v>74.369004839494778</v>
      </c>
      <c r="CM61" s="7">
        <f t="shared" ref="CM61:CN61" si="768">IF(OR(CM60="",CM57=""),"",CM57-CM60)</f>
        <v>62.997200353697622</v>
      </c>
      <c r="CN61" s="7">
        <f t="shared" si="768"/>
        <v>65.770321253133943</v>
      </c>
      <c r="CO61" s="7">
        <f t="shared" ref="CO61:CP61" si="769">IF(OR(CO60="",CO57=""),"",CO57-CO60)</f>
        <v>72.578734761784744</v>
      </c>
      <c r="CP61" s="7">
        <f t="shared" si="769"/>
        <v>82.040053535739162</v>
      </c>
      <c r="CQ61" s="7">
        <f t="shared" ref="CQ61:CR61" si="770">IF(OR(CQ60="",CQ57=""),"",CQ57-CQ60)</f>
        <v>77.485565176070736</v>
      </c>
      <c r="CR61" s="7">
        <f t="shared" si="770"/>
        <v>65.719251161525676</v>
      </c>
      <c r="CS61" s="7">
        <f t="shared" ref="CS61:CU61" si="771">IF(OR(CS60="",CS57=""),"",CS57-CS60)</f>
        <v>65.153373527718713</v>
      </c>
      <c r="CT61" s="7">
        <f t="shared" si="771"/>
        <v>76.473994230362905</v>
      </c>
      <c r="CU61" s="7">
        <f t="shared" si="771"/>
        <v>86.940967671713679</v>
      </c>
    </row>
    <row r="62" spans="1:99" s="4" customFormat="1" hidden="1" outlineLevel="1" x14ac:dyDescent="0.35">
      <c r="A62" s="295"/>
      <c r="B62" s="17" t="s">
        <v>8</v>
      </c>
      <c r="C62" s="28"/>
      <c r="D62" s="28"/>
      <c r="E62" s="7">
        <f t="shared" ref="E62:N62" si="772">IF(OR(E9="",E61=""),"",(E61+D64)*E9/12)</f>
        <v>0</v>
      </c>
      <c r="F62" s="7">
        <f t="shared" si="772"/>
        <v>0</v>
      </c>
      <c r="G62" s="7">
        <f t="shared" si="772"/>
        <v>-1.0214870824166666</v>
      </c>
      <c r="H62" s="7">
        <f t="shared" si="772"/>
        <v>-8.6169910456603613</v>
      </c>
      <c r="I62" s="7">
        <f t="shared" si="772"/>
        <v>-17.898704851830932</v>
      </c>
      <c r="J62" s="7">
        <f t="shared" si="772"/>
        <v>-32.360591376266207</v>
      </c>
      <c r="K62" s="7">
        <f t="shared" si="772"/>
        <v>-41.863062319361589</v>
      </c>
      <c r="L62" s="7">
        <f t="shared" si="772"/>
        <v>-50.380614859511986</v>
      </c>
      <c r="M62" s="7">
        <f t="shared" si="772"/>
        <v>-56.544658629729668</v>
      </c>
      <c r="N62" s="7">
        <f t="shared" si="772"/>
        <v>-70.145468650112946</v>
      </c>
      <c r="O62" s="8">
        <f>IF(OR(O9="",O61=""),"",(O59+O61+N64)*O9/12)</f>
        <v>-68.659671553426648</v>
      </c>
      <c r="P62" s="8">
        <f>IF(OR(P9="",P61=""),"",(P59+P61+O64+P56)*P9/12)</f>
        <v>1561.3846099194352</v>
      </c>
      <c r="Q62" s="8">
        <f t="shared" ref="Q62:AM62" si="773">IF(OR(Q9="",Q61=""),"",(Q59+Q61+P64)*Q9/12)</f>
        <v>1768.9370359317772</v>
      </c>
      <c r="R62" s="8">
        <f t="shared" si="773"/>
        <v>1510.9527105885902</v>
      </c>
      <c r="S62" s="8">
        <f t="shared" si="773"/>
        <v>1263.8543417234587</v>
      </c>
      <c r="T62" s="8">
        <f t="shared" si="773"/>
        <v>1313.422943581618</v>
      </c>
      <c r="U62" s="8">
        <f t="shared" si="773"/>
        <v>1126.9444648186989</v>
      </c>
      <c r="V62" s="8">
        <f t="shared" si="773"/>
        <v>1039.3449333693247</v>
      </c>
      <c r="W62" s="8">
        <f t="shared" si="773"/>
        <v>878.63521906613676</v>
      </c>
      <c r="X62" s="8">
        <f t="shared" si="773"/>
        <v>614.94008164987667</v>
      </c>
      <c r="Y62" s="8">
        <f t="shared" si="773"/>
        <v>382.64222876256804</v>
      </c>
      <c r="Z62" s="8">
        <f t="shared" si="773"/>
        <v>193.0380276384773</v>
      </c>
      <c r="AA62" s="8">
        <f t="shared" si="773"/>
        <v>-99.633226637268919</v>
      </c>
      <c r="AB62" s="8">
        <f t="shared" si="773"/>
        <v>-390.08897562934322</v>
      </c>
      <c r="AC62" s="8">
        <f t="shared" si="773"/>
        <v>-729.83934564236961</v>
      </c>
      <c r="AD62" s="8">
        <f t="shared" si="773"/>
        <v>-1102.6537336880972</v>
      </c>
      <c r="AE62" s="8">
        <f t="shared" si="773"/>
        <v>-1311.7267766505211</v>
      </c>
      <c r="AF62" s="8">
        <f t="shared" si="773"/>
        <v>-1223.2705227865461</v>
      </c>
      <c r="AG62" s="8">
        <f t="shared" si="773"/>
        <v>-906.67220407541834</v>
      </c>
      <c r="AH62" s="8">
        <f t="shared" si="773"/>
        <v>-647.66826565641497</v>
      </c>
      <c r="AI62" s="8">
        <f t="shared" si="773"/>
        <v>-518.89488802267783</v>
      </c>
      <c r="AJ62" s="8">
        <f t="shared" si="773"/>
        <v>-789.70697234607553</v>
      </c>
      <c r="AK62" s="8">
        <f t="shared" si="773"/>
        <v>-1046.0066441138708</v>
      </c>
      <c r="AL62" s="8">
        <f t="shared" si="773"/>
        <v>-1371.1355953428147</v>
      </c>
      <c r="AM62" s="8">
        <f t="shared" si="773"/>
        <v>-1539.4019706265842</v>
      </c>
      <c r="AN62" s="8">
        <f t="shared" ref="AN62" si="774">IF(OR(AN9="",AN61=""),"",(AN59+AN61+AM64)*AN9/12)</f>
        <v>-1846.457463161405</v>
      </c>
      <c r="AO62" s="8">
        <f t="shared" ref="AO62" si="775">IF(OR(AO9="",AO61=""),"",(AO59+AO61+AN64)*AO9/12)</f>
        <v>-1924.9482482552737</v>
      </c>
      <c r="AP62" s="8">
        <f t="shared" ref="AP62" si="776">IF(OR(AP9="",AP61=""),"",(AP59+AP61+AO64)*AP9/12)</f>
        <v>-1963.0871642764603</v>
      </c>
      <c r="AQ62" s="8">
        <f t="shared" ref="AQ62" si="777">IF(OR(AQ9="",AQ61=""),"",(AQ59+AQ61+AP64)*AQ9/12)</f>
        <v>-2076.373139489348</v>
      </c>
      <c r="AR62" s="8">
        <f t="shared" ref="AR62" si="778">IF(OR(AR9="",AR61=""),"",(AR59+AR61+AQ64)*AR9/12)</f>
        <v>-1180.217154786636</v>
      </c>
      <c r="AS62" s="8">
        <f t="shared" ref="AS62" si="779">IF(OR(AS9="",AS61=""),"",(AS59+AS61+AR64)*AS9/12)</f>
        <v>102.46722782708679</v>
      </c>
      <c r="AT62" s="8">
        <f t="shared" ref="AT62" si="780">IF(OR(AT9="",AT61=""),"",(AT59+AT61+AS64)*AT9/12)</f>
        <v>993.98783182775912</v>
      </c>
      <c r="AU62" s="8">
        <f t="shared" ref="AU62" si="781">IF(OR(AU9="",AU61=""),"",(AU59+AU61+AT64)*AU9/12)</f>
        <v>1445.4815529546793</v>
      </c>
      <c r="AV62" s="8">
        <f t="shared" ref="AV62" si="782">IF(OR(AV9="",AV61=""),"",(AV59+AV61+AU64)*AV9/12)</f>
        <v>1273.9834166317835</v>
      </c>
      <c r="AW62" s="8">
        <f t="shared" ref="AW62" si="783">IF(OR(AW9="",AW61=""),"",(AW59+AW61+AV64)*AW9/12)</f>
        <v>985.97082483108932</v>
      </c>
      <c r="AX62" s="8">
        <f t="shared" ref="AX62" si="784">IF(OR(AX9="",AX61=""),"",(AX59+AX61+AW64)*AX9/12)</f>
        <v>912.76410991014882</v>
      </c>
      <c r="AY62" s="8">
        <f t="shared" ref="AY62" si="785">IF(OR(AY9="",AY61=""),"",(AY59+AY61+AX64)*AY9/12)</f>
        <v>805.58259603109354</v>
      </c>
      <c r="AZ62" s="8">
        <f t="shared" ref="AZ62" si="786">IF(OR(AZ9="",AZ61=""),"",(AZ59+AZ61+AY64)*AZ9/12)</f>
        <v>712.39628492134295</v>
      </c>
      <c r="BA62" s="8">
        <f t="shared" ref="BA62" si="787">IF(OR(BA9="",BA61=""),"",(BA59+BA61+AZ64)*BA9/12)</f>
        <v>987.97353288788543</v>
      </c>
      <c r="BB62" s="8">
        <f t="shared" ref="BB62" si="788">IF(OR(BB9="",BB61=""),"",(BB59+BB61+BA64)*BB9/12)</f>
        <v>398.94047950608865</v>
      </c>
      <c r="BC62" s="8">
        <f t="shared" ref="BC62" si="789">IF(OR(BC9="",BC61=""),"",(BC59+BC61+BB64)*BC9/12)</f>
        <v>42.860964894230854</v>
      </c>
      <c r="BD62" s="8">
        <f t="shared" ref="BD62" si="790">IF(OR(BD9="",BD61=""),"",(BD59+BD61+BC64)*BD9/12)</f>
        <v>28.101228715492724</v>
      </c>
      <c r="BE62" s="8">
        <f t="shared" ref="BE62" si="791">IF(OR(BE9="",BE61=""),"",(BE59+BE61+BD64)*BE9/12)</f>
        <v>21.221278928312437</v>
      </c>
      <c r="BF62" s="8">
        <f t="shared" ref="BF62" si="792">IF(OR(BF9="",BF61=""),"",(BF59+BF61+BE64)*BF9/12)</f>
        <v>0.54206418806911305</v>
      </c>
      <c r="BG62" s="8">
        <f t="shared" ref="BG62" si="793">IF(OR(BG9="",BG61=""),"",(BG59+BG61+BF64)*BG9/12)</f>
        <v>-12.337429143674541</v>
      </c>
      <c r="BH62" s="8">
        <f t="shared" ref="BH62" si="794">IF(OR(BH9="",BH61=""),"",(BH59+BH61+BG64)*BH9/12)</f>
        <v>-40.060832989476701</v>
      </c>
      <c r="BI62" s="8">
        <f t="shared" ref="BI62" si="795">IF(OR(BI9="",BI61=""),"",(BI59+BI61+BH64)*BI9/12)</f>
        <v>-75.932317165671193</v>
      </c>
      <c r="BJ62" s="8">
        <f t="shared" ref="BJ62:CH62" si="796">IF(OR(BJ9="",BJ61=""),"",(BJ59+BJ61+BI64)*BJ9/12)</f>
        <v>-114.81778112469891</v>
      </c>
      <c r="BK62" s="8">
        <f t="shared" si="796"/>
        <v>-103.34911341179669</v>
      </c>
      <c r="BL62" s="8">
        <f t="shared" si="796"/>
        <v>-128.71732056143821</v>
      </c>
      <c r="BM62" s="8">
        <f t="shared" si="796"/>
        <v>-112.56650826475799</v>
      </c>
      <c r="BN62" s="8">
        <f t="shared" si="796"/>
        <v>-112.20464285700784</v>
      </c>
      <c r="BO62" s="8">
        <f t="shared" si="796"/>
        <v>-104.37155757149908</v>
      </c>
      <c r="BP62" s="8">
        <f t="shared" si="796"/>
        <v>-83.76041818581453</v>
      </c>
      <c r="BQ62" s="8">
        <f t="shared" si="796"/>
        <v>-48.623845685749181</v>
      </c>
      <c r="BR62" s="8">
        <f t="shared" si="796"/>
        <v>-58.602766805884976</v>
      </c>
      <c r="BS62" s="8">
        <f t="shared" si="796"/>
        <v>-45.5786163510721</v>
      </c>
      <c r="BT62" s="8">
        <f t="shared" si="796"/>
        <v>-30.615728300496102</v>
      </c>
      <c r="BU62" s="8">
        <f t="shared" si="796"/>
        <v>-27.035384303313489</v>
      </c>
      <c r="BV62" s="8">
        <f t="shared" si="796"/>
        <v>-36.855312051041274</v>
      </c>
      <c r="BW62" s="8">
        <f t="shared" si="796"/>
        <v>-25.039728528201056</v>
      </c>
      <c r="BX62" s="8">
        <f t="shared" si="796"/>
        <v>-23.894863251534023</v>
      </c>
      <c r="BY62" s="8">
        <f t="shared" si="796"/>
        <v>-50.234736557447974</v>
      </c>
      <c r="BZ62" s="8">
        <f t="shared" si="796"/>
        <v>-39.124245328254908</v>
      </c>
      <c r="CA62" s="8">
        <f t="shared" si="796"/>
        <v>-54.60684331866792</v>
      </c>
      <c r="CB62" s="8">
        <f t="shared" si="796"/>
        <v>-72.493089678026408</v>
      </c>
      <c r="CC62" s="8">
        <f t="shared" si="796"/>
        <v>-81.73721593391808</v>
      </c>
      <c r="CD62" s="8">
        <f t="shared" si="796"/>
        <v>-78.917491133907006</v>
      </c>
      <c r="CE62" s="8">
        <f t="shared" si="796"/>
        <v>-62.643079382256246</v>
      </c>
      <c r="CF62" s="8">
        <f t="shared" si="796"/>
        <v>-53.138491799223878</v>
      </c>
      <c r="CG62" s="8">
        <f t="shared" si="796"/>
        <v>-32.062871241835253</v>
      </c>
      <c r="CH62" s="8">
        <f t="shared" si="796"/>
        <v>3.0361468714062472</v>
      </c>
      <c r="CI62" s="293">
        <f>IF(OR(CI9="",CI61=""),"",(CI59+CI61+CH64+CI56)*CI9/12)+CI56</f>
        <v>75.401718190379938</v>
      </c>
      <c r="CJ62" s="293">
        <f t="shared" ref="CJ62:CR62" si="797">IF(OR(CJ9="",CJ61=""),"",(CJ59+CJ61+CI64)*CJ9/12)</f>
        <v>65.750379926287692</v>
      </c>
      <c r="CK62" s="293">
        <f t="shared" si="797"/>
        <v>65.47371277214323</v>
      </c>
      <c r="CL62" s="293">
        <f t="shared" si="797"/>
        <v>65.649355028116929</v>
      </c>
      <c r="CM62" s="293">
        <f t="shared" si="797"/>
        <v>63.303544677787848</v>
      </c>
      <c r="CN62" s="293">
        <f t="shared" si="797"/>
        <v>60.569302203289396</v>
      </c>
      <c r="CO62" s="293">
        <f t="shared" si="797"/>
        <v>57.440977156774146</v>
      </c>
      <c r="CP62" s="293">
        <f t="shared" si="797"/>
        <v>54.012287801314727</v>
      </c>
      <c r="CQ62" s="293">
        <f t="shared" si="797"/>
        <v>50.072238281014982</v>
      </c>
      <c r="CR62" s="293">
        <f t="shared" si="797"/>
        <v>46.38553870735538</v>
      </c>
      <c r="CS62" s="293">
        <f t="shared" ref="CS62" si="798">IF(OR(CS9="",CS61=""),"",(CS59+CS61+CR64)*CS9/12)</f>
        <v>42.858040169942775</v>
      </c>
      <c r="CT62" s="293">
        <f t="shared" ref="CT62" si="799">IF(OR(CT9="",CT61=""),"",(CT59+CT61+CS64)*CT9/12)</f>
        <v>39.220068931471253</v>
      </c>
      <c r="CU62" s="293">
        <f t="shared" ref="CU62" si="800">IF(OR(CU9="",CU61=""),"",(CU59+CU61+CT64)*CU9/12)</f>
        <v>35.408339220048312</v>
      </c>
    </row>
    <row r="63" spans="1:99" s="4" customFormat="1" hidden="1" outlineLevel="1" x14ac:dyDescent="0.35">
      <c r="A63" s="295"/>
      <c r="B63" s="16" t="s">
        <v>14</v>
      </c>
      <c r="C63" s="24"/>
      <c r="D63" s="24"/>
      <c r="E63" s="7">
        <f t="shared" ref="E63:N63" si="801">IF(OR(E61="",E62=""),"",E61+E62)</f>
        <v>0</v>
      </c>
      <c r="F63" s="7">
        <f t="shared" si="801"/>
        <v>0</v>
      </c>
      <c r="G63" s="7">
        <f t="shared" si="801"/>
        <v>-1622.8714870824165</v>
      </c>
      <c r="H63" s="7">
        <f t="shared" si="801"/>
        <v>-14895.446991045661</v>
      </c>
      <c r="I63" s="7">
        <f t="shared" si="801"/>
        <v>-17644.218704851832</v>
      </c>
      <c r="J63" s="7">
        <f t="shared" si="801"/>
        <v>-16660.349865915319</v>
      </c>
      <c r="K63" s="7">
        <f t="shared" si="801"/>
        <v>-15715.804920570945</v>
      </c>
      <c r="L63" s="7">
        <f t="shared" si="801"/>
        <v>-13042.238169071437</v>
      </c>
      <c r="M63" s="7">
        <f t="shared" si="801"/>
        <v>-9272.3616762936326</v>
      </c>
      <c r="N63" s="7">
        <f t="shared" si="801"/>
        <v>1302.1523156683361</v>
      </c>
      <c r="O63" s="7">
        <f>IF(OR(O61="",O62=""),"",O61+O62)</f>
        <v>-4063.7489102927188</v>
      </c>
      <c r="P63" s="7">
        <f t="shared" ref="P63:AM63" si="802">IF(OR(P61="",P62=""),"",P61+P62)</f>
        <v>-83967.665437430682</v>
      </c>
      <c r="Q63" s="7">
        <f t="shared" si="802"/>
        <v>-58080.542291380465</v>
      </c>
      <c r="R63" s="7">
        <f t="shared" si="802"/>
        <v>-78229.289466060058</v>
      </c>
      <c r="S63" s="7">
        <f t="shared" si="802"/>
        <v>-64372.034575958925</v>
      </c>
      <c r="T63" s="7">
        <f t="shared" si="802"/>
        <v>21676.718602808523</v>
      </c>
      <c r="U63" s="7">
        <f t="shared" si="802"/>
        <v>71689.259204882095</v>
      </c>
      <c r="V63" s="7">
        <f t="shared" si="802"/>
        <v>108557.015987743</v>
      </c>
      <c r="W63" s="7">
        <f t="shared" si="802"/>
        <v>99015.915908191237</v>
      </c>
      <c r="X63" s="7">
        <f t="shared" si="802"/>
        <v>-2987.0386593699568</v>
      </c>
      <c r="Y63" s="7">
        <f t="shared" si="802"/>
        <v>4439.0443591924195</v>
      </c>
      <c r="Z63" s="7">
        <f t="shared" si="802"/>
        <v>16602.179190496532</v>
      </c>
      <c r="AA63" s="7">
        <f t="shared" si="802"/>
        <v>25257.803533429185</v>
      </c>
      <c r="AB63" s="7">
        <f t="shared" si="802"/>
        <v>-189638.92737315144</v>
      </c>
      <c r="AC63" s="7">
        <f t="shared" si="802"/>
        <v>-173506.99418238987</v>
      </c>
      <c r="AD63" s="7">
        <f t="shared" si="802"/>
        <v>-149159.9627202877</v>
      </c>
      <c r="AE63" s="7">
        <f t="shared" si="802"/>
        <v>-146662.78487537793</v>
      </c>
      <c r="AF63" s="7">
        <f t="shared" si="802"/>
        <v>68671.775994959971</v>
      </c>
      <c r="AG63" s="7">
        <f t="shared" si="802"/>
        <v>177262.66924775133</v>
      </c>
      <c r="AH63" s="7">
        <f t="shared" si="802"/>
        <v>126177.18952898412</v>
      </c>
      <c r="AI63" s="7">
        <f t="shared" si="802"/>
        <v>63669.69645990921</v>
      </c>
      <c r="AJ63" s="7">
        <f t="shared" si="802"/>
        <v>-121646.0322663262</v>
      </c>
      <c r="AK63" s="7">
        <f t="shared" si="802"/>
        <v>-114216.01697203731</v>
      </c>
      <c r="AL63" s="7">
        <f t="shared" si="802"/>
        <v>-104058.53508924684</v>
      </c>
      <c r="AM63" s="7">
        <f t="shared" si="802"/>
        <v>-49424.473939614196</v>
      </c>
      <c r="AN63" s="7">
        <f t="shared" ref="AN63:BJ63" si="803">IF(OR(AN61="",AN62=""),"",AN61+AN62)</f>
        <v>-181595.3993833776</v>
      </c>
      <c r="AO63" s="7">
        <f t="shared" si="803"/>
        <v>-93048.994765855809</v>
      </c>
      <c r="AP63" s="7">
        <f t="shared" si="803"/>
        <v>-98931.597586959484</v>
      </c>
      <c r="AQ63" s="7">
        <f t="shared" si="803"/>
        <v>-88429.392746011988</v>
      </c>
      <c r="AR63" s="7">
        <f t="shared" si="803"/>
        <v>347690.55887727585</v>
      </c>
      <c r="AS63" s="7">
        <f t="shared" si="803"/>
        <v>533434.47735476831</v>
      </c>
      <c r="AT63" s="7">
        <f t="shared" si="803"/>
        <v>408683.18001804274</v>
      </c>
      <c r="AU63" s="7">
        <f t="shared" si="803"/>
        <v>223766.72931815757</v>
      </c>
      <c r="AV63" s="7">
        <f t="shared" si="803"/>
        <v>-107439.08736964632</v>
      </c>
      <c r="AW63" s="7">
        <f t="shared" si="803"/>
        <v>-116356.98172238814</v>
      </c>
      <c r="AX63" s="7">
        <f t="shared" si="803"/>
        <v>-124399.28900887593</v>
      </c>
      <c r="AY63" s="7">
        <f t="shared" si="803"/>
        <v>-106276.05589674354</v>
      </c>
      <c r="AZ63" s="7">
        <f t="shared" si="803"/>
        <v>45009.970864836112</v>
      </c>
      <c r="BA63" s="7">
        <f t="shared" si="803"/>
        <v>188861.86055120663</v>
      </c>
      <c r="BB63" s="7">
        <f t="shared" si="803"/>
        <v>-84663.355397631298</v>
      </c>
      <c r="BC63" s="7">
        <f t="shared" si="803"/>
        <v>-80387.151440030051</v>
      </c>
      <c r="BD63" s="7">
        <f t="shared" si="803"/>
        <v>-93306.129690972637</v>
      </c>
      <c r="BE63" s="7">
        <f t="shared" si="803"/>
        <v>-98205.544518588402</v>
      </c>
      <c r="BF63" s="7">
        <f t="shared" si="803"/>
        <v>-86163.138331918948</v>
      </c>
      <c r="BG63" s="7">
        <f t="shared" si="803"/>
        <v>-83651.193870217787</v>
      </c>
      <c r="BH63" s="7">
        <f t="shared" si="803"/>
        <v>-84829.610801232106</v>
      </c>
      <c r="BI63" s="7">
        <f t="shared" si="803"/>
        <v>-84785.332867424309</v>
      </c>
      <c r="BJ63" s="7">
        <f t="shared" si="803"/>
        <v>-85554.458873219977</v>
      </c>
      <c r="BK63" s="7">
        <f t="shared" ref="BK63:BL63" si="804">IF(OR(BK61="",BK62=""),"",BK61+BK62)</f>
        <v>-80849.426279611842</v>
      </c>
      <c r="BL63" s="7">
        <f t="shared" si="804"/>
        <v>59602.696432747514</v>
      </c>
      <c r="BM63" s="7">
        <f t="shared" ref="BM63:BN63" si="805">IF(OR(BM61="",BM62=""),"",BM61+BM62)</f>
        <v>-7011.3973317220925</v>
      </c>
      <c r="BN63" s="7">
        <f t="shared" si="805"/>
        <v>-8615.2287261828442</v>
      </c>
      <c r="BO63" s="7">
        <f t="shared" ref="BO63:BP63" si="806">IF(OR(BO61="",BO62=""),"",BO61+BO62)</f>
        <v>-5964.7350797008685</v>
      </c>
      <c r="BP63" s="7">
        <f t="shared" si="806"/>
        <v>18884.952623808469</v>
      </c>
      <c r="BQ63" s="7">
        <f t="shared" ref="BQ63:BR63" si="807">IF(OR(BQ61="",BQ62=""),"",BQ61+BQ62)</f>
        <v>23380.922215209564</v>
      </c>
      <c r="BR63" s="7">
        <f t="shared" si="807"/>
        <v>22942.081246211746</v>
      </c>
      <c r="BS63" s="7">
        <f t="shared" ref="BS63:BT63" si="808">IF(OR(BS61="",BS62=""),"",BS61+BS62)</f>
        <v>6879.7176429455531</v>
      </c>
      <c r="BT63" s="7">
        <f t="shared" si="808"/>
        <v>-7592.224365480537</v>
      </c>
      <c r="BU63" s="7">
        <f t="shared" ref="BU63:BV63" si="809">IF(OR(BU61="",BU62=""),"",BU61+BU62)</f>
        <v>-6713.6557534940275</v>
      </c>
      <c r="BV63" s="7">
        <f t="shared" si="809"/>
        <v>-10488.062797508079</v>
      </c>
      <c r="BW63" s="7">
        <f t="shared" ref="BW63:BX63" si="810">IF(OR(BW61="",BW62=""),"",BW61+BW62)</f>
        <v>-8987.4971422552189</v>
      </c>
      <c r="BX63" s="7">
        <f t="shared" si="810"/>
        <v>7612.4331689655346</v>
      </c>
      <c r="BY63" s="7">
        <f t="shared" ref="BY63:BZ63" si="811">IF(OR(BY61="",BY62=""),"",BY61+BY62)</f>
        <v>-922.11641607500326</v>
      </c>
      <c r="BZ63" s="7">
        <f t="shared" si="811"/>
        <v>-904.63913120410609</v>
      </c>
      <c r="CA63" s="7">
        <f t="shared" ref="CA63:CB63" si="812">IF(OR(CA61="",CA62=""),"",CA61+CA62)</f>
        <v>-897.0477313454553</v>
      </c>
      <c r="CB63" s="7">
        <f t="shared" si="812"/>
        <v>-1029.517587451832</v>
      </c>
      <c r="CC63" s="7">
        <f t="shared" ref="CC63:CD63" si="813">IF(OR(CC61="",CC62=""),"",CC61+CC62)</f>
        <v>-1081.8428641592152</v>
      </c>
      <c r="CD63" s="7">
        <f t="shared" si="813"/>
        <v>-1073.1444865828564</v>
      </c>
      <c r="CE63" s="7">
        <f t="shared" ref="CE63:CF63" si="814">IF(OR(CE61="",CE62=""),"",CE61+CE62)</f>
        <v>-1028.8096373801488</v>
      </c>
      <c r="CF63" s="7">
        <f t="shared" si="814"/>
        <v>-2132.3541840609582</v>
      </c>
      <c r="CG63" s="7">
        <f t="shared" ref="CG63:CH63" si="815">IF(OR(CG61="",CG62=""),"",CG61+CG62)</f>
        <v>-900.00640128827456</v>
      </c>
      <c r="CH63" s="7">
        <f t="shared" si="815"/>
        <v>-911.53181240979131</v>
      </c>
      <c r="CI63" s="7">
        <f t="shared" ref="CI63:CJ63" si="816">IF(OR(CI61="",CI62=""),"",CI61+CI62)</f>
        <v>-796.31179477349554</v>
      </c>
      <c r="CJ63" s="7">
        <f t="shared" si="816"/>
        <v>66.218237974821946</v>
      </c>
      <c r="CK63" s="7">
        <f t="shared" ref="CK63:CL63" si="817">IF(OR(CK61="",CK62=""),"",CK61+CK62)</f>
        <v>139.37285675676424</v>
      </c>
      <c r="CL63" s="7">
        <f t="shared" si="817"/>
        <v>140.01835986761171</v>
      </c>
      <c r="CM63" s="7">
        <f t="shared" ref="CM63:CN63" si="818">IF(OR(CM61="",CM62=""),"",CM61+CM62)</f>
        <v>126.30074503148546</v>
      </c>
      <c r="CN63" s="7">
        <f t="shared" si="818"/>
        <v>126.33962345642334</v>
      </c>
      <c r="CO63" s="7">
        <f t="shared" ref="CO63:CP63" si="819">IF(OR(CO61="",CO62=""),"",CO61+CO62)</f>
        <v>130.0197119185589</v>
      </c>
      <c r="CP63" s="7">
        <f t="shared" si="819"/>
        <v>136.05234133705389</v>
      </c>
      <c r="CQ63" s="7">
        <f t="shared" ref="CQ63:CR63" si="820">IF(OR(CQ61="",CQ62=""),"",CQ61+CQ62)</f>
        <v>127.55780345708573</v>
      </c>
      <c r="CR63" s="7">
        <f t="shared" si="820"/>
        <v>112.10478986888106</v>
      </c>
      <c r="CS63" s="7">
        <f t="shared" ref="CS63:CU63" si="821">IF(OR(CS61="",CS62=""),"",CS61+CS62)</f>
        <v>108.01141369766148</v>
      </c>
      <c r="CT63" s="7">
        <f t="shared" si="821"/>
        <v>115.69406316183415</v>
      </c>
      <c r="CU63" s="7">
        <f t="shared" si="821"/>
        <v>122.34930689176198</v>
      </c>
    </row>
    <row r="64" spans="1:99" s="4" customFormat="1" hidden="1" outlineLevel="1" x14ac:dyDescent="0.35">
      <c r="A64" s="295"/>
      <c r="B64" s="18" t="s">
        <v>18</v>
      </c>
      <c r="C64" s="26"/>
      <c r="D64" s="26"/>
      <c r="E64" s="7">
        <f>E63</f>
        <v>0</v>
      </c>
      <c r="F64" s="7">
        <f>IF(OR(F63="",E64=""),"",F63+E64)</f>
        <v>0</v>
      </c>
      <c r="G64" s="7">
        <f t="shared" ref="G64:N64" si="822">IF(OR(G63="",F64=""),"",G63+F64)</f>
        <v>-1622.8714870824165</v>
      </c>
      <c r="H64" s="7">
        <f t="shared" si="822"/>
        <v>-16518.318478128076</v>
      </c>
      <c r="I64" s="7">
        <f t="shared" si="822"/>
        <v>-34162.537182979911</v>
      </c>
      <c r="J64" s="7">
        <f t="shared" si="822"/>
        <v>-50822.887048895231</v>
      </c>
      <c r="K64" s="7">
        <f t="shared" si="822"/>
        <v>-66538.691969466177</v>
      </c>
      <c r="L64" s="7">
        <f t="shared" si="822"/>
        <v>-79580.930138537617</v>
      </c>
      <c r="M64" s="7">
        <f t="shared" si="822"/>
        <v>-88853.291814831246</v>
      </c>
      <c r="N64" s="7">
        <f t="shared" si="822"/>
        <v>-87551.139499162906</v>
      </c>
      <c r="O64" s="7">
        <f>IF(OR(O63="",N64=""),"",O63+O59+N64)</f>
        <v>-91614.888409455627</v>
      </c>
      <c r="P64" s="7">
        <f>IF(OR(P63="",O64=""),"",P63+P59+O64+P56)</f>
        <v>2083407.5311691668</v>
      </c>
      <c r="Q64" s="7">
        <f t="shared" ref="Q64" si="823">IF(OR(Q63="",P64=""),"",Q63+Q59+P64)</f>
        <v>1847616.2788777864</v>
      </c>
      <c r="R64" s="7">
        <f t="shared" ref="R64" si="824">IF(OR(R63="",Q64=""),"",R63+R59+Q64)</f>
        <v>1578157.2594117261</v>
      </c>
      <c r="S64" s="7">
        <f t="shared" ref="S64" si="825">IF(OR(S63="",R64=""),"",S63+S59+R64)</f>
        <v>1320068.3848357671</v>
      </c>
      <c r="T64" s="7">
        <f t="shared" ref="T64" si="826">IF(OR(T63="",S64=""),"",T63+T59+S64)</f>
        <v>1119120.1834385756</v>
      </c>
      <c r="U64" s="7">
        <f t="shared" ref="U64" si="827">IF(OR(U63="",T64=""),"",U63+U59+T64)</f>
        <v>972735.4926434576</v>
      </c>
      <c r="V64" s="7">
        <f t="shared" ref="V64" si="828">IF(OR(V63="",U64=""),"",V63+V59+U64)</f>
        <v>851233.15863120055</v>
      </c>
      <c r="W64" s="7">
        <f t="shared" ref="W64" si="829">IF(OR(W63="",V64=""),"",W63+W59+V64)</f>
        <v>728890.60453939182</v>
      </c>
      <c r="X64" s="7">
        <f t="shared" ref="X64" si="830">IF(OR(X63="",W64=""),"",X63+X59+W64)</f>
        <v>509239.72588002187</v>
      </c>
      <c r="Y64" s="7">
        <f t="shared" ref="Y64" si="831">IF(OR(Y63="",X64=""),"",Y63+Y59+X64)</f>
        <v>318617.1502392143</v>
      </c>
      <c r="Z64" s="7">
        <f t="shared" ref="Z64" si="832">IF(OR(Z63="",Y64=""),"",Z63+Z59+Y64)</f>
        <v>130804.97942971083</v>
      </c>
      <c r="AA64" s="7">
        <f t="shared" ref="AA64" si="833">IF(OR(AA63="",Z64=""),"",AA63+AA59+Z64)</f>
        <v>-69798.157036859979</v>
      </c>
      <c r="AB64" s="7">
        <f t="shared" ref="AB64" si="834">IF(OR(AB63="",AA64=""),"",AB63+AB59+AA64)</f>
        <v>-256526.81441001143</v>
      </c>
      <c r="AC64" s="7">
        <f t="shared" ref="AC64" si="835">IF(OR(AC63="",AB64=""),"",AC63+AC59+AB64)</f>
        <v>-427132.09859240131</v>
      </c>
      <c r="AD64" s="7">
        <f t="shared" ref="AD64" si="836">IF(OR(AD63="",AC64=""),"",AD63+AD59+AC64)</f>
        <v>-573613.37131268904</v>
      </c>
      <c r="AE64" s="7">
        <f t="shared" ref="AE64" si="837">IF(OR(AE63="",AD64=""),"",AE63+AE59+AD64)</f>
        <v>-717191.16618806694</v>
      </c>
      <c r="AF64" s="7">
        <f t="shared" ref="AF64" si="838">IF(OR(AF63="",AE64=""),"",AF63+AF59+AE64)</f>
        <v>-645173.85019310704</v>
      </c>
      <c r="AG64" s="7">
        <f t="shared" ref="AG64" si="839">IF(OR(AG63="",AF64=""),"",AG63+AG59+AF64)</f>
        <v>-464446.6409453557</v>
      </c>
      <c r="AH64" s="7">
        <f t="shared" ref="AH64" si="840">IF(OR(AH63="",AG64=""),"",AH63+AH59+AG64)</f>
        <v>-334863.95141637156</v>
      </c>
      <c r="AI64" s="7">
        <f t="shared" ref="AI64" si="841">IF(OR(AI63="",AH64=""),"",AI63+AI59+AH64)</f>
        <v>-267880.00495646236</v>
      </c>
      <c r="AJ64" s="7">
        <f t="shared" ref="AJ64" si="842">IF(OR(AJ63="",AI64=""),"",AJ63+AJ59+AI64)</f>
        <v>-386418.15722278855</v>
      </c>
      <c r="AK64" s="7">
        <f t="shared" ref="AK64" si="843">IF(OR(AK63="",AJ64=""),"",AK63+AK59+AJ64)</f>
        <v>-497741.83419482585</v>
      </c>
      <c r="AL64" s="7">
        <f t="shared" ref="AL64" si="844">IF(OR(AL63="",AK64=""),"",AL63+AL59+AK64)</f>
        <v>-598690.25928407267</v>
      </c>
      <c r="AM64" s="7">
        <f t="shared" ref="AM64" si="845">IF(OR(AM63="",AL64=""),"",AM63+AM59+AL64)</f>
        <v>-645260.2032236869</v>
      </c>
      <c r="AN64" s="7">
        <f t="shared" ref="AN64" si="846">IF(OR(AN63="",AM64=""),"",AN63+AN59+AM64)</f>
        <v>-781932.35260706453</v>
      </c>
      <c r="AO64" s="7">
        <f t="shared" ref="AO64" si="847">IF(OR(AO63="",AN64=""),"",AO63+AO59+AN64)</f>
        <v>-830508.58737292036</v>
      </c>
      <c r="AP64" s="7">
        <f t="shared" ref="AP64" si="848">IF(OR(AP63="",AO64=""),"",AP63+AP59+AO64)</f>
        <v>-886809.87495987979</v>
      </c>
      <c r="AQ64" s="7">
        <f t="shared" ref="AQ64" si="849">IF(OR(AQ63="",AP64=""),"",AQ63+AQ59+AP64)</f>
        <v>-932712.08770589181</v>
      </c>
      <c r="AR64" s="7">
        <f t="shared" ref="AR64" si="850">IF(OR(AR63="",AQ64=""),"",AR63+AR59+AQ64)</f>
        <v>-535606.67882861593</v>
      </c>
      <c r="AS64" s="7">
        <f t="shared" ref="AS64" si="851">IF(OR(AS63="",AR64=""),"",AS63+AS59+AR64)</f>
        <v>47488.548526152386</v>
      </c>
      <c r="AT64" s="7">
        <f t="shared" ref="AT64" si="852">IF(OR(AT63="",AS64=""),"",AT63+AT59+AS64)</f>
        <v>508305.34854419512</v>
      </c>
      <c r="AU64" s="7">
        <f t="shared" ref="AU64" si="853">IF(OR(AU63="",AT64=""),"",AU63+AU59+AT64)</f>
        <v>783890.03786235268</v>
      </c>
      <c r="AV64" s="7">
        <f t="shared" ref="AV64" si="854">IF(OR(AV63="",AU64=""),"",AV63+AV59+AU64)</f>
        <v>724466.64049270633</v>
      </c>
      <c r="AW64" s="7">
        <f t="shared" ref="AW64" si="855">IF(OR(AW63="",AV64=""),"",AW63+AW59+AV64)</f>
        <v>652512.48877031822</v>
      </c>
      <c r="AX64" s="7">
        <f t="shared" ref="AX64" si="856">IF(OR(AX63="",AW64=""),"",AX63+AX59+AW64)</f>
        <v>572820.39976144233</v>
      </c>
      <c r="AY64" s="7">
        <f t="shared" ref="AY64" si="857">IF(OR(AY63="",AX64=""),"",AY63+AY59+AX64)</f>
        <v>512536.23386469879</v>
      </c>
      <c r="AZ64" s="7">
        <f t="shared" ref="AZ64" si="858">IF(OR(AZ63="",AY64=""),"",AZ63+AZ59+AY64)</f>
        <v>474699.75472953491</v>
      </c>
      <c r="BA64" s="7">
        <f t="shared" ref="BA64" si="859">IF(OR(BA63="",AZ64=""),"",BA63+BA59+AZ64)</f>
        <v>628740.41528074152</v>
      </c>
      <c r="BB64" s="7">
        <f t="shared" ref="BB64" si="860">IF(OR(BB63="",BA64=""),"",BB63+BB59+BA64)</f>
        <v>510520.38988311024</v>
      </c>
      <c r="BC64" s="7">
        <f t="shared" ref="BC64" si="861">IF(OR(BC63="",BB64=""),"",BC63+BC59+BB64)</f>
        <v>398542.53844308021</v>
      </c>
      <c r="BD64" s="7">
        <f t="shared" ref="BD64" si="862">IF(OR(BD63="",BC64=""),"",BD63+BD59+BC64)</f>
        <v>268444.92875210755</v>
      </c>
      <c r="BE64" s="7">
        <f t="shared" ref="BE64" si="863">IF(OR(BE63="",BD64=""),"",BE63+BE59+BD64)</f>
        <v>131515.28423351914</v>
      </c>
      <c r="BF64" s="7">
        <f t="shared" ref="BF64" si="864">IF(OR(BF63="",BE64=""),"",BF63+BF59+BE64)</f>
        <v>4762.9759016001917</v>
      </c>
      <c r="BG64" s="7">
        <f t="shared" ref="BG64" si="865">IF(OR(BG63="",BF64=""),"",BG63+BG59+BF64)</f>
        <v>-119487.74796861759</v>
      </c>
      <c r="BH64" s="7">
        <f t="shared" ref="BH64" si="866">IF(OR(BH63="",BG64=""),"",BH63+BH59+BG64)</f>
        <v>-240405.05876984971</v>
      </c>
      <c r="BI64" s="7">
        <f t="shared" ref="BI64" si="867">IF(OR(BI63="",BH64=""),"",BI63+BI59+BH64)</f>
        <v>-361022.44163727399</v>
      </c>
      <c r="BJ64" s="7">
        <f t="shared" ref="BJ64:CR64" si="868">IF(OR(BJ63="",BI64=""),"",BJ63+BJ59+BI64)</f>
        <v>-484069.23051049397</v>
      </c>
      <c r="BK64" s="7">
        <f t="shared" si="868"/>
        <v>-601731.06679010577</v>
      </c>
      <c r="BL64" s="7">
        <f t="shared" si="868"/>
        <v>-665285.81035735831</v>
      </c>
      <c r="BM64" s="7">
        <f>IF(OR(BM63="",BL64=""),"",BM63+BM59+BL64)</f>
        <v>-632289.66768908035</v>
      </c>
      <c r="BN64" s="7">
        <f t="shared" si="868"/>
        <v>-598210.00641526317</v>
      </c>
      <c r="BO64" s="7">
        <f t="shared" si="868"/>
        <v>-558559.59149496409</v>
      </c>
      <c r="BP64" s="7">
        <f t="shared" si="868"/>
        <v>-498511.8088711556</v>
      </c>
      <c r="BQ64" s="7">
        <f t="shared" si="868"/>
        <v>-418171.39665594604</v>
      </c>
      <c r="BR64" s="7">
        <f t="shared" si="868"/>
        <v>-342933.6054097343</v>
      </c>
      <c r="BS64" s="7">
        <f t="shared" si="868"/>
        <v>-283094.22776678874</v>
      </c>
      <c r="BT64" s="7">
        <f t="shared" si="868"/>
        <v>-244956.44213226927</v>
      </c>
      <c r="BU64" s="7">
        <f t="shared" si="868"/>
        <v>-211780.00788576331</v>
      </c>
      <c r="BV64" s="7">
        <f t="shared" si="868"/>
        <v>-169835.27068327137</v>
      </c>
      <c r="BW64" s="7">
        <f t="shared" si="868"/>
        <v>-128187.43782552659</v>
      </c>
      <c r="BX64" s="7">
        <f t="shared" si="868"/>
        <v>-96944.404656561062</v>
      </c>
      <c r="BY64" s="7">
        <f t="shared" si="868"/>
        <v>-87631.281072636062</v>
      </c>
      <c r="BZ64" s="7">
        <f t="shared" si="868"/>
        <v>-78233.400203840167</v>
      </c>
      <c r="CA64" s="7">
        <f t="shared" si="868"/>
        <v>-69053.097935185622</v>
      </c>
      <c r="CB64" s="7">
        <f t="shared" si="868"/>
        <v>-58618.625522637456</v>
      </c>
      <c r="CC64" s="7">
        <f t="shared" si="868"/>
        <v>-47772.278386796672</v>
      </c>
      <c r="CD64" s="7">
        <f t="shared" si="868"/>
        <v>-37013.002873379526</v>
      </c>
      <c r="CE64" s="7">
        <f t="shared" si="868"/>
        <v>-26515.752510759674</v>
      </c>
      <c r="CF64" s="7">
        <f t="shared" si="868"/>
        <v>-18428.926694820631</v>
      </c>
      <c r="CG64" s="7">
        <f t="shared" si="868"/>
        <v>-9008.8630961089057</v>
      </c>
      <c r="CH64" s="7">
        <f t="shared" si="868"/>
        <v>792.05509148130295</v>
      </c>
      <c r="CI64" s="7">
        <f t="shared" si="868"/>
        <v>10194.123296707807</v>
      </c>
      <c r="CJ64" s="7">
        <f t="shared" si="868"/>
        <v>16340.781534682628</v>
      </c>
      <c r="CK64" s="7">
        <f t="shared" si="868"/>
        <v>15812.504391439392</v>
      </c>
      <c r="CL64" s="7">
        <f t="shared" si="868"/>
        <v>15074.872751307004</v>
      </c>
      <c r="CM64" s="7">
        <f t="shared" si="868"/>
        <v>14324.11349633849</v>
      </c>
      <c r="CN64" s="7">
        <f t="shared" si="868"/>
        <v>13533.333119794914</v>
      </c>
      <c r="CO64" s="7">
        <f t="shared" si="868"/>
        <v>12722.042831713472</v>
      </c>
      <c r="CP64" s="7">
        <f t="shared" si="868"/>
        <v>11794.795173050527</v>
      </c>
      <c r="CQ64" s="7">
        <f t="shared" si="868"/>
        <v>10905.592976507613</v>
      </c>
      <c r="CR64" s="7">
        <f t="shared" si="868"/>
        <v>10134.847766376493</v>
      </c>
      <c r="CS64" s="7">
        <f t="shared" ref="CS64" si="869">IF(OR(CS63="",CR64=""),"",CS63+CS59+CR64)</f>
        <v>9364.1191800741544</v>
      </c>
      <c r="CT64" s="7">
        <f t="shared" ref="CT64" si="870">IF(OR(CT63="",CS64=""),"",CT63+CT59+CS64)</f>
        <v>8569.2532432359894</v>
      </c>
      <c r="CU64" s="7">
        <f t="shared" ref="CU64" si="871">IF(OR(CU63="",CT64=""),"",CU63+CU59+CT64)</f>
        <v>7736.4225501277515</v>
      </c>
    </row>
    <row r="65" spans="1:99" s="4" customFormat="1" ht="8.25" hidden="1" customHeight="1" outlineLevel="1" x14ac:dyDescent="0.35">
      <c r="A65" s="40"/>
      <c r="B65" s="11"/>
      <c r="C65" s="11"/>
      <c r="D65" s="11"/>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row>
    <row r="66" spans="1:99" s="4" customFormat="1" ht="15" hidden="1" customHeight="1" outlineLevel="1" x14ac:dyDescent="0.35">
      <c r="A66" s="295" t="s">
        <v>24</v>
      </c>
      <c r="B66" s="15"/>
      <c r="C66" s="30"/>
      <c r="D66" s="30"/>
      <c r="E66" s="7"/>
      <c r="F66" s="7"/>
      <c r="G66" s="7"/>
      <c r="H66" s="7"/>
      <c r="I66" s="7"/>
      <c r="J66" s="7"/>
      <c r="K66" s="7"/>
      <c r="L66" s="7"/>
      <c r="M66" s="7"/>
      <c r="N66" s="7"/>
      <c r="O66" s="7"/>
      <c r="P66" s="68">
        <v>1878286.3459755329</v>
      </c>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125">
        <v>-417.5870757009634</v>
      </c>
      <c r="CG66" s="7"/>
      <c r="CH66" s="7"/>
      <c r="CI66" s="113">
        <f>'MEEIA 2 adjs'!EC73</f>
        <v>-4.5602555329351731</v>
      </c>
      <c r="CJ66" s="7"/>
      <c r="CK66" s="7"/>
      <c r="CL66" s="7"/>
      <c r="CM66" s="7"/>
      <c r="CN66" s="7"/>
      <c r="CO66" s="7"/>
      <c r="CP66" s="7"/>
      <c r="CQ66" s="7"/>
      <c r="CR66" s="7"/>
      <c r="CS66" s="7"/>
      <c r="CT66" s="7"/>
      <c r="CU66" s="7"/>
    </row>
    <row r="67" spans="1:99" s="2" customFormat="1" ht="15" hidden="1" customHeight="1" outlineLevel="1" x14ac:dyDescent="0.35">
      <c r="A67" s="295"/>
      <c r="B67" s="15" t="s">
        <v>28</v>
      </c>
      <c r="C67" s="30"/>
      <c r="D67" s="30"/>
      <c r="E67" s="20">
        <f>IF('M2 Allocations - TD'!D9="","",'M2 Allocations - TD'!D35)</f>
        <v>0</v>
      </c>
      <c r="F67" s="20">
        <f>IF('M2 Allocations - TD'!E9="","",'M2 Allocations - TD'!E35)</f>
        <v>0</v>
      </c>
      <c r="G67" s="20">
        <f>IF('M2 Allocations - TD'!F9="","",'M2 Allocations - TD'!F35)</f>
        <v>0</v>
      </c>
      <c r="H67" s="20">
        <f>IF('M2 Allocations - TD'!G9="","",'M2 Allocations - TD'!G35)</f>
        <v>0</v>
      </c>
      <c r="I67" s="20">
        <f>IF('M2 Allocations - TD'!H9="","",'M2 Allocations - TD'!H35)</f>
        <v>360.22</v>
      </c>
      <c r="J67" s="20">
        <f>IF('M2 Allocations - TD'!I9="","",'M2 Allocations - TD'!I35)</f>
        <v>1356.5027975457876</v>
      </c>
      <c r="K67" s="20">
        <f>IF('M2 Allocations - TD'!J9="","",'M2 Allocations - TD'!J35)</f>
        <v>2255.3712414377201</v>
      </c>
      <c r="L67" s="20">
        <f>IF('M2 Allocations - TD'!K9="","",'M2 Allocations - TD'!K35)</f>
        <v>1897.7199413483188</v>
      </c>
      <c r="M67" s="20">
        <f>IF('M2 Allocations - TD'!L9="","",'M2 Allocations - TD'!L35)</f>
        <v>2405.4668833960245</v>
      </c>
      <c r="N67" s="20">
        <f>IF('M2 Allocations - TD'!M9="","",'M2 Allocations - TD'!M35)</f>
        <v>3262.8984825339485</v>
      </c>
      <c r="O67" s="20">
        <f>IF('M2 Allocations - TD'!N9="","",'M2 Allocations - TD'!N35)</f>
        <v>5909.4833335993335</v>
      </c>
      <c r="P67" s="20">
        <f>IF('M2 Allocations - TD'!O9="","",'M2 Allocations - TD'!O35)</f>
        <v>6425.014731291647</v>
      </c>
      <c r="Q67" s="20">
        <f>IF('M2 Allocations - TD'!P9="","",'M2 Allocations - TD'!P35)</f>
        <v>9106.0133494287093</v>
      </c>
      <c r="R67" s="20">
        <f>IF('M2 Allocations - TD'!Q9="","",'M2 Allocations - TD'!Q35)</f>
        <v>8390.7638449238184</v>
      </c>
      <c r="S67" s="20">
        <f>IF('M2 Allocations - TD'!R9="","",'M2 Allocations - TD'!R35)</f>
        <v>10997.379437607351</v>
      </c>
      <c r="T67" s="20">
        <f>IF('M2 Allocations - TD'!S9="","",'M2 Allocations - TD'!S35)</f>
        <v>20856.094406634937</v>
      </c>
      <c r="U67" s="20">
        <f>IF('M2 Allocations - TD'!T9="","",'M2 Allocations - TD'!T35)</f>
        <v>29338.039999999994</v>
      </c>
      <c r="V67" s="20">
        <f>IF('M2 Allocations - TD'!U9="","",'M2 Allocations - TD'!U35)</f>
        <v>27923.370923640025</v>
      </c>
      <c r="W67" s="20">
        <f>IF('M2 Allocations - TD'!V9="","",'M2 Allocations - TD'!V35)</f>
        <v>26983.721535135461</v>
      </c>
      <c r="X67" s="20">
        <f>IF('M2 Allocations - TD'!W9="","",'M2 Allocations - TD'!W35)</f>
        <v>19471.188276380515</v>
      </c>
      <c r="Y67" s="20">
        <f>IF('M2 Allocations - TD'!X9="","",'M2 Allocations - TD'!X35)</f>
        <v>18971.478034215677</v>
      </c>
      <c r="Z67" s="20">
        <f>IF('M2 Allocations - TD'!Y9="","",'M2 Allocations - TD'!Y35)</f>
        <v>20838.032820297231</v>
      </c>
      <c r="AA67" s="20">
        <f>IF('M2 Allocations - TD'!Z9="","",'M2 Allocations - TD'!Z35)</f>
        <v>24107.448446951264</v>
      </c>
      <c r="AB67" s="20">
        <f>IF('M2 Allocations - TD'!AA9="","",'M2 Allocations - TD'!AA35)</f>
        <v>21893.062382864882</v>
      </c>
      <c r="AC67" s="20">
        <f>IF('M2 Allocations - TD'!AB9="","",'M2 Allocations - TD'!AB35)</f>
        <v>24080.232432507251</v>
      </c>
      <c r="AD67" s="20">
        <f>IF('M2 Allocations - TD'!AC9="","",'M2 Allocations - TD'!AC35)</f>
        <v>25697.334922102909</v>
      </c>
      <c r="AE67" s="20">
        <f>IF('M2 Allocations - TD'!AD9="","",'M2 Allocations - TD'!AD35)</f>
        <v>34703.027598888038</v>
      </c>
      <c r="AF67" s="20">
        <f>IF('M2 Allocations - TD'!AE9="","",'M2 Allocations - TD'!AE35)</f>
        <v>75519.476357307751</v>
      </c>
      <c r="AG67" s="20">
        <f>IF('M2 Allocations - TD'!AF9="","",'M2 Allocations - TD'!AF35)</f>
        <v>100273.42685716876</v>
      </c>
      <c r="AH67" s="20">
        <f>IF('M2 Allocations - TD'!AG9="","",'M2 Allocations - TD'!AG35)</f>
        <v>85499.508585205374</v>
      </c>
      <c r="AI67" s="20">
        <f>IF('M2 Allocations - TD'!AH9="","",'M2 Allocations - TD'!AH35)</f>
        <v>69397.820475524379</v>
      </c>
      <c r="AJ67" s="20">
        <f>IF('M2 Allocations - TD'!AI9="","",'M2 Allocations - TD'!AI35)</f>
        <v>37821.144416831085</v>
      </c>
      <c r="AK67" s="20">
        <f>IF('M2 Allocations - TD'!AJ9="","",'M2 Allocations - TD'!AJ35)</f>
        <v>35865.098177838852</v>
      </c>
      <c r="AL67" s="20">
        <f>IF('M2 Allocations - TD'!AK9="","",'M2 Allocations - TD'!AK35)</f>
        <v>42905.24501769265</v>
      </c>
      <c r="AM67" s="20">
        <f>IF('M2 Allocations - TD'!AL9="","",'M2 Allocations - TD'!AL35)</f>
        <v>48941.253195931422</v>
      </c>
      <c r="AN67" s="20">
        <f>IF('M2 Allocations - TD'!AM9="","",'M2 Allocations - TD'!AM35)</f>
        <v>45736.205779424003</v>
      </c>
      <c r="AO67" s="20">
        <f>IF('M2 Allocations - TD'!AN9="","",'M2 Allocations - TD'!AN35)</f>
        <v>61794.995083764363</v>
      </c>
      <c r="AP67" s="20">
        <f>IF('M2 Allocations - TD'!AO9="","",'M2 Allocations - TD'!AO35)</f>
        <v>56159.323619014431</v>
      </c>
      <c r="AQ67" s="20">
        <f>IF('M2 Allocations - TD'!AP9="","",'M2 Allocations - TD'!AP35)</f>
        <v>66116.096564999927</v>
      </c>
      <c r="AR67" s="20">
        <f>IF('M2 Allocations - TD'!AQ9="","",'M2 Allocations - TD'!AQ35)</f>
        <v>196336.18137657503</v>
      </c>
      <c r="AS67" s="20">
        <f>IF('M2 Allocations - TD'!AR9="","",'M2 Allocations - TD'!AR35)</f>
        <v>261767.5472645007</v>
      </c>
      <c r="AT67" s="20">
        <f>IF('M2 Allocations - TD'!AS9="","",'M2 Allocations - TD'!AS35)</f>
        <v>232206.9863998002</v>
      </c>
      <c r="AU67" s="20">
        <f>IF('M2 Allocations - TD'!AT9="","",'M2 Allocations - TD'!AT35)</f>
        <v>149701.48799265211</v>
      </c>
      <c r="AV67" s="20">
        <f>IF('M2 Allocations - TD'!AU9="","",'M2 Allocations - TD'!AU35)</f>
        <v>63981.67593600769</v>
      </c>
      <c r="AW67" s="20">
        <f>IF('M2 Allocations - TD'!AV9="","",'M2 Allocations - TD'!AV35)</f>
        <v>56131.256299554763</v>
      </c>
      <c r="AX67" s="20">
        <f>IF('M2 Allocations - TD'!AW9="","",'M2 Allocations - TD'!AW35)</f>
        <v>57173.072833048078</v>
      </c>
      <c r="AY67" s="20">
        <f>IF('M2 Allocations - TD'!AX9="","",'M2 Allocations - TD'!AX35)</f>
        <v>61251.937727286851</v>
      </c>
      <c r="AZ67" s="20">
        <f>IF('M2 Allocations - TD'!AY9="","",'M2 Allocations - TD'!AY35)</f>
        <v>54765.460012100484</v>
      </c>
      <c r="BA67" s="20">
        <f>IF('M2 Allocations - TD'!AZ9="","",'M2 Allocations - TD'!AZ35)</f>
        <v>55225.416517369085</v>
      </c>
      <c r="BB67" s="20">
        <f>IF('M2 Allocations - TD'!BA9="","",'M2 Allocations - TD'!BA35)</f>
        <v>0</v>
      </c>
      <c r="BC67" s="20">
        <f>IF('M2 Allocations - TD'!BB9="","",'M2 Allocations - TD'!BB35)</f>
        <v>-142.24679364857641</v>
      </c>
      <c r="BD67" s="20">
        <f>IF('M2 Allocations - TD'!BC9="","",'M2 Allocations - TD'!BC35)</f>
        <v>0</v>
      </c>
      <c r="BE67" s="20">
        <f>IF('M2 Allocations - TD'!BD9="","",'M2 Allocations - TD'!BD35)</f>
        <v>0</v>
      </c>
      <c r="BF67" s="20">
        <f>IF('M2 Allocations - TD'!BE9="","",'M2 Allocations - TD'!BE35)</f>
        <v>0</v>
      </c>
      <c r="BG67" s="20">
        <f>IF('M2 Allocations - TD'!BF9="","",'M2 Allocations - TD'!BF35)</f>
        <v>0</v>
      </c>
      <c r="BH67" s="20">
        <f>IF('M2 Allocations - TD'!BG9="","",'M2 Allocations - TD'!BG35)</f>
        <v>0</v>
      </c>
      <c r="BI67" s="20">
        <f>IF('M2 Allocations - TD'!BH9="","",'M2 Allocations - TD'!BH35)</f>
        <v>0</v>
      </c>
      <c r="BJ67" s="20">
        <f>IF('M2 Allocations - TD'!BI9="","",'M2 Allocations - TD'!BI35)</f>
        <v>0</v>
      </c>
      <c r="BK67" s="20">
        <f>IF('M2 Allocations - TD'!BJ9="","",'M2 Allocations - TD'!BJ35)</f>
        <v>0</v>
      </c>
      <c r="BL67" s="20">
        <f>IF('M2 Allocations - TD'!BK9="","",'M2 Allocations - TD'!BK35)</f>
        <v>0</v>
      </c>
      <c r="BM67" s="20">
        <f>IF('M2 Allocations - TD'!BL9="","",'M2 Allocations - TD'!BL35)</f>
        <v>0</v>
      </c>
      <c r="BN67" s="20">
        <f>IF('M2 Allocations - TD'!BM9="","",'M2 Allocations - TD'!BM35)</f>
        <v>0</v>
      </c>
      <c r="BO67" s="20">
        <f>IF('M2 Allocations - TD'!BN9="","",'M2 Allocations - TD'!BN35)</f>
        <v>0</v>
      </c>
      <c r="BP67" s="20">
        <f>IF('M2 Allocations - TD'!BO9="","",'M2 Allocations - TD'!BO35)</f>
        <v>0</v>
      </c>
      <c r="BQ67" s="20">
        <f>IF('M2 Allocations - TD'!BP9="","",'M2 Allocations - TD'!BP35)</f>
        <v>0</v>
      </c>
      <c r="BR67" s="20">
        <f>IF('M2 Allocations - TD'!BQ9="","",'M2 Allocations - TD'!BQ35)</f>
        <v>-101.14999999990687</v>
      </c>
      <c r="BS67" s="20">
        <f>IF('M2 Allocations - TD'!BR9="","",'M2 Allocations - TD'!BR35)</f>
        <v>-108.16000000014901</v>
      </c>
      <c r="BT67" s="20">
        <f>IF('M2 Allocations - TD'!BS9="","",'M2 Allocations - TD'!BS35)</f>
        <v>-67.520000000018626</v>
      </c>
      <c r="BU67" s="20">
        <f>IF('M2 Allocations - TD'!BT9="","",'M2 Allocations - TD'!BT35)</f>
        <v>-54.189999999944121</v>
      </c>
      <c r="BV67" s="20">
        <f>IF('M2 Allocations - TD'!BU9="","",'M2 Allocations - TD'!BU35)</f>
        <v>-56.580000000074506</v>
      </c>
      <c r="BW67" s="20">
        <f>IF('M2 Allocations - TD'!BV9="","",'M2 Allocations - TD'!BV35)</f>
        <v>-61.179999999701977</v>
      </c>
      <c r="BX67" s="20">
        <f>IF('M2 Allocations - TD'!BW9="","",'M2 Allocations - TD'!BW35)</f>
        <v>-51.470000000204891</v>
      </c>
      <c r="BY67" s="20">
        <f>IF('M2 Allocations - TD'!BX9="","",'M2 Allocations - TD'!BX35)</f>
        <v>0</v>
      </c>
      <c r="BZ67" s="20">
        <f>IF('M2 Allocations - TD'!BY9="","",'M2 Allocations - TD'!BY35)</f>
        <v>0</v>
      </c>
      <c r="CA67" s="20">
        <f>IF('M2 Allocations - TD'!BZ9="","",'M2 Allocations - TD'!BZ35)</f>
        <v>0</v>
      </c>
      <c r="CB67" s="20">
        <f>IF('M2 Allocations - TD'!CA9="","",'M2 Allocations - TD'!CA35)</f>
        <v>0</v>
      </c>
      <c r="CC67" s="20">
        <f>IF('M2 Allocations - TD'!CB9="","",'M2 Allocations - TD'!CB35)</f>
        <v>0</v>
      </c>
      <c r="CD67" s="20">
        <f>IF('M2 Allocations - TD'!CC9="","",'M2 Allocations - TD'!CC35)</f>
        <v>0</v>
      </c>
      <c r="CE67" s="20">
        <f>IF('M2 Allocations - TD'!CD9="","",'M2 Allocations - TD'!CD35)</f>
        <v>0</v>
      </c>
      <c r="CF67" s="20">
        <f>IF('M2 Allocations - TD'!CE9="","",'M2 Allocations - TD'!CE35)</f>
        <v>0</v>
      </c>
      <c r="CG67" s="20">
        <f>IF('M2 Allocations - TD'!CF9="","",'M2 Allocations - TD'!CF35)</f>
        <v>0</v>
      </c>
      <c r="CH67" s="20">
        <f>IF('M2 Allocations - TD'!CG9="","",'M2 Allocations - TD'!CG35)</f>
        <v>0</v>
      </c>
      <c r="CI67" s="20">
        <f>IF('M2 Allocations - TD'!CH9="","",'M2 Allocations - TD'!CH35)</f>
        <v>0</v>
      </c>
      <c r="CJ67" s="20">
        <f>IF('M2 Allocations - TD'!CI9="","",'M2 Allocations - TD'!CI35)</f>
        <v>0</v>
      </c>
      <c r="CK67" s="20">
        <f>IF('M2 Allocations - TD'!CJ9="","",'M2 Allocations - TD'!CJ35)</f>
        <v>0</v>
      </c>
      <c r="CL67" s="20">
        <f>IF('M2 Allocations - TD'!CK9="","",'M2 Allocations - TD'!CK35)</f>
        <v>0</v>
      </c>
      <c r="CM67" s="20">
        <f>IF('M2 Allocations - TD'!CL9="","",'M2 Allocations - TD'!CL35)</f>
        <v>0</v>
      </c>
      <c r="CN67" s="20">
        <f>IF('M2 Allocations - TD'!CM9="","",'M2 Allocations - TD'!CM35)</f>
        <v>0</v>
      </c>
      <c r="CO67" s="20">
        <f>IF('M2 Allocations - TD'!CN9="","",'M2 Allocations - TD'!CN35)</f>
        <v>0</v>
      </c>
      <c r="CP67" s="20">
        <f>IF('M2 Allocations - TD'!CO9="","",'M2 Allocations - TD'!CO35)</f>
        <v>0</v>
      </c>
      <c r="CQ67" s="20">
        <f>IF('M2 Allocations - TD'!CP9="","",'M2 Allocations - TD'!CP35)</f>
        <v>0</v>
      </c>
      <c r="CR67" s="20">
        <f>IF('M2 Allocations - TD'!CQ9="","",'M2 Allocations - TD'!CQ35)</f>
        <v>0</v>
      </c>
      <c r="CS67" s="20">
        <f>IF('M2 Allocations - TD'!CR9="","",'M2 Allocations - TD'!CR35)</f>
        <v>0</v>
      </c>
      <c r="CT67" s="20">
        <f>IF('M2 Allocations - TD'!CS9="","",'M2 Allocations - TD'!CS35)</f>
        <v>0</v>
      </c>
      <c r="CU67" s="20">
        <f>IF('M2 Allocations - TD'!CT9="","",'M2 Allocations - TD'!CT35)</f>
        <v>0</v>
      </c>
    </row>
    <row r="68" spans="1:99" s="4" customFormat="1" ht="15" hidden="1" customHeight="1" outlineLevel="1" x14ac:dyDescent="0.35">
      <c r="A68" s="295"/>
      <c r="B68" s="16" t="s">
        <v>26</v>
      </c>
      <c r="C68" s="24"/>
      <c r="D68" s="24"/>
      <c r="E68" s="22">
        <v>0</v>
      </c>
      <c r="F68" s="22">
        <v>0</v>
      </c>
      <c r="G68" s="22">
        <v>0</v>
      </c>
      <c r="H68" s="22">
        <v>4867.8</v>
      </c>
      <c r="I68" s="22">
        <v>9528.7800000000007</v>
      </c>
      <c r="J68" s="22">
        <v>9622.07</v>
      </c>
      <c r="K68" s="22">
        <v>10571.65</v>
      </c>
      <c r="L68" s="22">
        <v>9276.2800000000007</v>
      </c>
      <c r="M68" s="22">
        <v>8552.14</v>
      </c>
      <c r="N68" s="22">
        <v>8040.28</v>
      </c>
      <c r="O68" s="22">
        <v>7958.8</v>
      </c>
      <c r="P68" s="22">
        <f>108234.02+94465.45</f>
        <v>202699.47</v>
      </c>
      <c r="Q68" s="22">
        <v>167678.56</v>
      </c>
      <c r="R68" s="20">
        <f>IF('M2 Allocations - TD'!Q54="","",'M2 Allocations - TD'!Q72)</f>
        <v>183651.06125723169</v>
      </c>
      <c r="S68" s="20">
        <f>IF('M2 Allocations - TD'!R54="","",'M2 Allocations - TD'!R72)</f>
        <v>187110.90550820582</v>
      </c>
      <c r="T68" s="20">
        <f>IF('M2 Allocations - TD'!S54="","",'M2 Allocations - TD'!S72)</f>
        <v>223442.58102316182</v>
      </c>
      <c r="U68" s="20">
        <f>IF('M2 Allocations - TD'!T54="","",'M2 Allocations - TD'!T72)</f>
        <v>211112.22603032622</v>
      </c>
      <c r="V68" s="20">
        <f>IF('M2 Allocations - TD'!U54="","",'M2 Allocations - TD'!U72)</f>
        <v>233963.66032568182</v>
      </c>
      <c r="W68" s="20">
        <f>IF('M2 Allocations - TD'!V54="","",'M2 Allocations - TD'!V72)</f>
        <v>223064.28470931173</v>
      </c>
      <c r="X68" s="20">
        <f>IF('M2 Allocations - TD'!W54="","",'M2 Allocations - TD'!W72)</f>
        <v>212741.63673550039</v>
      </c>
      <c r="Y68" s="20">
        <f>IF('M2 Allocations - TD'!X54="","",'M2 Allocations - TD'!X72)</f>
        <v>202298.65943791193</v>
      </c>
      <c r="Z68" s="20">
        <f>IF('M2 Allocations - TD'!Y54="","",'M2 Allocations - TD'!Y72)</f>
        <v>185145.40058784836</v>
      </c>
      <c r="AA68" s="20">
        <f>IF('M2 Allocations - TD'!Z54="","",'M2 Allocations - TD'!Z72)</f>
        <v>187242.02591890033</v>
      </c>
      <c r="AB68" s="20">
        <f>IF('M2 Allocations - TD'!AA54="","",'M2 Allocations - TD'!AA72)</f>
        <v>102199.67</v>
      </c>
      <c r="AC68" s="20">
        <f>IF('M2 Allocations - TD'!AB54="","",'M2 Allocations - TD'!AB72)</f>
        <v>15774.991410991883</v>
      </c>
      <c r="AD68" s="20">
        <f>IF('M2 Allocations - TD'!AC54="","",'M2 Allocations - TD'!AC72)</f>
        <v>14999.076289049191</v>
      </c>
      <c r="AE68" s="20">
        <f>IF('M2 Allocations - TD'!AD54="","",'M2 Allocations - TD'!AD72)</f>
        <v>17802.440022199695</v>
      </c>
      <c r="AF68" s="20">
        <f>IF('M2 Allocations - TD'!AE54="","",'M2 Allocations - TD'!AE72)</f>
        <v>19775.612550633668</v>
      </c>
      <c r="AG68" s="20">
        <f>IF('M2 Allocations - TD'!AF54="","",'M2 Allocations - TD'!AF72)</f>
        <v>11062.273989486501</v>
      </c>
      <c r="AH68" s="20">
        <f>IF('M2 Allocations - TD'!AG54="","",'M2 Allocations - TD'!AG72)</f>
        <v>20313.771907757455</v>
      </c>
      <c r="AI68" s="20">
        <f>IF('M2 Allocations - TD'!AH54="","",'M2 Allocations - TD'!AH72)</f>
        <v>19132.25484498954</v>
      </c>
      <c r="AJ68" s="20">
        <f>IF('M2 Allocations - TD'!AI54="","",'M2 Allocations - TD'!AI72)</f>
        <v>18842.570934578442</v>
      </c>
      <c r="AK68" s="20">
        <f>IF('M2 Allocations - TD'!AJ54="","",'M2 Allocations - TD'!AJ72)</f>
        <v>17291.908336856264</v>
      </c>
      <c r="AL68" s="20">
        <f>IF('M2 Allocations - TD'!AK54="","",'M2 Allocations - TD'!AK72)</f>
        <v>16424.771759142779</v>
      </c>
      <c r="AM68" s="20">
        <f>IF('M2 Allocations - TD'!AL54="","",'M2 Allocations - TD'!AL72)</f>
        <v>19194.293385468092</v>
      </c>
      <c r="AN68" s="20">
        <f>IF('M2 Allocations - TD'!AM54="","",'M2 Allocations - TD'!AM72)</f>
        <v>38886.814638059877</v>
      </c>
      <c r="AO68" s="20">
        <f>IF('M2 Allocations - TD'!AN54="","",'M2 Allocations - TD'!AN72)</f>
        <v>62163.30838583759</v>
      </c>
      <c r="AP68" s="20">
        <f>IF('M2 Allocations - TD'!AO54="","",'M2 Allocations - TD'!AO72)</f>
        <v>62277.891788111709</v>
      </c>
      <c r="AQ68" s="20">
        <f>IF('M2 Allocations - TD'!AP54="","",'M2 Allocations - TD'!AP72)</f>
        <v>61090.351080169654</v>
      </c>
      <c r="AR68" s="20">
        <f>IF('M2 Allocations - TD'!AQ54="","",'M2 Allocations - TD'!AQ72)</f>
        <v>77031.361873120681</v>
      </c>
      <c r="AS68" s="20">
        <f>IF('M2 Allocations - TD'!AR54="","",'M2 Allocations - TD'!AR72)</f>
        <v>71605.590509478847</v>
      </c>
      <c r="AT68" s="20">
        <f>IF('M2 Allocations - TD'!AS54="","",'M2 Allocations - TD'!AS72)</f>
        <v>79252.326006964737</v>
      </c>
      <c r="AU68" s="20">
        <f>IF('M2 Allocations - TD'!AT54="","",'M2 Allocations - TD'!AT72)</f>
        <v>80418.423982704393</v>
      </c>
      <c r="AV68" s="20">
        <f>IF('M2 Allocations - TD'!AU54="","",'M2 Allocations - TD'!AU72)</f>
        <v>75914.605849404077</v>
      </c>
      <c r="AW68" s="20">
        <f>IF('M2 Allocations - TD'!AV54="","",'M2 Allocations - TD'!AV72)</f>
        <v>67084.185364881603</v>
      </c>
      <c r="AX68" s="20">
        <f>IF('M2 Allocations - TD'!AW54="","",'M2 Allocations - TD'!AW72)</f>
        <v>62856.748290520285</v>
      </c>
      <c r="AY68" s="20">
        <f>IF('M2 Allocations - TD'!AX54="","",'M2 Allocations - TD'!AX72)</f>
        <v>66459.230205220156</v>
      </c>
      <c r="AZ68" s="20">
        <f>IF('M2 Allocations - TD'!AY54="","",'M2 Allocations - TD'!AY72)</f>
        <v>66430.245030828315</v>
      </c>
      <c r="BA68" s="20">
        <f>IF('M2 Allocations - TD'!AZ54="","",'M2 Allocations - TD'!AZ72)</f>
        <v>38508.585383210528</v>
      </c>
      <c r="BB68" s="20">
        <f>IF('M2 Allocations - TD'!BA54="","",'M2 Allocations - TD'!BA72)</f>
        <v>44139.712667457272</v>
      </c>
      <c r="BC68" s="20">
        <f>IF('M2 Allocations - TD'!BB54="","",'M2 Allocations - TD'!BB72)</f>
        <v>44831.320451790816</v>
      </c>
      <c r="BD68" s="20">
        <f>IF('M2 Allocations - TD'!BC54="","",'M2 Allocations - TD'!BC72)</f>
        <v>11299.677842574871</v>
      </c>
      <c r="BE68" s="20">
        <f>IF('M2 Allocations - TD'!BD54="","",'M2 Allocations - TD'!BD72)</f>
        <v>50403.777431042647</v>
      </c>
      <c r="BF68" s="20">
        <f>IF('M2 Allocations - TD'!BE54="","",'M2 Allocations - TD'!BE72)</f>
        <v>51924.778274542303</v>
      </c>
      <c r="BG68" s="20">
        <f>IF('M2 Allocations - TD'!BF54="","",'M2 Allocations - TD'!BF72)</f>
        <v>52673.048419221035</v>
      </c>
      <c r="BH68" s="20">
        <f>IF('M2 Allocations - TD'!BG54="","",'M2 Allocations - TD'!BG72)</f>
        <v>46395.596252741838</v>
      </c>
      <c r="BI68" s="20">
        <f>IF('M2 Allocations - TD'!BH54="","",'M2 Allocations - TD'!BH72)</f>
        <v>45485.528963265475</v>
      </c>
      <c r="BJ68" s="20">
        <f>IF('M2 Allocations - TD'!BI54="","",'M2 Allocations - TD'!BI72)</f>
        <v>46424.397026326449</v>
      </c>
      <c r="BK68" s="20">
        <f>IF('M2 Allocations - TD'!BJ54="","",'M2 Allocations - TD'!BJ72)</f>
        <v>42444.211387439616</v>
      </c>
      <c r="BL68" s="20">
        <f>IF('M2 Allocations - TD'!BK54="","",'M2 Allocations - TD'!BK72)</f>
        <v>37845.94077531778</v>
      </c>
      <c r="BM68" s="20">
        <f>IF('M2 Allocations - TD'!BL54="","",'M2 Allocations - TD'!BL72)</f>
        <v>-731.33700161567504</v>
      </c>
      <c r="BN68" s="20">
        <f>IF('M2 Allocations - TD'!BM54="","",'M2 Allocations - TD'!BM72)</f>
        <v>1437.7999422217736</v>
      </c>
      <c r="BO68" s="20">
        <f>IF('M2 Allocations - TD'!BN54="","",'M2 Allocations - TD'!BN72)</f>
        <v>1448.8425667251033</v>
      </c>
      <c r="BP68" s="20">
        <f>IF('M2 Allocations - TD'!BO54="","",'M2 Allocations - TD'!BO72)</f>
        <v>1380.7821512277105</v>
      </c>
      <c r="BQ68" s="20">
        <f>IF('M2 Allocations - TD'!BP54="","",'M2 Allocations - TD'!BP72)</f>
        <v>1767.2604926793401</v>
      </c>
      <c r="BR68" s="20">
        <f>IF('M2 Allocations - TD'!BQ54="","",'M2 Allocations - TD'!BQ72)</f>
        <v>1691.5909448949833</v>
      </c>
      <c r="BS68" s="20">
        <f>IF('M2 Allocations - TD'!BR54="","",'M2 Allocations - TD'!BR72)</f>
        <v>1824.9961214654177</v>
      </c>
      <c r="BT68" s="20">
        <f>IF('M2 Allocations - TD'!BS54="","",'M2 Allocations - TD'!BS72)</f>
        <v>1633.3060195728406</v>
      </c>
      <c r="BU68" s="20">
        <f>IF('M2 Allocations - TD'!BT54="","",'M2 Allocations - TD'!BT72)</f>
        <v>1134.0675425845006</v>
      </c>
      <c r="BV68" s="20">
        <f>IF('M2 Allocations - TD'!BU54="","",'M2 Allocations - TD'!BU72)</f>
        <v>1713.7681476555249</v>
      </c>
      <c r="BW68" s="20">
        <f>IF('M2 Allocations - TD'!BV54="","",'M2 Allocations - TD'!BV72)</f>
        <v>1528.2002495401016</v>
      </c>
      <c r="BX68" s="20">
        <f>IF('M2 Allocations - TD'!BW54="","",'M2 Allocations - TD'!BW72)</f>
        <v>880.06349454617578</v>
      </c>
      <c r="BY68" s="20">
        <f>IF('M2 Allocations - TD'!BX54="","",'M2 Allocations - TD'!BX72)</f>
        <v>-2097.7749559192816</v>
      </c>
      <c r="BZ68" s="20">
        <f>IF('M2 Allocations - TD'!BY54="","",'M2 Allocations - TD'!BY72)</f>
        <v>-9941.5602511884663</v>
      </c>
      <c r="CA68" s="20">
        <f>IF('M2 Allocations - TD'!BZ54="","",'M2 Allocations - TD'!BZ72)</f>
        <v>-1916.6757761009615</v>
      </c>
      <c r="CB68" s="20">
        <f>IF('M2 Allocations - TD'!CA54="","",'M2 Allocations - TD'!CA72)</f>
        <v>-2336.6180031047011</v>
      </c>
      <c r="CC68" s="20">
        <f>IF('M2 Allocations - TD'!CB54="","",'M2 Allocations - TD'!CB72)</f>
        <v>-2679.3289962978324</v>
      </c>
      <c r="CD68" s="20">
        <f>IF('M2 Allocations - TD'!CC54="","",'M2 Allocations - TD'!CC72)</f>
        <v>-2648.8730550887763</v>
      </c>
      <c r="CE68" s="20">
        <f>IF('M2 Allocations - TD'!CD54="","",'M2 Allocations - TD'!CD72)</f>
        <v>-2762.0412565834886</v>
      </c>
      <c r="CF68" s="20">
        <f>IF('M2 Allocations - TD'!CE54="","",'M2 Allocations - TD'!CE72)</f>
        <v>-2372.9708277142608</v>
      </c>
      <c r="CG68" s="20">
        <f>IF('M2 Allocations - TD'!CF54="","",'M2 Allocations - TD'!CF72)</f>
        <v>-2369.0270963874896</v>
      </c>
      <c r="CH68" s="20">
        <f>IF('M2 Allocations - TD'!CG54="","",'M2 Allocations - TD'!CG72)</f>
        <v>-2320.8511941080565</v>
      </c>
      <c r="CI68" s="20">
        <f>IF('M2 Allocations - TD'!CH54="","",'M2 Allocations - TD'!CH72)</f>
        <v>-1958.1190231074463</v>
      </c>
      <c r="CJ68" s="20">
        <f>IF('M2 Allocations - TD'!CI54="","",'M2 Allocations - TD'!CI72)</f>
        <v>-1623.9777556599881</v>
      </c>
      <c r="CK68" s="20">
        <f>IF('M2 Allocations - TD'!CJ54="","",'M2 Allocations - TD'!CJ72)</f>
        <v>-31.727229387163341</v>
      </c>
      <c r="CL68" s="20">
        <f>IF('M2 Allocations - TD'!CK54="","",'M2 Allocations - TD'!CK72)</f>
        <v>-21.913770259463259</v>
      </c>
      <c r="CM68" s="20">
        <f>IF('M2 Allocations - TD'!CL54="","",'M2 Allocations - TD'!CL72)</f>
        <v>-19.431521380489585</v>
      </c>
      <c r="CN68" s="20">
        <f>IF('M2 Allocations - TD'!CM54="","",'M2 Allocations - TD'!CM72)</f>
        <v>-23.007750837930821</v>
      </c>
      <c r="CO68" s="20">
        <f>IF('M2 Allocations - TD'!CN54="","",'M2 Allocations - TD'!CN72)</f>
        <v>-23.519135312415173</v>
      </c>
      <c r="CP68" s="20">
        <f>IF('M2 Allocations - TD'!CO54="","",'M2 Allocations - TD'!CO72)</f>
        <v>-27.323845680704316</v>
      </c>
      <c r="CQ68" s="20">
        <f>IF('M2 Allocations - TD'!CP54="","",'M2 Allocations - TD'!CP72)</f>
        <v>-29.041239780857424</v>
      </c>
      <c r="CR68" s="20">
        <f>IF('M2 Allocations - TD'!CQ54="","",'M2 Allocations - TD'!CQ72)</f>
        <v>-28.609465326327861</v>
      </c>
      <c r="CS68" s="20">
        <f>IF('M2 Allocations - TD'!CR54="","",'M2 Allocations - TD'!CR72)</f>
        <v>-22.657604747415956</v>
      </c>
      <c r="CT68" s="20">
        <f>IF('M2 Allocations - TD'!CS54="","",'M2 Allocations - TD'!CS72)</f>
        <v>-25.135936954116374</v>
      </c>
      <c r="CU68" s="20">
        <f>IF('M2 Allocations - TD'!CT54="","",'M2 Allocations - TD'!CT72)</f>
        <v>-28.268803307973609</v>
      </c>
    </row>
    <row r="69" spans="1:99" s="4" customFormat="1" ht="15" hidden="1" customHeight="1" outlineLevel="1" x14ac:dyDescent="0.35">
      <c r="A69" s="295"/>
      <c r="B69" s="16" t="s">
        <v>51</v>
      </c>
      <c r="C69" s="24"/>
      <c r="D69" s="24"/>
      <c r="E69" s="22"/>
      <c r="F69" s="22"/>
      <c r="G69" s="22"/>
      <c r="H69" s="22"/>
      <c r="I69" s="22"/>
      <c r="J69" s="22"/>
      <c r="K69" s="22"/>
      <c r="L69" s="22"/>
      <c r="M69" s="22"/>
      <c r="N69" s="22"/>
      <c r="O69" s="22">
        <f>+'M2 TD amort'!C36</f>
        <v>0</v>
      </c>
      <c r="P69" s="22">
        <f>IF(P68="","",-'M2 TD amort'!D36)</f>
        <v>-147923.54</v>
      </c>
      <c r="Q69" s="22">
        <f>IF(Q68="","",-'M2 TD amort'!E36)</f>
        <v>-122366.41</v>
      </c>
      <c r="R69" s="20">
        <f>IF(R68="","",-'M2 TD amort'!F36)</f>
        <v>-135610.26999999999</v>
      </c>
      <c r="S69" s="20">
        <f>IF(S68="","",-'M2 TD amort'!G36)</f>
        <v>-137927.79</v>
      </c>
      <c r="T69" s="20">
        <f>IF(T68="","",-'M2 TD amort'!H36)</f>
        <v>-164689.71</v>
      </c>
      <c r="U69" s="20">
        <f>IF(U68="","",-'M2 TD amort'!I36)</f>
        <v>-155769.59</v>
      </c>
      <c r="V69" s="20">
        <f>IF(V68="","",-'M2 TD amort'!J36)</f>
        <v>-172638.51</v>
      </c>
      <c r="W69" s="20">
        <f>IF(W68="","",-'M2 TD amort'!K36)</f>
        <v>-164503.71</v>
      </c>
      <c r="X69" s="20">
        <f>IF(X68="","",-'M2 TD amort'!L36)</f>
        <v>-156843.66</v>
      </c>
      <c r="Y69" s="20">
        <f>IF(Y68="","",-'M2 TD amort'!M36)</f>
        <v>-149437.09</v>
      </c>
      <c r="Z69" s="20">
        <f>IF(Z68="","",-'M2 TD amort'!N36)</f>
        <v>-137029.1</v>
      </c>
      <c r="AA69" s="20">
        <f>IF(AA68="","",-'M2 TD amort'!O36)</f>
        <v>-138956.35</v>
      </c>
      <c r="AB69" s="20">
        <f>IF(AB68="","",-'M2 TD amort'!P36)</f>
        <v>163073.60999999999</v>
      </c>
      <c r="AC69" s="20">
        <f>IF(AC68="","",-'M2 TD amort'!Q36)</f>
        <v>28184.85</v>
      </c>
      <c r="AD69" s="20">
        <f>IF(AD68="","",-'M2 TD amort'!R36)</f>
        <v>26811.56</v>
      </c>
      <c r="AE69" s="20">
        <f>IF(AE68="","",-'M2 TD amort'!S36)</f>
        <v>30658.16</v>
      </c>
      <c r="AF69" s="20">
        <f>IF(AF68="","",-'M2 TD amort'!T36)</f>
        <v>33927.269999999997</v>
      </c>
      <c r="AG69" s="20">
        <f>IF(AG68="","",-'M2 TD amort'!U36)</f>
        <v>20613.12</v>
      </c>
      <c r="AH69" s="20">
        <f>IF(AH68="","",-'M2 TD amort'!V36)</f>
        <v>34940.29</v>
      </c>
      <c r="AI69" s="20">
        <f>IF(AI68="","",-'M2 TD amort'!W36)</f>
        <v>32815.35</v>
      </c>
      <c r="AJ69" s="20">
        <f>IF(AJ68="","",-'M2 TD amort'!X36)</f>
        <v>32400.86</v>
      </c>
      <c r="AK69" s="20">
        <f>IF(AK68="","",-'M2 TD amort'!Y36)</f>
        <v>30448.7</v>
      </c>
      <c r="AL69" s="20">
        <f>IF(AL68="","",-'M2 TD amort'!Z36)</f>
        <v>29651.5</v>
      </c>
      <c r="AM69" s="20">
        <f>IF(AM68="","",-'M2 TD amort'!AA36)</f>
        <v>33179.11</v>
      </c>
      <c r="AN69" s="20">
        <f>IF(AN68="","",-'M2 TD amort'!AB36)</f>
        <v>1500.43</v>
      </c>
      <c r="AO69" s="20">
        <f>IF(AO68="","",-'M2 TD amort'!AC36)</f>
        <v>2352.08</v>
      </c>
      <c r="AP69" s="20">
        <f>IF(AP68="","",-'M2 TD amort'!AD36)</f>
        <v>2341.8200000000002</v>
      </c>
      <c r="AQ69" s="20">
        <f>IF(AQ68="","",-'M2 TD amort'!AE36)</f>
        <v>2285.06</v>
      </c>
      <c r="AR69" s="20">
        <f>IF(AR68="","",-'M2 TD amort'!AF36)</f>
        <v>2878.25</v>
      </c>
      <c r="AS69" s="20">
        <f>IF(AS68="","",-'M2 TD amort'!AG36)</f>
        <v>2679.25</v>
      </c>
      <c r="AT69" s="20">
        <f>IF(AT68="","",-'M2 TD amort'!AH36)</f>
        <v>2966.75</v>
      </c>
      <c r="AU69" s="20">
        <f>IF(AU68="","",-'M2 TD amort'!AI36)</f>
        <v>3006.59</v>
      </c>
      <c r="AV69" s="20">
        <f>IF(AV68="","",-'M2 TD amort'!AJ36)</f>
        <v>2836.24</v>
      </c>
      <c r="AW69" s="20">
        <f>IF(AW68="","",-'M2 TD amort'!AK36)</f>
        <v>2518.7800000000002</v>
      </c>
      <c r="AX69" s="20">
        <f>IF(AX68="","",-'M2 TD amort'!AL36)</f>
        <v>2370.0100000000002</v>
      </c>
      <c r="AY69" s="20">
        <f>IF(AY68="","",-'M2 TD amort'!AM36)</f>
        <v>2508.15</v>
      </c>
      <c r="AZ69" s="20">
        <f>IF(AZ68="","",-'M2 TD amort'!AN36)</f>
        <v>-43670.64</v>
      </c>
      <c r="BA69" s="20">
        <f>IF(BA68="","",-'M2 TD amort'!AO36)</f>
        <v>-24903.919999999998</v>
      </c>
      <c r="BB69" s="20">
        <f>IF(BB68="","",-'M2 TD amort'!AP36)</f>
        <v>-28515.46</v>
      </c>
      <c r="BC69" s="20">
        <f>IF(BC68="","",-'M2 TD amort'!AQ36)</f>
        <v>-28951.69</v>
      </c>
      <c r="BD69" s="20">
        <f>IF(BD68="","",-'M2 TD amort'!AR36)</f>
        <v>-7358.44</v>
      </c>
      <c r="BE69" s="20">
        <f>IF(BE68="","",-'M2 TD amort'!AS36)</f>
        <v>-32544.66</v>
      </c>
      <c r="BF69" s="20">
        <f>IF(BF68="","",-'M2 TD amort'!AT36)</f>
        <v>-33521.589999999997</v>
      </c>
      <c r="BG69" s="20">
        <f>IF(BG68="","",-'M2 TD amort'!AU36)</f>
        <v>-33998.61</v>
      </c>
      <c r="BH69" s="20">
        <f>IF(BH68="","",-'M2 TD amort'!AV36)</f>
        <v>-29947.3</v>
      </c>
      <c r="BI69" s="20">
        <f>IF(BI68="","",-'M2 TD amort'!AW36)</f>
        <v>-29372.76</v>
      </c>
      <c r="BJ69" s="20">
        <f>IF(BJ68="","",-'M2 TD amort'!AX36)</f>
        <v>-29994.51</v>
      </c>
      <c r="BK69" s="20">
        <f>IF(BK68="","",-'M2 TD amort'!AY36)</f>
        <v>-27431.4</v>
      </c>
      <c r="BL69" s="20">
        <f>IF(BL68="","",-'M2 TD amort'!AZ36)</f>
        <v>-37690.370000000003</v>
      </c>
      <c r="BM69" s="20">
        <f>IF(BM68="","",-'M2 TD amort'!BA36)</f>
        <v>999.06</v>
      </c>
      <c r="BN69" s="20">
        <f>IF(BN68="","",-'M2 TD amort'!BB36)</f>
        <v>-1068.3499999999999</v>
      </c>
      <c r="BO69" s="20">
        <f>IF(BO68="","",-'M2 TD amort'!BC36)</f>
        <v>-1085.3800000000001</v>
      </c>
      <c r="BP69" s="20">
        <f>IF(BP68="","",-'M2 TD amort'!BD36)</f>
        <v>-1047.53</v>
      </c>
      <c r="BQ69" s="20">
        <f>IF(BQ68="","",-'M2 TD amort'!BE36)</f>
        <v>-1336.85</v>
      </c>
      <c r="BR69" s="20">
        <f>IF(BR68="","",-'M2 TD amort'!BF36)</f>
        <v>-1272.6199999999999</v>
      </c>
      <c r="BS69" s="20">
        <f>IF(BS68="","",-'M2 TD amort'!BG36)</f>
        <v>-1376.1</v>
      </c>
      <c r="BT69" s="20">
        <f>IF(BT68="","",-'M2 TD amort'!BH36)</f>
        <v>-1261.3</v>
      </c>
      <c r="BU69" s="20">
        <f>IF(BU68="","",-'M2 TD amort'!BI36)</f>
        <v>-837.34</v>
      </c>
      <c r="BV69" s="20">
        <f>IF(BV68="","",-'M2 TD amort'!BJ36)</f>
        <v>-1174.03</v>
      </c>
      <c r="BW69" s="20">
        <f>IF(BW68="","",-'M2 TD amort'!BK36)</f>
        <v>-1093.94</v>
      </c>
      <c r="BX69" s="20">
        <f>IF(BX68="","",-'M2 TD amort'!BL36)</f>
        <v>-595.17999999999995</v>
      </c>
      <c r="BY69" s="20">
        <f>IF(BY68="","",-'M2 TD amort'!BM36)</f>
        <v>2111.9699999999998</v>
      </c>
      <c r="BZ69" s="20">
        <f>IF(BZ68="","",-'M2 TD amort'!BN36)</f>
        <v>9939.4599999999991</v>
      </c>
      <c r="CA69" s="20">
        <f>IF(CA68="","",-'M2 TD amort'!BO36)</f>
        <v>1923.43</v>
      </c>
      <c r="CB69" s="20">
        <f>IF(CB68="","",-'M2 TD amort'!BP36)</f>
        <v>2344.67</v>
      </c>
      <c r="CC69" s="20">
        <f>IF(CC68="","",-'M2 TD amort'!BQ36)</f>
        <v>2689.87</v>
      </c>
      <c r="CD69" s="20">
        <f>IF(CD68="","",-'M2 TD amort'!BR36)</f>
        <v>2659.72</v>
      </c>
      <c r="CE69" s="20">
        <f>IF(CE68="","",-'M2 TD amort'!BS36)</f>
        <v>2772.83</v>
      </c>
      <c r="CF69" s="20">
        <f>IF(CF68="","",-'M2 TD amort'!BT36)</f>
        <v>2382.11</v>
      </c>
      <c r="CG69" s="20">
        <f>IF(CG68="","",-'M2 TD amort'!BU36)</f>
        <v>2379.37</v>
      </c>
      <c r="CH69" s="20">
        <f>IF(CH68="","",-'M2 TD amort'!BV36)</f>
        <v>2335.83</v>
      </c>
      <c r="CI69" s="20">
        <f>IF(CI68="","",-'M2 TD amort'!BW36)</f>
        <v>1971.85</v>
      </c>
      <c r="CJ69" s="20">
        <f>IF(CJ68="","",-'M2 TD amort'!BX36)</f>
        <v>1623.82</v>
      </c>
      <c r="CK69" s="20">
        <f>IF(CK68="","",-'M2 TD amort'!BY36)</f>
        <v>8.4700000000000006</v>
      </c>
      <c r="CL69" s="20">
        <f>IF(CL68="","",-'M2 TD amort'!BZ36)</f>
        <v>0</v>
      </c>
      <c r="CM69" s="20">
        <f>IF(CM68="","",-'M2 TD amort'!CA36)</f>
        <v>0</v>
      </c>
      <c r="CN69" s="20">
        <f>IF(CN68="","",-'M2 TD amort'!CB36)</f>
        <v>0</v>
      </c>
      <c r="CO69" s="20">
        <f>IF(CO68="","",-'M2 TD amort'!CC36)</f>
        <v>0</v>
      </c>
      <c r="CP69" s="20">
        <f>IF(CP68="","",-'M2 TD amort'!CD36)</f>
        <v>0</v>
      </c>
      <c r="CQ69" s="20">
        <f>IF(CQ68="","",-'M2 TD amort'!CE36)</f>
        <v>0</v>
      </c>
      <c r="CR69" s="20">
        <f>IF(CR68="","",-'M2 TD amort'!CF36)</f>
        <v>0</v>
      </c>
      <c r="CS69" s="20">
        <f>IF(CS68="","",-'M2 TD amort'!CG36)</f>
        <v>0</v>
      </c>
      <c r="CT69" s="20">
        <f>IF(CT68="","",-'M2 TD amort'!CH36)</f>
        <v>0</v>
      </c>
      <c r="CU69" s="20">
        <f>IF(CU68="","",-'M2 TD amort'!CI36)</f>
        <v>0</v>
      </c>
    </row>
    <row r="70" spans="1:99" s="4" customFormat="1" ht="15" hidden="1" customHeight="1" outlineLevel="1" x14ac:dyDescent="0.35">
      <c r="A70" s="295"/>
      <c r="B70" s="16" t="s">
        <v>52</v>
      </c>
      <c r="C70" s="24"/>
      <c r="D70" s="24"/>
      <c r="E70" s="7"/>
      <c r="F70" s="7"/>
      <c r="G70" s="7"/>
      <c r="H70" s="7"/>
      <c r="I70" s="7"/>
      <c r="J70" s="7"/>
      <c r="K70" s="7"/>
      <c r="L70" s="7"/>
      <c r="M70" s="7"/>
      <c r="N70" s="7"/>
      <c r="O70" s="7">
        <f>IF(OR(O69="",O68=""),"",O68+O69)</f>
        <v>7958.8</v>
      </c>
      <c r="P70" s="7">
        <f t="shared" ref="P70" si="872">IF(OR(P69="",P68=""),"",P68+P69)</f>
        <v>54775.929999999993</v>
      </c>
      <c r="Q70" s="7">
        <f t="shared" ref="Q70" si="873">IF(OR(Q69="",Q68=""),"",Q68+Q69)</f>
        <v>45312.149999999994</v>
      </c>
      <c r="R70" s="7">
        <f t="shared" ref="R70" si="874">IF(OR(R69="",R68=""),"",R68+R69)</f>
        <v>48040.7912572317</v>
      </c>
      <c r="S70" s="7">
        <f t="shared" ref="S70" si="875">IF(OR(S69="",S68=""),"",S68+S69)</f>
        <v>49183.11550820581</v>
      </c>
      <c r="T70" s="7">
        <f t="shared" ref="T70" si="876">IF(OR(T69="",T68=""),"",T68+T69)</f>
        <v>58752.871023161832</v>
      </c>
      <c r="U70" s="7">
        <f t="shared" ref="U70" si="877">IF(OR(U69="",U68=""),"",U68+U69)</f>
        <v>55342.636030326219</v>
      </c>
      <c r="V70" s="7">
        <f t="shared" ref="V70" si="878">IF(OR(V69="",V68=""),"",V68+V69)</f>
        <v>61325.150325681811</v>
      </c>
      <c r="W70" s="7">
        <f t="shared" ref="W70" si="879">IF(OR(W69="",W68=""),"",W68+W69)</f>
        <v>58560.574709311739</v>
      </c>
      <c r="X70" s="7">
        <f t="shared" ref="X70" si="880">IF(OR(X69="",X68=""),"",X68+X69)</f>
        <v>55897.976735500386</v>
      </c>
      <c r="Y70" s="7">
        <f t="shared" ref="Y70" si="881">IF(OR(Y69="",Y68=""),"",Y68+Y69)</f>
        <v>52861.569437911938</v>
      </c>
      <c r="Z70" s="7">
        <f t="shared" ref="Z70" si="882">IF(OR(Z69="",Z68=""),"",Z68+Z69)</f>
        <v>48116.300587848353</v>
      </c>
      <c r="AA70" s="7">
        <f t="shared" ref="AA70" si="883">IF(OR(AA69="",AA68=""),"",AA68+AA69)</f>
        <v>48285.675918900321</v>
      </c>
      <c r="AB70" s="7">
        <f>IF(OR(AB69="",AB68=""),"",AB68+AB69)</f>
        <v>265273.27999999997</v>
      </c>
      <c r="AC70" s="7">
        <f t="shared" ref="AC70" si="884">IF(OR(AC69="",AC68=""),"",AC68+AC69)</f>
        <v>43959.841410991881</v>
      </c>
      <c r="AD70" s="7">
        <f t="shared" ref="AD70" si="885">IF(OR(AD69="",AD68=""),"",AD68+AD69)</f>
        <v>41810.636289049195</v>
      </c>
      <c r="AE70" s="7">
        <f t="shared" ref="AE70" si="886">IF(OR(AE69="",AE68=""),"",AE68+AE69)</f>
        <v>48460.600022199695</v>
      </c>
      <c r="AF70" s="7">
        <f t="shared" ref="AF70" si="887">IF(OR(AF69="",AF68=""),"",AF68+AF69)</f>
        <v>53702.882550633665</v>
      </c>
      <c r="AG70" s="7">
        <f t="shared" ref="AG70" si="888">IF(OR(AG69="",AG68=""),"",AG68+AG69)</f>
        <v>31675.3939894865</v>
      </c>
      <c r="AH70" s="7">
        <f t="shared" ref="AH70" si="889">IF(OR(AH69="",AH68=""),"",AH68+AH69)</f>
        <v>55254.061907757452</v>
      </c>
      <c r="AI70" s="7">
        <f t="shared" ref="AI70" si="890">IF(OR(AI69="",AI68=""),"",AI68+AI69)</f>
        <v>51947.604844989539</v>
      </c>
      <c r="AJ70" s="7">
        <f t="shared" ref="AJ70" si="891">IF(OR(AJ69="",AJ68=""),"",AJ68+AJ69)</f>
        <v>51243.430934578442</v>
      </c>
      <c r="AK70" s="7">
        <f t="shared" ref="AK70" si="892">IF(OR(AK69="",AK68=""),"",AK68+AK69)</f>
        <v>47740.608336856269</v>
      </c>
      <c r="AL70" s="7">
        <f t="shared" ref="AL70" si="893">IF(OR(AL69="",AL68=""),"",AL68+AL69)</f>
        <v>46076.271759142779</v>
      </c>
      <c r="AM70" s="7">
        <f t="shared" ref="AM70:BJ70" si="894">IF(OR(AM69="",AM68=""),"",AM68+AM69)</f>
        <v>52373.403385468089</v>
      </c>
      <c r="AN70" s="7">
        <f t="shared" si="894"/>
        <v>40387.244638059878</v>
      </c>
      <c r="AO70" s="7">
        <f t="shared" si="894"/>
        <v>64515.388385837592</v>
      </c>
      <c r="AP70" s="7">
        <f t="shared" si="894"/>
        <v>64619.711788111708</v>
      </c>
      <c r="AQ70" s="7">
        <f t="shared" si="894"/>
        <v>63375.411080169652</v>
      </c>
      <c r="AR70" s="7">
        <f t="shared" si="894"/>
        <v>79909.611873120681</v>
      </c>
      <c r="AS70" s="7">
        <f t="shared" si="894"/>
        <v>74284.840509478847</v>
      </c>
      <c r="AT70" s="7">
        <f t="shared" si="894"/>
        <v>82219.076006964737</v>
      </c>
      <c r="AU70" s="7">
        <f t="shared" si="894"/>
        <v>83425.013982704389</v>
      </c>
      <c r="AV70" s="7">
        <f t="shared" si="894"/>
        <v>78750.845849404082</v>
      </c>
      <c r="AW70" s="7">
        <f t="shared" si="894"/>
        <v>69602.965364881602</v>
      </c>
      <c r="AX70" s="7">
        <f t="shared" si="894"/>
        <v>65226.758290520287</v>
      </c>
      <c r="AY70" s="7">
        <f t="shared" si="894"/>
        <v>68967.38020522015</v>
      </c>
      <c r="AZ70" s="7">
        <f t="shared" si="894"/>
        <v>22759.605030828316</v>
      </c>
      <c r="BA70" s="7">
        <f t="shared" si="894"/>
        <v>13604.665383210529</v>
      </c>
      <c r="BB70" s="7">
        <f t="shared" si="894"/>
        <v>15624.252667457273</v>
      </c>
      <c r="BC70" s="7">
        <f t="shared" si="894"/>
        <v>15879.630451790817</v>
      </c>
      <c r="BD70" s="7">
        <f t="shared" si="894"/>
        <v>3941.2378425748711</v>
      </c>
      <c r="BE70" s="7">
        <f t="shared" si="894"/>
        <v>17859.117431042647</v>
      </c>
      <c r="BF70" s="7">
        <f t="shared" si="894"/>
        <v>18403.188274542306</v>
      </c>
      <c r="BG70" s="7">
        <f t="shared" si="894"/>
        <v>18674.438419221035</v>
      </c>
      <c r="BH70" s="7">
        <f t="shared" si="894"/>
        <v>16448.296252741839</v>
      </c>
      <c r="BI70" s="7">
        <f t="shared" si="894"/>
        <v>16112.768963265476</v>
      </c>
      <c r="BJ70" s="7">
        <f t="shared" si="894"/>
        <v>16429.887026326451</v>
      </c>
      <c r="BK70" s="7">
        <f t="shared" ref="BK70:BL70" si="895">IF(OR(BK69="",BK68=""),"",BK68+BK69)</f>
        <v>15012.811387439615</v>
      </c>
      <c r="BL70" s="7">
        <f t="shared" si="895"/>
        <v>155.57077531777759</v>
      </c>
      <c r="BM70" s="7">
        <f t="shared" ref="BM70:BN70" si="896">IF(OR(BM69="",BM68=""),"",BM68+BM69)</f>
        <v>267.72299838432491</v>
      </c>
      <c r="BN70" s="7">
        <f t="shared" si="896"/>
        <v>369.44994222177365</v>
      </c>
      <c r="BO70" s="7">
        <f t="shared" ref="BO70:BP70" si="897">IF(OR(BO69="",BO68=""),"",BO68+BO69)</f>
        <v>363.46256672510322</v>
      </c>
      <c r="BP70" s="7">
        <f t="shared" si="897"/>
        <v>333.25215122771056</v>
      </c>
      <c r="BQ70" s="7">
        <f t="shared" ref="BQ70:BR70" si="898">IF(OR(BQ69="",BQ68=""),"",BQ68+BQ69)</f>
        <v>430.41049267934022</v>
      </c>
      <c r="BR70" s="7">
        <f t="shared" si="898"/>
        <v>418.9709448949834</v>
      </c>
      <c r="BS70" s="7">
        <f t="shared" ref="BS70:BT70" si="899">IF(OR(BS69="",BS68=""),"",BS68+BS69)</f>
        <v>448.89612146541776</v>
      </c>
      <c r="BT70" s="7">
        <f t="shared" si="899"/>
        <v>372.00601957284061</v>
      </c>
      <c r="BU70" s="7">
        <f t="shared" ref="BU70:BV70" si="900">IF(OR(BU69="",BU68=""),"",BU68+BU69)</f>
        <v>296.72754258450061</v>
      </c>
      <c r="BV70" s="7">
        <f t="shared" si="900"/>
        <v>539.73814765552493</v>
      </c>
      <c r="BW70" s="7">
        <f t="shared" ref="BW70:BX70" si="901">IF(OR(BW69="",BW68=""),"",BW68+BW69)</f>
        <v>434.26024954010154</v>
      </c>
      <c r="BX70" s="7">
        <f t="shared" si="901"/>
        <v>284.88349454617583</v>
      </c>
      <c r="BY70" s="7">
        <f t="shared" ref="BY70:BZ70" si="902">IF(OR(BY69="",BY68=""),"",BY68+BY69)</f>
        <v>14.195044080718162</v>
      </c>
      <c r="BZ70" s="7">
        <f t="shared" si="902"/>
        <v>-2.1002511884671549</v>
      </c>
      <c r="CA70" s="7">
        <f t="shared" ref="CA70:CB70" si="903">IF(OR(CA69="",CA68=""),"",CA68+CA69)</f>
        <v>6.7542238990386068</v>
      </c>
      <c r="CB70" s="7">
        <f t="shared" si="903"/>
        <v>8.0519968952989984</v>
      </c>
      <c r="CC70" s="7">
        <f t="shared" ref="CC70:CD70" si="904">IF(OR(CC69="",CC68=""),"",CC68+CC69)</f>
        <v>10.541003702167473</v>
      </c>
      <c r="CD70" s="7">
        <f t="shared" si="904"/>
        <v>10.846944911223545</v>
      </c>
      <c r="CE70" s="7">
        <f t="shared" ref="CE70:CF70" si="905">IF(OR(CE69="",CE68=""),"",CE68+CE69)</f>
        <v>10.788743416511352</v>
      </c>
      <c r="CF70" s="7">
        <f t="shared" si="905"/>
        <v>9.1391722857392779</v>
      </c>
      <c r="CG70" s="7">
        <f t="shared" ref="CG70:CH70" si="906">IF(OR(CG69="",CG68=""),"",CG68+CG69)</f>
        <v>10.342903612510327</v>
      </c>
      <c r="CH70" s="7">
        <f t="shared" si="906"/>
        <v>14.978805891943466</v>
      </c>
      <c r="CI70" s="7">
        <f t="shared" ref="CI70:CJ70" si="907">IF(OR(CI69="",CI68=""),"",CI68+CI69)</f>
        <v>13.730976892553599</v>
      </c>
      <c r="CJ70" s="7">
        <f t="shared" si="907"/>
        <v>-0.15775565998819729</v>
      </c>
      <c r="CK70" s="7">
        <f t="shared" ref="CK70:CL70" si="908">IF(OR(CK69="",CK68=""),"",CK68+CK69)</f>
        <v>-23.257229387163342</v>
      </c>
      <c r="CL70" s="7">
        <f t="shared" si="908"/>
        <v>-21.913770259463259</v>
      </c>
      <c r="CM70" s="7">
        <f t="shared" ref="CM70:CN70" si="909">IF(OR(CM69="",CM68=""),"",CM68+CM69)</f>
        <v>-19.431521380489585</v>
      </c>
      <c r="CN70" s="7">
        <f t="shared" si="909"/>
        <v>-23.007750837930821</v>
      </c>
      <c r="CO70" s="7">
        <f t="shared" ref="CO70:CP70" si="910">IF(OR(CO69="",CO68=""),"",CO68+CO69)</f>
        <v>-23.519135312415173</v>
      </c>
      <c r="CP70" s="7">
        <f t="shared" si="910"/>
        <v>-27.323845680704316</v>
      </c>
      <c r="CQ70" s="7">
        <f t="shared" ref="CQ70:CR70" si="911">IF(OR(CQ69="",CQ68=""),"",CQ68+CQ69)</f>
        <v>-29.041239780857424</v>
      </c>
      <c r="CR70" s="7">
        <f t="shared" si="911"/>
        <v>-28.609465326327861</v>
      </c>
      <c r="CS70" s="7">
        <f t="shared" ref="CS70:CU70" si="912">IF(OR(CS69="",CS68=""),"",CS68+CS69)</f>
        <v>-22.657604747415956</v>
      </c>
      <c r="CT70" s="7">
        <f t="shared" si="912"/>
        <v>-25.135936954116374</v>
      </c>
      <c r="CU70" s="7">
        <f t="shared" si="912"/>
        <v>-28.268803307973609</v>
      </c>
    </row>
    <row r="71" spans="1:99" s="4" customFormat="1" hidden="1" outlineLevel="1" x14ac:dyDescent="0.35">
      <c r="A71" s="295"/>
      <c r="B71" s="16" t="s">
        <v>13</v>
      </c>
      <c r="C71" s="24"/>
      <c r="D71" s="24"/>
      <c r="E71" s="7">
        <f t="shared" ref="E71:M71" si="913">IF(OR(E68="",E67=""),"",E67-E68)</f>
        <v>0</v>
      </c>
      <c r="F71" s="7">
        <f t="shared" si="913"/>
        <v>0</v>
      </c>
      <c r="G71" s="7">
        <f t="shared" si="913"/>
        <v>0</v>
      </c>
      <c r="H71" s="7">
        <f t="shared" si="913"/>
        <v>-4867.8</v>
      </c>
      <c r="I71" s="7">
        <f t="shared" si="913"/>
        <v>-9168.5600000000013</v>
      </c>
      <c r="J71" s="7">
        <f t="shared" si="913"/>
        <v>-8265.5672024542127</v>
      </c>
      <c r="K71" s="7">
        <f t="shared" si="913"/>
        <v>-8316.2787585622791</v>
      </c>
      <c r="L71" s="7">
        <f t="shared" si="913"/>
        <v>-7378.5600586516821</v>
      </c>
      <c r="M71" s="7">
        <f t="shared" si="913"/>
        <v>-6146.6731166039754</v>
      </c>
      <c r="N71" s="7">
        <f>IF(OR(N68="",N67=""),"",N67-N68)</f>
        <v>-4777.3815174660513</v>
      </c>
      <c r="O71" s="7">
        <f>IF(OR(O70="",O67=""),"",O67-O70)</f>
        <v>-2049.3166664006667</v>
      </c>
      <c r="P71" s="7">
        <f t="shared" ref="P71:AM71" si="914">IF(OR(P70="",P67=""),"",P67-P70)</f>
        <v>-48350.915268708348</v>
      </c>
      <c r="Q71" s="7">
        <f t="shared" si="914"/>
        <v>-36206.136650571287</v>
      </c>
      <c r="R71" s="7">
        <f t="shared" si="914"/>
        <v>-39650.027412307885</v>
      </c>
      <c r="S71" s="7">
        <f t="shared" si="914"/>
        <v>-38185.736070598461</v>
      </c>
      <c r="T71" s="7">
        <f t="shared" si="914"/>
        <v>-37896.776616526899</v>
      </c>
      <c r="U71" s="7">
        <f t="shared" si="914"/>
        <v>-26004.596030326225</v>
      </c>
      <c r="V71" s="7">
        <f t="shared" si="914"/>
        <v>-33401.779402041786</v>
      </c>
      <c r="W71" s="7">
        <f t="shared" si="914"/>
        <v>-31576.853174176278</v>
      </c>
      <c r="X71" s="7">
        <f t="shared" si="914"/>
        <v>-36426.788459119867</v>
      </c>
      <c r="Y71" s="7">
        <f t="shared" si="914"/>
        <v>-33890.091403696264</v>
      </c>
      <c r="Z71" s="7">
        <f t="shared" si="914"/>
        <v>-27278.267767551122</v>
      </c>
      <c r="AA71" s="7">
        <f t="shared" si="914"/>
        <v>-24178.227471949056</v>
      </c>
      <c r="AB71" s="7">
        <f t="shared" si="914"/>
        <v>-243380.21761713509</v>
      </c>
      <c r="AC71" s="7">
        <f t="shared" si="914"/>
        <v>-19879.60897848463</v>
      </c>
      <c r="AD71" s="7">
        <f t="shared" si="914"/>
        <v>-16113.301366946285</v>
      </c>
      <c r="AE71" s="7">
        <f t="shared" si="914"/>
        <v>-13757.572423311656</v>
      </c>
      <c r="AF71" s="7">
        <f t="shared" si="914"/>
        <v>21816.593806674085</v>
      </c>
      <c r="AG71" s="7">
        <f t="shared" si="914"/>
        <v>68598.032867682254</v>
      </c>
      <c r="AH71" s="7">
        <f t="shared" si="914"/>
        <v>30245.446677447922</v>
      </c>
      <c r="AI71" s="7">
        <f t="shared" si="914"/>
        <v>17450.21563053484</v>
      </c>
      <c r="AJ71" s="7">
        <f t="shared" si="914"/>
        <v>-13422.286517747358</v>
      </c>
      <c r="AK71" s="7">
        <f t="shared" si="914"/>
        <v>-11875.510159017416</v>
      </c>
      <c r="AL71" s="7">
        <f t="shared" si="914"/>
        <v>-3171.0267414501286</v>
      </c>
      <c r="AM71" s="7">
        <f t="shared" si="914"/>
        <v>-3432.1501895366673</v>
      </c>
      <c r="AN71" s="7">
        <f t="shared" ref="AN71:BJ71" si="915">IF(OR(AN70="",AN67=""),"",AN67-AN70)</f>
        <v>5348.9611413641251</v>
      </c>
      <c r="AO71" s="7">
        <f t="shared" si="915"/>
        <v>-2720.3933020732293</v>
      </c>
      <c r="AP71" s="7">
        <f t="shared" si="915"/>
        <v>-8460.3881690972776</v>
      </c>
      <c r="AQ71" s="7">
        <f t="shared" si="915"/>
        <v>2740.6854848302755</v>
      </c>
      <c r="AR71" s="7">
        <f t="shared" si="915"/>
        <v>116426.56950345435</v>
      </c>
      <c r="AS71" s="7">
        <f t="shared" si="915"/>
        <v>187482.70675502185</v>
      </c>
      <c r="AT71" s="7">
        <f t="shared" si="915"/>
        <v>149987.91039283545</v>
      </c>
      <c r="AU71" s="7">
        <f t="shared" si="915"/>
        <v>66276.47400994772</v>
      </c>
      <c r="AV71" s="7">
        <f t="shared" si="915"/>
        <v>-14769.169913396392</v>
      </c>
      <c r="AW71" s="7">
        <f t="shared" si="915"/>
        <v>-13471.709065326839</v>
      </c>
      <c r="AX71" s="7">
        <f t="shared" si="915"/>
        <v>-8053.6854574722092</v>
      </c>
      <c r="AY71" s="7">
        <f t="shared" si="915"/>
        <v>-7715.4424779332985</v>
      </c>
      <c r="AZ71" s="7">
        <f t="shared" si="915"/>
        <v>32005.854981272169</v>
      </c>
      <c r="BA71" s="7">
        <f t="shared" si="915"/>
        <v>41620.751134158556</v>
      </c>
      <c r="BB71" s="7">
        <f t="shared" si="915"/>
        <v>-15624.252667457273</v>
      </c>
      <c r="BC71" s="7">
        <f t="shared" si="915"/>
        <v>-16021.877245439395</v>
      </c>
      <c r="BD71" s="7">
        <f t="shared" si="915"/>
        <v>-3941.2378425748711</v>
      </c>
      <c r="BE71" s="7">
        <f t="shared" si="915"/>
        <v>-17859.117431042647</v>
      </c>
      <c r="BF71" s="7">
        <f t="shared" si="915"/>
        <v>-18403.188274542306</v>
      </c>
      <c r="BG71" s="7">
        <f t="shared" si="915"/>
        <v>-18674.438419221035</v>
      </c>
      <c r="BH71" s="7">
        <f t="shared" si="915"/>
        <v>-16448.296252741839</v>
      </c>
      <c r="BI71" s="7">
        <f t="shared" si="915"/>
        <v>-16112.768963265476</v>
      </c>
      <c r="BJ71" s="7">
        <f t="shared" si="915"/>
        <v>-16429.887026326451</v>
      </c>
      <c r="BK71" s="7">
        <f t="shared" ref="BK71:BL71" si="916">IF(OR(BK70="",BK67=""),"",BK67-BK70)</f>
        <v>-15012.811387439615</v>
      </c>
      <c r="BL71" s="7">
        <f t="shared" si="916"/>
        <v>-155.57077531777759</v>
      </c>
      <c r="BM71" s="7">
        <f t="shared" ref="BM71:BN71" si="917">IF(OR(BM70="",BM67=""),"",BM67-BM70)</f>
        <v>-267.72299838432491</v>
      </c>
      <c r="BN71" s="7">
        <f t="shared" si="917"/>
        <v>-369.44994222177365</v>
      </c>
      <c r="BO71" s="7">
        <f t="shared" ref="BO71:BP71" si="918">IF(OR(BO70="",BO67=""),"",BO67-BO70)</f>
        <v>-363.46256672510322</v>
      </c>
      <c r="BP71" s="7">
        <f t="shared" si="918"/>
        <v>-333.25215122771056</v>
      </c>
      <c r="BQ71" s="7">
        <f t="shared" ref="BQ71:BR71" si="919">IF(OR(BQ70="",BQ67=""),"",BQ67-BQ70)</f>
        <v>-430.41049267934022</v>
      </c>
      <c r="BR71" s="7">
        <f t="shared" si="919"/>
        <v>-520.12094489489027</v>
      </c>
      <c r="BS71" s="7">
        <f t="shared" ref="BS71:BT71" si="920">IF(OR(BS70="",BS67=""),"",BS67-BS70)</f>
        <v>-557.05612146556678</v>
      </c>
      <c r="BT71" s="7">
        <f t="shared" si="920"/>
        <v>-439.52601957285924</v>
      </c>
      <c r="BU71" s="7">
        <f t="shared" ref="BU71:BV71" si="921">IF(OR(BU70="",BU67=""),"",BU67-BU70)</f>
        <v>-350.91754258444473</v>
      </c>
      <c r="BV71" s="7">
        <f t="shared" si="921"/>
        <v>-596.31814765559943</v>
      </c>
      <c r="BW71" s="7">
        <f t="shared" ref="BW71:BX71" si="922">IF(OR(BW70="",BW67=""),"",BW67-BW70)</f>
        <v>-495.44024953980352</v>
      </c>
      <c r="BX71" s="7">
        <f t="shared" si="922"/>
        <v>-336.35349454638072</v>
      </c>
      <c r="BY71" s="7">
        <f t="shared" ref="BY71:BZ71" si="923">IF(OR(BY70="",BY67=""),"",BY67-BY70)</f>
        <v>-14.195044080718162</v>
      </c>
      <c r="BZ71" s="7">
        <f t="shared" si="923"/>
        <v>2.1002511884671549</v>
      </c>
      <c r="CA71" s="7">
        <f t="shared" ref="CA71:CB71" si="924">IF(OR(CA70="",CA67=""),"",CA67-CA70)</f>
        <v>-6.7542238990386068</v>
      </c>
      <c r="CB71" s="7">
        <f t="shared" si="924"/>
        <v>-8.0519968952989984</v>
      </c>
      <c r="CC71" s="7">
        <f t="shared" ref="CC71:CD71" si="925">IF(OR(CC70="",CC67=""),"",CC67-CC70)</f>
        <v>-10.541003702167473</v>
      </c>
      <c r="CD71" s="7">
        <f t="shared" si="925"/>
        <v>-10.846944911223545</v>
      </c>
      <c r="CE71" s="7">
        <f t="shared" ref="CE71" si="926">IF(OR(CE70="",CE67=""),"",CE67-CE70)</f>
        <v>-10.788743416511352</v>
      </c>
      <c r="CF71" s="125">
        <f>IF(OR(CF70="",CF67=""),"",CF67-CF70)+CF66</f>
        <v>-426.72624798670267</v>
      </c>
      <c r="CG71" s="7">
        <f t="shared" ref="CG71:CL71" si="927">IF(OR(CG70="",CG67=""),"",CG67-CG70)</f>
        <v>-10.342903612510327</v>
      </c>
      <c r="CH71" s="7">
        <f t="shared" si="927"/>
        <v>-14.978805891943466</v>
      </c>
      <c r="CI71" s="7">
        <f t="shared" si="927"/>
        <v>-13.730976892553599</v>
      </c>
      <c r="CJ71" s="7">
        <f t="shared" si="927"/>
        <v>0.15775565998819729</v>
      </c>
      <c r="CK71" s="7">
        <f t="shared" si="927"/>
        <v>23.257229387163342</v>
      </c>
      <c r="CL71" s="7">
        <f t="shared" si="927"/>
        <v>21.913770259463259</v>
      </c>
      <c r="CM71" s="7">
        <f t="shared" ref="CM71:CN71" si="928">IF(OR(CM70="",CM67=""),"",CM67-CM70)</f>
        <v>19.431521380489585</v>
      </c>
      <c r="CN71" s="7">
        <f t="shared" si="928"/>
        <v>23.007750837930821</v>
      </c>
      <c r="CO71" s="7">
        <f t="shared" ref="CO71:CP71" si="929">IF(OR(CO70="",CO67=""),"",CO67-CO70)</f>
        <v>23.519135312415173</v>
      </c>
      <c r="CP71" s="7">
        <f t="shared" si="929"/>
        <v>27.323845680704316</v>
      </c>
      <c r="CQ71" s="7">
        <f t="shared" ref="CQ71:CR71" si="930">IF(OR(CQ70="",CQ67=""),"",CQ67-CQ70)</f>
        <v>29.041239780857424</v>
      </c>
      <c r="CR71" s="7">
        <f t="shared" si="930"/>
        <v>28.609465326327861</v>
      </c>
      <c r="CS71" s="7">
        <f t="shared" ref="CS71:CU71" si="931">IF(OR(CS70="",CS67=""),"",CS67-CS70)</f>
        <v>22.657604747415956</v>
      </c>
      <c r="CT71" s="7">
        <f t="shared" si="931"/>
        <v>25.135936954116374</v>
      </c>
      <c r="CU71" s="7">
        <f t="shared" si="931"/>
        <v>28.268803307973609</v>
      </c>
    </row>
    <row r="72" spans="1:99" s="4" customFormat="1" hidden="1" outlineLevel="1" x14ac:dyDescent="0.35">
      <c r="A72" s="295"/>
      <c r="B72" s="17" t="s">
        <v>8</v>
      </c>
      <c r="C72" s="28"/>
      <c r="D72" s="28"/>
      <c r="E72" s="7">
        <f t="shared" ref="E72:N72" si="932">IF(OR(E9="",E71=""),"",(E71+D74)*E9/12)</f>
        <v>0</v>
      </c>
      <c r="F72" s="7">
        <f t="shared" si="932"/>
        <v>0</v>
      </c>
      <c r="G72" s="7">
        <f t="shared" si="932"/>
        <v>0</v>
      </c>
      <c r="H72" s="7">
        <f t="shared" si="932"/>
        <v>-2.5406751929999998</v>
      </c>
      <c r="I72" s="7">
        <f t="shared" si="932"/>
        <v>-7.3592268311878604</v>
      </c>
      <c r="J72" s="7">
        <f t="shared" si="932"/>
        <v>-14.215720334968864</v>
      </c>
      <c r="K72" s="7">
        <f t="shared" si="932"/>
        <v>-19.290866032814765</v>
      </c>
      <c r="L72" s="7">
        <f t="shared" si="932"/>
        <v>-24.097498279543402</v>
      </c>
      <c r="M72" s="7">
        <f t="shared" si="932"/>
        <v>-28.152975943901492</v>
      </c>
      <c r="N72" s="7">
        <f t="shared" si="932"/>
        <v>-39.30320902363826</v>
      </c>
      <c r="O72" s="8">
        <f>IF(OR(O9="",O71=""),"",(O69+O71+N74)*O9/12)</f>
        <v>-38.328823118833434</v>
      </c>
      <c r="P72" s="8">
        <f>IF(OR(P9="",P71=""),"",(P69+P71+O74+P66)*P9/12)</f>
        <v>1223.1513482939456</v>
      </c>
      <c r="Q72" s="8">
        <f t="shared" ref="Q72:AM72" si="933">IF(OR(Q9="",Q71=""),"",(Q69+Q71+P74)*Q9/12)</f>
        <v>1412.122441210915</v>
      </c>
      <c r="R72" s="8">
        <f t="shared" si="933"/>
        <v>1245.5179401969469</v>
      </c>
      <c r="S72" s="8">
        <f t="shared" si="933"/>
        <v>1077.936099071979</v>
      </c>
      <c r="T72" s="8">
        <f t="shared" si="933"/>
        <v>1084.8708441780689</v>
      </c>
      <c r="U72" s="8">
        <f t="shared" si="933"/>
        <v>861.32899790254112</v>
      </c>
      <c r="V72" s="8">
        <f t="shared" si="933"/>
        <v>656.99260968260307</v>
      </c>
      <c r="W72" s="8">
        <f t="shared" si="933"/>
        <v>412.76166434708119</v>
      </c>
      <c r="X72" s="8">
        <f t="shared" si="933"/>
        <v>180.31979486812497</v>
      </c>
      <c r="Y72" s="8">
        <f t="shared" si="933"/>
        <v>-40.883761327985937</v>
      </c>
      <c r="Z72" s="8">
        <f>IF(OR(Z9="",Z71=""),"",(Z69+Z71+Y74)*Z9/12)</f>
        <v>-293.15200686767656</v>
      </c>
      <c r="AA72" s="8">
        <f t="shared" si="933"/>
        <v>-517.15748757254585</v>
      </c>
      <c r="AB72" s="8">
        <f t="shared" si="933"/>
        <v>-674.07000893525424</v>
      </c>
      <c r="AC72" s="8">
        <f t="shared" si="933"/>
        <v>-744.50516183908019</v>
      </c>
      <c r="AD72" s="8">
        <f t="shared" si="933"/>
        <v>-818.5810955366461</v>
      </c>
      <c r="AE72" s="8">
        <f t="shared" si="933"/>
        <v>-749.30329732821622</v>
      </c>
      <c r="AF72" s="8">
        <f t="shared" si="933"/>
        <v>-672.35711291424161</v>
      </c>
      <c r="AG72" s="8">
        <f t="shared" si="933"/>
        <v>-519.11851294545033</v>
      </c>
      <c r="AH72" s="8">
        <f t="shared" si="933"/>
        <v>-388.99847484623848</v>
      </c>
      <c r="AI72" s="8">
        <f t="shared" si="933"/>
        <v>-292.78610343929927</v>
      </c>
      <c r="AJ72" s="8">
        <f t="shared" si="933"/>
        <v>-270.66877582879988</v>
      </c>
      <c r="AK72" s="8">
        <f t="shared" si="933"/>
        <v>-239.80230007797388</v>
      </c>
      <c r="AL72" s="8">
        <f t="shared" si="933"/>
        <v>-201.15164686801617</v>
      </c>
      <c r="AM72" s="8">
        <f t="shared" si="933"/>
        <v>-138.9017157601111</v>
      </c>
      <c r="AN72" s="8">
        <f t="shared" ref="AN72" si="934">IF(OR(AN9="",AN71=""),"",(AN69+AN71+AM74)*AN9/12)</f>
        <v>-121.59963744740622</v>
      </c>
      <c r="AO72" s="8">
        <f t="shared" ref="AO72" si="935">IF(OR(AO9="",AO71=""),"",(AO69+AO71+AN74)*AO9/12)</f>
        <v>-120.48696817003263</v>
      </c>
      <c r="AP72" s="8">
        <f t="shared" ref="AP72" si="936">IF(OR(AP9="",AP71=""),"",(AP69+AP71+AO74)*AP9/12)</f>
        <v>-128.90292261641707</v>
      </c>
      <c r="AQ72" s="8">
        <f t="shared" ref="AQ72" si="937">IF(OR(AQ9="",AQ71=""),"",(AQ69+AQ71+AP74)*AQ9/12)</f>
        <v>-118.70789756049489</v>
      </c>
      <c r="AR72" s="8">
        <f t="shared" ref="AR72" si="938">IF(OR(AR9="",AR71=""),"",(AR69+AR71+AQ74)*AR9/12)</f>
        <v>145.71102213179589</v>
      </c>
      <c r="AS72" s="8">
        <f t="shared" ref="AS72" si="939">IF(OR(AS9="",AS71=""),"",(AS69+AS71+AR74)*AS9/12)</f>
        <v>554.19611545558507</v>
      </c>
      <c r="AT72" s="8">
        <f t="shared" ref="AT72" si="940">IF(OR(AT9="",AT71=""),"",(AT69+AT71+AS74)*AT9/12)</f>
        <v>802.92639796449419</v>
      </c>
      <c r="AU72" s="8">
        <f t="shared" ref="AU72" si="941">IF(OR(AU9="",AU71=""),"",(AU69+AU71+AT74)*AU9/12)</f>
        <v>886.53267749609847</v>
      </c>
      <c r="AV72" s="8">
        <f t="shared" ref="AV72" si="942">IF(OR(AV9="",AV71=""),"",(AV69+AV71+AU74)*AV9/12)</f>
        <v>825.90803193275872</v>
      </c>
      <c r="AW72" s="8">
        <f t="shared" ref="AW72" si="943">IF(OR(AW9="",AW71=""),"",(AW69+AW71+AV74)*AW9/12)</f>
        <v>694.17696913377824</v>
      </c>
      <c r="AX72" s="8">
        <f t="shared" ref="AX72" si="944">IF(OR(AX9="",AX71=""),"",(AX69+AX71+AW74)*AX9/12)</f>
        <v>724.13758517464032</v>
      </c>
      <c r="AY72" s="8">
        <f t="shared" ref="AY72" si="945">IF(OR(AY9="",AY71=""),"",(AY69+AY71+AX74)*AY9/12)</f>
        <v>707.20369917464097</v>
      </c>
      <c r="AZ72" s="8">
        <f t="shared" ref="AZ72" si="946">IF(OR(AZ9="",AZ71=""),"",(AZ69+AZ71+AY74)*AZ9/12)</f>
        <v>658.72831864604416</v>
      </c>
      <c r="BA72" s="8">
        <f t="shared" ref="BA72" si="947">IF(OR(BA9="",BA71=""),"",(BA69+BA71+AZ74)*BA9/12)</f>
        <v>717.12254317057807</v>
      </c>
      <c r="BB72" s="8">
        <f t="shared" ref="BB72" si="948">IF(OR(BB9="",BB71=""),"",(BB69+BB71+BA74)*BB9/12)</f>
        <v>322.38663111860211</v>
      </c>
      <c r="BC72" s="8">
        <f t="shared" ref="BC72" si="949">IF(OR(BC9="",BC71=""),"",(BC69+BC71+BB74)*BC9/12)</f>
        <v>39.535543248427892</v>
      </c>
      <c r="BD72" s="8">
        <f t="shared" ref="BD72" si="950">IF(OR(BD9="",BD71=""),"",(BD69+BD71+BC74)*BD9/12)</f>
        <v>37.304182207531994</v>
      </c>
      <c r="BE72" s="8">
        <f t="shared" ref="BE72" si="951">IF(OR(BE9="",BE71=""),"",(BE69+BE71+BD74)*BE9/12)</f>
        <v>49.376797040892455</v>
      </c>
      <c r="BF72" s="8">
        <f t="shared" ref="BF72" si="952">IF(OR(BF9="",BF71=""),"",(BF69+BF71+BE74)*BF9/12)</f>
        <v>28.919547689701602</v>
      </c>
      <c r="BG72" s="8">
        <f t="shared" ref="BG72" si="953">IF(OR(BG9="",BG71=""),"",(BG69+BG71+BF74)*BG9/12)</f>
        <v>20.800894466713963</v>
      </c>
      <c r="BH72" s="8">
        <f t="shared" ref="BH72" si="954">IF(OR(BH9="",BH71=""),"",(BH69+BH71+BG74)*BH9/12)</f>
        <v>25.843439935710126</v>
      </c>
      <c r="BI72" s="8">
        <f>IF(OR(BI9="",BI71=""),"",(BI69+BI71+BH74)*BI9/12)</f>
        <v>23.056752712109155</v>
      </c>
      <c r="BJ72" s="8">
        <f t="shared" ref="BJ72:CH72" si="955">IF(OR(BJ9="",BJ71=""),"",(BJ69+BJ71+BI74)*BJ9/12)</f>
        <v>14.99405571181353</v>
      </c>
      <c r="BK72" s="8">
        <f t="shared" si="955"/>
        <v>3.5679906342856662</v>
      </c>
      <c r="BL72" s="8">
        <f t="shared" si="955"/>
        <v>-3.3036692668723848</v>
      </c>
      <c r="BM72" s="8">
        <f t="shared" si="955"/>
        <v>-2.9102297245637101</v>
      </c>
      <c r="BN72" s="8">
        <f t="shared" si="955"/>
        <v>-3.3364453904515003</v>
      </c>
      <c r="BO72" s="8">
        <f t="shared" si="955"/>
        <v>-3.5952356834382946</v>
      </c>
      <c r="BP72" s="8">
        <f t="shared" si="955"/>
        <v>-3.4653770784723776</v>
      </c>
      <c r="BQ72" s="8">
        <f t="shared" si="955"/>
        <v>-2.6039768284816387</v>
      </c>
      <c r="BR72" s="8">
        <f t="shared" si="955"/>
        <v>-4.1339891735321705</v>
      </c>
      <c r="BS72" s="8">
        <f t="shared" si="955"/>
        <v>-4.2067742665012018</v>
      </c>
      <c r="BT72" s="8">
        <f t="shared" si="955"/>
        <v>-3.4787004042098162</v>
      </c>
      <c r="BU72" s="8">
        <f t="shared" si="955"/>
        <v>-3.7052753332339194</v>
      </c>
      <c r="BV72" s="8">
        <f t="shared" si="955"/>
        <v>-6.6842426801800059</v>
      </c>
      <c r="BW72" s="8">
        <f t="shared" si="955"/>
        <v>-6.3284809879377741</v>
      </c>
      <c r="BX72" s="8">
        <f t="shared" si="955"/>
        <v>-8.2170381712741474</v>
      </c>
      <c r="BY72" s="8">
        <f t="shared" si="955"/>
        <v>-17.918502372297308</v>
      </c>
      <c r="BZ72" s="8">
        <f t="shared" si="955"/>
        <v>-10.665449438586032</v>
      </c>
      <c r="CA72" s="8">
        <f t="shared" si="955"/>
        <v>-15.361564936007662</v>
      </c>
      <c r="CB72" s="8">
        <f t="shared" si="955"/>
        <v>-21.159787963854146</v>
      </c>
      <c r="CC72" s="8">
        <f t="shared" si="955"/>
        <v>-24.732869096570358</v>
      </c>
      <c r="CD72" s="8">
        <f t="shared" si="955"/>
        <v>-25.227179328534643</v>
      </c>
      <c r="CE72" s="8">
        <f t="shared" si="955"/>
        <v>-21.477844950136724</v>
      </c>
      <c r="CF72" s="8">
        <f t="shared" si="955"/>
        <v>-20.635136702419569</v>
      </c>
      <c r="CG72" s="8">
        <f t="shared" si="955"/>
        <v>-17.099500829981263</v>
      </c>
      <c r="CH72" s="8">
        <f t="shared" si="955"/>
        <v>-9.5572064813603284</v>
      </c>
      <c r="CI72" s="293">
        <f>IF(OR(CI9="",CI71=""),"",(CI69+CI71+CH74+CI66)*CI9/12)+CI66</f>
        <v>-6.7118865274010009</v>
      </c>
      <c r="CJ72" s="293">
        <f t="shared" ref="CJ72:CR72" si="956">IF(OR(CJ9="",CJ71=""),"",(CJ69+CJ71+CI74)*CJ9/12)</f>
        <v>4.3718274382182267</v>
      </c>
      <c r="CK72" s="293">
        <f t="shared" si="956"/>
        <v>4.6494970248776468</v>
      </c>
      <c r="CL72" s="293">
        <f t="shared" si="956"/>
        <v>5.0073240346201029</v>
      </c>
      <c r="CM72" s="293">
        <f t="shared" si="956"/>
        <v>5.1902804575702159</v>
      </c>
      <c r="CN72" s="293">
        <f t="shared" si="956"/>
        <v>5.3833444360431137</v>
      </c>
      <c r="CO72" s="293">
        <f t="shared" si="956"/>
        <v>5.5621733898420347</v>
      </c>
      <c r="CP72" s="293">
        <f t="shared" si="956"/>
        <v>5.7929858573852373</v>
      </c>
      <c r="CQ72" s="293">
        <f t="shared" si="956"/>
        <v>5.9690334775351355</v>
      </c>
      <c r="CR72" s="293">
        <f t="shared" si="956"/>
        <v>6.108965010793912</v>
      </c>
      <c r="CS72" s="293">
        <f t="shared" ref="CS72" si="957">IF(OR(CS9="",CS71=""),"",(CS69+CS71+CR74)*CS9/12)</f>
        <v>6.2412302465537897</v>
      </c>
      <c r="CT72" s="293">
        <f t="shared" ref="CT72" si="958">IF(OR(CT9="",CT71=""),"",(CT69+CT71+CS74)*CT9/12)</f>
        <v>6.3854986960824078</v>
      </c>
      <c r="CU72" s="293">
        <f t="shared" ref="CU72" si="959">IF(OR(CU9="",CU71=""),"",(CU69+CU71+CT74)*CU9/12)</f>
        <v>6.5448350181808168</v>
      </c>
    </row>
    <row r="73" spans="1:99" s="4" customFormat="1" hidden="1" outlineLevel="1" x14ac:dyDescent="0.35">
      <c r="A73" s="295"/>
      <c r="B73" s="16" t="s">
        <v>14</v>
      </c>
      <c r="C73" s="24"/>
      <c r="D73" s="24"/>
      <c r="E73" s="7">
        <f t="shared" ref="E73:N73" si="960">IF(OR(E71="",E72=""),"",E71+E72)</f>
        <v>0</v>
      </c>
      <c r="F73" s="7">
        <f t="shared" si="960"/>
        <v>0</v>
      </c>
      <c r="G73" s="7">
        <f t="shared" si="960"/>
        <v>0</v>
      </c>
      <c r="H73" s="7">
        <f t="shared" si="960"/>
        <v>-4870.3406751930006</v>
      </c>
      <c r="I73" s="7">
        <f t="shared" si="960"/>
        <v>-9175.919226831189</v>
      </c>
      <c r="J73" s="7">
        <f t="shared" si="960"/>
        <v>-8279.7829227891816</v>
      </c>
      <c r="K73" s="7">
        <f t="shared" si="960"/>
        <v>-8335.569624595093</v>
      </c>
      <c r="L73" s="7">
        <f t="shared" si="960"/>
        <v>-7402.6575569312254</v>
      </c>
      <c r="M73" s="7">
        <f t="shared" si="960"/>
        <v>-6174.8260925478771</v>
      </c>
      <c r="N73" s="7">
        <f t="shared" si="960"/>
        <v>-4816.6847264896896</v>
      </c>
      <c r="O73" s="7">
        <f>IF(OR(O71="",O72=""),"",O71+O72)</f>
        <v>-2087.6454895195002</v>
      </c>
      <c r="P73" s="7">
        <f t="shared" ref="P73:AM73" si="961">IF(OR(P71="",P72=""),"",P71+P72)</f>
        <v>-47127.7639204144</v>
      </c>
      <c r="Q73" s="7">
        <f t="shared" si="961"/>
        <v>-34794.014209360372</v>
      </c>
      <c r="R73" s="7">
        <f t="shared" si="961"/>
        <v>-38404.509472110942</v>
      </c>
      <c r="S73" s="7">
        <f t="shared" si="961"/>
        <v>-37107.799971526481</v>
      </c>
      <c r="T73" s="7">
        <f t="shared" si="961"/>
        <v>-36811.905772348829</v>
      </c>
      <c r="U73" s="7">
        <f t="shared" si="961"/>
        <v>-25143.267032423686</v>
      </c>
      <c r="V73" s="7">
        <f t="shared" si="961"/>
        <v>-32744.786792359184</v>
      </c>
      <c r="W73" s="7">
        <f t="shared" si="961"/>
        <v>-31164.091509829195</v>
      </c>
      <c r="X73" s="7">
        <f t="shared" si="961"/>
        <v>-36246.468664251741</v>
      </c>
      <c r="Y73" s="7">
        <f t="shared" si="961"/>
        <v>-33930.975165024247</v>
      </c>
      <c r="Z73" s="7">
        <f t="shared" si="961"/>
        <v>-27571.419774418799</v>
      </c>
      <c r="AA73" s="7">
        <f t="shared" si="961"/>
        <v>-24695.384959521602</v>
      </c>
      <c r="AB73" s="7">
        <f t="shared" si="961"/>
        <v>-244054.28762607035</v>
      </c>
      <c r="AC73" s="7">
        <f t="shared" si="961"/>
        <v>-20624.114140323709</v>
      </c>
      <c r="AD73" s="7">
        <f t="shared" si="961"/>
        <v>-16931.882462482932</v>
      </c>
      <c r="AE73" s="7">
        <f t="shared" si="961"/>
        <v>-14506.875720639873</v>
      </c>
      <c r="AF73" s="7">
        <f t="shared" si="961"/>
        <v>21144.236693759845</v>
      </c>
      <c r="AG73" s="7">
        <f t="shared" si="961"/>
        <v>68078.9143547368</v>
      </c>
      <c r="AH73" s="7">
        <f t="shared" si="961"/>
        <v>29856.448202601685</v>
      </c>
      <c r="AI73" s="7">
        <f t="shared" si="961"/>
        <v>17157.429527095541</v>
      </c>
      <c r="AJ73" s="7">
        <f t="shared" si="961"/>
        <v>-13692.955293576157</v>
      </c>
      <c r="AK73" s="7">
        <f t="shared" si="961"/>
        <v>-12115.31245909539</v>
      </c>
      <c r="AL73" s="7">
        <f t="shared" si="961"/>
        <v>-3372.1783883181447</v>
      </c>
      <c r="AM73" s="7">
        <f t="shared" si="961"/>
        <v>-3571.0519052967784</v>
      </c>
      <c r="AN73" s="7">
        <f t="shared" ref="AN73:BJ73" si="962">IF(OR(AN71="",AN72=""),"",AN71+AN72)</f>
        <v>5227.3615039167189</v>
      </c>
      <c r="AO73" s="7">
        <f t="shared" si="962"/>
        <v>-2840.8802702432617</v>
      </c>
      <c r="AP73" s="7">
        <f t="shared" si="962"/>
        <v>-8589.2910917136942</v>
      </c>
      <c r="AQ73" s="7">
        <f t="shared" si="962"/>
        <v>2621.9775872697805</v>
      </c>
      <c r="AR73" s="7">
        <f t="shared" si="962"/>
        <v>116572.28052558615</v>
      </c>
      <c r="AS73" s="7">
        <f t="shared" si="962"/>
        <v>188036.90287047744</v>
      </c>
      <c r="AT73" s="7">
        <f t="shared" si="962"/>
        <v>150790.83679079995</v>
      </c>
      <c r="AU73" s="7">
        <f t="shared" si="962"/>
        <v>67163.00668744382</v>
      </c>
      <c r="AV73" s="7">
        <f t="shared" si="962"/>
        <v>-13943.261881463633</v>
      </c>
      <c r="AW73" s="7">
        <f t="shared" si="962"/>
        <v>-12777.532096193061</v>
      </c>
      <c r="AX73" s="7">
        <f t="shared" si="962"/>
        <v>-7329.5478722975686</v>
      </c>
      <c r="AY73" s="7">
        <f t="shared" si="962"/>
        <v>-7008.2387787586576</v>
      </c>
      <c r="AZ73" s="7">
        <f t="shared" si="962"/>
        <v>32664.583299918213</v>
      </c>
      <c r="BA73" s="7">
        <f t="shared" si="962"/>
        <v>42337.873677329131</v>
      </c>
      <c r="BB73" s="7">
        <f t="shared" si="962"/>
        <v>-15301.86603633867</v>
      </c>
      <c r="BC73" s="7">
        <f t="shared" si="962"/>
        <v>-15982.341702190966</v>
      </c>
      <c r="BD73" s="7">
        <f t="shared" si="962"/>
        <v>-3903.9336603673391</v>
      </c>
      <c r="BE73" s="7">
        <f t="shared" si="962"/>
        <v>-17809.740634001755</v>
      </c>
      <c r="BF73" s="7">
        <f t="shared" si="962"/>
        <v>-18374.268726852606</v>
      </c>
      <c r="BG73" s="7">
        <f t="shared" si="962"/>
        <v>-18653.637524754322</v>
      </c>
      <c r="BH73" s="7">
        <f t="shared" si="962"/>
        <v>-16422.452812806128</v>
      </c>
      <c r="BI73" s="7">
        <f t="shared" si="962"/>
        <v>-16089.712210553367</v>
      </c>
      <c r="BJ73" s="7">
        <f t="shared" si="962"/>
        <v>-16414.892970614637</v>
      </c>
      <c r="BK73" s="7">
        <f t="shared" ref="BK73:BL73" si="963">IF(OR(BK71="",BK72=""),"",BK71+BK72)</f>
        <v>-15009.24339680533</v>
      </c>
      <c r="BL73" s="7">
        <f t="shared" si="963"/>
        <v>-158.87444458464998</v>
      </c>
      <c r="BM73" s="7">
        <f t="shared" ref="BM73:BN73" si="964">IF(OR(BM71="",BM72=""),"",BM71+BM72)</f>
        <v>-270.6332281088886</v>
      </c>
      <c r="BN73" s="7">
        <f t="shared" si="964"/>
        <v>-372.78638761222516</v>
      </c>
      <c r="BO73" s="7">
        <f t="shared" ref="BO73:BP73" si="965">IF(OR(BO71="",BO72=""),"",BO71+BO72)</f>
        <v>-367.05780240854153</v>
      </c>
      <c r="BP73" s="7">
        <f t="shared" si="965"/>
        <v>-336.71752830618294</v>
      </c>
      <c r="BQ73" s="7">
        <f t="shared" ref="BQ73:BR73" si="966">IF(OR(BQ71="",BQ72=""),"",BQ71+BQ72)</f>
        <v>-433.01446950782184</v>
      </c>
      <c r="BR73" s="7">
        <f t="shared" si="966"/>
        <v>-524.25493406842247</v>
      </c>
      <c r="BS73" s="7">
        <f t="shared" ref="BS73:BT73" si="967">IF(OR(BS71="",BS72=""),"",BS71+BS72)</f>
        <v>-561.26289573206793</v>
      </c>
      <c r="BT73" s="7">
        <f t="shared" si="967"/>
        <v>-443.00471997706904</v>
      </c>
      <c r="BU73" s="7">
        <f t="shared" ref="BU73:BV73" si="968">IF(OR(BU71="",BU72=""),"",BU71+BU72)</f>
        <v>-354.62281791767867</v>
      </c>
      <c r="BV73" s="7">
        <f t="shared" si="968"/>
        <v>-603.00239033577941</v>
      </c>
      <c r="BW73" s="7">
        <f t="shared" ref="BW73:BX73" si="969">IF(OR(BW71="",BW72=""),"",BW71+BW72)</f>
        <v>-501.7687305277413</v>
      </c>
      <c r="BX73" s="7">
        <f t="shared" si="969"/>
        <v>-344.57053271765488</v>
      </c>
      <c r="BY73" s="7">
        <f t="shared" ref="BY73:BZ73" si="970">IF(OR(BY71="",BY72=""),"",BY71+BY72)</f>
        <v>-32.113546453015474</v>
      </c>
      <c r="BZ73" s="7">
        <f t="shared" si="970"/>
        <v>-8.5651982501188773</v>
      </c>
      <c r="CA73" s="7">
        <f t="shared" ref="CA73:CB73" si="971">IF(OR(CA71="",CA72=""),"",CA71+CA72)</f>
        <v>-22.115788835046267</v>
      </c>
      <c r="CB73" s="7">
        <f t="shared" si="971"/>
        <v>-29.211784859153145</v>
      </c>
      <c r="CC73" s="7">
        <f t="shared" ref="CC73:CD73" si="972">IF(OR(CC71="",CC72=""),"",CC71+CC72)</f>
        <v>-35.273872798737827</v>
      </c>
      <c r="CD73" s="7">
        <f t="shared" si="972"/>
        <v>-36.074124239758191</v>
      </c>
      <c r="CE73" s="7">
        <f t="shared" ref="CE73:CF73" si="973">IF(OR(CE71="",CE72=""),"",CE71+CE72)</f>
        <v>-32.26658836664808</v>
      </c>
      <c r="CF73" s="7">
        <f t="shared" si="973"/>
        <v>-447.36138468912225</v>
      </c>
      <c r="CG73" s="7">
        <f t="shared" ref="CG73:CH73" si="974">IF(OR(CG71="",CG72=""),"",CG71+CG72)</f>
        <v>-27.44240444249159</v>
      </c>
      <c r="CH73" s="7">
        <f t="shared" si="974"/>
        <v>-24.536012373303794</v>
      </c>
      <c r="CI73" s="7">
        <f t="shared" ref="CI73:CJ73" si="975">IF(OR(CI71="",CI72=""),"",CI71+CI72)</f>
        <v>-20.442863419954598</v>
      </c>
      <c r="CJ73" s="7">
        <f t="shared" si="975"/>
        <v>4.529583098206424</v>
      </c>
      <c r="CK73" s="7">
        <f t="shared" ref="CK73:CL73" si="976">IF(OR(CK71="",CK72=""),"",CK71+CK72)</f>
        <v>27.906726412040989</v>
      </c>
      <c r="CL73" s="7">
        <f t="shared" si="976"/>
        <v>26.92109429408336</v>
      </c>
      <c r="CM73" s="7">
        <f t="shared" ref="CM73:CN73" si="977">IF(OR(CM71="",CM72=""),"",CM71+CM72)</f>
        <v>24.621801838059802</v>
      </c>
      <c r="CN73" s="7">
        <f t="shared" si="977"/>
        <v>28.391095273973935</v>
      </c>
      <c r="CO73" s="7">
        <f t="shared" ref="CO73:CP73" si="978">IF(OR(CO71="",CO72=""),"",CO71+CO72)</f>
        <v>29.081308702257207</v>
      </c>
      <c r="CP73" s="7">
        <f t="shared" si="978"/>
        <v>33.116831538089556</v>
      </c>
      <c r="CQ73" s="7">
        <f t="shared" ref="CQ73:CR73" si="979">IF(OR(CQ71="",CQ72=""),"",CQ71+CQ72)</f>
        <v>35.010273258392559</v>
      </c>
      <c r="CR73" s="7">
        <f t="shared" si="979"/>
        <v>34.718430337121774</v>
      </c>
      <c r="CS73" s="7">
        <f t="shared" ref="CS73:CU73" si="980">IF(OR(CS71="",CS72=""),"",CS71+CS72)</f>
        <v>28.898834993969746</v>
      </c>
      <c r="CT73" s="7">
        <f t="shared" si="980"/>
        <v>31.521435650198782</v>
      </c>
      <c r="CU73" s="7">
        <f t="shared" si="980"/>
        <v>34.813638326154425</v>
      </c>
    </row>
    <row r="74" spans="1:99" s="4" customFormat="1" hidden="1" outlineLevel="1" x14ac:dyDescent="0.35">
      <c r="A74" s="295"/>
      <c r="B74" s="18" t="s">
        <v>19</v>
      </c>
      <c r="C74" s="26"/>
      <c r="D74" s="26"/>
      <c r="E74" s="7">
        <f>E73</f>
        <v>0</v>
      </c>
      <c r="F74" s="7">
        <f>IF(OR(F73="",E74=""),"",F73+E74)</f>
        <v>0</v>
      </c>
      <c r="G74" s="7">
        <f t="shared" ref="G74:N74" si="981">IF(OR(G73="",F74=""),"",G73+F74)</f>
        <v>0</v>
      </c>
      <c r="H74" s="7">
        <f t="shared" si="981"/>
        <v>-4870.3406751930006</v>
      </c>
      <c r="I74" s="7">
        <f t="shared" si="981"/>
        <v>-14046.259902024191</v>
      </c>
      <c r="J74" s="7">
        <f t="shared" si="981"/>
        <v>-22326.042824813372</v>
      </c>
      <c r="K74" s="7">
        <f t="shared" si="981"/>
        <v>-30661.612449408465</v>
      </c>
      <c r="L74" s="7">
        <f t="shared" si="981"/>
        <v>-38064.270006339691</v>
      </c>
      <c r="M74" s="7">
        <f t="shared" si="981"/>
        <v>-44239.096098887567</v>
      </c>
      <c r="N74" s="7">
        <f t="shared" si="981"/>
        <v>-49055.780825377253</v>
      </c>
      <c r="O74" s="7">
        <f>IF(OR(O73="",N74=""),"",O73+O69+N74)</f>
        <v>-51143.426314896751</v>
      </c>
      <c r="P74" s="7">
        <f>IF(OR(P73="",O74=""),"",P73+P69+O74+P66)</f>
        <v>1632091.6157402217</v>
      </c>
      <c r="Q74" s="7">
        <f t="shared" ref="Q74" si="982">IF(OR(Q73="",P74=""),"",Q73+Q69+P74)</f>
        <v>1474931.1915308614</v>
      </c>
      <c r="R74" s="7">
        <f t="shared" ref="R74" si="983">IF(OR(R73="",Q74=""),"",R73+R69+Q74)</f>
        <v>1300916.4120587504</v>
      </c>
      <c r="S74" s="7">
        <f t="shared" ref="S74" si="984">IF(OR(S73="",R74=""),"",S73+S69+R74)</f>
        <v>1125880.8220872239</v>
      </c>
      <c r="T74" s="7">
        <f t="shared" ref="T74" si="985">IF(OR(T73="",S74=""),"",T73+T69+S74)</f>
        <v>924379.20631487505</v>
      </c>
      <c r="U74" s="7">
        <f t="shared" ref="U74" si="986">IF(OR(U73="",T74=""),"",U73+U69+T74)</f>
        <v>743466.34928245132</v>
      </c>
      <c r="V74" s="7">
        <f t="shared" ref="V74" si="987">IF(OR(V73="",U74=""),"",V73+V69+U74)</f>
        <v>538083.05249009212</v>
      </c>
      <c r="W74" s="7">
        <f t="shared" ref="W74" si="988">IF(OR(W73="",V74=""),"",W73+W69+V74)</f>
        <v>342415.25098026294</v>
      </c>
      <c r="X74" s="7">
        <f t="shared" ref="X74" si="989">IF(OR(X73="",W74=""),"",X73+X69+W74)</f>
        <v>149325.1223160112</v>
      </c>
      <c r="Y74" s="7">
        <f t="shared" ref="Y74" si="990">IF(OR(Y73="",X74=""),"",Y73+Y69+X74)</f>
        <v>-34042.942849013052</v>
      </c>
      <c r="Z74" s="7">
        <f t="shared" ref="Z74" si="991">IF(OR(Z73="",Y74=""),"",Z73+Z69+Y74)</f>
        <v>-198643.46262343184</v>
      </c>
      <c r="AA74" s="7">
        <f t="shared" ref="AA74" si="992">IF(OR(AA73="",Z74=""),"",AA73+AA69+Z74)</f>
        <v>-362295.19758295349</v>
      </c>
      <c r="AB74" s="7">
        <f t="shared" ref="AB74" si="993">IF(OR(AB73="",AA74=""),"",AB73+AB69+AA74)</f>
        <v>-443275.87520902383</v>
      </c>
      <c r="AC74" s="7">
        <f t="shared" ref="AC74" si="994">IF(OR(AC73="",AB74=""),"",AC73+AC69+AB74)</f>
        <v>-435715.13934934756</v>
      </c>
      <c r="AD74" s="7">
        <f t="shared" ref="AD74" si="995">IF(OR(AD73="",AC74=""),"",AD73+AD69+AC74)</f>
        <v>-425835.46181183052</v>
      </c>
      <c r="AE74" s="7">
        <f t="shared" ref="AE74" si="996">IF(OR(AE73="",AD74=""),"",AE73+AE69+AD74)</f>
        <v>-409684.17753247038</v>
      </c>
      <c r="AF74" s="7">
        <f t="shared" ref="AF74" si="997">IF(OR(AF73="",AE74=""),"",AF73+AF69+AE74)</f>
        <v>-354612.6708387105</v>
      </c>
      <c r="AG74" s="7">
        <f t="shared" ref="AG74" si="998">IF(OR(AG73="",AF74=""),"",AG73+AG69+AF74)</f>
        <v>-265920.63648397371</v>
      </c>
      <c r="AH74" s="7">
        <f t="shared" ref="AH74" si="999">IF(OR(AH73="",AG74=""),"",AH73+AH69+AG74)</f>
        <v>-201123.89828137204</v>
      </c>
      <c r="AI74" s="7">
        <f t="shared" ref="AI74" si="1000">IF(OR(AI73="",AH74=""),"",AI73+AI69+AH74)</f>
        <v>-151151.11875427648</v>
      </c>
      <c r="AJ74" s="7">
        <f t="shared" ref="AJ74" si="1001">IF(OR(AJ73="",AI74=""),"",AJ73+AJ69+AI74)</f>
        <v>-132443.21404785264</v>
      </c>
      <c r="AK74" s="7">
        <f t="shared" ref="AK74" si="1002">IF(OR(AK73="",AJ74=""),"",AK73+AK69+AJ74)</f>
        <v>-114109.82650694804</v>
      </c>
      <c r="AL74" s="7">
        <f t="shared" ref="AL74" si="1003">IF(OR(AL73="",AK74=""),"",AL73+AL69+AK74)</f>
        <v>-87830.504895266189</v>
      </c>
      <c r="AM74" s="7">
        <f t="shared" ref="AM74" si="1004">IF(OR(AM73="",AL74=""),"",AM73+AM69+AL74)</f>
        <v>-58222.446800562968</v>
      </c>
      <c r="AN74" s="7">
        <f t="shared" ref="AN74" si="1005">IF(OR(AN73="",AM74=""),"",AN73+AN69+AM74)</f>
        <v>-51494.655296646248</v>
      </c>
      <c r="AO74" s="7">
        <f t="shared" ref="AO74" si="1006">IF(OR(AO73="",AN74=""),"",AO73+AO69+AN74)</f>
        <v>-51983.455566889512</v>
      </c>
      <c r="AP74" s="7">
        <f t="shared" ref="AP74" si="1007">IF(OR(AP73="",AO74=""),"",AP73+AP69+AO74)</f>
        <v>-58230.926658603203</v>
      </c>
      <c r="AQ74" s="7">
        <f t="shared" ref="AQ74" si="1008">IF(OR(AQ73="",AP74=""),"",AQ73+AQ69+AP74)</f>
        <v>-53323.889071333426</v>
      </c>
      <c r="AR74" s="7">
        <f t="shared" ref="AR74" si="1009">IF(OR(AR73="",AQ74=""),"",AR73+AR69+AQ74)</f>
        <v>66126.64145425272</v>
      </c>
      <c r="AS74" s="7">
        <f t="shared" ref="AS74" si="1010">IF(OR(AS73="",AR74=""),"",AS73+AS69+AR74)</f>
        <v>256842.79432473017</v>
      </c>
      <c r="AT74" s="7">
        <f t="shared" ref="AT74" si="1011">IF(OR(AT73="",AS74=""),"",AT73+AT69+AS74)</f>
        <v>410600.38111553015</v>
      </c>
      <c r="AU74" s="7">
        <f t="shared" ref="AU74" si="1012">IF(OR(AU73="",AT74=""),"",AU73+AU69+AT74)</f>
        <v>480769.97780297394</v>
      </c>
      <c r="AV74" s="7">
        <f t="shared" ref="AV74" si="1013">IF(OR(AV73="",AU74=""),"",AV73+AV69+AU74)</f>
        <v>469662.95592151029</v>
      </c>
      <c r="AW74" s="7">
        <f t="shared" ref="AW74" si="1014">IF(OR(AW73="",AV74=""),"",AW73+AW69+AV74)</f>
        <v>459404.20382531721</v>
      </c>
      <c r="AX74" s="7">
        <f t="shared" ref="AX74" si="1015">IF(OR(AX73="",AW74=""),"",AX73+AX69+AW74)</f>
        <v>454444.66595301963</v>
      </c>
      <c r="AY74" s="7">
        <f t="shared" ref="AY74" si="1016">IF(OR(AY73="",AX74=""),"",AY73+AY69+AX74)</f>
        <v>449944.57717426098</v>
      </c>
      <c r="AZ74" s="7">
        <f t="shared" ref="AZ74" si="1017">IF(OR(AZ73="",AY74=""),"",AZ73+AZ69+AY74)</f>
        <v>438938.52047417918</v>
      </c>
      <c r="BA74" s="7">
        <f t="shared" ref="BA74" si="1018">IF(OR(BA73="",AZ74=""),"",BA73+BA69+AZ74)</f>
        <v>456372.4741515083</v>
      </c>
      <c r="BB74" s="7">
        <f t="shared" ref="BB74" si="1019">IF(OR(BB73="",BA74=""),"",BB73+BB69+BA74)</f>
        <v>412555.14811516961</v>
      </c>
      <c r="BC74" s="7">
        <f t="shared" ref="BC74" si="1020">IF(OR(BC73="",BB74=""),"",BC73+BC69+BB74)</f>
        <v>367621.11641297862</v>
      </c>
      <c r="BD74" s="7">
        <f t="shared" ref="BD74" si="1021">IF(OR(BD73="",BC74=""),"",BD73+BD69+BC74)</f>
        <v>356358.74275261129</v>
      </c>
      <c r="BE74" s="7">
        <f t="shared" ref="BE74" si="1022">IF(OR(BE73="",BD74=""),"",BE73+BE69+BD74)</f>
        <v>306004.34211860952</v>
      </c>
      <c r="BF74" s="7">
        <f t="shared" ref="BF74" si="1023">IF(OR(BF73="",BE74=""),"",BF73+BF69+BE74)</f>
        <v>254108.48339175692</v>
      </c>
      <c r="BG74" s="7">
        <f t="shared" ref="BG74" si="1024">IF(OR(BG73="",BF74=""),"",BG73+BG69+BF74)</f>
        <v>201456.2358670026</v>
      </c>
      <c r="BH74" s="7">
        <f t="shared" ref="BH74" si="1025">IF(OR(BH73="",BG74=""),"",BH73+BH69+BG74)</f>
        <v>155086.48305419646</v>
      </c>
      <c r="BI74" s="7">
        <f t="shared" ref="BI74" si="1026">IF(OR(BI73="",BH74=""),"",BI73+BI69+BH74)</f>
        <v>109624.0108436431</v>
      </c>
      <c r="BJ74" s="7">
        <f t="shared" ref="BJ74:BL74" si="1027">IF(OR(BJ73="",BI74=""),"",BJ73+BJ69+BI74)</f>
        <v>63214.607873028464</v>
      </c>
      <c r="BK74" s="7">
        <f>IF(OR(BK73="",BJ74=""),"",BK73+BK69+BJ74)</f>
        <v>20773.964476223133</v>
      </c>
      <c r="BL74" s="7">
        <f t="shared" si="1027"/>
        <v>-17075.279968361523</v>
      </c>
      <c r="BM74" s="7">
        <f t="shared" ref="BM74:CR74" si="1028">IF(OR(BM73="",BL74=""),"",BM73+BM69+BL74)</f>
        <v>-16346.853196470413</v>
      </c>
      <c r="BN74" s="7">
        <f t="shared" si="1028"/>
        <v>-17787.989584082636</v>
      </c>
      <c r="BO74" s="7">
        <f t="shared" si="1028"/>
        <v>-19240.427386491177</v>
      </c>
      <c r="BP74" s="7">
        <f t="shared" si="1028"/>
        <v>-20624.674914797361</v>
      </c>
      <c r="BQ74" s="7">
        <f t="shared" si="1028"/>
        <v>-22394.539384305182</v>
      </c>
      <c r="BR74" s="7">
        <f t="shared" si="1028"/>
        <v>-24191.414318373605</v>
      </c>
      <c r="BS74" s="7">
        <f t="shared" si="1028"/>
        <v>-26128.777214105674</v>
      </c>
      <c r="BT74" s="7">
        <f t="shared" si="1028"/>
        <v>-27833.081934082744</v>
      </c>
      <c r="BU74" s="7">
        <f t="shared" si="1028"/>
        <v>-29025.044752000424</v>
      </c>
      <c r="BV74" s="7">
        <f t="shared" si="1028"/>
        <v>-30802.077142336202</v>
      </c>
      <c r="BW74" s="7">
        <f t="shared" si="1028"/>
        <v>-32397.785872863944</v>
      </c>
      <c r="BX74" s="7">
        <f t="shared" si="1028"/>
        <v>-33337.536405581595</v>
      </c>
      <c r="BY74" s="7">
        <f t="shared" si="1028"/>
        <v>-31257.67995203461</v>
      </c>
      <c r="BZ74" s="7">
        <f t="shared" si="1028"/>
        <v>-21326.78515028473</v>
      </c>
      <c r="CA74" s="7">
        <f t="shared" si="1028"/>
        <v>-19425.470939119776</v>
      </c>
      <c r="CB74" s="7">
        <f t="shared" si="1028"/>
        <v>-17110.012723978929</v>
      </c>
      <c r="CC74" s="7">
        <f t="shared" si="1028"/>
        <v>-14455.416596777668</v>
      </c>
      <c r="CD74" s="7">
        <f t="shared" si="1028"/>
        <v>-11831.770721017427</v>
      </c>
      <c r="CE74" s="7">
        <f t="shared" si="1028"/>
        <v>-9091.2073093840754</v>
      </c>
      <c r="CF74" s="7">
        <f t="shared" si="1028"/>
        <v>-7156.458694073197</v>
      </c>
      <c r="CG74" s="7">
        <f t="shared" si="1028"/>
        <v>-4804.5310985156884</v>
      </c>
      <c r="CH74" s="7">
        <f t="shared" si="1028"/>
        <v>-2493.2371108889924</v>
      </c>
      <c r="CI74" s="7">
        <f t="shared" si="1028"/>
        <v>-541.82997430894716</v>
      </c>
      <c r="CJ74" s="7">
        <f t="shared" si="1028"/>
        <v>1086.5196087892591</v>
      </c>
      <c r="CK74" s="7">
        <f t="shared" si="1028"/>
        <v>1122.8963352013002</v>
      </c>
      <c r="CL74" s="7">
        <f t="shared" si="1028"/>
        <v>1149.8174294953835</v>
      </c>
      <c r="CM74" s="7">
        <f t="shared" si="1028"/>
        <v>1174.4392313334433</v>
      </c>
      <c r="CN74" s="7">
        <f t="shared" si="1028"/>
        <v>1202.8303266074172</v>
      </c>
      <c r="CO74" s="7">
        <f t="shared" si="1028"/>
        <v>1231.9116353096745</v>
      </c>
      <c r="CP74" s="7">
        <f t="shared" si="1028"/>
        <v>1265.0284668477641</v>
      </c>
      <c r="CQ74" s="7">
        <f t="shared" si="1028"/>
        <v>1300.0387401061566</v>
      </c>
      <c r="CR74" s="7">
        <f t="shared" si="1028"/>
        <v>1334.7571704432785</v>
      </c>
      <c r="CS74" s="7">
        <f t="shared" ref="CS74" si="1029">IF(OR(CS73="",CR74=""),"",CS73+CS69+CR74)</f>
        <v>1363.6560054372483</v>
      </c>
      <c r="CT74" s="7">
        <f t="shared" ref="CT74" si="1030">IF(OR(CT73="",CS74=""),"",CT73+CT69+CS74)</f>
        <v>1395.1774410874471</v>
      </c>
      <c r="CU74" s="7">
        <f t="shared" ref="CU74" si="1031">IF(OR(CU73="",CT74=""),"",CU73+CU69+CT74)</f>
        <v>1429.9910794136015</v>
      </c>
    </row>
    <row r="75" spans="1:99" s="4" customFormat="1" ht="8.25" hidden="1" customHeight="1" outlineLevel="1" x14ac:dyDescent="0.35">
      <c r="A75" s="40"/>
      <c r="B75" s="11"/>
      <c r="C75" s="11"/>
      <c r="D75" s="11"/>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row>
    <row r="76" spans="1:99" ht="15" customHeight="1" collapsed="1" x14ac:dyDescent="0.35">
      <c r="A76" s="296" t="s">
        <v>65</v>
      </c>
      <c r="B76" s="84"/>
      <c r="C76" s="24"/>
      <c r="D76" s="24"/>
      <c r="E76" s="29"/>
      <c r="F76" s="29"/>
      <c r="G76" s="29"/>
      <c r="H76" s="29"/>
      <c r="I76" s="29"/>
      <c r="J76" s="29"/>
      <c r="K76" s="29"/>
      <c r="L76" s="29"/>
      <c r="M76" s="29"/>
      <c r="N76" s="29"/>
      <c r="O76" s="29"/>
      <c r="P76" s="7"/>
      <c r="Q76" s="29"/>
      <c r="R76" s="29"/>
      <c r="S76" s="29"/>
      <c r="T76" s="29"/>
      <c r="U76" s="29"/>
      <c r="V76" s="29"/>
      <c r="W76" s="29"/>
      <c r="X76" s="29"/>
      <c r="Y76" s="68">
        <v>-950587.29</v>
      </c>
      <c r="Z76" s="29"/>
      <c r="AA76" s="29"/>
      <c r="AB76" s="29"/>
      <c r="AC76" s="29"/>
      <c r="AD76" s="29"/>
      <c r="AE76" s="29"/>
      <c r="AF76" s="29"/>
      <c r="AG76" s="29"/>
      <c r="AH76" s="29"/>
      <c r="AI76" s="29"/>
      <c r="AJ76" s="29"/>
      <c r="AK76" s="68">
        <v>-46000</v>
      </c>
      <c r="AL76" s="29"/>
      <c r="AM76" s="29"/>
      <c r="AN76" s="93"/>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row>
    <row r="77" spans="1:99" s="3" customFormat="1" x14ac:dyDescent="0.35">
      <c r="A77" s="296"/>
      <c r="B77" s="84" t="s">
        <v>66</v>
      </c>
      <c r="C77" s="24"/>
      <c r="D77" s="24"/>
      <c r="E77" s="22"/>
      <c r="F77" s="22"/>
      <c r="G77" s="22"/>
      <c r="H77" s="22"/>
      <c r="I77" s="22"/>
      <c r="J77" s="22"/>
      <c r="K77" s="22"/>
      <c r="L77" s="22"/>
      <c r="M77" s="21"/>
      <c r="N77" s="22"/>
      <c r="O77" s="22"/>
      <c r="P77" s="21"/>
      <c r="Q77" s="22"/>
      <c r="R77" s="22"/>
      <c r="S77" s="22"/>
      <c r="T77" s="22"/>
      <c r="U77" s="22"/>
      <c r="V77" s="22"/>
      <c r="W77" s="22"/>
      <c r="X77" s="22"/>
      <c r="Y77" s="22">
        <v>0</v>
      </c>
      <c r="Z77" s="22">
        <v>0</v>
      </c>
      <c r="AA77" s="22">
        <v>-11434.029999999999</v>
      </c>
      <c r="AB77" s="22">
        <v>-97063.06</v>
      </c>
      <c r="AC77" s="22">
        <v>-78439.839999999997</v>
      </c>
      <c r="AD77" s="22">
        <v>-75986.289999999994</v>
      </c>
      <c r="AE77" s="22">
        <v>-62392.98</v>
      </c>
      <c r="AF77" s="22">
        <v>-91978.92</v>
      </c>
      <c r="AG77" s="22">
        <v>-107509.38</v>
      </c>
      <c r="AH77" s="22">
        <v>-96563.72</v>
      </c>
      <c r="AI77" s="22">
        <v>-92958.44</v>
      </c>
      <c r="AJ77" s="22">
        <v>-72329.81</v>
      </c>
      <c r="AK77" s="22">
        <v>-67043.09</v>
      </c>
      <c r="AL77" s="22">
        <v>-92630.26</v>
      </c>
      <c r="AM77" s="22">
        <v>-91472.06</v>
      </c>
      <c r="AN77" s="22">
        <v>3116.63</v>
      </c>
      <c r="AO77" s="22">
        <v>2587.12</v>
      </c>
      <c r="AP77" s="22">
        <v>842.75</v>
      </c>
      <c r="AQ77" s="22">
        <v>56.56</v>
      </c>
      <c r="AR77" s="22">
        <v>1511.37</v>
      </c>
      <c r="AS77" s="22">
        <v>3222.89</v>
      </c>
      <c r="AT77" s="22">
        <v>3620.76</v>
      </c>
      <c r="AU77" s="22">
        <v>2953.3</v>
      </c>
      <c r="AV77" s="22">
        <v>1582.66</v>
      </c>
      <c r="AW77" s="22">
        <v>859.68</v>
      </c>
      <c r="AX77" s="22">
        <v>2364.75</v>
      </c>
      <c r="AY77" s="22">
        <v>3022.68</v>
      </c>
      <c r="AZ77" s="22">
        <v>944.99</v>
      </c>
      <c r="BA77" s="22">
        <v>-2.4400000000000013</v>
      </c>
      <c r="BB77" s="22">
        <v>-0.16</v>
      </c>
      <c r="BC77" s="22">
        <v>2.42</v>
      </c>
      <c r="BD77" s="22">
        <v>85.57</v>
      </c>
      <c r="BE77" s="22">
        <v>-0.13</v>
      </c>
      <c r="BF77" s="22">
        <v>-0.4</v>
      </c>
      <c r="BG77" s="22">
        <v>-0.62</v>
      </c>
      <c r="BH77" s="22">
        <v>-0.01</v>
      </c>
      <c r="BI77" s="22">
        <v>-0.33</v>
      </c>
      <c r="BJ77" s="22">
        <v>0.28999999999999998</v>
      </c>
      <c r="BK77" s="22">
        <v>0.18</v>
      </c>
      <c r="BL77" s="22">
        <v>-383.51</v>
      </c>
      <c r="BM77" s="22">
        <v>-838.54</v>
      </c>
      <c r="BN77" s="22">
        <v>-901.74</v>
      </c>
      <c r="BO77" s="22">
        <v>-918.67</v>
      </c>
      <c r="BP77" s="22">
        <v>-989.05</v>
      </c>
      <c r="BQ77" s="22">
        <v>-1207.8800000000001</v>
      </c>
      <c r="BR77" s="22">
        <v>-1173.18</v>
      </c>
      <c r="BS77" s="22">
        <v>-1200.93</v>
      </c>
      <c r="BT77" s="22">
        <v>-1051.26</v>
      </c>
      <c r="BU77" s="22">
        <v>-899.18</v>
      </c>
      <c r="BV77" s="22">
        <v>-1032.83</v>
      </c>
      <c r="BW77" s="22">
        <v>-970.5</v>
      </c>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row>
    <row r="78" spans="1:99" s="3" customFormat="1" x14ac:dyDescent="0.35">
      <c r="A78" s="296"/>
      <c r="B78" s="84" t="s">
        <v>67</v>
      </c>
      <c r="C78" s="24"/>
      <c r="D78" s="24"/>
      <c r="E78" s="7"/>
      <c r="F78" s="7"/>
      <c r="G78" s="7"/>
      <c r="H78" s="7"/>
      <c r="I78" s="7"/>
      <c r="J78" s="8"/>
      <c r="K78" s="8"/>
      <c r="L78" s="8"/>
      <c r="M78" s="8"/>
      <c r="N78" s="8"/>
      <c r="O78" s="8"/>
      <c r="P78" s="8"/>
      <c r="Q78" s="8"/>
      <c r="R78" s="8"/>
      <c r="S78" s="8"/>
      <c r="T78" s="8"/>
      <c r="U78" s="8"/>
      <c r="V78" s="8"/>
      <c r="W78" s="8"/>
      <c r="X78" s="8"/>
      <c r="Y78" s="8">
        <f>IF(OR(Y77=""),"",Y76-Y77)</f>
        <v>-950587.29</v>
      </c>
      <c r="Z78" s="8">
        <f>IF(OR(Z77=""),"",Z76-Z77)</f>
        <v>0</v>
      </c>
      <c r="AA78" s="8">
        <f t="shared" ref="AA78:AX78" si="1032">IF(OR(AA77=""),"",AA76-AA77)</f>
        <v>11434.029999999999</v>
      </c>
      <c r="AB78" s="8">
        <f t="shared" si="1032"/>
        <v>97063.06</v>
      </c>
      <c r="AC78" s="8">
        <f t="shared" si="1032"/>
        <v>78439.839999999997</v>
      </c>
      <c r="AD78" s="8">
        <f t="shared" si="1032"/>
        <v>75986.289999999994</v>
      </c>
      <c r="AE78" s="8">
        <f t="shared" si="1032"/>
        <v>62392.98</v>
      </c>
      <c r="AF78" s="8">
        <f t="shared" si="1032"/>
        <v>91978.92</v>
      </c>
      <c r="AG78" s="8">
        <f t="shared" si="1032"/>
        <v>107509.38</v>
      </c>
      <c r="AH78" s="8">
        <f t="shared" si="1032"/>
        <v>96563.72</v>
      </c>
      <c r="AI78" s="8">
        <f t="shared" si="1032"/>
        <v>92958.44</v>
      </c>
      <c r="AJ78" s="8">
        <f>IF(OR(AJ77=""),"",AJ76-AJ77)</f>
        <v>72329.81</v>
      </c>
      <c r="AK78" s="8">
        <f>IF(OR(AK77=""),"",AK76-AK77)</f>
        <v>21043.089999999997</v>
      </c>
      <c r="AL78" s="8">
        <f>IF(OR(AL77=""),"",AL76-AL77)</f>
        <v>92630.26</v>
      </c>
      <c r="AM78" s="8">
        <f t="shared" si="1032"/>
        <v>91472.06</v>
      </c>
      <c r="AN78" s="8">
        <f t="shared" si="1032"/>
        <v>-3116.63</v>
      </c>
      <c r="AO78" s="8">
        <f t="shared" si="1032"/>
        <v>-2587.12</v>
      </c>
      <c r="AP78" s="8">
        <f t="shared" si="1032"/>
        <v>-842.75</v>
      </c>
      <c r="AQ78" s="8">
        <f t="shared" si="1032"/>
        <v>-56.56</v>
      </c>
      <c r="AR78" s="8">
        <f t="shared" si="1032"/>
        <v>-1511.37</v>
      </c>
      <c r="AS78" s="8">
        <f t="shared" si="1032"/>
        <v>-3222.89</v>
      </c>
      <c r="AT78" s="8">
        <f t="shared" si="1032"/>
        <v>-3620.76</v>
      </c>
      <c r="AU78" s="8">
        <f t="shared" si="1032"/>
        <v>-2953.3</v>
      </c>
      <c r="AV78" s="8">
        <f t="shared" si="1032"/>
        <v>-1582.66</v>
      </c>
      <c r="AW78" s="8">
        <f t="shared" si="1032"/>
        <v>-859.68</v>
      </c>
      <c r="AX78" s="8">
        <f t="shared" si="1032"/>
        <v>-2364.75</v>
      </c>
      <c r="AY78" s="8">
        <f>IF(OR(AY77=""),"",AY76-AY77)</f>
        <v>-3022.68</v>
      </c>
      <c r="AZ78" s="8">
        <f t="shared" ref="AZ78:BJ78" si="1033">IF(OR(AZ77=""),"",AZ76-AZ77)</f>
        <v>-944.99</v>
      </c>
      <c r="BA78" s="8">
        <f t="shared" si="1033"/>
        <v>2.4400000000000013</v>
      </c>
      <c r="BB78" s="8">
        <f t="shared" si="1033"/>
        <v>0.16</v>
      </c>
      <c r="BC78" s="8">
        <f t="shared" si="1033"/>
        <v>-2.42</v>
      </c>
      <c r="BD78" s="8">
        <f t="shared" si="1033"/>
        <v>-85.57</v>
      </c>
      <c r="BE78" s="8">
        <f t="shared" si="1033"/>
        <v>0.13</v>
      </c>
      <c r="BF78" s="8">
        <f t="shared" si="1033"/>
        <v>0.4</v>
      </c>
      <c r="BG78" s="8">
        <f t="shared" si="1033"/>
        <v>0.62</v>
      </c>
      <c r="BH78" s="8">
        <f>IF(OR(BH77=""),"",BH76-BH77)</f>
        <v>0.01</v>
      </c>
      <c r="BI78" s="8">
        <f t="shared" si="1033"/>
        <v>0.33</v>
      </c>
      <c r="BJ78" s="8">
        <f t="shared" si="1033"/>
        <v>-0.28999999999999998</v>
      </c>
      <c r="BK78" s="8">
        <f t="shared" ref="BK78:BL78" si="1034">IF(OR(BK77=""),"",BK76-BK77)</f>
        <v>-0.18</v>
      </c>
      <c r="BL78" s="8">
        <f t="shared" si="1034"/>
        <v>383.51</v>
      </c>
      <c r="BM78" s="8">
        <f t="shared" ref="BM78" si="1035">IF(OR(BM77=""),"",BM76-BM77)</f>
        <v>838.54</v>
      </c>
      <c r="BN78" s="8">
        <f t="shared" ref="BN78:BW78" si="1036">IF(OR(BN77=""),"",BN76-BN77)</f>
        <v>901.74</v>
      </c>
      <c r="BO78" s="8">
        <f t="shared" si="1036"/>
        <v>918.67</v>
      </c>
      <c r="BP78" s="8">
        <f t="shared" si="1036"/>
        <v>989.05</v>
      </c>
      <c r="BQ78" s="8">
        <f t="shared" si="1036"/>
        <v>1207.8800000000001</v>
      </c>
      <c r="BR78" s="8">
        <f t="shared" si="1036"/>
        <v>1173.18</v>
      </c>
      <c r="BS78" s="8">
        <f t="shared" si="1036"/>
        <v>1200.93</v>
      </c>
      <c r="BT78" s="8">
        <f t="shared" si="1036"/>
        <v>1051.26</v>
      </c>
      <c r="BU78" s="8">
        <f t="shared" si="1036"/>
        <v>899.18</v>
      </c>
      <c r="BV78" s="8">
        <f t="shared" si="1036"/>
        <v>1032.83</v>
      </c>
      <c r="BW78" s="8">
        <f t="shared" si="1036"/>
        <v>970.5</v>
      </c>
      <c r="BX78" s="12" t="str">
        <f t="shared" ref="BX78:BY78" si="1037">IF(OR(BX77=""),"",BX76-BX77)</f>
        <v/>
      </c>
      <c r="BY78" s="12" t="str">
        <f t="shared" si="1037"/>
        <v/>
      </c>
      <c r="BZ78" s="12" t="str">
        <f t="shared" ref="BZ78:CA78" si="1038">IF(OR(BZ77=""),"",BZ76-BZ77)</f>
        <v/>
      </c>
      <c r="CA78" s="12" t="str">
        <f t="shared" si="1038"/>
        <v/>
      </c>
      <c r="CB78" s="12" t="str">
        <f t="shared" ref="CB78:CC78" si="1039">IF(OR(CB77=""),"",CB76-CB77)</f>
        <v/>
      </c>
      <c r="CC78" s="12" t="str">
        <f t="shared" si="1039"/>
        <v/>
      </c>
      <c r="CD78" s="12" t="str">
        <f t="shared" ref="CD78:CE78" si="1040">IF(OR(CD77=""),"",CD76-CD77)</f>
        <v/>
      </c>
      <c r="CE78" s="12" t="str">
        <f t="shared" si="1040"/>
        <v/>
      </c>
      <c r="CF78" s="12" t="str">
        <f t="shared" ref="CF78:CG78" si="1041">IF(OR(CF77=""),"",CF76-CF77)</f>
        <v/>
      </c>
      <c r="CG78" s="12" t="str">
        <f t="shared" si="1041"/>
        <v/>
      </c>
      <c r="CH78" s="12" t="str">
        <f t="shared" ref="CH78:CI78" si="1042">IF(OR(CH77=""),"",CH76-CH77)</f>
        <v/>
      </c>
      <c r="CI78" s="12" t="str">
        <f t="shared" si="1042"/>
        <v/>
      </c>
      <c r="CJ78" s="12" t="str">
        <f t="shared" ref="CJ78:CK78" si="1043">IF(OR(CJ77=""),"",CJ76-CJ77)</f>
        <v/>
      </c>
      <c r="CK78" s="12" t="str">
        <f t="shared" si="1043"/>
        <v/>
      </c>
      <c r="CL78" s="12" t="str">
        <f t="shared" ref="CL78:CM78" si="1044">IF(OR(CL77=""),"",CL76-CL77)</f>
        <v/>
      </c>
      <c r="CM78" s="12" t="str">
        <f t="shared" si="1044"/>
        <v/>
      </c>
      <c r="CN78" s="12" t="str">
        <f t="shared" ref="CN78:CO78" si="1045">IF(OR(CN77=""),"",CN76-CN77)</f>
        <v/>
      </c>
      <c r="CO78" s="12" t="str">
        <f t="shared" si="1045"/>
        <v/>
      </c>
      <c r="CP78" s="12" t="str">
        <f t="shared" ref="CP78:CQ78" si="1046">IF(OR(CP77=""),"",CP76-CP77)</f>
        <v/>
      </c>
      <c r="CQ78" s="12" t="str">
        <f t="shared" si="1046"/>
        <v/>
      </c>
      <c r="CR78" s="12" t="str">
        <f t="shared" ref="CR78:CU78" si="1047">IF(OR(CR77=""),"",CR76-CR77)</f>
        <v/>
      </c>
      <c r="CS78" s="12" t="str">
        <f t="shared" si="1047"/>
        <v/>
      </c>
      <c r="CT78" s="12" t="str">
        <f t="shared" si="1047"/>
        <v/>
      </c>
      <c r="CU78" s="12" t="str">
        <f t="shared" si="1047"/>
        <v/>
      </c>
    </row>
    <row r="79" spans="1:99" s="3" customFormat="1" x14ac:dyDescent="0.35">
      <c r="A79" s="296"/>
      <c r="B79" s="85" t="s">
        <v>8</v>
      </c>
      <c r="C79" s="24"/>
      <c r="D79" s="24"/>
      <c r="E79" s="8"/>
      <c r="F79" s="8"/>
      <c r="G79" s="8"/>
      <c r="H79" s="8"/>
      <c r="I79" s="8"/>
      <c r="J79" s="8"/>
      <c r="K79" s="8"/>
      <c r="L79" s="8"/>
      <c r="M79" s="8"/>
      <c r="N79" s="8"/>
      <c r="O79" s="8"/>
      <c r="P79" s="8"/>
      <c r="Q79" s="8"/>
      <c r="R79" s="8"/>
      <c r="S79" s="8"/>
      <c r="T79" s="8"/>
      <c r="U79" s="8"/>
      <c r="V79" s="8"/>
      <c r="W79" s="8"/>
      <c r="X79" s="8"/>
      <c r="Y79" s="8">
        <f>IF(OR(Y9="",Y78=""),"",((Y78)*Y9)/12)</f>
        <v>-1142.9773645635676</v>
      </c>
      <c r="Z79" s="8">
        <f>IF(OR(Z9="",Z78=""),"",((Z78+Y82)*Z9)/12)</f>
        <v>-1406.6105417600129</v>
      </c>
      <c r="AA79" s="8">
        <f t="shared" ref="AA79:AX79" si="1048">IF(OR(AA9="",AA78=""),"",((AA78+Z82)*AA9)/12)</f>
        <v>-1346.153234548864</v>
      </c>
      <c r="AB79" s="8">
        <f t="shared" si="1048"/>
        <v>-1288.4126187558829</v>
      </c>
      <c r="AC79" s="8">
        <f t="shared" si="1048"/>
        <v>-1315.9538118321113</v>
      </c>
      <c r="AD79" s="8">
        <f t="shared" si="1048"/>
        <v>-1336.9578921220411</v>
      </c>
      <c r="AE79" s="8">
        <f t="shared" si="1048"/>
        <v>-1160.0625389104569</v>
      </c>
      <c r="AF79" s="8">
        <f t="shared" si="1048"/>
        <v>-1030.1512787032175</v>
      </c>
      <c r="AG79" s="8">
        <f t="shared" si="1048"/>
        <v>-852.43323708722994</v>
      </c>
      <c r="AH79" s="8">
        <f t="shared" si="1048"/>
        <v>-659.06779451001023</v>
      </c>
      <c r="AI79" s="8">
        <f t="shared" si="1048"/>
        <v>-480.92950853408678</v>
      </c>
      <c r="AJ79" s="8">
        <f t="shared" si="1048"/>
        <v>-360.31926611651494</v>
      </c>
      <c r="AK79" s="8">
        <f>IF(OR(AK9="",AK78=""),"",((AK78+AJ82)*AK9)/12)</f>
        <v>-326.98303189502104</v>
      </c>
      <c r="AL79" s="8">
        <f>IF(OR(AL9="",AL78=""),"",((AL78+AK82)*AL9)/12)</f>
        <v>-144.53386682650574</v>
      </c>
      <c r="AM79" s="8">
        <f t="shared" si="1048"/>
        <v>67.827737992733816</v>
      </c>
      <c r="AN79" s="8">
        <f t="shared" si="1048"/>
        <v>59.918620369761747</v>
      </c>
      <c r="AO79" s="8">
        <f t="shared" si="1048"/>
        <v>52.938377462680137</v>
      </c>
      <c r="AP79" s="8">
        <f t="shared" si="1048"/>
        <v>48.802208476892723</v>
      </c>
      <c r="AQ79" s="8">
        <f t="shared" si="1048"/>
        <v>49.061459961622738</v>
      </c>
      <c r="AR79" s="8">
        <f t="shared" si="1048"/>
        <v>45.331792046848214</v>
      </c>
      <c r="AS79" s="8">
        <f t="shared" si="1048"/>
        <v>37.516625105978882</v>
      </c>
      <c r="AT79" s="8">
        <f t="shared" si="1048"/>
        <v>26.972774943528055</v>
      </c>
      <c r="AU79" s="8">
        <f t="shared" si="1048"/>
        <v>20.025787757859852</v>
      </c>
      <c r="AV79" s="8">
        <f t="shared" si="1048"/>
        <v>16.343159553426808</v>
      </c>
      <c r="AW79" s="8">
        <f t="shared" si="1048"/>
        <v>12.763470691451941</v>
      </c>
      <c r="AX79" s="8">
        <f t="shared" si="1048"/>
        <v>9.7069882726060612</v>
      </c>
      <c r="AY79" s="8">
        <f t="shared" ref="AY79" si="1049">IF(OR(AY9="",AY78=""),"",((AY78+AX82)*AY9)/12)</f>
        <v>4.8314791567889772</v>
      </c>
      <c r="AZ79" s="8">
        <f>IF(OR(AZ9="",AZ78=""),"",((AZ78+AY82)*AZ9)/12)</f>
        <v>3.1997734168797702</v>
      </c>
      <c r="BA79" s="8">
        <f>IF(OR(BA9="",BA78=""),"",((BA78+AZ82)*BA9)/12)</f>
        <v>3.3594656448678157</v>
      </c>
      <c r="BB79" s="8">
        <f t="shared" ref="BB79" si="1050">IF(OR(BB9="",BB78=""),"",((BB78+BA82)*BB9)/12)</f>
        <v>1.6721040257130282</v>
      </c>
      <c r="BC79" s="8">
        <f t="shared" ref="BC79" si="1051">IF(OR(BC9="",BC78=""),"",((BC78+BB82)*BC9)/12)</f>
        <v>0.22988508836275723</v>
      </c>
      <c r="BD79" s="8">
        <f t="shared" ref="BD79" si="1052">IF(OR(BD9="",BD78=""),"",((BD78+BC82)*BD9)/12)</f>
        <v>0.21483065616418598</v>
      </c>
      <c r="BE79" s="8">
        <f t="shared" ref="BE79" si="1053">IF(OR(BE9="",BE78=""),"",((BE78+BD82)*BE9)/12)</f>
        <v>0.33122191838176246</v>
      </c>
      <c r="BF79" s="8">
        <f t="shared" ref="BF79" si="1054">IF(OR(BF9="",BF78=""),"",((BF78+BE82)*BF9)/12)</f>
        <v>0.2336846168970412</v>
      </c>
      <c r="BG79" s="8">
        <f t="shared" ref="BG79" si="1055">IF(OR(BG9="",BG78=""),"",((BG78+BF82)*BG9)/12)</f>
        <v>0.2120972547870974</v>
      </c>
      <c r="BH79" s="8">
        <f>IF(OR(BH9="",BH78=""),"",((BH78+BG82)*BH9)/12)</f>
        <v>0.34236125970811027</v>
      </c>
      <c r="BI79" s="8">
        <f t="shared" ref="BI79" si="1056">IF(OR(BI9="",BI78=""),"",((BI78+BH82)*BI9)/12)</f>
        <v>0.43227667386697566</v>
      </c>
      <c r="BJ79" s="8">
        <f t="shared" ref="BJ79:BM79" si="1057">IF(OR(BJ9="",BJ78=""),"",((BJ78+BI82)*BJ9)/12)</f>
        <v>0.48754281355907209</v>
      </c>
      <c r="BK79" s="8">
        <f t="shared" si="1057"/>
        <v>0.35306280958904529</v>
      </c>
      <c r="BL79" s="8">
        <f t="shared" si="1057"/>
        <v>0.47201062181403408</v>
      </c>
      <c r="BM79" s="8">
        <f t="shared" si="1057"/>
        <v>0.58371549010880763</v>
      </c>
      <c r="BN79" s="8">
        <f t="shared" ref="BN79:CR79" si="1058">IF(OR(BN9="",BN78=""),"",((BN78+BM82)*BN9)/12)</f>
        <v>0.78427009905860645</v>
      </c>
      <c r="BO79" s="8">
        <f t="shared" si="1058"/>
        <v>0.95314530933060526</v>
      </c>
      <c r="BP79" s="8">
        <f t="shared" si="1058"/>
        <v>1.0234103408209305</v>
      </c>
      <c r="BQ79" s="8">
        <f t="shared" si="1058"/>
        <v>0.8487892737123407</v>
      </c>
      <c r="BR79" s="8">
        <f t="shared" si="1058"/>
        <v>1.4481490285324148</v>
      </c>
      <c r="BS79" s="8">
        <f t="shared" si="1058"/>
        <v>1.5579823325549995</v>
      </c>
      <c r="BT79" s="8">
        <f t="shared" si="1058"/>
        <v>1.3410092842876644</v>
      </c>
      <c r="BU79" s="8">
        <f t="shared" si="1058"/>
        <v>1.4846712123357226</v>
      </c>
      <c r="BV79" s="8">
        <f t="shared" si="1058"/>
        <v>2.7485268153887428</v>
      </c>
      <c r="BW79" s="8">
        <f t="shared" si="1058"/>
        <v>2.664164463345204</v>
      </c>
      <c r="BX79" s="12" t="str">
        <f t="shared" si="1058"/>
        <v/>
      </c>
      <c r="BY79" s="12" t="str">
        <f t="shared" si="1058"/>
        <v/>
      </c>
      <c r="BZ79" s="12" t="str">
        <f t="shared" si="1058"/>
        <v/>
      </c>
      <c r="CA79" s="12" t="str">
        <f t="shared" si="1058"/>
        <v/>
      </c>
      <c r="CB79" s="12" t="str">
        <f t="shared" si="1058"/>
        <v/>
      </c>
      <c r="CC79" s="12" t="str">
        <f t="shared" si="1058"/>
        <v/>
      </c>
      <c r="CD79" s="12" t="str">
        <f t="shared" si="1058"/>
        <v/>
      </c>
      <c r="CE79" s="12" t="str">
        <f t="shared" si="1058"/>
        <v/>
      </c>
      <c r="CF79" s="12" t="str">
        <f t="shared" si="1058"/>
        <v/>
      </c>
      <c r="CG79" s="12" t="str">
        <f t="shared" si="1058"/>
        <v/>
      </c>
      <c r="CH79" s="12" t="str">
        <f t="shared" si="1058"/>
        <v/>
      </c>
      <c r="CI79" s="12" t="str">
        <f t="shared" si="1058"/>
        <v/>
      </c>
      <c r="CJ79" s="12" t="str">
        <f t="shared" si="1058"/>
        <v/>
      </c>
      <c r="CK79" s="12" t="str">
        <f t="shared" si="1058"/>
        <v/>
      </c>
      <c r="CL79" s="12" t="str">
        <f t="shared" si="1058"/>
        <v/>
      </c>
      <c r="CM79" s="12" t="str">
        <f t="shared" si="1058"/>
        <v/>
      </c>
      <c r="CN79" s="12" t="str">
        <f t="shared" si="1058"/>
        <v/>
      </c>
      <c r="CO79" s="12" t="str">
        <f t="shared" si="1058"/>
        <v/>
      </c>
      <c r="CP79" s="12" t="str">
        <f t="shared" si="1058"/>
        <v/>
      </c>
      <c r="CQ79" s="12" t="str">
        <f t="shared" si="1058"/>
        <v/>
      </c>
      <c r="CR79" s="12" t="str">
        <f t="shared" si="1058"/>
        <v/>
      </c>
      <c r="CS79" s="12" t="str">
        <f t="shared" ref="CS79" si="1059">IF(OR(CS9="",CS78=""),"",((CS78+CR82)*CS9)/12)</f>
        <v/>
      </c>
      <c r="CT79" s="12" t="str">
        <f t="shared" ref="CT79" si="1060">IF(OR(CT9="",CT78=""),"",((CT78+CS82)*CT9)/12)</f>
        <v/>
      </c>
      <c r="CU79" s="12" t="str">
        <f t="shared" ref="CU79" si="1061">IF(OR(CU9="",CU78=""),"",((CU78+CT82)*CU9)/12)</f>
        <v/>
      </c>
    </row>
    <row r="80" spans="1:99" s="3" customFormat="1" x14ac:dyDescent="0.35">
      <c r="A80" s="296"/>
      <c r="B80" s="85" t="s">
        <v>6</v>
      </c>
      <c r="C80" s="28"/>
      <c r="D80" s="28"/>
      <c r="E80" s="8"/>
      <c r="F80" s="8"/>
      <c r="G80" s="8"/>
      <c r="H80" s="8"/>
      <c r="I80" s="8"/>
      <c r="J80" s="8"/>
      <c r="K80" s="8"/>
      <c r="L80" s="8"/>
      <c r="M80" s="8"/>
      <c r="N80" s="8"/>
      <c r="O80" s="8"/>
      <c r="P80" s="8"/>
      <c r="Q80" s="8"/>
      <c r="R80" s="8"/>
      <c r="S80" s="8"/>
      <c r="T80" s="8"/>
      <c r="U80" s="8"/>
      <c r="V80" s="8"/>
      <c r="W80" s="8"/>
      <c r="X80" s="8"/>
      <c r="Y80" s="8">
        <f>IF(OR(Y79=""),"",Y79)</f>
        <v>-1142.9773645635676</v>
      </c>
      <c r="Z80" s="8">
        <f>IF(OR(Y80="",Z79=""),"",Y80+Z79)</f>
        <v>-2549.5879063235807</v>
      </c>
      <c r="AA80" s="8">
        <f t="shared" ref="AA80:AX80" si="1062">IF(OR(Z80="",AA79=""),"",Z80+AA79)</f>
        <v>-3895.7411408724447</v>
      </c>
      <c r="AB80" s="8">
        <f t="shared" si="1062"/>
        <v>-5184.1537596283279</v>
      </c>
      <c r="AC80" s="8">
        <f t="shared" si="1062"/>
        <v>-6500.1075714604394</v>
      </c>
      <c r="AD80" s="8">
        <f t="shared" si="1062"/>
        <v>-7837.0654635824803</v>
      </c>
      <c r="AE80" s="8">
        <f t="shared" si="1062"/>
        <v>-8997.1280024929365</v>
      </c>
      <c r="AF80" s="8">
        <f t="shared" si="1062"/>
        <v>-10027.279281196154</v>
      </c>
      <c r="AG80" s="8">
        <f t="shared" si="1062"/>
        <v>-10879.712518283384</v>
      </c>
      <c r="AH80" s="8">
        <f t="shared" si="1062"/>
        <v>-11538.780312793395</v>
      </c>
      <c r="AI80" s="8">
        <f t="shared" si="1062"/>
        <v>-12019.709821327482</v>
      </c>
      <c r="AJ80" s="8">
        <f t="shared" si="1062"/>
        <v>-12380.029087443998</v>
      </c>
      <c r="AK80" s="8">
        <f>IF(OR(AJ80="",AK79=""),"",AJ80+AK79)</f>
        <v>-12707.012119339019</v>
      </c>
      <c r="AL80" s="8">
        <f>IF(OR(AK80="",AL79=""),"",AK80+AL79)</f>
        <v>-12851.545986165524</v>
      </c>
      <c r="AM80" s="8">
        <f t="shared" si="1062"/>
        <v>-12783.71824817279</v>
      </c>
      <c r="AN80" s="8">
        <f t="shared" si="1062"/>
        <v>-12723.79962780303</v>
      </c>
      <c r="AO80" s="8">
        <f t="shared" si="1062"/>
        <v>-12670.861250340349</v>
      </c>
      <c r="AP80" s="8">
        <f t="shared" si="1062"/>
        <v>-12622.059041863457</v>
      </c>
      <c r="AQ80" s="8">
        <f t="shared" si="1062"/>
        <v>-12572.997581901835</v>
      </c>
      <c r="AR80" s="8">
        <f t="shared" si="1062"/>
        <v>-12527.665789854986</v>
      </c>
      <c r="AS80" s="8">
        <f t="shared" si="1062"/>
        <v>-12490.149164749007</v>
      </c>
      <c r="AT80" s="8">
        <f t="shared" si="1062"/>
        <v>-12463.17638980548</v>
      </c>
      <c r="AU80" s="8">
        <f t="shared" si="1062"/>
        <v>-12443.150602047619</v>
      </c>
      <c r="AV80" s="8">
        <f t="shared" si="1062"/>
        <v>-12426.807442494191</v>
      </c>
      <c r="AW80" s="8">
        <f t="shared" si="1062"/>
        <v>-12414.043971802739</v>
      </c>
      <c r="AX80" s="8">
        <f t="shared" si="1062"/>
        <v>-12404.336983530133</v>
      </c>
      <c r="AY80" s="8">
        <f t="shared" ref="AY80" si="1063">IF(OR(AX80="",AY79=""),"",AX80+AY79)</f>
        <v>-12399.505504373345</v>
      </c>
      <c r="AZ80" s="8">
        <f t="shared" ref="AZ80" si="1064">IF(OR(AY80="",AZ79=""),"",AY80+AZ79)</f>
        <v>-12396.305730956465</v>
      </c>
      <c r="BA80" s="8">
        <f>IF(OR(AZ80="",BA79=""),"",AZ80+BA79)</f>
        <v>-12392.946265311597</v>
      </c>
      <c r="BB80" s="8">
        <f t="shared" ref="BB80" si="1065">IF(OR(BA80="",BB79=""),"",BA80+BB79)</f>
        <v>-12391.274161285884</v>
      </c>
      <c r="BC80" s="8">
        <f t="shared" ref="BC80" si="1066">IF(OR(BB80="",BC79=""),"",BB80+BC79)</f>
        <v>-12391.044276197521</v>
      </c>
      <c r="BD80" s="8">
        <f t="shared" ref="BD80" si="1067">IF(OR(BC80="",BD79=""),"",BC80+BD79)</f>
        <v>-12390.829445541356</v>
      </c>
      <c r="BE80" s="8">
        <f t="shared" ref="BE80" si="1068">IF(OR(BD80="",BE79=""),"",BD80+BE79)</f>
        <v>-12390.498223622973</v>
      </c>
      <c r="BF80" s="8">
        <f t="shared" ref="BF80" si="1069">IF(OR(BE80="",BF79=""),"",BE80+BF79)</f>
        <v>-12390.264539006077</v>
      </c>
      <c r="BG80" s="8">
        <f t="shared" ref="BG80" si="1070">IF(OR(BF80="",BG79=""),"",BF80+BG79)</f>
        <v>-12390.05244175129</v>
      </c>
      <c r="BH80" s="8">
        <f>IF(OR(BG80="",BH79=""),"",BG80+BH79)</f>
        <v>-12389.710080491581</v>
      </c>
      <c r="BI80" s="8">
        <f t="shared" ref="BI80" si="1071">IF(OR(BH80="",BI79=""),"",BH80+BI79)</f>
        <v>-12389.277803817713</v>
      </c>
      <c r="BJ80" s="8">
        <f t="shared" ref="BJ80:CR80" si="1072">IF(OR(BI80="",BJ79=""),"",BI80+BJ79)</f>
        <v>-12388.790261004155</v>
      </c>
      <c r="BK80" s="8">
        <f t="shared" si="1072"/>
        <v>-12388.437198194566</v>
      </c>
      <c r="BL80" s="8">
        <f t="shared" si="1072"/>
        <v>-12387.965187572752</v>
      </c>
      <c r="BM80" s="8">
        <f t="shared" si="1072"/>
        <v>-12387.381472082643</v>
      </c>
      <c r="BN80" s="8">
        <f t="shared" si="1072"/>
        <v>-12386.597201983584</v>
      </c>
      <c r="BO80" s="8">
        <f t="shared" si="1072"/>
        <v>-12385.644056674253</v>
      </c>
      <c r="BP80" s="8">
        <f t="shared" si="1072"/>
        <v>-12384.620646333433</v>
      </c>
      <c r="BQ80" s="8">
        <f t="shared" si="1072"/>
        <v>-12383.771857059721</v>
      </c>
      <c r="BR80" s="8">
        <f t="shared" si="1072"/>
        <v>-12382.323708031188</v>
      </c>
      <c r="BS80" s="8">
        <f t="shared" si="1072"/>
        <v>-12380.765725698633</v>
      </c>
      <c r="BT80" s="8">
        <f t="shared" si="1072"/>
        <v>-12379.424716414345</v>
      </c>
      <c r="BU80" s="8">
        <f t="shared" si="1072"/>
        <v>-12377.940045202009</v>
      </c>
      <c r="BV80" s="8">
        <f t="shared" si="1072"/>
        <v>-12375.19151838662</v>
      </c>
      <c r="BW80" s="8">
        <f t="shared" si="1072"/>
        <v>-12372.527353923275</v>
      </c>
      <c r="BX80" s="12" t="str">
        <f t="shared" si="1072"/>
        <v/>
      </c>
      <c r="BY80" s="12" t="str">
        <f t="shared" si="1072"/>
        <v/>
      </c>
      <c r="BZ80" s="12" t="str">
        <f t="shared" si="1072"/>
        <v/>
      </c>
      <c r="CA80" s="12" t="str">
        <f t="shared" si="1072"/>
        <v/>
      </c>
      <c r="CB80" s="12" t="str">
        <f t="shared" si="1072"/>
        <v/>
      </c>
      <c r="CC80" s="12" t="str">
        <f t="shared" si="1072"/>
        <v/>
      </c>
      <c r="CD80" s="12" t="str">
        <f t="shared" si="1072"/>
        <v/>
      </c>
      <c r="CE80" s="12" t="str">
        <f t="shared" si="1072"/>
        <v/>
      </c>
      <c r="CF80" s="12" t="str">
        <f t="shared" si="1072"/>
        <v/>
      </c>
      <c r="CG80" s="12" t="str">
        <f t="shared" si="1072"/>
        <v/>
      </c>
      <c r="CH80" s="12" t="str">
        <f t="shared" si="1072"/>
        <v/>
      </c>
      <c r="CI80" s="12" t="str">
        <f t="shared" si="1072"/>
        <v/>
      </c>
      <c r="CJ80" s="12" t="str">
        <f t="shared" si="1072"/>
        <v/>
      </c>
      <c r="CK80" s="12" t="str">
        <f t="shared" si="1072"/>
        <v/>
      </c>
      <c r="CL80" s="12" t="str">
        <f t="shared" si="1072"/>
        <v/>
      </c>
      <c r="CM80" s="12" t="str">
        <f t="shared" si="1072"/>
        <v/>
      </c>
      <c r="CN80" s="12" t="str">
        <f t="shared" si="1072"/>
        <v/>
      </c>
      <c r="CO80" s="12" t="str">
        <f t="shared" si="1072"/>
        <v/>
      </c>
      <c r="CP80" s="12" t="str">
        <f t="shared" si="1072"/>
        <v/>
      </c>
      <c r="CQ80" s="12" t="str">
        <f t="shared" si="1072"/>
        <v/>
      </c>
      <c r="CR80" s="12" t="str">
        <f t="shared" si="1072"/>
        <v/>
      </c>
      <c r="CS80" s="12" t="str">
        <f t="shared" ref="CS80" si="1073">IF(OR(CR80="",CS79=""),"",CR80+CS79)</f>
        <v/>
      </c>
      <c r="CT80" s="12" t="str">
        <f t="shared" ref="CT80" si="1074">IF(OR(CS80="",CT79=""),"",CS80+CT79)</f>
        <v/>
      </c>
      <c r="CU80" s="12" t="str">
        <f t="shared" ref="CU80" si="1075">IF(OR(CT80="",CU79=""),"",CT80+CU79)</f>
        <v/>
      </c>
    </row>
    <row r="81" spans="1:99" s="3" customFormat="1" x14ac:dyDescent="0.35">
      <c r="A81" s="296"/>
      <c r="B81" s="84" t="s">
        <v>69</v>
      </c>
      <c r="C81" s="24"/>
      <c r="D81" s="24"/>
      <c r="E81" s="8"/>
      <c r="F81" s="8"/>
      <c r="G81" s="8"/>
      <c r="H81" s="8"/>
      <c r="I81" s="8"/>
      <c r="J81" s="8"/>
      <c r="K81" s="8"/>
      <c r="L81" s="8"/>
      <c r="M81" s="8"/>
      <c r="N81" s="8"/>
      <c r="O81" s="8"/>
      <c r="P81" s="8"/>
      <c r="Q81" s="8"/>
      <c r="R81" s="8"/>
      <c r="S81" s="8"/>
      <c r="T81" s="8"/>
      <c r="U81" s="8"/>
      <c r="V81" s="8"/>
      <c r="W81" s="8"/>
      <c r="X81" s="8"/>
      <c r="Y81" s="8">
        <f>IF(OR(Y79="",Y78=""),"",Y78+Y79)</f>
        <v>-951730.26736456365</v>
      </c>
      <c r="Z81" s="8">
        <f>IF(OR(Z79="",Z78=""),"",Z78+Z79)</f>
        <v>-1406.6105417600129</v>
      </c>
      <c r="AA81" s="8">
        <f>IF(OR(AA79="",AA78=""),"",AA78+AA79)</f>
        <v>10087.876765451136</v>
      </c>
      <c r="AB81" s="8">
        <f t="shared" ref="AB81:AX81" si="1076">IF(OR(AB79="",AB78=""),"",AB78+AB79)</f>
        <v>95774.647381244111</v>
      </c>
      <c r="AC81" s="8">
        <f t="shared" si="1076"/>
        <v>77123.886188167889</v>
      </c>
      <c r="AD81" s="8">
        <f t="shared" si="1076"/>
        <v>74649.332107877955</v>
      </c>
      <c r="AE81" s="8">
        <f t="shared" si="1076"/>
        <v>61232.91746108955</v>
      </c>
      <c r="AF81" s="8">
        <f t="shared" si="1076"/>
        <v>90948.768721296787</v>
      </c>
      <c r="AG81" s="8">
        <f t="shared" si="1076"/>
        <v>106656.94676291278</v>
      </c>
      <c r="AH81" s="8">
        <f t="shared" si="1076"/>
        <v>95904.652205489998</v>
      </c>
      <c r="AI81" s="8">
        <f t="shared" si="1076"/>
        <v>92477.510491465917</v>
      </c>
      <c r="AJ81" s="8">
        <f t="shared" si="1076"/>
        <v>71969.490733883489</v>
      </c>
      <c r="AK81" s="8">
        <f>IF(OR(AK79="",AK78=""),"",AK78+AK79)</f>
        <v>20716.106968104974</v>
      </c>
      <c r="AL81" s="8">
        <f>IF(OR(AL79="",AL78=""),"",AL78+AL79)</f>
        <v>92485.726133173492</v>
      </c>
      <c r="AM81" s="8">
        <f t="shared" si="1076"/>
        <v>91539.887737992729</v>
      </c>
      <c r="AN81" s="8">
        <f t="shared" si="1076"/>
        <v>-3056.7113796302383</v>
      </c>
      <c r="AO81" s="8">
        <f t="shared" si="1076"/>
        <v>-2534.1816225373195</v>
      </c>
      <c r="AP81" s="8">
        <f t="shared" si="1076"/>
        <v>-793.9477915231073</v>
      </c>
      <c r="AQ81" s="8">
        <f t="shared" si="1076"/>
        <v>-7.4985400383772642</v>
      </c>
      <c r="AR81" s="8">
        <f t="shared" si="1076"/>
        <v>-1466.0382079531516</v>
      </c>
      <c r="AS81" s="8">
        <f t="shared" si="1076"/>
        <v>-3185.3733748940208</v>
      </c>
      <c r="AT81" s="8">
        <f t="shared" si="1076"/>
        <v>-3593.7872250564724</v>
      </c>
      <c r="AU81" s="8">
        <f t="shared" si="1076"/>
        <v>-2933.2742122421405</v>
      </c>
      <c r="AV81" s="8">
        <f t="shared" si="1076"/>
        <v>-1566.3168404465732</v>
      </c>
      <c r="AW81" s="8">
        <f t="shared" si="1076"/>
        <v>-846.91652930854798</v>
      </c>
      <c r="AX81" s="8">
        <f t="shared" si="1076"/>
        <v>-2355.0430117273941</v>
      </c>
      <c r="AY81" s="8">
        <f t="shared" ref="AY81:BJ81" si="1077">IF(OR(AY79="",AY78=""),"",AY78+AY79)</f>
        <v>-3017.8485208432107</v>
      </c>
      <c r="AZ81" s="8">
        <f t="shared" si="1077"/>
        <v>-941.79022658312022</v>
      </c>
      <c r="BA81" s="8">
        <f t="shared" si="1077"/>
        <v>5.7994656448678175</v>
      </c>
      <c r="BB81" s="8">
        <f t="shared" si="1077"/>
        <v>1.8321040257130281</v>
      </c>
      <c r="BC81" s="8">
        <f t="shared" si="1077"/>
        <v>-2.1901149116372425</v>
      </c>
      <c r="BD81" s="8">
        <f t="shared" si="1077"/>
        <v>-85.355169343835811</v>
      </c>
      <c r="BE81" s="8">
        <f t="shared" si="1077"/>
        <v>0.46122191838176246</v>
      </c>
      <c r="BF81" s="8">
        <f t="shared" si="1077"/>
        <v>0.63368461689704125</v>
      </c>
      <c r="BG81" s="8">
        <f t="shared" si="1077"/>
        <v>0.8320972547870974</v>
      </c>
      <c r="BH81" s="8">
        <f>IF(OR(BH79="",BH78=""),"",BH78+BH79)</f>
        <v>0.35236125970811027</v>
      </c>
      <c r="BI81" s="8">
        <f t="shared" si="1077"/>
        <v>0.76227667386697573</v>
      </c>
      <c r="BJ81" s="8">
        <f t="shared" si="1077"/>
        <v>0.19754281355907211</v>
      </c>
      <c r="BK81" s="8">
        <f t="shared" ref="BK81:BL81" si="1078">IF(OR(BK79="",BK78=""),"",BK78+BK79)</f>
        <v>0.1730628095890453</v>
      </c>
      <c r="BL81" s="8">
        <f t="shared" si="1078"/>
        <v>383.98201062181403</v>
      </c>
      <c r="BM81" s="8">
        <f t="shared" ref="BM81:BN81" si="1079">IF(OR(BM79="",BM78=""),"",BM78+BM79)</f>
        <v>839.12371549010879</v>
      </c>
      <c r="BN81" s="8">
        <f t="shared" si="1079"/>
        <v>902.52427009905864</v>
      </c>
      <c r="BO81" s="8">
        <f t="shared" ref="BO81:BP81" si="1080">IF(OR(BO79="",BO78=""),"",BO78+BO79)</f>
        <v>919.62314530933054</v>
      </c>
      <c r="BP81" s="8">
        <f t="shared" si="1080"/>
        <v>990.07341034082083</v>
      </c>
      <c r="BQ81" s="8">
        <f t="shared" ref="BQ81:BR81" si="1081">IF(OR(BQ79="",BQ78=""),"",BQ78+BQ79)</f>
        <v>1208.7287892737124</v>
      </c>
      <c r="BR81" s="8">
        <f t="shared" si="1081"/>
        <v>1174.6281490285326</v>
      </c>
      <c r="BS81" s="8">
        <f t="shared" ref="BS81:BT81" si="1082">IF(OR(BS79="",BS78=""),"",BS78+BS79)</f>
        <v>1202.487982332555</v>
      </c>
      <c r="BT81" s="8">
        <f t="shared" si="1082"/>
        <v>1052.6010092842876</v>
      </c>
      <c r="BU81" s="8">
        <f t="shared" ref="BU81:BV81" si="1083">IF(OR(BU79="",BU78=""),"",BU78+BU79)</f>
        <v>900.66467121233563</v>
      </c>
      <c r="BV81" s="8">
        <f t="shared" si="1083"/>
        <v>1035.5785268153886</v>
      </c>
      <c r="BW81" s="8">
        <f t="shared" ref="BW81:BX81" si="1084">IF(OR(BW79="",BW78=""),"",BW78+BW79)</f>
        <v>973.16416446334517</v>
      </c>
      <c r="BX81" s="12" t="str">
        <f t="shared" si="1084"/>
        <v/>
      </c>
      <c r="BY81" s="12" t="str">
        <f t="shared" ref="BY81:BZ81" si="1085">IF(OR(BY79="",BY78=""),"",BY78+BY79)</f>
        <v/>
      </c>
      <c r="BZ81" s="12" t="str">
        <f t="shared" si="1085"/>
        <v/>
      </c>
      <c r="CA81" s="12" t="str">
        <f t="shared" ref="CA81:CB81" si="1086">IF(OR(CA79="",CA78=""),"",CA78+CA79)</f>
        <v/>
      </c>
      <c r="CB81" s="12" t="str">
        <f t="shared" si="1086"/>
        <v/>
      </c>
      <c r="CC81" s="12" t="str">
        <f t="shared" ref="CC81:CD81" si="1087">IF(OR(CC79="",CC78=""),"",CC78+CC79)</f>
        <v/>
      </c>
      <c r="CD81" s="12" t="str">
        <f t="shared" si="1087"/>
        <v/>
      </c>
      <c r="CE81" s="12" t="str">
        <f t="shared" ref="CE81:CF81" si="1088">IF(OR(CE79="",CE78=""),"",CE78+CE79)</f>
        <v/>
      </c>
      <c r="CF81" s="12" t="str">
        <f t="shared" si="1088"/>
        <v/>
      </c>
      <c r="CG81" s="12" t="str">
        <f t="shared" ref="CG81:CH81" si="1089">IF(OR(CG79="",CG78=""),"",CG78+CG79)</f>
        <v/>
      </c>
      <c r="CH81" s="12" t="str">
        <f t="shared" si="1089"/>
        <v/>
      </c>
      <c r="CI81" s="12" t="str">
        <f t="shared" ref="CI81:CJ81" si="1090">IF(OR(CI79="",CI78=""),"",CI78+CI79)</f>
        <v/>
      </c>
      <c r="CJ81" s="12" t="str">
        <f t="shared" si="1090"/>
        <v/>
      </c>
      <c r="CK81" s="12" t="str">
        <f t="shared" ref="CK81:CL81" si="1091">IF(OR(CK79="",CK78=""),"",CK78+CK79)</f>
        <v/>
      </c>
      <c r="CL81" s="12" t="str">
        <f t="shared" si="1091"/>
        <v/>
      </c>
      <c r="CM81" s="12" t="str">
        <f t="shared" ref="CM81:CN81" si="1092">IF(OR(CM79="",CM78=""),"",CM78+CM79)</f>
        <v/>
      </c>
      <c r="CN81" s="12" t="str">
        <f t="shared" si="1092"/>
        <v/>
      </c>
      <c r="CO81" s="12" t="str">
        <f t="shared" ref="CO81:CP81" si="1093">IF(OR(CO79="",CO78=""),"",CO78+CO79)</f>
        <v/>
      </c>
      <c r="CP81" s="12" t="str">
        <f t="shared" si="1093"/>
        <v/>
      </c>
      <c r="CQ81" s="12" t="str">
        <f t="shared" ref="CQ81:CR81" si="1094">IF(OR(CQ79="",CQ78=""),"",CQ78+CQ79)</f>
        <v/>
      </c>
      <c r="CR81" s="12" t="str">
        <f t="shared" si="1094"/>
        <v/>
      </c>
      <c r="CS81" s="12" t="str">
        <f t="shared" ref="CS81:CU81" si="1095">IF(OR(CS79="",CS78=""),"",CS78+CS79)</f>
        <v/>
      </c>
      <c r="CT81" s="12" t="str">
        <f t="shared" si="1095"/>
        <v/>
      </c>
      <c r="CU81" s="12" t="str">
        <f t="shared" si="1095"/>
        <v/>
      </c>
    </row>
    <row r="82" spans="1:99" s="3" customFormat="1" x14ac:dyDescent="0.35">
      <c r="A82" s="296"/>
      <c r="B82" s="86" t="s">
        <v>70</v>
      </c>
      <c r="C82" s="26"/>
      <c r="D82" s="26"/>
      <c r="E82" s="8"/>
      <c r="F82" s="8"/>
      <c r="G82" s="8"/>
      <c r="H82" s="8"/>
      <c r="I82" s="8"/>
      <c r="J82" s="8"/>
      <c r="K82" s="8"/>
      <c r="L82" s="8"/>
      <c r="M82" s="8"/>
      <c r="N82" s="8"/>
      <c r="O82" s="8"/>
      <c r="P82" s="8"/>
      <c r="Q82" s="8"/>
      <c r="R82" s="8"/>
      <c r="S82" s="8"/>
      <c r="T82" s="8"/>
      <c r="U82" s="8"/>
      <c r="V82" s="8"/>
      <c r="W82" s="8"/>
      <c r="X82" s="8">
        <v>0</v>
      </c>
      <c r="Y82" s="8">
        <f>IF(OR(Y81=""),"",Y81)</f>
        <v>-951730.26736456365</v>
      </c>
      <c r="Z82" s="8">
        <f>IF(OR(Z81="",Y82=""),"",Z81+Y82)</f>
        <v>-953136.87790632364</v>
      </c>
      <c r="AA82" s="8">
        <f t="shared" ref="AA82:AX82" si="1096">IF(OR(AA81="",Z82=""),"",AA81+Z82)</f>
        <v>-943049.00114087248</v>
      </c>
      <c r="AB82" s="8">
        <f t="shared" si="1096"/>
        <v>-847274.35375962837</v>
      </c>
      <c r="AC82" s="8">
        <f t="shared" si="1096"/>
        <v>-770150.46757146053</v>
      </c>
      <c r="AD82" s="8">
        <f t="shared" si="1096"/>
        <v>-695501.13546358258</v>
      </c>
      <c r="AE82" s="8">
        <f t="shared" si="1096"/>
        <v>-634268.21800249303</v>
      </c>
      <c r="AF82" s="8">
        <f t="shared" si="1096"/>
        <v>-543319.44928119623</v>
      </c>
      <c r="AG82" s="8">
        <f t="shared" si="1096"/>
        <v>-436662.50251828344</v>
      </c>
      <c r="AH82" s="8">
        <f t="shared" si="1096"/>
        <v>-340757.85031279345</v>
      </c>
      <c r="AI82" s="8">
        <f t="shared" si="1096"/>
        <v>-248280.33982132754</v>
      </c>
      <c r="AJ82" s="8">
        <f t="shared" si="1096"/>
        <v>-176310.84908744405</v>
      </c>
      <c r="AK82" s="8">
        <f>IF(OR(AK81="",AJ82=""),"",AK81+AJ82)</f>
        <v>-155594.74211933906</v>
      </c>
      <c r="AL82" s="8">
        <f>IF(OR(AL81="",AK82=""),"",AL81+AK82)</f>
        <v>-63109.01598616557</v>
      </c>
      <c r="AM82" s="8">
        <f t="shared" si="1096"/>
        <v>28430.871751827159</v>
      </c>
      <c r="AN82" s="8">
        <f t="shared" si="1096"/>
        <v>25374.160372196922</v>
      </c>
      <c r="AO82" s="8">
        <f t="shared" si="1096"/>
        <v>22839.978749659604</v>
      </c>
      <c r="AP82" s="8">
        <f t="shared" si="1096"/>
        <v>22046.030958136496</v>
      </c>
      <c r="AQ82" s="8">
        <f t="shared" si="1096"/>
        <v>22038.532418098119</v>
      </c>
      <c r="AR82" s="8">
        <f t="shared" si="1096"/>
        <v>20572.494210144967</v>
      </c>
      <c r="AS82" s="8">
        <f t="shared" si="1096"/>
        <v>17387.120835250946</v>
      </c>
      <c r="AT82" s="8">
        <f t="shared" si="1096"/>
        <v>13793.333610194473</v>
      </c>
      <c r="AU82" s="8">
        <f t="shared" si="1096"/>
        <v>10860.059397952333</v>
      </c>
      <c r="AV82" s="8">
        <f t="shared" si="1096"/>
        <v>9293.7425575057605</v>
      </c>
      <c r="AW82" s="8">
        <f t="shared" si="1096"/>
        <v>8446.8260281972125</v>
      </c>
      <c r="AX82" s="8">
        <f t="shared" si="1096"/>
        <v>6091.7830164698189</v>
      </c>
      <c r="AY82" s="8">
        <f t="shared" ref="AY82" si="1097">IF(OR(AY81="",AX82=""),"",AY81+AX82)</f>
        <v>3073.9344956266082</v>
      </c>
      <c r="AZ82" s="8">
        <f t="shared" ref="AZ82" si="1098">IF(OR(AZ81="",AY82=""),"",AZ81+AY82)</f>
        <v>2132.1442690434878</v>
      </c>
      <c r="BA82" s="8">
        <f>IF(OR(BA81="",AZ82=""),"",BA81+AZ82)</f>
        <v>2137.9437346883556</v>
      </c>
      <c r="BB82" s="8">
        <f t="shared" ref="BB82" si="1099">IF(OR(BB81="",BA82=""),"",BB81+BA82)</f>
        <v>2139.7758387140684</v>
      </c>
      <c r="BC82" s="8">
        <f t="shared" ref="BC82" si="1100">IF(OR(BC81="",BB82=""),"",BC81+BB82)</f>
        <v>2137.5857238024309</v>
      </c>
      <c r="BD82" s="8">
        <f t="shared" ref="BD82" si="1101">IF(OR(BD81="",BC82=""),"",BD81+BC82)</f>
        <v>2052.2305544585952</v>
      </c>
      <c r="BE82" s="8">
        <f t="shared" ref="BE82" si="1102">IF(OR(BE81="",BD82=""),"",BE81+BD82)</f>
        <v>2052.691776376977</v>
      </c>
      <c r="BF82" s="8">
        <f t="shared" ref="BF82" si="1103">IF(OR(BF81="",BE82=""),"",BF81+BE82)</f>
        <v>2053.325460993874</v>
      </c>
      <c r="BG82" s="8">
        <f t="shared" ref="BG82" si="1104">IF(OR(BG81="",BF82=""),"",BG81+BF82)</f>
        <v>2054.1575582486612</v>
      </c>
      <c r="BH82" s="8">
        <f t="shared" ref="BH82" si="1105">IF(OR(BH81="",BG82=""),"",BH81+BG82)</f>
        <v>2054.5099195083694</v>
      </c>
      <c r="BI82" s="8">
        <f t="shared" ref="BI82" si="1106">IF(OR(BI81="",BH82=""),"",BI81+BH82)</f>
        <v>2055.2721961822363</v>
      </c>
      <c r="BJ82" s="8">
        <f t="shared" ref="BJ82:CR82" si="1107">IF(OR(BJ81="",BI82=""),"",BJ81+BI82)</f>
        <v>2055.4697389957955</v>
      </c>
      <c r="BK82" s="8">
        <f t="shared" si="1107"/>
        <v>2055.6428018053844</v>
      </c>
      <c r="BL82" s="8">
        <f t="shared" si="1107"/>
        <v>2439.6248124271983</v>
      </c>
      <c r="BM82" s="8">
        <f t="shared" si="1107"/>
        <v>3278.748527917307</v>
      </c>
      <c r="BN82" s="8">
        <f t="shared" si="1107"/>
        <v>4181.2727980163654</v>
      </c>
      <c r="BO82" s="8">
        <f t="shared" si="1107"/>
        <v>5100.895943325696</v>
      </c>
      <c r="BP82" s="8">
        <f t="shared" si="1107"/>
        <v>6090.9693536665163</v>
      </c>
      <c r="BQ82" s="8">
        <f t="shared" si="1107"/>
        <v>7299.6981429402285</v>
      </c>
      <c r="BR82" s="8">
        <f t="shared" si="1107"/>
        <v>8474.3262919687604</v>
      </c>
      <c r="BS82" s="8">
        <f t="shared" si="1107"/>
        <v>9676.8142743013159</v>
      </c>
      <c r="BT82" s="8">
        <f t="shared" si="1107"/>
        <v>10729.415283585604</v>
      </c>
      <c r="BU82" s="8">
        <f t="shared" si="1107"/>
        <v>11630.07995479794</v>
      </c>
      <c r="BV82" s="8">
        <f t="shared" si="1107"/>
        <v>12665.658481613329</v>
      </c>
      <c r="BW82" s="8">
        <f t="shared" si="1107"/>
        <v>13638.822646076675</v>
      </c>
      <c r="BX82" s="12" t="str">
        <f t="shared" si="1107"/>
        <v/>
      </c>
      <c r="BY82" s="12" t="str">
        <f t="shared" si="1107"/>
        <v/>
      </c>
      <c r="BZ82" s="12" t="str">
        <f t="shared" si="1107"/>
        <v/>
      </c>
      <c r="CA82" s="12" t="str">
        <f t="shared" si="1107"/>
        <v/>
      </c>
      <c r="CB82" s="12" t="str">
        <f t="shared" si="1107"/>
        <v/>
      </c>
      <c r="CC82" s="12" t="str">
        <f t="shared" si="1107"/>
        <v/>
      </c>
      <c r="CD82" s="12" t="str">
        <f t="shared" si="1107"/>
        <v/>
      </c>
      <c r="CE82" s="12" t="str">
        <f t="shared" si="1107"/>
        <v/>
      </c>
      <c r="CF82" s="12" t="str">
        <f t="shared" si="1107"/>
        <v/>
      </c>
      <c r="CG82" s="12" t="str">
        <f t="shared" si="1107"/>
        <v/>
      </c>
      <c r="CH82" s="12" t="str">
        <f t="shared" si="1107"/>
        <v/>
      </c>
      <c r="CI82" s="12" t="str">
        <f t="shared" si="1107"/>
        <v/>
      </c>
      <c r="CJ82" s="12" t="str">
        <f t="shared" si="1107"/>
        <v/>
      </c>
      <c r="CK82" s="12" t="str">
        <f t="shared" si="1107"/>
        <v/>
      </c>
      <c r="CL82" s="12" t="str">
        <f t="shared" si="1107"/>
        <v/>
      </c>
      <c r="CM82" s="12" t="str">
        <f t="shared" si="1107"/>
        <v/>
      </c>
      <c r="CN82" s="12" t="str">
        <f t="shared" si="1107"/>
        <v/>
      </c>
      <c r="CO82" s="12" t="str">
        <f t="shared" si="1107"/>
        <v/>
      </c>
      <c r="CP82" s="12" t="str">
        <f t="shared" si="1107"/>
        <v/>
      </c>
      <c r="CQ82" s="12" t="str">
        <f t="shared" si="1107"/>
        <v/>
      </c>
      <c r="CR82" s="12" t="str">
        <f t="shared" si="1107"/>
        <v/>
      </c>
      <c r="CS82" s="12" t="str">
        <f t="shared" ref="CS82" si="1108">IF(OR(CS81="",CR82=""),"",CS81+CR82)</f>
        <v/>
      </c>
      <c r="CT82" s="12" t="str">
        <f t="shared" ref="CT82" si="1109">IF(OR(CT81="",CS82=""),"",CT81+CS82)</f>
        <v/>
      </c>
      <c r="CU82" s="12" t="str">
        <f t="shared" ref="CU82" si="1110">IF(OR(CU81="",CT82=""),"",CU81+CT82)</f>
        <v/>
      </c>
    </row>
    <row r="83" spans="1:99" s="4" customFormat="1" ht="8.25" customHeight="1" x14ac:dyDescent="0.35">
      <c r="A83" s="40"/>
      <c r="B83" s="11"/>
      <c r="C83" s="11"/>
      <c r="D83" s="11"/>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row>
    <row r="84" spans="1:99" s="4" customFormat="1" x14ac:dyDescent="0.35">
      <c r="A84" s="297" t="s">
        <v>79</v>
      </c>
      <c r="B84" s="52"/>
      <c r="C84" s="92"/>
      <c r="D84" s="92"/>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68">
        <v>9141434.9200000018</v>
      </c>
      <c r="AN84" s="7"/>
      <c r="AO84" s="7"/>
      <c r="AP84" s="67"/>
      <c r="AQ84" s="67"/>
      <c r="AR84" s="67"/>
      <c r="AS84" s="67"/>
      <c r="AT84" s="67"/>
      <c r="AU84" s="67"/>
      <c r="AV84" s="67"/>
      <c r="AW84" s="11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row>
    <row r="85" spans="1:99" ht="15" customHeight="1" x14ac:dyDescent="0.35">
      <c r="A85" s="297"/>
      <c r="B85" s="52" t="s">
        <v>50</v>
      </c>
      <c r="C85" s="37"/>
      <c r="D85" s="37"/>
      <c r="E85" s="60"/>
      <c r="F85" s="60"/>
      <c r="G85" s="60"/>
      <c r="H85" s="60"/>
      <c r="I85" s="60"/>
      <c r="J85" s="60"/>
      <c r="K85" s="60"/>
      <c r="L85" s="60"/>
      <c r="M85" s="60"/>
      <c r="N85" s="60"/>
      <c r="O85" s="60">
        <v>0</v>
      </c>
      <c r="P85" s="60">
        <f>+$N$93/23</f>
        <v>1228112.1191304347</v>
      </c>
      <c r="Q85" s="60">
        <f t="shared" ref="Q85:AL85" si="1111">+$N$93/23</f>
        <v>1228112.1191304347</v>
      </c>
      <c r="R85" s="60">
        <f t="shared" si="1111"/>
        <v>1228112.1191304347</v>
      </c>
      <c r="S85" s="60">
        <f t="shared" si="1111"/>
        <v>1228112.1191304347</v>
      </c>
      <c r="T85" s="60">
        <f t="shared" si="1111"/>
        <v>1228112.1191304347</v>
      </c>
      <c r="U85" s="60">
        <f t="shared" si="1111"/>
        <v>1228112.1191304347</v>
      </c>
      <c r="V85" s="60">
        <f t="shared" si="1111"/>
        <v>1228112.1191304347</v>
      </c>
      <c r="W85" s="60">
        <f t="shared" si="1111"/>
        <v>1228112.1191304347</v>
      </c>
      <c r="X85" s="60">
        <f t="shared" si="1111"/>
        <v>1228112.1191304347</v>
      </c>
      <c r="Y85" s="60">
        <f t="shared" si="1111"/>
        <v>1228112.1191304347</v>
      </c>
      <c r="Z85" s="60">
        <f t="shared" si="1111"/>
        <v>1228112.1191304347</v>
      </c>
      <c r="AA85" s="60">
        <f t="shared" si="1111"/>
        <v>1228112.1191304347</v>
      </c>
      <c r="AB85" s="60">
        <f t="shared" si="1111"/>
        <v>1228112.1191304347</v>
      </c>
      <c r="AC85" s="60">
        <f t="shared" si="1111"/>
        <v>1228112.1191304347</v>
      </c>
      <c r="AD85" s="60">
        <f t="shared" si="1111"/>
        <v>1228112.1191304347</v>
      </c>
      <c r="AE85" s="60">
        <f t="shared" si="1111"/>
        <v>1228112.1191304347</v>
      </c>
      <c r="AF85" s="60">
        <f t="shared" si="1111"/>
        <v>1228112.1191304347</v>
      </c>
      <c r="AG85" s="60">
        <f t="shared" si="1111"/>
        <v>1228112.1191304347</v>
      </c>
      <c r="AH85" s="60">
        <f t="shared" si="1111"/>
        <v>1228112.1191304347</v>
      </c>
      <c r="AI85" s="60">
        <f t="shared" si="1111"/>
        <v>1228112.1191304347</v>
      </c>
      <c r="AJ85" s="60">
        <f t="shared" si="1111"/>
        <v>1228112.1191304347</v>
      </c>
      <c r="AK85" s="60">
        <f t="shared" si="1111"/>
        <v>1228112.1191304347</v>
      </c>
      <c r="AL85" s="60">
        <f t="shared" si="1111"/>
        <v>1228112.1191304347</v>
      </c>
      <c r="AM85" s="60">
        <v>0</v>
      </c>
      <c r="AN85" s="60">
        <f>+$AM$84/23</f>
        <v>397453.69217391312</v>
      </c>
      <c r="AO85" s="60">
        <f t="shared" ref="AO85:AU85" si="1112">+$AM$84/23</f>
        <v>397453.69217391312</v>
      </c>
      <c r="AP85" s="60">
        <f t="shared" si="1112"/>
        <v>397453.69217391312</v>
      </c>
      <c r="AQ85" s="60">
        <f t="shared" si="1112"/>
        <v>397453.69217391312</v>
      </c>
      <c r="AR85" s="60">
        <f t="shared" si="1112"/>
        <v>397453.69217391312</v>
      </c>
      <c r="AS85" s="60">
        <f t="shared" si="1112"/>
        <v>397453.69217391312</v>
      </c>
      <c r="AT85" s="60">
        <f t="shared" si="1112"/>
        <v>397453.69217391312</v>
      </c>
      <c r="AU85" s="60">
        <f t="shared" si="1112"/>
        <v>397453.69217391312</v>
      </c>
      <c r="AV85" s="60">
        <f>+$AM$84/23</f>
        <v>397453.69217391312</v>
      </c>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row>
    <row r="86" spans="1:99" x14ac:dyDescent="0.35">
      <c r="A86" s="297"/>
      <c r="B86" s="52" t="s">
        <v>45</v>
      </c>
      <c r="C86" s="37"/>
      <c r="D86" s="37"/>
      <c r="E86" s="22"/>
      <c r="F86" s="22"/>
      <c r="G86" s="22"/>
      <c r="H86" s="22"/>
      <c r="I86" s="22"/>
      <c r="J86" s="22"/>
      <c r="K86" s="22"/>
      <c r="L86" s="22"/>
      <c r="M86" s="22"/>
      <c r="N86" s="22"/>
      <c r="O86" s="22">
        <v>111256.44</v>
      </c>
      <c r="P86" s="22">
        <v>1192563.6000000001</v>
      </c>
      <c r="Q86" s="22">
        <v>1016925</v>
      </c>
      <c r="R86" s="22">
        <v>981618.06</v>
      </c>
      <c r="S86" s="22">
        <v>967793.86</v>
      </c>
      <c r="T86" s="22">
        <v>1203406.1100000001</v>
      </c>
      <c r="U86" s="22">
        <v>1434329.05</v>
      </c>
      <c r="V86" s="22">
        <v>1468321.4</v>
      </c>
      <c r="W86" s="22">
        <v>1258704.28</v>
      </c>
      <c r="X86" s="22">
        <v>1155858.58</v>
      </c>
      <c r="Y86" s="22">
        <v>1028665.35</v>
      </c>
      <c r="Z86" s="22">
        <v>1189289.51</v>
      </c>
      <c r="AA86" s="22">
        <v>1637210.29</v>
      </c>
      <c r="AB86" s="22">
        <v>1423775.04</v>
      </c>
      <c r="AC86" s="22">
        <v>1230263.3</v>
      </c>
      <c r="AD86" s="22">
        <v>1194467.24</v>
      </c>
      <c r="AE86" s="22">
        <v>1091414.8</v>
      </c>
      <c r="AF86" s="22">
        <v>1441684.6</v>
      </c>
      <c r="AG86" s="22">
        <v>1598515.45</v>
      </c>
      <c r="AH86" s="22">
        <v>1491950.2</v>
      </c>
      <c r="AI86" s="22">
        <v>1453822.87</v>
      </c>
      <c r="AJ86" s="22">
        <v>1221364.94</v>
      </c>
      <c r="AK86" s="22">
        <v>1121505.92</v>
      </c>
      <c r="AL86" s="22">
        <v>1392680.77</v>
      </c>
      <c r="AM86" s="22">
        <v>1342908.72</v>
      </c>
      <c r="AN86" s="22">
        <v>211574.99</v>
      </c>
      <c r="AO86" s="22">
        <v>168611.31</v>
      </c>
      <c r="AP86" s="22">
        <v>143191.22</v>
      </c>
      <c r="AQ86" s="22">
        <v>140873.74</v>
      </c>
      <c r="AR86" s="22">
        <v>166764.85999999999</v>
      </c>
      <c r="AS86" s="22">
        <v>183176.51</v>
      </c>
      <c r="AT86" s="22">
        <v>191116.41</v>
      </c>
      <c r="AU86" s="22">
        <v>187572.91</v>
      </c>
      <c r="AV86" s="22">
        <v>168225.83</v>
      </c>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row>
    <row r="87" spans="1:99" x14ac:dyDescent="0.35">
      <c r="A87" s="297"/>
      <c r="B87" s="52" t="s">
        <v>46</v>
      </c>
      <c r="C87" s="37"/>
      <c r="D87" s="37"/>
      <c r="E87" s="8"/>
      <c r="F87" s="8"/>
      <c r="G87" s="8"/>
      <c r="H87" s="8"/>
      <c r="I87" s="8"/>
      <c r="J87" s="8"/>
      <c r="K87" s="8"/>
      <c r="L87" s="8"/>
      <c r="M87" s="8"/>
      <c r="N87" s="8"/>
      <c r="O87" s="8">
        <f>IF(OR(O85="",O86=""),"",O85-O86)</f>
        <v>-111256.44</v>
      </c>
      <c r="P87" s="8">
        <f>IF(OR(P85="",P86=""),"",P85-P86)</f>
        <v>35548.519130434608</v>
      </c>
      <c r="Q87" s="8">
        <f>IF(OR(Q85="",Q86=""),"",Q85-Q86)</f>
        <v>211187.1191304347</v>
      </c>
      <c r="R87" s="8">
        <f t="shared" ref="R87:AL87" si="1113">IF(OR(R85="",R86=""),"",R85-R86)</f>
        <v>246494.05913043465</v>
      </c>
      <c r="S87" s="8">
        <f t="shared" si="1113"/>
        <v>260318.25913043472</v>
      </c>
      <c r="T87" s="8">
        <f t="shared" si="1113"/>
        <v>24706.009130434599</v>
      </c>
      <c r="U87" s="8">
        <f t="shared" si="1113"/>
        <v>-206216.93086956535</v>
      </c>
      <c r="V87" s="8">
        <f t="shared" si="1113"/>
        <v>-240209.28086956521</v>
      </c>
      <c r="W87" s="8">
        <f t="shared" si="1113"/>
        <v>-30592.160869565327</v>
      </c>
      <c r="X87" s="8">
        <f t="shared" si="1113"/>
        <v>72253.539130434627</v>
      </c>
      <c r="Y87" s="8">
        <f t="shared" si="1113"/>
        <v>199446.76913043472</v>
      </c>
      <c r="Z87" s="8">
        <f t="shared" si="1113"/>
        <v>38822.609130434692</v>
      </c>
      <c r="AA87" s="8">
        <f t="shared" si="1113"/>
        <v>-409098.17086956534</v>
      </c>
      <c r="AB87" s="8">
        <f t="shared" si="1113"/>
        <v>-195662.92086956534</v>
      </c>
      <c r="AC87" s="8">
        <f t="shared" si="1113"/>
        <v>-2151.1808695653453</v>
      </c>
      <c r="AD87" s="8">
        <f t="shared" si="1113"/>
        <v>33644.879130434711</v>
      </c>
      <c r="AE87" s="8">
        <f t="shared" si="1113"/>
        <v>136697.31913043465</v>
      </c>
      <c r="AF87" s="8">
        <f t="shared" si="1113"/>
        <v>-213572.48086956539</v>
      </c>
      <c r="AG87" s="8">
        <f t="shared" si="1113"/>
        <v>-370403.33086956525</v>
      </c>
      <c r="AH87" s="8">
        <f t="shared" si="1113"/>
        <v>-263838.08086956525</v>
      </c>
      <c r="AI87" s="8">
        <f t="shared" si="1113"/>
        <v>-225710.75086956541</v>
      </c>
      <c r="AJ87" s="8">
        <f t="shared" si="1113"/>
        <v>6747.1791304347571</v>
      </c>
      <c r="AK87" s="8">
        <f t="shared" si="1113"/>
        <v>106606.19913043478</v>
      </c>
      <c r="AL87" s="8">
        <f t="shared" si="1113"/>
        <v>-164568.65086956532</v>
      </c>
      <c r="AM87" s="8">
        <f>IF(OR(AM85="",AM86=""),"",AM85-AM86)</f>
        <v>-1342908.72</v>
      </c>
      <c r="AN87" s="8">
        <f>IF(OR(AN85="",AN86=""),"",AN85-AN86)</f>
        <v>185878.70217391313</v>
      </c>
      <c r="AO87" s="8">
        <f t="shared" ref="AO87:AV87" si="1114">IF(OR(AO85="",AO86=""),"",AO85-AO86)</f>
        <v>228842.38217391312</v>
      </c>
      <c r="AP87" s="8">
        <f t="shared" si="1114"/>
        <v>254262.47217391312</v>
      </c>
      <c r="AQ87" s="8">
        <f t="shared" si="1114"/>
        <v>256579.95217391313</v>
      </c>
      <c r="AR87" s="8">
        <f t="shared" si="1114"/>
        <v>230688.83217391314</v>
      </c>
      <c r="AS87" s="8">
        <f t="shared" si="1114"/>
        <v>214277.18217391311</v>
      </c>
      <c r="AT87" s="8">
        <f t="shared" si="1114"/>
        <v>206337.28217391312</v>
      </c>
      <c r="AU87" s="8">
        <f t="shared" si="1114"/>
        <v>209880.78217391312</v>
      </c>
      <c r="AV87" s="8">
        <f t="shared" si="1114"/>
        <v>229227.86217391313</v>
      </c>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row>
    <row r="88" spans="1:99" x14ac:dyDescent="0.35">
      <c r="A88" s="297"/>
      <c r="B88" s="52" t="s">
        <v>4</v>
      </c>
      <c r="C88" s="37"/>
      <c r="D88" s="37"/>
      <c r="E88" s="61"/>
      <c r="F88" s="61"/>
      <c r="G88" s="61"/>
      <c r="H88" s="61"/>
      <c r="I88" s="61"/>
      <c r="J88" s="61"/>
      <c r="K88" s="61"/>
      <c r="L88" s="61"/>
      <c r="M88" s="61"/>
      <c r="N88" s="61"/>
      <c r="O88" s="61">
        <f>+O9</f>
        <v>8.9999999999999993E-3</v>
      </c>
      <c r="P88" s="61">
        <f t="shared" ref="P88:AU88" si="1115">IF(P87="","",P9)</f>
        <v>8.9999999999999993E-3</v>
      </c>
      <c r="Q88" s="61">
        <f t="shared" si="1115"/>
        <v>1.15E-2</v>
      </c>
      <c r="R88" s="61">
        <f t="shared" si="1115"/>
        <v>1.15E-2</v>
      </c>
      <c r="S88" s="61">
        <f t="shared" si="1115"/>
        <v>1.15E-2</v>
      </c>
      <c r="T88" s="61">
        <f t="shared" si="1115"/>
        <v>1.41E-2</v>
      </c>
      <c r="U88" s="61">
        <f t="shared" si="1115"/>
        <v>1.39185E-2</v>
      </c>
      <c r="V88" s="61">
        <f t="shared" si="1115"/>
        <v>1.466976E-2</v>
      </c>
      <c r="W88" s="61">
        <f t="shared" si="1115"/>
        <v>1.4482760000000001E-2</v>
      </c>
      <c r="X88" s="61">
        <f t="shared" si="1115"/>
        <v>1.45083E-2</v>
      </c>
      <c r="Y88" s="61">
        <f t="shared" si="1115"/>
        <v>1.4428689E-2</v>
      </c>
      <c r="Z88" s="61">
        <f t="shared" si="1115"/>
        <v>1.773541E-2</v>
      </c>
      <c r="AA88" s="61">
        <f t="shared" si="1115"/>
        <v>1.715386E-2</v>
      </c>
      <c r="AB88" s="61">
        <f t="shared" si="1115"/>
        <v>1.8275659999999999E-2</v>
      </c>
      <c r="AC88" s="61">
        <f t="shared" si="1115"/>
        <v>2.0539459999999999E-2</v>
      </c>
      <c r="AD88" s="61">
        <f t="shared" si="1115"/>
        <v>2.3111960000000001E-2</v>
      </c>
      <c r="AE88" s="61">
        <f t="shared" si="1115"/>
        <v>2.1987949999999999E-2</v>
      </c>
      <c r="AF88" s="61">
        <f t="shared" si="1115"/>
        <v>2.2795610000000001E-2</v>
      </c>
      <c r="AG88" s="61">
        <f t="shared" si="1115"/>
        <v>2.347169E-2</v>
      </c>
      <c r="AH88" s="61">
        <f t="shared" si="1115"/>
        <v>2.3254460000000001E-2</v>
      </c>
      <c r="AI88" s="61">
        <f t="shared" si="1115"/>
        <v>2.328962E-2</v>
      </c>
      <c r="AJ88" s="61">
        <f t="shared" si="1115"/>
        <v>2.457413E-2</v>
      </c>
      <c r="AK88" s="61">
        <f t="shared" si="1115"/>
        <v>2.5271160000000001E-2</v>
      </c>
      <c r="AL88" s="61">
        <f t="shared" si="1115"/>
        <v>2.7545790000000001E-2</v>
      </c>
      <c r="AM88" s="61">
        <f t="shared" si="1115"/>
        <v>2.8696949999999999E-2</v>
      </c>
      <c r="AN88" s="61">
        <f t="shared" si="1115"/>
        <v>2.8403910000000001E-2</v>
      </c>
      <c r="AO88" s="61">
        <f t="shared" si="1115"/>
        <v>2.7878150000000001E-2</v>
      </c>
      <c r="AP88" s="61">
        <f t="shared" si="1115"/>
        <v>2.6622739999999999E-2</v>
      </c>
      <c r="AQ88" s="61">
        <f t="shared" si="1115"/>
        <v>2.677361E-2</v>
      </c>
      <c r="AR88" s="61">
        <f t="shared" si="1115"/>
        <v>2.6500570000000001E-2</v>
      </c>
      <c r="AS88" s="61">
        <f t="shared" si="1115"/>
        <v>2.594869E-2</v>
      </c>
      <c r="AT88" s="61">
        <f t="shared" si="1115"/>
        <v>2.3511899999999999E-2</v>
      </c>
      <c r="AU88" s="61">
        <f t="shared" si="1115"/>
        <v>2.21687E-2</v>
      </c>
      <c r="AV88" s="61">
        <f>IF(AV87="","",AV9)</f>
        <v>2.113932E-2</v>
      </c>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row>
    <row r="89" spans="1:99" x14ac:dyDescent="0.35">
      <c r="A89" s="297"/>
      <c r="B89" s="52" t="s">
        <v>49</v>
      </c>
      <c r="C89" s="37"/>
      <c r="D89" s="37"/>
      <c r="E89" s="8"/>
      <c r="F89" s="8"/>
      <c r="G89" s="8"/>
      <c r="H89" s="8"/>
      <c r="I89" s="8"/>
      <c r="J89" s="8"/>
      <c r="K89" s="8"/>
      <c r="L89" s="8"/>
      <c r="M89" s="8"/>
      <c r="N89" s="8"/>
      <c r="O89" s="8">
        <f>IF(OR(O88="",O87=""),"",(O87*O88)/12)</f>
        <v>-83.442329999999998</v>
      </c>
      <c r="P89" s="8">
        <f>IF(OR(P88="",P87="",O92=""),"",((O92+P87)*P88)/12)</f>
        <v>-56.843522399674043</v>
      </c>
      <c r="Q89" s="8">
        <f t="shared" ref="Q89" si="1116">IF(OR(Q88="",Q87="",P92=""),"",((P92+Q87)*Q88)/12)</f>
        <v>129.69979105811672</v>
      </c>
      <c r="R89" s="8">
        <f>IF(OR(R88="",R87="",Q92=""),"",((Q92+R87)*R88)/12)</f>
        <v>366.04756002454724</v>
      </c>
      <c r="S89" s="8">
        <f>IF(OR(S88="",S87="",R92=""),"",((R92+S87)*S88)/12)</f>
        <v>615.87002060290411</v>
      </c>
      <c r="T89" s="8">
        <f t="shared" ref="T89:AL89" si="1117">IF(OR(T88="",T87="",S92=""),"",((S92+T87)*T88)/12)</f>
        <v>784.86340717646442</v>
      </c>
      <c r="U89" s="8">
        <f t="shared" si="1117"/>
        <v>536.48485896380782</v>
      </c>
      <c r="V89" s="8">
        <f t="shared" si="1117"/>
        <v>272.4467750165042</v>
      </c>
      <c r="W89" s="8">
        <f t="shared" si="1117"/>
        <v>232.3810492397057</v>
      </c>
      <c r="X89" s="8">
        <f t="shared" si="1117"/>
        <v>320.42813729336018</v>
      </c>
      <c r="Y89" s="8">
        <f t="shared" si="1117"/>
        <v>558.86809083858736</v>
      </c>
      <c r="Z89" s="8">
        <f>IF(OR(Z88="",Z87="",Y92=""),"",((Y92+Z87)*Z88)/12)</f>
        <v>745.15158738024468</v>
      </c>
      <c r="AA89" s="8">
        <f t="shared" si="1117"/>
        <v>136.98194174048376</v>
      </c>
      <c r="AB89" s="8">
        <f t="shared" si="1117"/>
        <v>-151.8404030009703</v>
      </c>
      <c r="AC89" s="8">
        <f t="shared" si="1117"/>
        <v>-174.59072494468225</v>
      </c>
      <c r="AD89" s="8">
        <f t="shared" si="1117"/>
        <v>-131.99397672272605</v>
      </c>
      <c r="AE89" s="8">
        <f t="shared" si="1117"/>
        <v>124.65794932977195</v>
      </c>
      <c r="AF89" s="8">
        <f t="shared" si="1117"/>
        <v>-276.23589991567979</v>
      </c>
      <c r="AG89" s="8">
        <f t="shared" si="1117"/>
        <v>-1009.4682554509072</v>
      </c>
      <c r="AH89" s="8">
        <f t="shared" si="1117"/>
        <v>-1513.366209296918</v>
      </c>
      <c r="AI89" s="8">
        <f t="shared" si="1117"/>
        <v>-1956.6513157516995</v>
      </c>
      <c r="AJ89" s="8">
        <f t="shared" si="1117"/>
        <v>-2054.757728976665</v>
      </c>
      <c r="AK89" s="8">
        <f t="shared" si="1117"/>
        <v>-1892.8616442387747</v>
      </c>
      <c r="AL89" s="8">
        <f t="shared" si="1117"/>
        <v>-2445.3455790213052</v>
      </c>
      <c r="AM89" s="8">
        <f>IF(OR(AM88="",AM87="",AL92=""),"",((AL92+AM87)*AM88)/12)</f>
        <v>-5764.8350030672727</v>
      </c>
      <c r="AN89" s="8">
        <f t="shared" ref="AN89" si="1118">IF(OR(AN88="",AN87="",AM92=""),"",((AM92+AN87)*AN88)/12)</f>
        <v>-5279.6389977080826</v>
      </c>
      <c r="AO89" s="8">
        <f t="shared" ref="AO89" si="1119">IF(OR(AO88="",AO87="",AN92=""),"",((AN92+AO87)*AO88)/12)</f>
        <v>-4662.5358984985905</v>
      </c>
      <c r="AP89" s="8">
        <f t="shared" ref="AP89" si="1120">IF(OR(AP88="",AP87="",AO92=""),"",((AO92+AP87)*AP88)/12)</f>
        <v>-3898.819539094115</v>
      </c>
      <c r="AQ89" s="8">
        <f t="shared" ref="AQ89" si="1121">IF(OR(AQ88="",AQ87="",AP92=""),"",((AP92+AQ87)*AQ88)/12)</f>
        <v>-3357.1484847847314</v>
      </c>
      <c r="AR89" s="8">
        <f t="shared" ref="AR89" si="1122">IF(OR(AR88="",AR87="",AQ92=""),"",((AQ92+AR87)*AR88)/12)</f>
        <v>-2820.8770097525307</v>
      </c>
      <c r="AS89" s="8">
        <f t="shared" ref="AS89" si="1123">IF(OR(AS88="",AS87="",AR92=""),"",((AR92+AS87)*AS88)/12)</f>
        <v>-2304.8804708231155</v>
      </c>
      <c r="AT89" s="8">
        <f t="shared" ref="AT89" si="1124">IF(OR(AT88="",AT87="",AS92=""),"",((AS92+AT87)*AT88)/12)</f>
        <v>-1688.667932842033</v>
      </c>
      <c r="AU89" s="8">
        <f t="shared" ref="AU89" si="1125">IF(OR(AU88="",AU87="",AT92=""),"",((AT92+AU87)*AU88)/12)</f>
        <v>-1207.5844596997761</v>
      </c>
      <c r="AV89" s="8">
        <f>IF(OR(AV88="",AV87="",AU92=""),"",((AU92+AV87)*AV88)/12)</f>
        <v>-749.8287585961034</v>
      </c>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row>
    <row r="90" spans="1:99" x14ac:dyDescent="0.35">
      <c r="A90" s="297"/>
      <c r="B90" s="53" t="s">
        <v>6</v>
      </c>
      <c r="C90" s="37"/>
      <c r="D90" s="37"/>
      <c r="E90" s="8"/>
      <c r="F90" s="8"/>
      <c r="G90" s="8"/>
      <c r="H90" s="8"/>
      <c r="I90" s="8"/>
      <c r="J90" s="8"/>
      <c r="K90" s="8"/>
      <c r="L90" s="8"/>
      <c r="M90" s="8"/>
      <c r="N90" s="8"/>
      <c r="O90" s="8">
        <f>O89</f>
        <v>-83.442329999999998</v>
      </c>
      <c r="P90" s="8">
        <f>IF(OR(O90="",P89=""),"",O90+P89)</f>
        <v>-140.28585239967404</v>
      </c>
      <c r="Q90" s="8">
        <f t="shared" ref="Q90:AL90" si="1126">IF(OR(P90="",Q89=""),"",P90+Q89)</f>
        <v>-10.586061341557325</v>
      </c>
      <c r="R90" s="8">
        <f t="shared" si="1126"/>
        <v>355.46149868298994</v>
      </c>
      <c r="S90" s="8">
        <f t="shared" si="1126"/>
        <v>971.33151928589405</v>
      </c>
      <c r="T90" s="8">
        <f t="shared" si="1126"/>
        <v>1756.1949264623586</v>
      </c>
      <c r="U90" s="8">
        <f t="shared" si="1126"/>
        <v>2292.6797854261663</v>
      </c>
      <c r="V90" s="8">
        <f t="shared" si="1126"/>
        <v>2565.1265604426703</v>
      </c>
      <c r="W90" s="8">
        <f t="shared" si="1126"/>
        <v>2797.5076096823759</v>
      </c>
      <c r="X90" s="8">
        <f t="shared" si="1126"/>
        <v>3117.935746975736</v>
      </c>
      <c r="Y90" s="8">
        <f t="shared" si="1126"/>
        <v>3676.8038378143233</v>
      </c>
      <c r="Z90" s="8">
        <f t="shared" si="1126"/>
        <v>4421.9554251945683</v>
      </c>
      <c r="AA90" s="8">
        <f t="shared" si="1126"/>
        <v>4558.9373669350516</v>
      </c>
      <c r="AB90" s="8">
        <f t="shared" si="1126"/>
        <v>4407.096963934081</v>
      </c>
      <c r="AC90" s="8">
        <f t="shared" si="1126"/>
        <v>4232.5062389893992</v>
      </c>
      <c r="AD90" s="8">
        <f t="shared" si="1126"/>
        <v>4100.5122622666731</v>
      </c>
      <c r="AE90" s="8">
        <f t="shared" si="1126"/>
        <v>4225.1702115964454</v>
      </c>
      <c r="AF90" s="8">
        <f t="shared" si="1126"/>
        <v>3948.9343116807654</v>
      </c>
      <c r="AG90" s="8">
        <f t="shared" si="1126"/>
        <v>2939.4660562298582</v>
      </c>
      <c r="AH90" s="8">
        <f t="shared" si="1126"/>
        <v>1426.0998469329402</v>
      </c>
      <c r="AI90" s="8">
        <f t="shared" si="1126"/>
        <v>-530.5514688187593</v>
      </c>
      <c r="AJ90" s="8">
        <f t="shared" si="1126"/>
        <v>-2585.3091977954246</v>
      </c>
      <c r="AK90" s="8">
        <f t="shared" si="1126"/>
        <v>-4478.1708420341993</v>
      </c>
      <c r="AL90" s="8">
        <f t="shared" si="1126"/>
        <v>-6923.5164210555049</v>
      </c>
      <c r="AM90" s="8">
        <f t="shared" ref="AM90" si="1127">IF(OR(AL90="",AM89=""),"",AL90+AM89)</f>
        <v>-12688.351424122779</v>
      </c>
      <c r="AN90" s="8">
        <f t="shared" ref="AN90" si="1128">IF(OR(AM90="",AN89=""),"",AM90+AN89)</f>
        <v>-17967.990421830862</v>
      </c>
      <c r="AO90" s="8">
        <f t="shared" ref="AO90" si="1129">IF(OR(AN90="",AO89=""),"",AN90+AO89)</f>
        <v>-22630.526320329453</v>
      </c>
      <c r="AP90" s="8">
        <f t="shared" ref="AP90" si="1130">IF(OR(AO90="",AP89=""),"",AO90+AP89)</f>
        <v>-26529.345859423567</v>
      </c>
      <c r="AQ90" s="8">
        <f t="shared" ref="AQ90" si="1131">IF(OR(AP90="",AQ89=""),"",AP90+AQ89)</f>
        <v>-29886.494344208299</v>
      </c>
      <c r="AR90" s="8">
        <f t="shared" ref="AR90" si="1132">IF(OR(AQ90="",AR89=""),"",AQ90+AR89)</f>
        <v>-32707.371353960829</v>
      </c>
      <c r="AS90" s="8">
        <f t="shared" ref="AS90" si="1133">IF(OR(AR90="",AS89=""),"",AR90+AS89)</f>
        <v>-35012.251824783947</v>
      </c>
      <c r="AT90" s="8">
        <f t="shared" ref="AT90" si="1134">IF(OR(AS90="",AT89=""),"",AS90+AT89)</f>
        <v>-36700.919757625983</v>
      </c>
      <c r="AU90" s="8">
        <f t="shared" ref="AU90:AV90" si="1135">IF(OR(AT90="",AU89=""),"",AT90+AU89)</f>
        <v>-37908.504217325761</v>
      </c>
      <c r="AV90" s="8">
        <f t="shared" si="1135"/>
        <v>-38658.332975921861</v>
      </c>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row>
    <row r="91" spans="1:99" x14ac:dyDescent="0.35">
      <c r="A91" s="297"/>
      <c r="B91" s="70" t="s">
        <v>58</v>
      </c>
      <c r="C91" s="37"/>
      <c r="D91" s="37"/>
      <c r="E91" s="8"/>
      <c r="F91" s="8"/>
      <c r="G91" s="8"/>
      <c r="H91" s="8"/>
      <c r="I91" s="8"/>
      <c r="J91" s="8"/>
      <c r="K91" s="8"/>
      <c r="L91" s="8"/>
      <c r="M91" s="8"/>
      <c r="N91" s="8"/>
      <c r="O91" s="8">
        <f>IF(OR(O89="",O87=""),"",O87+O89)</f>
        <v>-111339.88233000001</v>
      </c>
      <c r="P91" s="8">
        <f>IF(OR(P89="",P87=""),"",P87+P89)</f>
        <v>35491.675608034937</v>
      </c>
      <c r="Q91" s="8">
        <f t="shared" ref="Q91:AL91" si="1136">IF(OR(Q89="",Q87=""),"",Q87+Q89)</f>
        <v>211316.81892149281</v>
      </c>
      <c r="R91" s="8">
        <f t="shared" si="1136"/>
        <v>246860.10669045919</v>
      </c>
      <c r="S91" s="8">
        <f t="shared" si="1136"/>
        <v>260934.12915103763</v>
      </c>
      <c r="T91" s="8">
        <f t="shared" si="1136"/>
        <v>25490.872537611063</v>
      </c>
      <c r="U91" s="8">
        <f t="shared" si="1136"/>
        <v>-205680.44601060153</v>
      </c>
      <c r="V91" s="8">
        <f t="shared" si="1136"/>
        <v>-239936.83409454871</v>
      </c>
      <c r="W91" s="8">
        <f t="shared" si="1136"/>
        <v>-30359.779820325621</v>
      </c>
      <c r="X91" s="8">
        <f t="shared" si="1136"/>
        <v>72573.967267727989</v>
      </c>
      <c r="Y91" s="8">
        <f t="shared" si="1136"/>
        <v>200005.63722127333</v>
      </c>
      <c r="Z91" s="8">
        <f t="shared" si="1136"/>
        <v>39567.760717814934</v>
      </c>
      <c r="AA91" s="8">
        <f t="shared" si="1136"/>
        <v>-408961.18892782484</v>
      </c>
      <c r="AB91" s="8">
        <f t="shared" si="1136"/>
        <v>-195814.76127256631</v>
      </c>
      <c r="AC91" s="8">
        <f t="shared" si="1136"/>
        <v>-2325.7715945100276</v>
      </c>
      <c r="AD91" s="8">
        <f t="shared" si="1136"/>
        <v>33512.885153711984</v>
      </c>
      <c r="AE91" s="8">
        <f t="shared" si="1136"/>
        <v>136821.97707976442</v>
      </c>
      <c r="AF91" s="8">
        <f t="shared" si="1136"/>
        <v>-213848.71676948108</v>
      </c>
      <c r="AG91" s="8">
        <f t="shared" si="1136"/>
        <v>-371412.79912501614</v>
      </c>
      <c r="AH91" s="8">
        <f t="shared" si="1136"/>
        <v>-265351.44707886217</v>
      </c>
      <c r="AI91" s="8">
        <f t="shared" si="1136"/>
        <v>-227667.4021853171</v>
      </c>
      <c r="AJ91" s="8">
        <f t="shared" si="1136"/>
        <v>4692.4214014580921</v>
      </c>
      <c r="AK91" s="8">
        <f t="shared" si="1136"/>
        <v>104713.337486196</v>
      </c>
      <c r="AL91" s="8">
        <f t="shared" si="1136"/>
        <v>-167013.99644858664</v>
      </c>
      <c r="AM91" s="8">
        <f t="shared" ref="AM91:AV91" si="1137">IF(OR(AM89="",AM87=""),"",AM87+AM89)</f>
        <v>-1348673.5550030672</v>
      </c>
      <c r="AN91" s="8">
        <f t="shared" si="1137"/>
        <v>180599.06317620506</v>
      </c>
      <c r="AO91" s="8">
        <f t="shared" si="1137"/>
        <v>224179.84627541454</v>
      </c>
      <c r="AP91" s="8">
        <f t="shared" si="1137"/>
        <v>250363.65263481901</v>
      </c>
      <c r="AQ91" s="8">
        <f t="shared" si="1137"/>
        <v>253222.8036891284</v>
      </c>
      <c r="AR91" s="8">
        <f t="shared" si="1137"/>
        <v>227867.95516416061</v>
      </c>
      <c r="AS91" s="8">
        <f t="shared" si="1137"/>
        <v>211972.30170308999</v>
      </c>
      <c r="AT91" s="8">
        <f t="shared" si="1137"/>
        <v>204648.61424107107</v>
      </c>
      <c r="AU91" s="8">
        <f t="shared" si="1137"/>
        <v>208673.19771421334</v>
      </c>
      <c r="AV91" s="8">
        <f t="shared" si="1137"/>
        <v>228478.03341531704</v>
      </c>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row>
    <row r="92" spans="1:99" x14ac:dyDescent="0.35">
      <c r="A92" s="297"/>
      <c r="B92" s="52" t="s">
        <v>48</v>
      </c>
      <c r="C92" s="37"/>
      <c r="D92" s="37"/>
      <c r="E92" s="8"/>
      <c r="F92" s="8"/>
      <c r="G92" s="8"/>
      <c r="H92" s="8"/>
      <c r="I92" s="8"/>
      <c r="J92" s="8"/>
      <c r="K92" s="8"/>
      <c r="L92" s="8"/>
      <c r="M92" s="8"/>
      <c r="N92" s="8"/>
      <c r="O92" s="8">
        <f>N92+O91</f>
        <v>-111339.88233000001</v>
      </c>
      <c r="P92" s="8">
        <f>IF(OR(P91="",O92=""),"",O92+P91)</f>
        <v>-75848.206721965078</v>
      </c>
      <c r="Q92" s="8">
        <f t="shared" ref="Q92:AL92" si="1138">IF(OR(Q91="",P92=""),"",P92+Q91)</f>
        <v>135468.61219952774</v>
      </c>
      <c r="R92" s="8">
        <f t="shared" si="1138"/>
        <v>382328.71888998692</v>
      </c>
      <c r="S92" s="8">
        <f t="shared" si="1138"/>
        <v>643262.84804102452</v>
      </c>
      <c r="T92" s="8">
        <f t="shared" si="1138"/>
        <v>668753.72057863558</v>
      </c>
      <c r="U92" s="8">
        <f t="shared" si="1138"/>
        <v>463073.27456803404</v>
      </c>
      <c r="V92" s="8">
        <f t="shared" si="1138"/>
        <v>223136.44047348533</v>
      </c>
      <c r="W92" s="8">
        <f t="shared" si="1138"/>
        <v>192776.66065315972</v>
      </c>
      <c r="X92" s="8">
        <f t="shared" si="1138"/>
        <v>265350.62792088772</v>
      </c>
      <c r="Y92" s="8">
        <f t="shared" si="1138"/>
        <v>465356.26514216105</v>
      </c>
      <c r="Z92" s="8">
        <f t="shared" si="1138"/>
        <v>504924.02585997595</v>
      </c>
      <c r="AA92" s="8">
        <f t="shared" si="1138"/>
        <v>95962.836932151113</v>
      </c>
      <c r="AB92" s="8">
        <f t="shared" si="1138"/>
        <v>-99851.924340415193</v>
      </c>
      <c r="AC92" s="8">
        <f t="shared" si="1138"/>
        <v>-102177.69593492521</v>
      </c>
      <c r="AD92" s="8">
        <f t="shared" si="1138"/>
        <v>-68664.810781213222</v>
      </c>
      <c r="AE92" s="8">
        <f t="shared" si="1138"/>
        <v>68157.166298551194</v>
      </c>
      <c r="AF92" s="8">
        <f t="shared" si="1138"/>
        <v>-145691.55047092988</v>
      </c>
      <c r="AG92" s="8">
        <f t="shared" si="1138"/>
        <v>-517104.34959594603</v>
      </c>
      <c r="AH92" s="8">
        <f t="shared" si="1138"/>
        <v>-782455.79667480825</v>
      </c>
      <c r="AI92" s="8">
        <f t="shared" si="1138"/>
        <v>-1010123.1988601254</v>
      </c>
      <c r="AJ92" s="8">
        <f t="shared" si="1138"/>
        <v>-1005430.7774586673</v>
      </c>
      <c r="AK92" s="8">
        <f t="shared" si="1138"/>
        <v>-900717.43997247133</v>
      </c>
      <c r="AL92" s="8">
        <f t="shared" si="1138"/>
        <v>-1067731.4364210579</v>
      </c>
      <c r="AM92" s="8">
        <f t="shared" ref="AM92" si="1139">IF(OR(AM91="",AL92=""),"",AL92+AM91)</f>
        <v>-2416404.9914241252</v>
      </c>
      <c r="AN92" s="8">
        <f t="shared" ref="AN92" si="1140">IF(OR(AN91="",AM92=""),"",AM92+AN91)</f>
        <v>-2235805.9282479202</v>
      </c>
      <c r="AO92" s="8">
        <f t="shared" ref="AO92" si="1141">IF(OR(AO91="",AN92=""),"",AN92+AO91)</f>
        <v>-2011626.0819725057</v>
      </c>
      <c r="AP92" s="8">
        <f t="shared" ref="AP92" si="1142">IF(OR(AP91="",AO92=""),"",AO92+AP91)</f>
        <v>-1761262.4293376866</v>
      </c>
      <c r="AQ92" s="8">
        <f t="shared" ref="AQ92" si="1143">IF(OR(AQ91="",AP92=""),"",AP92+AQ91)</f>
        <v>-1508039.6256485581</v>
      </c>
      <c r="AR92" s="8">
        <f t="shared" ref="AR92" si="1144">IF(OR(AR91="",AQ92=""),"",AQ92+AR91)</f>
        <v>-1280171.6704843976</v>
      </c>
      <c r="AS92" s="8">
        <f t="shared" ref="AS92" si="1145">IF(OR(AS91="",AR92=""),"",AR92+AS91)</f>
        <v>-1068199.3687813075</v>
      </c>
      <c r="AT92" s="8">
        <f t="shared" ref="AT92" si="1146">IF(OR(AT91="",AS92=""),"",AS92+AT91)</f>
        <v>-863550.75454023643</v>
      </c>
      <c r="AU92" s="8">
        <f t="shared" ref="AU92:AV92" si="1147">IF(OR(AU91="",AT92=""),"",AT92+AU91)</f>
        <v>-654877.55682602315</v>
      </c>
      <c r="AV92" s="8">
        <f t="shared" si="1147"/>
        <v>-426399.52341070608</v>
      </c>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row>
    <row r="93" spans="1:99" x14ac:dyDescent="0.35">
      <c r="A93" s="297"/>
      <c r="B93" s="54" t="s">
        <v>47</v>
      </c>
      <c r="C93" s="37"/>
      <c r="D93" s="37"/>
      <c r="E93" s="8"/>
      <c r="F93" s="8"/>
      <c r="G93" s="8"/>
      <c r="H93" s="8"/>
      <c r="I93" s="8"/>
      <c r="J93" s="8"/>
      <c r="K93" s="8"/>
      <c r="L93" s="8"/>
      <c r="M93" s="8"/>
      <c r="N93" s="8">
        <v>28246578.739999998</v>
      </c>
      <c r="O93" s="8">
        <f>N93-O86+O89</f>
        <v>28135238.857669998</v>
      </c>
      <c r="P93" s="8">
        <f>IF(P86="","",O93-P86+P89)</f>
        <v>26942618.414147597</v>
      </c>
      <c r="Q93" s="8">
        <f t="shared" ref="Q93:AU93" si="1148">IF(Q86="","",P93-Q86+Q89)</f>
        <v>25925823.113938656</v>
      </c>
      <c r="R93" s="8">
        <f t="shared" si="1148"/>
        <v>24944571.101498682</v>
      </c>
      <c r="S93" s="8">
        <f t="shared" si="1148"/>
        <v>23977393.111519285</v>
      </c>
      <c r="T93" s="8">
        <f t="shared" si="1148"/>
        <v>22774771.864926461</v>
      </c>
      <c r="U93" s="8">
        <f t="shared" si="1148"/>
        <v>21340979.299785424</v>
      </c>
      <c r="V93" s="8">
        <f t="shared" si="1148"/>
        <v>19872930.346560441</v>
      </c>
      <c r="W93" s="8">
        <f t="shared" si="1148"/>
        <v>18614458.447609678</v>
      </c>
      <c r="X93" s="8">
        <f t="shared" si="1148"/>
        <v>17458920.295746975</v>
      </c>
      <c r="Y93" s="8">
        <f t="shared" si="1148"/>
        <v>16430813.813837813</v>
      </c>
      <c r="Z93" s="8">
        <f t="shared" si="1148"/>
        <v>15242269.455425194</v>
      </c>
      <c r="AA93" s="8">
        <f t="shared" si="1148"/>
        <v>13605196.147366934</v>
      </c>
      <c r="AB93" s="8">
        <f t="shared" si="1148"/>
        <v>12181269.266963933</v>
      </c>
      <c r="AC93" s="8">
        <f t="shared" si="1148"/>
        <v>10950831.376238987</v>
      </c>
      <c r="AD93" s="8">
        <f t="shared" si="1148"/>
        <v>9756232.1422622632</v>
      </c>
      <c r="AE93" s="8">
        <f t="shared" si="1148"/>
        <v>8664942.0002115928</v>
      </c>
      <c r="AF93" s="8">
        <f t="shared" si="1148"/>
        <v>7222981.1643116772</v>
      </c>
      <c r="AG93" s="8">
        <f t="shared" si="1148"/>
        <v>5623456.2460562261</v>
      </c>
      <c r="AH93" s="8">
        <f t="shared" si="1148"/>
        <v>4129992.6798469289</v>
      </c>
      <c r="AI93" s="8">
        <f t="shared" si="1148"/>
        <v>2674213.1585311773</v>
      </c>
      <c r="AJ93" s="8">
        <f t="shared" si="1148"/>
        <v>1450793.4608022007</v>
      </c>
      <c r="AK93" s="8">
        <f t="shared" si="1148"/>
        <v>327394.67915796203</v>
      </c>
      <c r="AL93" s="8">
        <f>IF(AL86="","",AK93-AL86+AL89)</f>
        <v>-1067731.4364210593</v>
      </c>
      <c r="AM93" s="8">
        <f>IF(AM86="","",AL93-AM86+AM89+AM84)</f>
        <v>6725029.9285758752</v>
      </c>
      <c r="AN93" s="8">
        <f t="shared" si="1148"/>
        <v>6508175.2995781666</v>
      </c>
      <c r="AO93" s="8">
        <f t="shared" si="1148"/>
        <v>6334901.4536796687</v>
      </c>
      <c r="AP93" s="8">
        <f t="shared" si="1148"/>
        <v>6187811.4141405746</v>
      </c>
      <c r="AQ93" s="8">
        <f t="shared" si="1148"/>
        <v>6043580.5256557893</v>
      </c>
      <c r="AR93" s="8">
        <f t="shared" si="1148"/>
        <v>5873994.7886460368</v>
      </c>
      <c r="AS93" s="8">
        <f t="shared" si="1148"/>
        <v>5688513.3981752135</v>
      </c>
      <c r="AT93" s="8">
        <f t="shared" si="1148"/>
        <v>5495708.3202423714</v>
      </c>
      <c r="AU93" s="8">
        <f t="shared" si="1148"/>
        <v>5306927.8257826716</v>
      </c>
      <c r="AV93" s="8">
        <f>IF(AV86="","",AU93-AV86+AV89)</f>
        <v>5137952.1670240751</v>
      </c>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row>
    <row r="94" spans="1:99" s="4" customFormat="1" ht="8.25" customHeight="1" x14ac:dyDescent="0.35">
      <c r="A94" s="40"/>
      <c r="B94" s="11"/>
      <c r="C94" s="11"/>
      <c r="D94" s="11"/>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row>
    <row r="95" spans="1:99" s="4" customFormat="1" x14ac:dyDescent="0.35">
      <c r="A95" s="297" t="s">
        <v>78</v>
      </c>
      <c r="B95" s="52"/>
      <c r="C95" s="92"/>
      <c r="D95" s="92"/>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68">
        <v>5616785</v>
      </c>
      <c r="AM95" s="68">
        <f>6127402+5086355</f>
        <v>11213757</v>
      </c>
      <c r="AN95" s="7"/>
      <c r="AO95" s="7"/>
      <c r="AP95" s="67"/>
      <c r="AQ95" s="67"/>
      <c r="AR95" s="67"/>
      <c r="AS95" s="67"/>
      <c r="AT95" s="67"/>
      <c r="AU95" s="68">
        <v>17719482</v>
      </c>
      <c r="AV95" s="67"/>
      <c r="AW95" s="68">
        <f>+AV93</f>
        <v>5137952.1670240751</v>
      </c>
      <c r="AX95" s="67"/>
      <c r="AY95" s="67"/>
      <c r="AZ95" s="7"/>
      <c r="BA95" s="67"/>
      <c r="BB95" s="67"/>
      <c r="BC95" s="67"/>
      <c r="BD95" s="67"/>
      <c r="BE95" s="67"/>
      <c r="BF95" s="68">
        <v>-695012</v>
      </c>
      <c r="BG95" s="67"/>
      <c r="BH95" s="67"/>
      <c r="BI95" s="67"/>
      <c r="BJ95" s="67"/>
      <c r="BK95" s="67"/>
      <c r="BL95" s="67"/>
      <c r="BM95" s="67"/>
      <c r="BN95" s="67"/>
      <c r="BO95" s="67"/>
      <c r="BP95" s="67"/>
      <c r="BQ95" s="67"/>
      <c r="BR95" s="68">
        <v>-19829.638093632686</v>
      </c>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row>
    <row r="96" spans="1:99" ht="15" customHeight="1" x14ac:dyDescent="0.35">
      <c r="A96" s="297"/>
      <c r="B96" s="52" t="s">
        <v>72</v>
      </c>
      <c r="C96" s="37"/>
      <c r="D96" s="37"/>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v>0</v>
      </c>
      <c r="AE96" s="60">
        <v>0</v>
      </c>
      <c r="AF96" s="60">
        <v>0</v>
      </c>
      <c r="AG96" s="60">
        <v>0</v>
      </c>
      <c r="AH96" s="60">
        <v>0</v>
      </c>
      <c r="AI96" s="60">
        <v>0</v>
      </c>
      <c r="AJ96" s="60">
        <v>0</v>
      </c>
      <c r="AK96" s="60">
        <v>0</v>
      </c>
      <c r="AL96" s="60">
        <v>0</v>
      </c>
      <c r="AM96" s="60">
        <v>0</v>
      </c>
      <c r="AN96" s="60">
        <v>0</v>
      </c>
      <c r="AO96" s="60">
        <v>0</v>
      </c>
      <c r="AP96" s="60">
        <v>0</v>
      </c>
      <c r="AQ96" s="60">
        <v>0</v>
      </c>
      <c r="AR96" s="60">
        <v>0</v>
      </c>
      <c r="AS96" s="60">
        <v>0</v>
      </c>
      <c r="AT96" s="60">
        <v>0</v>
      </c>
      <c r="AU96" s="60">
        <v>0</v>
      </c>
      <c r="AV96" s="60">
        <v>0</v>
      </c>
      <c r="AW96" s="60">
        <f>+$AM$84/23</f>
        <v>397453.69217391312</v>
      </c>
      <c r="AX96" s="60">
        <f t="shared" ref="AX96" si="1149">+$AM$84/23</f>
        <v>397453.69217391312</v>
      </c>
      <c r="AY96" s="60">
        <f>+$AM$84/23</f>
        <v>397453.69217391312</v>
      </c>
      <c r="AZ96" s="118">
        <f>43584506/23</f>
        <v>1894978.5217391304</v>
      </c>
      <c r="BA96" s="60">
        <f t="shared" ref="BA96:BK96" si="1150">43584506/23</f>
        <v>1894978.5217391304</v>
      </c>
      <c r="BB96" s="60">
        <f t="shared" si="1150"/>
        <v>1894978.5217391304</v>
      </c>
      <c r="BC96" s="60">
        <f t="shared" si="1150"/>
        <v>1894978.5217391304</v>
      </c>
      <c r="BD96" s="60">
        <f t="shared" si="1150"/>
        <v>1894978.5217391304</v>
      </c>
      <c r="BE96" s="60">
        <f t="shared" si="1150"/>
        <v>1894978.5217391304</v>
      </c>
      <c r="BF96" s="60">
        <f t="shared" si="1150"/>
        <v>1894978.5217391304</v>
      </c>
      <c r="BG96" s="60">
        <f t="shared" si="1150"/>
        <v>1894978.5217391304</v>
      </c>
      <c r="BH96" s="60">
        <f t="shared" si="1150"/>
        <v>1894978.5217391304</v>
      </c>
      <c r="BI96" s="60">
        <f t="shared" si="1150"/>
        <v>1894978.5217391304</v>
      </c>
      <c r="BJ96" s="60">
        <f t="shared" si="1150"/>
        <v>1894978.5217391304</v>
      </c>
      <c r="BK96" s="60">
        <f t="shared" si="1150"/>
        <v>1894978.5217391304</v>
      </c>
      <c r="BL96" s="118">
        <f t="shared" ref="BL96:BV96" si="1151">(43584506/23)+(-695012/12)</f>
        <v>1837060.8550724636</v>
      </c>
      <c r="BM96" s="60">
        <f t="shared" si="1151"/>
        <v>1837060.8550724636</v>
      </c>
      <c r="BN96" s="60">
        <f t="shared" si="1151"/>
        <v>1837060.8550724636</v>
      </c>
      <c r="BO96" s="60">
        <f t="shared" si="1151"/>
        <v>1837060.8550724636</v>
      </c>
      <c r="BP96" s="60">
        <f t="shared" si="1151"/>
        <v>1837060.8550724636</v>
      </c>
      <c r="BQ96" s="60">
        <f t="shared" si="1151"/>
        <v>1837060.8550724636</v>
      </c>
      <c r="BR96" s="60">
        <f t="shared" si="1151"/>
        <v>1837060.8550724636</v>
      </c>
      <c r="BS96" s="60">
        <f t="shared" si="1151"/>
        <v>1837060.8550724636</v>
      </c>
      <c r="BT96" s="60">
        <f t="shared" si="1151"/>
        <v>1837060.8550724636</v>
      </c>
      <c r="BU96" s="60">
        <f t="shared" si="1151"/>
        <v>1837060.8550724636</v>
      </c>
      <c r="BV96" s="60">
        <f t="shared" si="1151"/>
        <v>1837060.8550724636</v>
      </c>
      <c r="BW96" s="60">
        <f>(-695012/12)</f>
        <v>-57917.666666666664</v>
      </c>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row>
    <row r="97" spans="1:99" x14ac:dyDescent="0.35">
      <c r="A97" s="297"/>
      <c r="B97" s="52" t="s">
        <v>73</v>
      </c>
      <c r="C97" s="37"/>
      <c r="D97" s="37"/>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150382.70000000001</v>
      </c>
      <c r="AX97" s="22">
        <v>168628.67</v>
      </c>
      <c r="AY97" s="22">
        <v>178410.97</v>
      </c>
      <c r="AZ97" s="22">
        <v>974302.29</v>
      </c>
      <c r="BA97" s="22">
        <v>1842413.4500000002</v>
      </c>
      <c r="BB97" s="22">
        <v>1551951</v>
      </c>
      <c r="BC97" s="22">
        <v>1425563.68</v>
      </c>
      <c r="BD97" s="22">
        <v>1745884.99</v>
      </c>
      <c r="BE97" s="22">
        <v>2194313.89</v>
      </c>
      <c r="BF97" s="22">
        <v>2131578.6800000002</v>
      </c>
      <c r="BG97" s="22">
        <v>2017374.93</v>
      </c>
      <c r="BH97" s="22">
        <v>1555195.29</v>
      </c>
      <c r="BI97" s="22">
        <v>1583158.96</v>
      </c>
      <c r="BJ97" s="22">
        <v>1876199.76</v>
      </c>
      <c r="BK97" s="22">
        <v>2208883.19</v>
      </c>
      <c r="BL97" s="22">
        <v>2225379.46</v>
      </c>
      <c r="BM97" s="22">
        <v>1811132.25</v>
      </c>
      <c r="BN97" s="22">
        <v>1487332.63</v>
      </c>
      <c r="BO97" s="22">
        <v>1466226.4</v>
      </c>
      <c r="BP97" s="22">
        <v>1702068.99</v>
      </c>
      <c r="BQ97" s="22">
        <v>2140875.2000000002</v>
      </c>
      <c r="BR97" s="22">
        <v>2124604.4300000002</v>
      </c>
      <c r="BS97" s="22">
        <v>2135977.81</v>
      </c>
      <c r="BT97" s="22">
        <v>1701158.29</v>
      </c>
      <c r="BU97" s="22">
        <v>1511011.77</v>
      </c>
      <c r="BV97" s="22">
        <v>1819161.98</v>
      </c>
      <c r="BW97" s="22">
        <v>2089766.47</v>
      </c>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row>
    <row r="98" spans="1:99" x14ac:dyDescent="0.35">
      <c r="A98" s="297"/>
      <c r="B98" s="52" t="s">
        <v>74</v>
      </c>
      <c r="C98" s="37"/>
      <c r="D98" s="37"/>
      <c r="E98" s="8"/>
      <c r="F98" s="8"/>
      <c r="G98" s="8"/>
      <c r="H98" s="8"/>
      <c r="I98" s="8"/>
      <c r="J98" s="8"/>
      <c r="K98" s="8"/>
      <c r="L98" s="8"/>
      <c r="M98" s="8"/>
      <c r="N98" s="8"/>
      <c r="O98" s="8" t="str">
        <f>IF(OR(O96="",O97=""),"",O96-O97)</f>
        <v/>
      </c>
      <c r="P98" s="8" t="str">
        <f>IF(OR(P96="",P97=""),"",P96-P97)</f>
        <v/>
      </c>
      <c r="Q98" s="8" t="str">
        <f>IF(OR(Q96="",Q97=""),"",Q96-Q97)</f>
        <v/>
      </c>
      <c r="R98" s="8" t="str">
        <f t="shared" ref="R98:AC98" si="1152">IF(OR(R96="",R97=""),"",R96-R97)</f>
        <v/>
      </c>
      <c r="S98" s="8" t="str">
        <f t="shared" si="1152"/>
        <v/>
      </c>
      <c r="T98" s="8" t="str">
        <f t="shared" si="1152"/>
        <v/>
      </c>
      <c r="U98" s="8" t="str">
        <f t="shared" si="1152"/>
        <v/>
      </c>
      <c r="V98" s="8" t="str">
        <f t="shared" si="1152"/>
        <v/>
      </c>
      <c r="W98" s="8" t="str">
        <f t="shared" si="1152"/>
        <v/>
      </c>
      <c r="X98" s="8" t="str">
        <f t="shared" si="1152"/>
        <v/>
      </c>
      <c r="Y98" s="8" t="str">
        <f t="shared" si="1152"/>
        <v/>
      </c>
      <c r="Z98" s="8" t="str">
        <f t="shared" si="1152"/>
        <v/>
      </c>
      <c r="AA98" s="8" t="str">
        <f t="shared" si="1152"/>
        <v/>
      </c>
      <c r="AB98" s="8" t="str">
        <f t="shared" si="1152"/>
        <v/>
      </c>
      <c r="AC98" s="8" t="str">
        <f t="shared" si="1152"/>
        <v/>
      </c>
      <c r="AD98" s="8"/>
      <c r="AE98" s="8"/>
      <c r="AF98" s="8"/>
      <c r="AG98" s="8"/>
      <c r="AH98" s="8"/>
      <c r="AI98" s="8"/>
      <c r="AJ98" s="8"/>
      <c r="AK98" s="8"/>
      <c r="AL98" s="8"/>
      <c r="AM98" s="8"/>
      <c r="AN98" s="8"/>
      <c r="AO98" s="8"/>
      <c r="AP98" s="8"/>
      <c r="AQ98" s="8"/>
      <c r="AR98" s="8"/>
      <c r="AS98" s="8"/>
      <c r="AT98" s="8"/>
      <c r="AU98" s="8"/>
      <c r="AV98" s="8"/>
      <c r="AW98" s="7">
        <f>IF(OR(AW96="",AW97=""),"",AW96-AW97)</f>
        <v>247070.99217391311</v>
      </c>
      <c r="AX98" s="8">
        <f t="shared" ref="AX98:BJ98" si="1153">IF(OR(AX96="",AX97=""),"",AX96-AX97)</f>
        <v>228825.02217391311</v>
      </c>
      <c r="AY98" s="8">
        <f t="shared" si="1153"/>
        <v>219042.72217391312</v>
      </c>
      <c r="AZ98" s="8">
        <f t="shared" si="1153"/>
        <v>920676.23173913034</v>
      </c>
      <c r="BA98" s="8">
        <f t="shared" si="1153"/>
        <v>52565.071739130188</v>
      </c>
      <c r="BB98" s="8">
        <f t="shared" si="1153"/>
        <v>343027.52173913037</v>
      </c>
      <c r="BC98" s="8">
        <f t="shared" si="1153"/>
        <v>469414.84173913044</v>
      </c>
      <c r="BD98" s="8">
        <f t="shared" si="1153"/>
        <v>149093.53173913038</v>
      </c>
      <c r="BE98" s="8">
        <f t="shared" si="1153"/>
        <v>-299335.36826086976</v>
      </c>
      <c r="BF98" s="8">
        <f>IF(OR(BF96="",BF97=""),"",BF96-BF97)</f>
        <v>-236600.15826086979</v>
      </c>
      <c r="BG98" s="8">
        <f>IF(OR(BG96="",BG97=""),"",BG96-BG97)</f>
        <v>-122396.40826086956</v>
      </c>
      <c r="BH98" s="8">
        <f t="shared" si="1153"/>
        <v>339783.23173913034</v>
      </c>
      <c r="BI98" s="8">
        <f t="shared" si="1153"/>
        <v>311819.56173913041</v>
      </c>
      <c r="BJ98" s="8">
        <f t="shared" si="1153"/>
        <v>18778.761739130365</v>
      </c>
      <c r="BK98" s="8">
        <f t="shared" ref="BK98:BL98" si="1154">IF(OR(BK96="",BK97=""),"",BK96-BK97)</f>
        <v>-313904.66826086957</v>
      </c>
      <c r="BL98" s="8">
        <f t="shared" si="1154"/>
        <v>-388318.60492753633</v>
      </c>
      <c r="BM98" s="8">
        <f t="shared" ref="BM98:BN98" si="1155">IF(OR(BM96="",BM97=""),"",BM96-BM97)</f>
        <v>25928.60507246363</v>
      </c>
      <c r="BN98" s="8">
        <f t="shared" si="1155"/>
        <v>349728.22507246374</v>
      </c>
      <c r="BO98" s="8">
        <f t="shared" ref="BO98:BW98" si="1156">IF(OR(BO96="",BO97=""),"",BO96-BO97)</f>
        <v>370834.45507246372</v>
      </c>
      <c r="BP98" s="8">
        <f t="shared" si="1156"/>
        <v>134991.86507246364</v>
      </c>
      <c r="BQ98" s="8">
        <f>IF(OR(BQ96="",BQ97=""),"",BQ96-BQ97)</f>
        <v>-303814.34492753656</v>
      </c>
      <c r="BR98" s="8">
        <f>IF(OR(BR96="",BR97=""),"",BR96-BR97)</f>
        <v>-287543.57492753654</v>
      </c>
      <c r="BS98" s="8">
        <f>IF(OR(BS96="",BS97=""),"",BS96-BS97)</f>
        <v>-298916.95492753643</v>
      </c>
      <c r="BT98" s="8">
        <f t="shared" si="1156"/>
        <v>135902.56507246359</v>
      </c>
      <c r="BU98" s="8">
        <f t="shared" si="1156"/>
        <v>326049.08507246361</v>
      </c>
      <c r="BV98" s="8">
        <f t="shared" si="1156"/>
        <v>17898.875072463648</v>
      </c>
      <c r="BW98" s="8">
        <f t="shared" si="1156"/>
        <v>-2147684.1366666667</v>
      </c>
      <c r="BX98" s="12" t="str">
        <f t="shared" ref="BX98:BY98" si="1157">IF(OR(BX96="",BX97=""),"",BX96-BX97)</f>
        <v/>
      </c>
      <c r="BY98" s="12" t="str">
        <f t="shared" si="1157"/>
        <v/>
      </c>
      <c r="BZ98" s="12" t="str">
        <f t="shared" ref="BZ98:CA98" si="1158">IF(OR(BZ96="",BZ97=""),"",BZ96-BZ97)</f>
        <v/>
      </c>
      <c r="CA98" s="12" t="str">
        <f t="shared" si="1158"/>
        <v/>
      </c>
      <c r="CB98" s="12" t="str">
        <f t="shared" ref="CB98:CC98" si="1159">IF(OR(CB96="",CB97=""),"",CB96-CB97)</f>
        <v/>
      </c>
      <c r="CC98" s="12" t="str">
        <f t="shared" si="1159"/>
        <v/>
      </c>
      <c r="CD98" s="12" t="str">
        <f t="shared" ref="CD98:CE98" si="1160">IF(OR(CD96="",CD97=""),"",CD96-CD97)</f>
        <v/>
      </c>
      <c r="CE98" s="12" t="str">
        <f t="shared" si="1160"/>
        <v/>
      </c>
      <c r="CF98" s="12" t="str">
        <f t="shared" ref="CF98:CG98" si="1161">IF(OR(CF96="",CF97=""),"",CF96-CF97)</f>
        <v/>
      </c>
      <c r="CG98" s="12" t="str">
        <f t="shared" si="1161"/>
        <v/>
      </c>
      <c r="CH98" s="12" t="str">
        <f t="shared" ref="CH98:CI98" si="1162">IF(OR(CH96="",CH97=""),"",CH96-CH97)</f>
        <v/>
      </c>
      <c r="CI98" s="12" t="str">
        <f t="shared" si="1162"/>
        <v/>
      </c>
      <c r="CJ98" s="12" t="str">
        <f t="shared" ref="CJ98:CK98" si="1163">IF(OR(CJ96="",CJ97=""),"",CJ96-CJ97)</f>
        <v/>
      </c>
      <c r="CK98" s="12" t="str">
        <f t="shared" si="1163"/>
        <v/>
      </c>
      <c r="CL98" s="12" t="str">
        <f t="shared" ref="CL98:CM98" si="1164">IF(OR(CL96="",CL97=""),"",CL96-CL97)</f>
        <v/>
      </c>
      <c r="CM98" s="12" t="str">
        <f t="shared" si="1164"/>
        <v/>
      </c>
      <c r="CN98" s="12" t="str">
        <f t="shared" ref="CN98:CO98" si="1165">IF(OR(CN96="",CN97=""),"",CN96-CN97)</f>
        <v/>
      </c>
      <c r="CO98" s="12" t="str">
        <f t="shared" si="1165"/>
        <v/>
      </c>
      <c r="CP98" s="12" t="str">
        <f t="shared" ref="CP98:CQ98" si="1166">IF(OR(CP96="",CP97=""),"",CP96-CP97)</f>
        <v/>
      </c>
      <c r="CQ98" s="12" t="str">
        <f t="shared" si="1166"/>
        <v/>
      </c>
      <c r="CR98" s="12" t="str">
        <f t="shared" ref="CR98:CU98" si="1167">IF(OR(CR96="",CR97=""),"",CR96-CR97)</f>
        <v/>
      </c>
      <c r="CS98" s="12" t="str">
        <f t="shared" si="1167"/>
        <v/>
      </c>
      <c r="CT98" s="12" t="str">
        <f t="shared" si="1167"/>
        <v/>
      </c>
      <c r="CU98" s="12" t="str">
        <f t="shared" si="1167"/>
        <v/>
      </c>
    </row>
    <row r="99" spans="1:99" x14ac:dyDescent="0.35">
      <c r="A99" s="297"/>
      <c r="B99" s="52" t="s">
        <v>4</v>
      </c>
      <c r="C99" s="37"/>
      <c r="D99" s="37"/>
      <c r="E99" s="61"/>
      <c r="F99" s="61"/>
      <c r="G99" s="61"/>
      <c r="H99" s="61"/>
      <c r="I99" s="61"/>
      <c r="J99" s="61"/>
      <c r="K99" s="61"/>
      <c r="L99" s="61"/>
      <c r="M99" s="61"/>
      <c r="N99" s="61"/>
      <c r="O99" s="61"/>
      <c r="P99" s="61" t="str">
        <f t="shared" ref="P99:AC99" si="1168">IF(P98="","",P19)</f>
        <v/>
      </c>
      <c r="Q99" s="61" t="str">
        <f t="shared" si="1168"/>
        <v/>
      </c>
      <c r="R99" s="61" t="str">
        <f t="shared" si="1168"/>
        <v/>
      </c>
      <c r="S99" s="61" t="str">
        <f t="shared" si="1168"/>
        <v/>
      </c>
      <c r="T99" s="61" t="str">
        <f t="shared" si="1168"/>
        <v/>
      </c>
      <c r="U99" s="61" t="str">
        <f t="shared" si="1168"/>
        <v/>
      </c>
      <c r="V99" s="61" t="str">
        <f t="shared" si="1168"/>
        <v/>
      </c>
      <c r="W99" s="61" t="str">
        <f t="shared" si="1168"/>
        <v/>
      </c>
      <c r="X99" s="61" t="str">
        <f t="shared" si="1168"/>
        <v/>
      </c>
      <c r="Y99" s="61" t="str">
        <f t="shared" si="1168"/>
        <v/>
      </c>
      <c r="Z99" s="61" t="str">
        <f t="shared" si="1168"/>
        <v/>
      </c>
      <c r="AA99" s="61" t="str">
        <f t="shared" si="1168"/>
        <v/>
      </c>
      <c r="AB99" s="61" t="str">
        <f t="shared" si="1168"/>
        <v/>
      </c>
      <c r="AC99" s="61" t="str">
        <f t="shared" si="1168"/>
        <v/>
      </c>
      <c r="AD99" s="61"/>
      <c r="AE99" s="61"/>
      <c r="AF99" s="61"/>
      <c r="AG99" s="61"/>
      <c r="AH99" s="61"/>
      <c r="AI99" s="61"/>
      <c r="AJ99" s="61"/>
      <c r="AK99" s="61"/>
      <c r="AL99" s="61"/>
      <c r="AM99" s="61"/>
      <c r="AN99" s="61"/>
      <c r="AO99" s="61"/>
      <c r="AP99" s="61"/>
      <c r="AQ99" s="61"/>
      <c r="AR99" s="61"/>
      <c r="AS99" s="61"/>
      <c r="AT99" s="61"/>
      <c r="AU99" s="61"/>
      <c r="AV99" s="61"/>
      <c r="AW99" s="61">
        <f>IF(AW98="","",AW9)</f>
        <v>1.8159890000000001E-2</v>
      </c>
      <c r="AX99" s="61">
        <f>IF(AX98="","",AX9)</f>
        <v>1.9151990000000001E-2</v>
      </c>
      <c r="AY99" s="61">
        <f t="shared" ref="AY99:BJ99" si="1169">IF(AY98="","",AY9)</f>
        <v>1.8890779999999999E-2</v>
      </c>
      <c r="AZ99" s="61">
        <f t="shared" si="1169"/>
        <v>1.8035829999999999E-2</v>
      </c>
      <c r="BA99" s="61">
        <f t="shared" si="1169"/>
        <v>1.888592E-2</v>
      </c>
      <c r="BB99" s="61">
        <f t="shared" si="1169"/>
        <v>9.3845999999999999E-3</v>
      </c>
      <c r="BC99" s="61">
        <f t="shared" si="1169"/>
        <v>1.2906700000000001E-3</v>
      </c>
      <c r="BD99" s="61">
        <f t="shared" si="1169"/>
        <v>1.2563100000000001E-3</v>
      </c>
      <c r="BE99" s="61">
        <f t="shared" si="1169"/>
        <v>1.9366299999999999E-3</v>
      </c>
      <c r="BF99" s="61">
        <f>IF(BF98="","",BF9)</f>
        <v>1.3658500000000001E-3</v>
      </c>
      <c r="BG99" s="61">
        <f t="shared" si="1169"/>
        <v>1.23916E-3</v>
      </c>
      <c r="BH99" s="61">
        <f t="shared" si="1169"/>
        <v>2E-3</v>
      </c>
      <c r="BI99" s="61">
        <f t="shared" si="1169"/>
        <v>2.5244400000000002E-3</v>
      </c>
      <c r="BJ99" s="61">
        <f t="shared" si="1169"/>
        <v>2.8469900000000002E-3</v>
      </c>
      <c r="BK99" s="61">
        <f t="shared" ref="BK99:BL99" si="1170">IF(BK98="","",BK9)</f>
        <v>2.0613900000000002E-3</v>
      </c>
      <c r="BL99" s="61">
        <f t="shared" si="1170"/>
        <v>2.3221700000000001E-3</v>
      </c>
      <c r="BM99" s="61">
        <f t="shared" ref="BM99:BN99" si="1171">IF(BM98="","",BM9)</f>
        <v>2.1367399999999998E-3</v>
      </c>
      <c r="BN99" s="61">
        <f t="shared" si="1171"/>
        <v>2.2512299999999999E-3</v>
      </c>
      <c r="BO99" s="61">
        <f t="shared" ref="BO99:BP99" si="1172">IF(BO98="","",BO9)</f>
        <v>2.2427200000000001E-3</v>
      </c>
      <c r="BP99" s="61">
        <f t="shared" si="1172"/>
        <v>2.01659E-3</v>
      </c>
      <c r="BQ99" s="61">
        <f>IF(BQ98="","",BQ9)</f>
        <v>1.3954900000000001E-3</v>
      </c>
      <c r="BR99" s="61">
        <f>IF(BR98="","",BR9)</f>
        <v>2.0509899999999999E-3</v>
      </c>
      <c r="BS99" s="61">
        <f>IF(BS98="","",BS9)</f>
        <v>1.9323299999999999E-3</v>
      </c>
      <c r="BT99" s="61">
        <f t="shared" ref="BT99" si="1173">IF(BT98="","",BT9)</f>
        <v>1.5E-3</v>
      </c>
      <c r="BU99" s="61">
        <f t="shared" ref="BU99:BV99" si="1174">IF(BU98="","",BU9)</f>
        <v>1.5320900000000001E-3</v>
      </c>
      <c r="BV99" s="61">
        <f t="shared" si="1174"/>
        <v>2.6046400000000001E-3</v>
      </c>
      <c r="BW99" s="61">
        <f t="shared" ref="BW99:BX99" si="1175">IF(BW98="","",BW9)</f>
        <v>2.3444999999999998E-3</v>
      </c>
      <c r="BX99" s="212" t="str">
        <f t="shared" si="1175"/>
        <v/>
      </c>
      <c r="BY99" s="212" t="str">
        <f t="shared" ref="BY99:BZ99" si="1176">IF(BY98="","",BY9)</f>
        <v/>
      </c>
      <c r="BZ99" s="212" t="str">
        <f t="shared" si="1176"/>
        <v/>
      </c>
      <c r="CA99" s="212" t="str">
        <f t="shared" ref="CA99:CB99" si="1177">IF(CA98="","",CA9)</f>
        <v/>
      </c>
      <c r="CB99" s="212" t="str">
        <f t="shared" si="1177"/>
        <v/>
      </c>
      <c r="CC99" s="212" t="str">
        <f t="shared" ref="CC99:CD99" si="1178">IF(CC98="","",CC9)</f>
        <v/>
      </c>
      <c r="CD99" s="212" t="str">
        <f t="shared" si="1178"/>
        <v/>
      </c>
      <c r="CE99" s="212" t="str">
        <f t="shared" ref="CE99:CF99" si="1179">IF(CE98="","",CE9)</f>
        <v/>
      </c>
      <c r="CF99" s="212" t="str">
        <f t="shared" si="1179"/>
        <v/>
      </c>
      <c r="CG99" s="212" t="str">
        <f t="shared" ref="CG99:CH99" si="1180">IF(CG98="","",CG9)</f>
        <v/>
      </c>
      <c r="CH99" s="212" t="str">
        <f t="shared" si="1180"/>
        <v/>
      </c>
      <c r="CI99" s="212" t="str">
        <f t="shared" ref="CI99:CJ99" si="1181">IF(CI98="","",CI9)</f>
        <v/>
      </c>
      <c r="CJ99" s="212" t="str">
        <f t="shared" si="1181"/>
        <v/>
      </c>
      <c r="CK99" s="212" t="str">
        <f t="shared" ref="CK99:CL99" si="1182">IF(CK98="","",CK9)</f>
        <v/>
      </c>
      <c r="CL99" s="212" t="str">
        <f t="shared" si="1182"/>
        <v/>
      </c>
      <c r="CM99" s="212" t="str">
        <f t="shared" ref="CM99:CN99" si="1183">IF(CM98="","",CM9)</f>
        <v/>
      </c>
      <c r="CN99" s="212" t="str">
        <f t="shared" si="1183"/>
        <v/>
      </c>
      <c r="CO99" s="212" t="str">
        <f t="shared" ref="CO99:CP99" si="1184">IF(CO98="","",CO9)</f>
        <v/>
      </c>
      <c r="CP99" s="212" t="str">
        <f t="shared" si="1184"/>
        <v/>
      </c>
      <c r="CQ99" s="212" t="str">
        <f t="shared" ref="CQ99:CR99" si="1185">IF(CQ98="","",CQ9)</f>
        <v/>
      </c>
      <c r="CR99" s="212" t="str">
        <f t="shared" si="1185"/>
        <v/>
      </c>
      <c r="CS99" s="212" t="str">
        <f t="shared" ref="CS99:CU99" si="1186">IF(CS98="","",CS9)</f>
        <v/>
      </c>
      <c r="CT99" s="212" t="str">
        <f t="shared" si="1186"/>
        <v/>
      </c>
      <c r="CU99" s="212" t="str">
        <f t="shared" si="1186"/>
        <v/>
      </c>
    </row>
    <row r="100" spans="1:99" x14ac:dyDescent="0.35">
      <c r="A100" s="297"/>
      <c r="B100" s="52" t="s">
        <v>49</v>
      </c>
      <c r="C100" s="37"/>
      <c r="D100" s="37"/>
      <c r="E100" s="8"/>
      <c r="F100" s="8"/>
      <c r="G100" s="8"/>
      <c r="H100" s="8"/>
      <c r="I100" s="8"/>
      <c r="J100" s="8"/>
      <c r="K100" s="8"/>
      <c r="L100" s="8"/>
      <c r="M100" s="8"/>
      <c r="N100" s="8"/>
      <c r="O100" s="8" t="str">
        <f>IF(OR(O99="",O98=""),"",(O98*O99)/12)</f>
        <v/>
      </c>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7">
        <f>IF(OR(AW99="",AW98="",AV92=""),"",((AV92+AW98)*AW99)/12)</f>
        <v>-271.38220009347702</v>
      </c>
      <c r="AX100" s="8">
        <f>IF(OR(AX99="",AX98="",AW103=""),"",((AW103+AX98)*AX99)/12)</f>
        <v>78.563232523370615</v>
      </c>
      <c r="AY100" s="8">
        <f>IF(OR(AY99="",AY98="",AX103=""),"",((AX103+AY98)*AY99)/12)</f>
        <v>422.43939129645418</v>
      </c>
      <c r="AZ100" s="8">
        <f t="shared" ref="AZ100:CR100" si="1187">IF(OR(AZ99="",AZ98="",AY103=""),"",((AY103+AZ98)*AZ99)/12)</f>
        <v>1787.7190826348981</v>
      </c>
      <c r="BA100" s="8">
        <f t="shared" si="1187"/>
        <v>1957.5222338661708</v>
      </c>
      <c r="BB100" s="8">
        <f t="shared" si="1187"/>
        <v>1242.5076669986888</v>
      </c>
      <c r="BC100" s="8">
        <f t="shared" si="1187"/>
        <v>221.50481223246791</v>
      </c>
      <c r="BD100" s="8">
        <f t="shared" si="1187"/>
        <v>231.24011278229204</v>
      </c>
      <c r="BE100" s="8">
        <f t="shared" si="1187"/>
        <v>308.19064349011495</v>
      </c>
      <c r="BF100" s="8">
        <f>IF(OR(BF99="",BF98="",BE103=""),"",((BE103+BF98)*BF99)/12)</f>
        <v>190.46313750146206</v>
      </c>
      <c r="BG100" s="8">
        <f>IF(OR(BG99="",BG98="",BF103=""),"",((BF103+BG98)*BG99)/12)</f>
        <v>160.17725460369556</v>
      </c>
      <c r="BH100" s="8">
        <f t="shared" si="1187"/>
        <v>315.18277568850709</v>
      </c>
      <c r="BI100" s="8">
        <f t="shared" si="1187"/>
        <v>463.49378933312983</v>
      </c>
      <c r="BJ100" s="8">
        <f t="shared" si="1187"/>
        <v>527.2800223914802</v>
      </c>
      <c r="BK100" s="8">
        <f t="shared" si="1187"/>
        <v>327.94932930312461</v>
      </c>
      <c r="BL100" s="8">
        <f t="shared" si="1187"/>
        <v>294.35548459647464</v>
      </c>
      <c r="BM100" s="8">
        <f t="shared" si="1187"/>
        <v>275.51990421445703</v>
      </c>
      <c r="BN100" s="8">
        <f t="shared" si="1187"/>
        <v>355.94428578825523</v>
      </c>
      <c r="BO100" s="8">
        <f t="shared" si="1187"/>
        <v>423.97177199164474</v>
      </c>
      <c r="BP100" s="8">
        <f>IF(OR(BP99="",BP98="",BO103=""),"",((BO103+BP98)*BP99)/12)</f>
        <v>403.97987039391887</v>
      </c>
      <c r="BQ100" s="8">
        <f>IF(OR(BQ99="",BQ98="",BP103=""),"",((BP103+BQ98)*BQ99)/12)</f>
        <v>244.27217330835308</v>
      </c>
      <c r="BR100" s="8">
        <f>IF(OR(BR99="",BR98="",BQ103=""),"",((BQ103+BR98)*BR99)/12)</f>
        <v>309.90952577782758</v>
      </c>
      <c r="BS100" s="8">
        <f>IF(OR(BS99="",BS98="",BR103=""),"",((BR103+BS98)*BS99)/12)</f>
        <v>243.89576815717837</v>
      </c>
      <c r="BT100" s="8">
        <f t="shared" si="1187"/>
        <v>206.34603746269383</v>
      </c>
      <c r="BU100" s="8">
        <f t="shared" si="1187"/>
        <v>252.41485731157965</v>
      </c>
      <c r="BV100" s="8">
        <f t="shared" si="1187"/>
        <v>433.05938883529126</v>
      </c>
      <c r="BW100" s="8">
        <f t="shared" si="1187"/>
        <v>-29.711859545834173</v>
      </c>
      <c r="BX100" s="12" t="str">
        <f t="shared" si="1187"/>
        <v/>
      </c>
      <c r="BY100" s="12" t="str">
        <f t="shared" si="1187"/>
        <v/>
      </c>
      <c r="BZ100" s="12" t="str">
        <f t="shared" si="1187"/>
        <v/>
      </c>
      <c r="CA100" s="12" t="str">
        <f t="shared" si="1187"/>
        <v/>
      </c>
      <c r="CB100" s="12" t="str">
        <f t="shared" si="1187"/>
        <v/>
      </c>
      <c r="CC100" s="12" t="str">
        <f t="shared" si="1187"/>
        <v/>
      </c>
      <c r="CD100" s="12" t="str">
        <f t="shared" si="1187"/>
        <v/>
      </c>
      <c r="CE100" s="12" t="str">
        <f t="shared" si="1187"/>
        <v/>
      </c>
      <c r="CF100" s="12" t="str">
        <f t="shared" si="1187"/>
        <v/>
      </c>
      <c r="CG100" s="12" t="str">
        <f t="shared" si="1187"/>
        <v/>
      </c>
      <c r="CH100" s="12" t="str">
        <f t="shared" si="1187"/>
        <v/>
      </c>
      <c r="CI100" s="12" t="str">
        <f t="shared" si="1187"/>
        <v/>
      </c>
      <c r="CJ100" s="12" t="str">
        <f t="shared" si="1187"/>
        <v/>
      </c>
      <c r="CK100" s="12" t="str">
        <f t="shared" si="1187"/>
        <v/>
      </c>
      <c r="CL100" s="12" t="str">
        <f t="shared" si="1187"/>
        <v/>
      </c>
      <c r="CM100" s="12" t="str">
        <f t="shared" si="1187"/>
        <v/>
      </c>
      <c r="CN100" s="12" t="str">
        <f t="shared" si="1187"/>
        <v/>
      </c>
      <c r="CO100" s="12" t="str">
        <f t="shared" si="1187"/>
        <v/>
      </c>
      <c r="CP100" s="12" t="str">
        <f t="shared" si="1187"/>
        <v/>
      </c>
      <c r="CQ100" s="12" t="str">
        <f t="shared" si="1187"/>
        <v/>
      </c>
      <c r="CR100" s="12" t="str">
        <f t="shared" si="1187"/>
        <v/>
      </c>
      <c r="CS100" s="12" t="str">
        <f t="shared" ref="CS100" si="1188">IF(OR(CS99="",CS98="",CR103=""),"",((CR103+CS98)*CS99)/12)</f>
        <v/>
      </c>
      <c r="CT100" s="12" t="str">
        <f t="shared" ref="CT100" si="1189">IF(OR(CT99="",CT98="",CS103=""),"",((CS103+CT98)*CT99)/12)</f>
        <v/>
      </c>
      <c r="CU100" s="12" t="str">
        <f t="shared" ref="CU100" si="1190">IF(OR(CU99="",CU98="",CT103=""),"",((CT103+CU98)*CU99)/12)</f>
        <v/>
      </c>
    </row>
    <row r="101" spans="1:99" x14ac:dyDescent="0.35">
      <c r="A101" s="297"/>
      <c r="B101" s="53" t="s">
        <v>6</v>
      </c>
      <c r="C101" s="37"/>
      <c r="D101" s="37"/>
      <c r="E101" s="8"/>
      <c r="F101" s="8"/>
      <c r="G101" s="8"/>
      <c r="H101" s="8"/>
      <c r="I101" s="8"/>
      <c r="J101" s="8"/>
      <c r="K101" s="8"/>
      <c r="L101" s="8"/>
      <c r="M101" s="8"/>
      <c r="N101" s="8"/>
      <c r="O101" s="8" t="str">
        <f>O100</f>
        <v/>
      </c>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7">
        <f>IF(OR(AV90="",AW100=""),"",AV90+AW100)</f>
        <v>-38929.715176015336</v>
      </c>
      <c r="AX101" s="8">
        <f>IF(OR(AW101="",AX100=""),"",AW101+AX100)</f>
        <v>-38851.151943491968</v>
      </c>
      <c r="AY101" s="8">
        <f t="shared" ref="AY101:CR101" si="1191">IF(OR(AX101="",AY100=""),"",AX101+AY100)</f>
        <v>-38428.712552195517</v>
      </c>
      <c r="AZ101" s="8">
        <f t="shared" si="1191"/>
        <v>-36640.993469560621</v>
      </c>
      <c r="BA101" s="8">
        <f t="shared" si="1191"/>
        <v>-34683.471235694451</v>
      </c>
      <c r="BB101" s="8">
        <f t="shared" si="1191"/>
        <v>-33440.963568695763</v>
      </c>
      <c r="BC101" s="8">
        <f t="shared" si="1191"/>
        <v>-33219.458756463297</v>
      </c>
      <c r="BD101" s="8">
        <f t="shared" si="1191"/>
        <v>-32988.218643681008</v>
      </c>
      <c r="BE101" s="8">
        <f t="shared" si="1191"/>
        <v>-32680.028000190894</v>
      </c>
      <c r="BF101" s="8">
        <f>IF(OR(BE101="",BF100=""),"",BE101+BF100)</f>
        <v>-32489.564862689433</v>
      </c>
      <c r="BG101" s="8">
        <f>IF(OR(BF101="",BG100=""),"",BF101+BG100)</f>
        <v>-32329.387608085737</v>
      </c>
      <c r="BH101" s="8">
        <f t="shared" si="1191"/>
        <v>-32014.20483239723</v>
      </c>
      <c r="BI101" s="8">
        <f t="shared" si="1191"/>
        <v>-31550.711043064101</v>
      </c>
      <c r="BJ101" s="8">
        <f t="shared" si="1191"/>
        <v>-31023.431020672619</v>
      </c>
      <c r="BK101" s="8">
        <f t="shared" si="1191"/>
        <v>-30695.481691369496</v>
      </c>
      <c r="BL101" s="8">
        <f t="shared" si="1191"/>
        <v>-30401.12620677302</v>
      </c>
      <c r="BM101" s="8">
        <f t="shared" si="1191"/>
        <v>-30125.606302558564</v>
      </c>
      <c r="BN101" s="8">
        <f t="shared" si="1191"/>
        <v>-29769.662016770308</v>
      </c>
      <c r="BO101" s="8">
        <f t="shared" si="1191"/>
        <v>-29345.690244778663</v>
      </c>
      <c r="BP101" s="8">
        <f t="shared" si="1191"/>
        <v>-28941.710374384744</v>
      </c>
      <c r="BQ101" s="8">
        <f>IF(OR(BP101="",BQ100=""),"",BP101+BQ100)</f>
        <v>-28697.438201076391</v>
      </c>
      <c r="BR101" s="8">
        <f>IF(OR(BQ101="",BR100=""),"",BQ101+BR100)</f>
        <v>-28387.528675298563</v>
      </c>
      <c r="BS101" s="8">
        <f>IF(OR(BR101="",BS100=""),"",BR101+BS100)</f>
        <v>-28143.632907141386</v>
      </c>
      <c r="BT101" s="8">
        <f t="shared" si="1191"/>
        <v>-27937.286869678694</v>
      </c>
      <c r="BU101" s="8">
        <f t="shared" si="1191"/>
        <v>-27684.872012367116</v>
      </c>
      <c r="BV101" s="8">
        <f t="shared" si="1191"/>
        <v>-27251.812623531823</v>
      </c>
      <c r="BW101" s="8">
        <f t="shared" si="1191"/>
        <v>-27281.524483077657</v>
      </c>
      <c r="BX101" s="12" t="str">
        <f t="shared" si="1191"/>
        <v/>
      </c>
      <c r="BY101" s="12" t="str">
        <f t="shared" si="1191"/>
        <v/>
      </c>
      <c r="BZ101" s="12" t="str">
        <f t="shared" si="1191"/>
        <v/>
      </c>
      <c r="CA101" s="12" t="str">
        <f t="shared" si="1191"/>
        <v/>
      </c>
      <c r="CB101" s="12" t="str">
        <f t="shared" si="1191"/>
        <v/>
      </c>
      <c r="CC101" s="12" t="str">
        <f t="shared" si="1191"/>
        <v/>
      </c>
      <c r="CD101" s="12" t="str">
        <f t="shared" si="1191"/>
        <v/>
      </c>
      <c r="CE101" s="12" t="str">
        <f t="shared" si="1191"/>
        <v/>
      </c>
      <c r="CF101" s="12" t="str">
        <f t="shared" si="1191"/>
        <v/>
      </c>
      <c r="CG101" s="12" t="str">
        <f t="shared" si="1191"/>
        <v/>
      </c>
      <c r="CH101" s="12" t="str">
        <f t="shared" si="1191"/>
        <v/>
      </c>
      <c r="CI101" s="12" t="str">
        <f t="shared" si="1191"/>
        <v/>
      </c>
      <c r="CJ101" s="12" t="str">
        <f t="shared" si="1191"/>
        <v/>
      </c>
      <c r="CK101" s="12" t="str">
        <f t="shared" si="1191"/>
        <v/>
      </c>
      <c r="CL101" s="12" t="str">
        <f t="shared" si="1191"/>
        <v/>
      </c>
      <c r="CM101" s="12" t="str">
        <f t="shared" si="1191"/>
        <v/>
      </c>
      <c r="CN101" s="12" t="str">
        <f t="shared" si="1191"/>
        <v/>
      </c>
      <c r="CO101" s="12" t="str">
        <f t="shared" si="1191"/>
        <v/>
      </c>
      <c r="CP101" s="12" t="str">
        <f t="shared" si="1191"/>
        <v/>
      </c>
      <c r="CQ101" s="12" t="str">
        <f t="shared" si="1191"/>
        <v/>
      </c>
      <c r="CR101" s="12" t="str">
        <f t="shared" si="1191"/>
        <v/>
      </c>
      <c r="CS101" s="12" t="str">
        <f t="shared" ref="CS101" si="1192">IF(OR(CR101="",CS100=""),"",CR101+CS100)</f>
        <v/>
      </c>
      <c r="CT101" s="12" t="str">
        <f t="shared" ref="CT101" si="1193">IF(OR(CS101="",CT100=""),"",CS101+CT100)</f>
        <v/>
      </c>
      <c r="CU101" s="12" t="str">
        <f t="shared" ref="CU101" si="1194">IF(OR(CT101="",CU100=""),"",CT101+CU100)</f>
        <v/>
      </c>
    </row>
    <row r="102" spans="1:99" x14ac:dyDescent="0.35">
      <c r="A102" s="297"/>
      <c r="B102" s="70" t="s">
        <v>75</v>
      </c>
      <c r="C102" s="37"/>
      <c r="D102" s="37"/>
      <c r="E102" s="8"/>
      <c r="F102" s="8"/>
      <c r="G102" s="8"/>
      <c r="H102" s="8"/>
      <c r="I102" s="8"/>
      <c r="J102" s="8"/>
      <c r="K102" s="8"/>
      <c r="L102" s="8"/>
      <c r="M102" s="8"/>
      <c r="N102" s="8"/>
      <c r="O102" s="8" t="str">
        <f>IF(OR(O100="",O98=""),"",O98+O100)</f>
        <v/>
      </c>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7">
        <f>IF(OR(AW100="",AW98=""),"",AW98+AW100)</f>
        <v>246799.60997381964</v>
      </c>
      <c r="AX102" s="8">
        <f>IF(OR(AX100="",AX98=""),"",AX98+AX100)</f>
        <v>228903.58540643647</v>
      </c>
      <c r="AY102" s="8">
        <f>IF(OR(AY100="",AY98=""),"",AY98+AY100)</f>
        <v>219465.16156520956</v>
      </c>
      <c r="AZ102" s="8">
        <f t="shared" ref="AZ102:BJ102" si="1195">IF(OR(AZ100="",AZ98=""),"",AZ98+AZ100)</f>
        <v>922463.95082176523</v>
      </c>
      <c r="BA102" s="8">
        <f t="shared" si="1195"/>
        <v>54522.593972996357</v>
      </c>
      <c r="BB102" s="8">
        <f t="shared" si="1195"/>
        <v>344270.02940612909</v>
      </c>
      <c r="BC102" s="8">
        <f t="shared" si="1195"/>
        <v>469636.34655136289</v>
      </c>
      <c r="BD102" s="8">
        <f t="shared" si="1195"/>
        <v>149324.77185191266</v>
      </c>
      <c r="BE102" s="8">
        <f t="shared" si="1195"/>
        <v>-299027.17761737964</v>
      </c>
      <c r="BF102" s="8">
        <f>IF(OR(BF100="",BF98=""),"",BF98+BF100)</f>
        <v>-236409.69512336832</v>
      </c>
      <c r="BG102" s="8">
        <f>IF(OR(BG100="",BG98=""),"",BG98+BG100)</f>
        <v>-122236.23100626587</v>
      </c>
      <c r="BH102" s="8">
        <f t="shared" si="1195"/>
        <v>340098.41451481887</v>
      </c>
      <c r="BI102" s="8">
        <f>IF(OR(BI100="",BI98=""),"",BI98+BI100)</f>
        <v>312283.05552846356</v>
      </c>
      <c r="BJ102" s="8">
        <f t="shared" si="1195"/>
        <v>19306.041761521847</v>
      </c>
      <c r="BK102" s="8">
        <f t="shared" ref="BK102" si="1196">IF(OR(BK100="",BK98=""),"",BK98+BK100)</f>
        <v>-313576.71893156646</v>
      </c>
      <c r="BL102" s="8">
        <f t="shared" ref="BL102:BP102" si="1197">IF(OR(BL100="",BL98=""),"",BL98+BL100)</f>
        <v>-388024.24944293988</v>
      </c>
      <c r="BM102" s="8">
        <f t="shared" si="1197"/>
        <v>26204.124976678086</v>
      </c>
      <c r="BN102" s="8">
        <f t="shared" si="1197"/>
        <v>350084.16935825202</v>
      </c>
      <c r="BO102" s="8">
        <f t="shared" si="1197"/>
        <v>371258.42684445536</v>
      </c>
      <c r="BP102" s="8">
        <f t="shared" si="1197"/>
        <v>135395.84494285757</v>
      </c>
      <c r="BQ102" s="8">
        <f>IF(OR(BQ100="",BQ98=""),"",BQ98+BQ100)</f>
        <v>-303570.0727542282</v>
      </c>
      <c r="BR102" s="8">
        <f>IF(OR(BR100="",BR98=""),"",BR98+BR100)</f>
        <v>-287233.66540175868</v>
      </c>
      <c r="BS102" s="8">
        <f>IF(OR(BS100="",BS98=""),"",BS98+BS100)</f>
        <v>-298673.05915937922</v>
      </c>
      <c r="BT102" s="8">
        <f t="shared" ref="BT102:BU102" si="1198">IF(OR(BT100="",BT98=""),"",BT98+BT100)</f>
        <v>136108.9111099263</v>
      </c>
      <c r="BU102" s="8">
        <f t="shared" si="1198"/>
        <v>326301.49992977519</v>
      </c>
      <c r="BV102" s="8">
        <f t="shared" ref="BV102:BW102" si="1199">IF(OR(BV100="",BV98=""),"",BV98+BV100)</f>
        <v>18331.934461298941</v>
      </c>
      <c r="BW102" s="8">
        <f t="shared" si="1199"/>
        <v>-2147713.8485262124</v>
      </c>
      <c r="BX102" s="12" t="str">
        <f t="shared" ref="BX102:BY102" si="1200">IF(OR(BX100="",BX98=""),"",BX98+BX100)</f>
        <v/>
      </c>
      <c r="BY102" s="12" t="str">
        <f t="shared" si="1200"/>
        <v/>
      </c>
      <c r="BZ102" s="12" t="str">
        <f t="shared" ref="BZ102:CA102" si="1201">IF(OR(BZ100="",BZ98=""),"",BZ98+BZ100)</f>
        <v/>
      </c>
      <c r="CA102" s="12" t="str">
        <f t="shared" si="1201"/>
        <v/>
      </c>
      <c r="CB102" s="12" t="str">
        <f t="shared" ref="CB102:CC102" si="1202">IF(OR(CB100="",CB98=""),"",CB98+CB100)</f>
        <v/>
      </c>
      <c r="CC102" s="12" t="str">
        <f t="shared" si="1202"/>
        <v/>
      </c>
      <c r="CD102" s="12" t="str">
        <f t="shared" ref="CD102:CE102" si="1203">IF(OR(CD100="",CD98=""),"",CD98+CD100)</f>
        <v/>
      </c>
      <c r="CE102" s="12" t="str">
        <f t="shared" si="1203"/>
        <v/>
      </c>
      <c r="CF102" s="12" t="str">
        <f t="shared" ref="CF102:CG102" si="1204">IF(OR(CF100="",CF98=""),"",CF98+CF100)</f>
        <v/>
      </c>
      <c r="CG102" s="12" t="str">
        <f t="shared" si="1204"/>
        <v/>
      </c>
      <c r="CH102" s="12" t="str">
        <f t="shared" ref="CH102:CI102" si="1205">IF(OR(CH100="",CH98=""),"",CH98+CH100)</f>
        <v/>
      </c>
      <c r="CI102" s="12" t="str">
        <f t="shared" si="1205"/>
        <v/>
      </c>
      <c r="CJ102" s="12" t="str">
        <f t="shared" ref="CJ102:CK102" si="1206">IF(OR(CJ100="",CJ98=""),"",CJ98+CJ100)</f>
        <v/>
      </c>
      <c r="CK102" s="12" t="str">
        <f t="shared" si="1206"/>
        <v/>
      </c>
      <c r="CL102" s="12" t="str">
        <f t="shared" ref="CL102:CM102" si="1207">IF(OR(CL100="",CL98=""),"",CL98+CL100)</f>
        <v/>
      </c>
      <c r="CM102" s="12" t="str">
        <f t="shared" si="1207"/>
        <v/>
      </c>
      <c r="CN102" s="12" t="str">
        <f t="shared" ref="CN102:CO102" si="1208">IF(OR(CN100="",CN98=""),"",CN98+CN100)</f>
        <v/>
      </c>
      <c r="CO102" s="12" t="str">
        <f t="shared" si="1208"/>
        <v/>
      </c>
      <c r="CP102" s="12" t="str">
        <f t="shared" ref="CP102:CQ102" si="1209">IF(OR(CP100="",CP98=""),"",CP98+CP100)</f>
        <v/>
      </c>
      <c r="CQ102" s="12" t="str">
        <f t="shared" si="1209"/>
        <v/>
      </c>
      <c r="CR102" s="12" t="str">
        <f t="shared" ref="CR102:CU102" si="1210">IF(OR(CR100="",CR98=""),"",CR98+CR100)</f>
        <v/>
      </c>
      <c r="CS102" s="12" t="str">
        <f t="shared" si="1210"/>
        <v/>
      </c>
      <c r="CT102" s="12" t="str">
        <f t="shared" si="1210"/>
        <v/>
      </c>
      <c r="CU102" s="12" t="str">
        <f t="shared" si="1210"/>
        <v/>
      </c>
    </row>
    <row r="103" spans="1:99" x14ac:dyDescent="0.35">
      <c r="A103" s="297"/>
      <c r="B103" s="52" t="s">
        <v>76</v>
      </c>
      <c r="C103" s="37"/>
      <c r="D103" s="37"/>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7">
        <f>IF(OR(AW102="",AV92=""),"",AV92+AW102)</f>
        <v>-179599.91343688645</v>
      </c>
      <c r="AX103" s="8">
        <f>IF(OR(AX102="",AW103=""),"",AW103+AX102)</f>
        <v>49303.671969550021</v>
      </c>
      <c r="AY103" s="8">
        <f t="shared" ref="AY103:BK103" si="1211">IF(OR(AY102="",AX103=""),"",AX103+AY102)</f>
        <v>268768.83353475959</v>
      </c>
      <c r="AZ103" s="8">
        <f t="shared" si="1211"/>
        <v>1191232.7843565247</v>
      </c>
      <c r="BA103" s="8">
        <f t="shared" si="1211"/>
        <v>1245755.378329521</v>
      </c>
      <c r="BB103" s="8">
        <f t="shared" si="1211"/>
        <v>1590025.4077356502</v>
      </c>
      <c r="BC103" s="8">
        <f t="shared" si="1211"/>
        <v>2059661.7542870131</v>
      </c>
      <c r="BD103" s="8">
        <f t="shared" si="1211"/>
        <v>2208986.5261389259</v>
      </c>
      <c r="BE103" s="8">
        <f t="shared" si="1211"/>
        <v>1909959.3485215462</v>
      </c>
      <c r="BF103" s="8">
        <f>IF(OR(BF102="",BE103=""),"",BE103+BF102)</f>
        <v>1673549.6533981778</v>
      </c>
      <c r="BG103" s="8">
        <f>IF(OR(BG102="",BF103=""),"",BF103+BG102)</f>
        <v>1551313.422391912</v>
      </c>
      <c r="BH103" s="8">
        <f t="shared" si="1211"/>
        <v>1891411.8369067309</v>
      </c>
      <c r="BI103" s="8">
        <f>IF(OR(BI102="",BH103=""),"",BH103+BI102)</f>
        <v>2203694.8924351945</v>
      </c>
      <c r="BJ103" s="8">
        <f t="shared" si="1211"/>
        <v>2223000.9341967162</v>
      </c>
      <c r="BK103" s="8">
        <f t="shared" si="1211"/>
        <v>1909424.2152651497</v>
      </c>
      <c r="BL103" s="8">
        <f t="shared" ref="BL103:CR103" si="1212">IF(OR(BL102="",BK103=""),"",BK103+BL102)</f>
        <v>1521399.9658222098</v>
      </c>
      <c r="BM103" s="8">
        <f t="shared" si="1212"/>
        <v>1547604.0907988879</v>
      </c>
      <c r="BN103" s="8">
        <f t="shared" si="1212"/>
        <v>1897688.26015714</v>
      </c>
      <c r="BO103" s="8">
        <f t="shared" si="1212"/>
        <v>2268946.6870015953</v>
      </c>
      <c r="BP103" s="8">
        <f t="shared" si="1212"/>
        <v>2404342.5319444528</v>
      </c>
      <c r="BQ103" s="8">
        <f>IF(OR(BQ102="",BP103=""),"",BP103+BQ102)</f>
        <v>2100772.4591902248</v>
      </c>
      <c r="BR103" s="8">
        <f>IF(OR(BR102="",BQ103=""),"",BQ103+BR102)</f>
        <v>1813538.7937884661</v>
      </c>
      <c r="BS103" s="8">
        <f>IF(OR(BS102="",BR103=""),"",BR103+BS102)</f>
        <v>1514865.7346290869</v>
      </c>
      <c r="BT103" s="8">
        <f t="shared" si="1212"/>
        <v>1650974.6457390133</v>
      </c>
      <c r="BU103" s="8">
        <f t="shared" si="1212"/>
        <v>1977276.1456687886</v>
      </c>
      <c r="BV103" s="8">
        <f t="shared" si="1212"/>
        <v>1995608.0801300874</v>
      </c>
      <c r="BW103" s="8">
        <f t="shared" si="1212"/>
        <v>-152105.76839612494</v>
      </c>
      <c r="BX103" s="12" t="str">
        <f t="shared" si="1212"/>
        <v/>
      </c>
      <c r="BY103" s="12" t="str">
        <f t="shared" si="1212"/>
        <v/>
      </c>
      <c r="BZ103" s="12" t="str">
        <f t="shared" si="1212"/>
        <v/>
      </c>
      <c r="CA103" s="12" t="str">
        <f t="shared" si="1212"/>
        <v/>
      </c>
      <c r="CB103" s="12" t="str">
        <f t="shared" si="1212"/>
        <v/>
      </c>
      <c r="CC103" s="12" t="str">
        <f t="shared" si="1212"/>
        <v/>
      </c>
      <c r="CD103" s="12" t="str">
        <f t="shared" si="1212"/>
        <v/>
      </c>
      <c r="CE103" s="12" t="str">
        <f t="shared" si="1212"/>
        <v/>
      </c>
      <c r="CF103" s="12" t="str">
        <f t="shared" si="1212"/>
        <v/>
      </c>
      <c r="CG103" s="12" t="str">
        <f t="shared" si="1212"/>
        <v/>
      </c>
      <c r="CH103" s="12" t="str">
        <f t="shared" si="1212"/>
        <v/>
      </c>
      <c r="CI103" s="12" t="str">
        <f t="shared" si="1212"/>
        <v/>
      </c>
      <c r="CJ103" s="12" t="str">
        <f t="shared" si="1212"/>
        <v/>
      </c>
      <c r="CK103" s="12" t="str">
        <f t="shared" si="1212"/>
        <v/>
      </c>
      <c r="CL103" s="12" t="str">
        <f t="shared" si="1212"/>
        <v/>
      </c>
      <c r="CM103" s="12" t="str">
        <f t="shared" si="1212"/>
        <v/>
      </c>
      <c r="CN103" s="12" t="str">
        <f t="shared" si="1212"/>
        <v/>
      </c>
      <c r="CO103" s="12" t="str">
        <f t="shared" si="1212"/>
        <v/>
      </c>
      <c r="CP103" s="12" t="str">
        <f t="shared" si="1212"/>
        <v/>
      </c>
      <c r="CQ103" s="12" t="str">
        <f t="shared" si="1212"/>
        <v/>
      </c>
      <c r="CR103" s="12" t="str">
        <f t="shared" si="1212"/>
        <v/>
      </c>
      <c r="CS103" s="12" t="str">
        <f t="shared" ref="CS103" si="1213">IF(OR(CS102="",CR103=""),"",CR103+CS102)</f>
        <v/>
      </c>
      <c r="CT103" s="12" t="str">
        <f t="shared" ref="CT103" si="1214">IF(OR(CT102="",CS103=""),"",CS103+CT102)</f>
        <v/>
      </c>
      <c r="CU103" s="12" t="str">
        <f t="shared" ref="CU103" si="1215">IF(OR(CU102="",CT103=""),"",CT103+CU102)</f>
        <v/>
      </c>
    </row>
    <row r="104" spans="1:99" x14ac:dyDescent="0.35">
      <c r="A104" s="297"/>
      <c r="B104" s="54" t="s">
        <v>77</v>
      </c>
      <c r="C104" s="37"/>
      <c r="D104" s="37"/>
      <c r="E104" s="8"/>
      <c r="F104" s="8"/>
      <c r="G104" s="8"/>
      <c r="H104" s="8"/>
      <c r="I104" s="8"/>
      <c r="J104" s="8"/>
      <c r="K104" s="8"/>
      <c r="L104" s="8"/>
      <c r="M104" s="8"/>
      <c r="N104" s="8"/>
      <c r="O104" s="8"/>
      <c r="P104" s="8" t="str">
        <f t="shared" ref="P104" si="1216">IF(P97="","",O104-P97+P100)</f>
        <v/>
      </c>
      <c r="Q104" s="8" t="str">
        <f t="shared" ref="Q104" si="1217">IF(Q97="","",P104-Q97+Q100)</f>
        <v/>
      </c>
      <c r="R104" s="8" t="str">
        <f t="shared" ref="R104" si="1218">IF(R97="","",Q104-R97+R100)</f>
        <v/>
      </c>
      <c r="S104" s="8" t="str">
        <f t="shared" ref="S104" si="1219">IF(S97="","",R104-S97+S100)</f>
        <v/>
      </c>
      <c r="T104" s="8" t="str">
        <f t="shared" ref="T104" si="1220">IF(T97="","",S104-T97+T100)</f>
        <v/>
      </c>
      <c r="U104" s="8" t="str">
        <f t="shared" ref="U104" si="1221">IF(U97="","",T104-U97+U100)</f>
        <v/>
      </c>
      <c r="V104" s="8" t="str">
        <f t="shared" ref="V104" si="1222">IF(V97="","",U104-V97+V100)</f>
        <v/>
      </c>
      <c r="W104" s="8" t="str">
        <f t="shared" ref="W104" si="1223">IF(W97="","",V104-W97+W100)</f>
        <v/>
      </c>
      <c r="X104" s="8" t="str">
        <f t="shared" ref="X104" si="1224">IF(X97="","",W104-X97+X100)</f>
        <v/>
      </c>
      <c r="Y104" s="8" t="str">
        <f t="shared" ref="Y104" si="1225">IF(Y97="","",X104-Y97+Y100)</f>
        <v/>
      </c>
      <c r="Z104" s="8" t="str">
        <f t="shared" ref="Z104" si="1226">IF(Z97="","",Y104-Z97+Z100)</f>
        <v/>
      </c>
      <c r="AA104" s="8" t="str">
        <f t="shared" ref="AA104" si="1227">IF(AA97="","",Z104-AA97+AA100)</f>
        <v/>
      </c>
      <c r="AB104" s="8" t="str">
        <f t="shared" ref="AB104" si="1228">IF(AB97="","",AA104-AB97+AB100)</f>
        <v/>
      </c>
      <c r="AC104" s="8">
        <v>4662492</v>
      </c>
      <c r="AD104" s="8">
        <f>IF(AD97="","",AC104-AD97+AD100)</f>
        <v>4662492</v>
      </c>
      <c r="AE104" s="8">
        <f t="shared" ref="AE104" si="1229">IF(AE97="","",AD104-AE97+AE100)</f>
        <v>4662492</v>
      </c>
      <c r="AF104" s="8">
        <f t="shared" ref="AF104" si="1230">IF(AF97="","",AE104-AF97+AF100)</f>
        <v>4662492</v>
      </c>
      <c r="AG104" s="8">
        <f t="shared" ref="AG104" si="1231">IF(AG97="","",AF104-AG97+AG100)</f>
        <v>4662492</v>
      </c>
      <c r="AH104" s="8">
        <f t="shared" ref="AH104" si="1232">IF(AH97="","",AG104-AH97+AH100)</f>
        <v>4662492</v>
      </c>
      <c r="AI104" s="8">
        <f t="shared" ref="AI104" si="1233">IF(AI97="","",AH104-AI97+AI100)</f>
        <v>4662492</v>
      </c>
      <c r="AJ104" s="8">
        <f t="shared" ref="AJ104" si="1234">IF(AJ97="","",AI104-AJ97+AJ100)</f>
        <v>4662492</v>
      </c>
      <c r="AK104" s="8">
        <f t="shared" ref="AK104" si="1235">IF(AK97="","",AJ104-AK97+AK100)</f>
        <v>4662492</v>
      </c>
      <c r="AL104" s="8">
        <f>IF(AL97="","",AK104-AL97+AL100+AL95)</f>
        <v>10279277</v>
      </c>
      <c r="AM104" s="8">
        <f>IF(AM97="","",AL104-AM97+AM100+AM95)</f>
        <v>21493034</v>
      </c>
      <c r="AN104" s="8">
        <f>IF(AN97="","",AM104-AN97+AN100)</f>
        <v>21493034</v>
      </c>
      <c r="AO104" s="8">
        <f t="shared" ref="AO104" si="1236">IF(AO97="","",AN104-AO97+AO100)</f>
        <v>21493034</v>
      </c>
      <c r="AP104" s="8">
        <f t="shared" ref="AP104" si="1237">IF(AP97="","",AO104-AP97+AP100)</f>
        <v>21493034</v>
      </c>
      <c r="AQ104" s="8">
        <f t="shared" ref="AQ104" si="1238">IF(AQ97="","",AP104-AQ97+AQ100)</f>
        <v>21493034</v>
      </c>
      <c r="AR104" s="8">
        <f t="shared" ref="AR104" si="1239">IF(AR97="","",AQ104-AR97+AR100)</f>
        <v>21493034</v>
      </c>
      <c r="AS104" s="8">
        <f t="shared" ref="AS104" si="1240">IF(AS97="","",AR104-AS97+AS100)</f>
        <v>21493034</v>
      </c>
      <c r="AT104" s="8">
        <f t="shared" ref="AT104" si="1241">IF(AT97="","",AS104-AT97+AT100)</f>
        <v>21493034</v>
      </c>
      <c r="AU104" s="8">
        <f>IF(AU97="","",AT104-AU97+AU100+AU95)</f>
        <v>39212516</v>
      </c>
      <c r="AV104" s="8">
        <f>IF(AV97="","",AU104-AV97+AV100)</f>
        <v>39212516</v>
      </c>
      <c r="AW104" s="8">
        <f>IF(AW97="","",AV104-AW97+AW100+AW95)</f>
        <v>44199814.084823981</v>
      </c>
      <c r="AX104" s="8">
        <f t="shared" ref="AX104:AY104" si="1242">IF(AX97="","",AW104-AX97+AX100)</f>
        <v>44031263.978056505</v>
      </c>
      <c r="AY104" s="8">
        <f t="shared" si="1242"/>
        <v>43853275.447447807</v>
      </c>
      <c r="AZ104" s="8">
        <f>IF(AZ97="","",AY104-AZ97+AZ100+AZ95)</f>
        <v>42880760.876530446</v>
      </c>
      <c r="BA104" s="8">
        <f t="shared" ref="BA104:CR104" si="1243">IF(BA97="","",AZ104-BA97+BA100)</f>
        <v>41040304.948764309</v>
      </c>
      <c r="BB104" s="8">
        <f t="shared" si="1243"/>
        <v>39489596.456431307</v>
      </c>
      <c r="BC104" s="8">
        <f t="shared" si="1243"/>
        <v>38064254.28124354</v>
      </c>
      <c r="BD104" s="8">
        <f t="shared" si="1243"/>
        <v>36318600.53135632</v>
      </c>
      <c r="BE104" s="8">
        <f t="shared" si="1243"/>
        <v>34124594.831999809</v>
      </c>
      <c r="BF104" s="8">
        <f>IF(BF97="","",BE104-BF97+BF100+BF95)</f>
        <v>31298194.615137309</v>
      </c>
      <c r="BG104" s="8">
        <f>IF(BG97="","",BF104-BG97+BG100)</f>
        <v>29280979.862391911</v>
      </c>
      <c r="BH104" s="8">
        <f t="shared" si="1243"/>
        <v>27726099.7551676</v>
      </c>
      <c r="BI104" s="8">
        <f t="shared" si="1243"/>
        <v>26143404.288956933</v>
      </c>
      <c r="BJ104" s="8">
        <f t="shared" si="1243"/>
        <v>24267731.808979321</v>
      </c>
      <c r="BK104" s="8">
        <f t="shared" si="1243"/>
        <v>22059176.568308622</v>
      </c>
      <c r="BL104" s="8">
        <f t="shared" si="1243"/>
        <v>19834091.463793218</v>
      </c>
      <c r="BM104" s="8">
        <f t="shared" si="1243"/>
        <v>18023234.733697433</v>
      </c>
      <c r="BN104" s="8">
        <f t="shared" si="1243"/>
        <v>16536258.047983222</v>
      </c>
      <c r="BO104" s="8">
        <f t="shared" si="1243"/>
        <v>15070455.619755212</v>
      </c>
      <c r="BP104" s="8">
        <f t="shared" si="1243"/>
        <v>13368790.609625606</v>
      </c>
      <c r="BQ104" s="8">
        <f>IF(BQ97="","",BP104-BQ97+BQ100)</f>
        <v>11228159.681798913</v>
      </c>
      <c r="BR104" s="8">
        <f>IF(BR97="","",BQ104-BR97+BR100+BR95)</f>
        <v>9084035.5232310575</v>
      </c>
      <c r="BS104" s="8">
        <f>IF(BS97="","",BR104-BS97+BS100)</f>
        <v>6948301.6089992141</v>
      </c>
      <c r="BT104" s="8">
        <f>IF(BT97="","",BS104-BT97+BT100)</f>
        <v>5247349.6650366765</v>
      </c>
      <c r="BU104" s="8">
        <f t="shared" si="1243"/>
        <v>3736590.3098939881</v>
      </c>
      <c r="BV104" s="8">
        <f t="shared" si="1243"/>
        <v>1917861.3892828233</v>
      </c>
      <c r="BW104" s="8">
        <f t="shared" si="1243"/>
        <v>-171934.79257672251</v>
      </c>
      <c r="BX104" s="12" t="str">
        <f t="shared" si="1243"/>
        <v/>
      </c>
      <c r="BY104" s="12" t="str">
        <f t="shared" si="1243"/>
        <v/>
      </c>
      <c r="BZ104" s="12" t="str">
        <f t="shared" si="1243"/>
        <v/>
      </c>
      <c r="CA104" s="12" t="str">
        <f t="shared" si="1243"/>
        <v/>
      </c>
      <c r="CB104" s="12" t="str">
        <f t="shared" si="1243"/>
        <v/>
      </c>
      <c r="CC104" s="12" t="str">
        <f t="shared" si="1243"/>
        <v/>
      </c>
      <c r="CD104" s="12" t="str">
        <f t="shared" si="1243"/>
        <v/>
      </c>
      <c r="CE104" s="12" t="str">
        <f t="shared" si="1243"/>
        <v/>
      </c>
      <c r="CF104" s="12" t="str">
        <f t="shared" si="1243"/>
        <v/>
      </c>
      <c r="CG104" s="12" t="str">
        <f t="shared" si="1243"/>
        <v/>
      </c>
      <c r="CH104" s="12" t="str">
        <f t="shared" si="1243"/>
        <v/>
      </c>
      <c r="CI104" s="12" t="str">
        <f t="shared" si="1243"/>
        <v/>
      </c>
      <c r="CJ104" s="12" t="str">
        <f t="shared" si="1243"/>
        <v/>
      </c>
      <c r="CK104" s="12" t="str">
        <f t="shared" si="1243"/>
        <v/>
      </c>
      <c r="CL104" s="12" t="str">
        <f t="shared" si="1243"/>
        <v/>
      </c>
      <c r="CM104" s="12" t="str">
        <f t="shared" si="1243"/>
        <v/>
      </c>
      <c r="CN104" s="12" t="str">
        <f t="shared" si="1243"/>
        <v/>
      </c>
      <c r="CO104" s="12" t="str">
        <f t="shared" si="1243"/>
        <v/>
      </c>
      <c r="CP104" s="12" t="str">
        <f t="shared" si="1243"/>
        <v/>
      </c>
      <c r="CQ104" s="12" t="str">
        <f t="shared" si="1243"/>
        <v/>
      </c>
      <c r="CR104" s="12" t="str">
        <f t="shared" si="1243"/>
        <v/>
      </c>
      <c r="CS104" s="12" t="str">
        <f t="shared" ref="CS104" si="1244">IF(CS97="","",CR104-CS97+CS100)</f>
        <v/>
      </c>
      <c r="CT104" s="12" t="str">
        <f t="shared" ref="CT104" si="1245">IF(CT97="","",CS104-CT97+CT100)</f>
        <v/>
      </c>
      <c r="CU104" s="12" t="str">
        <f t="shared" ref="CU104" si="1246">IF(CU97="","",CT104-CU97+CU100)</f>
        <v/>
      </c>
    </row>
    <row r="105" spans="1:99" s="4" customFormat="1" ht="8.25" customHeight="1" x14ac:dyDescent="0.35">
      <c r="A105" s="40"/>
      <c r="B105" s="11"/>
      <c r="C105" s="11"/>
      <c r="D105" s="11"/>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row>
    <row r="106" spans="1:99" x14ac:dyDescent="0.35">
      <c r="A106"/>
    </row>
    <row r="107" spans="1:99" x14ac:dyDescent="0.35">
      <c r="A107"/>
      <c r="O107" s="39"/>
      <c r="P107" s="39"/>
      <c r="Q107" s="39"/>
      <c r="R107" s="39"/>
      <c r="BD107" s="39"/>
      <c r="BV107" s="39"/>
      <c r="BW107" s="39"/>
    </row>
    <row r="108" spans="1:99" x14ac:dyDescent="0.35">
      <c r="A108"/>
      <c r="P108" s="39"/>
    </row>
    <row r="109" spans="1:99" x14ac:dyDescent="0.35">
      <c r="A109"/>
    </row>
    <row r="110" spans="1:99" x14ac:dyDescent="0.35">
      <c r="A110"/>
      <c r="BI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c r="CP110" s="39"/>
      <c r="CQ110" s="39"/>
      <c r="CR110" s="39"/>
      <c r="CS110" s="39"/>
      <c r="CT110" s="39"/>
      <c r="CU110" s="39"/>
    </row>
    <row r="111" spans="1:99" x14ac:dyDescent="0.35">
      <c r="A111"/>
      <c r="BE111" s="56"/>
    </row>
    <row r="112" spans="1:99" x14ac:dyDescent="0.35">
      <c r="A112"/>
    </row>
    <row r="113" spans="1:70" x14ac:dyDescent="0.35">
      <c r="A113"/>
      <c r="BR113" s="39"/>
    </row>
    <row r="114" spans="1:70" x14ac:dyDescent="0.35">
      <c r="A114"/>
    </row>
    <row r="115" spans="1:70" x14ac:dyDescent="0.35">
      <c r="A115"/>
    </row>
    <row r="116" spans="1:70" x14ac:dyDescent="0.35">
      <c r="A116"/>
    </row>
    <row r="117" spans="1:70" x14ac:dyDescent="0.35">
      <c r="A117"/>
    </row>
    <row r="118" spans="1:70" x14ac:dyDescent="0.35">
      <c r="A118"/>
    </row>
    <row r="119" spans="1:70" x14ac:dyDescent="0.35">
      <c r="A119"/>
    </row>
    <row r="120" spans="1:70" x14ac:dyDescent="0.35">
      <c r="A120"/>
    </row>
    <row r="121" spans="1:70" x14ac:dyDescent="0.35">
      <c r="A121"/>
    </row>
    <row r="122" spans="1:70" x14ac:dyDescent="0.35">
      <c r="A122"/>
    </row>
    <row r="123" spans="1:70" x14ac:dyDescent="0.35">
      <c r="A123"/>
    </row>
    <row r="124" spans="1:70" x14ac:dyDescent="0.35">
      <c r="A124"/>
    </row>
    <row r="125" spans="1:70" x14ac:dyDescent="0.35">
      <c r="A125"/>
    </row>
    <row r="126" spans="1:70" x14ac:dyDescent="0.35">
      <c r="A126"/>
    </row>
    <row r="127" spans="1:70" x14ac:dyDescent="0.35">
      <c r="A127"/>
    </row>
    <row r="128" spans="1:70"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c r="A174"/>
    </row>
    <row r="175" spans="1:1" x14ac:dyDescent="0.35">
      <c r="A175"/>
    </row>
    <row r="176" spans="1:1" x14ac:dyDescent="0.35">
      <c r="A176"/>
    </row>
    <row r="177" spans="1:1" x14ac:dyDescent="0.35">
      <c r="A177"/>
    </row>
    <row r="178" spans="1:1" x14ac:dyDescent="0.35">
      <c r="A178"/>
    </row>
    <row r="179" spans="1:1" x14ac:dyDescent="0.35">
      <c r="A179"/>
    </row>
    <row r="180" spans="1:1" x14ac:dyDescent="0.35">
      <c r="A180"/>
    </row>
    <row r="181" spans="1:1" x14ac:dyDescent="0.35">
      <c r="A181"/>
    </row>
    <row r="182" spans="1:1" x14ac:dyDescent="0.35">
      <c r="A182"/>
    </row>
    <row r="183" spans="1:1" x14ac:dyDescent="0.35">
      <c r="A183"/>
    </row>
    <row r="184" spans="1:1" x14ac:dyDescent="0.35">
      <c r="A184"/>
    </row>
  </sheetData>
  <mergeCells count="10">
    <mergeCell ref="A95:A104"/>
    <mergeCell ref="A56:A64"/>
    <mergeCell ref="A66:A74"/>
    <mergeCell ref="A5:A13"/>
    <mergeCell ref="A15:A24"/>
    <mergeCell ref="A26:A34"/>
    <mergeCell ref="A36:A44"/>
    <mergeCell ref="A46:A54"/>
    <mergeCell ref="A76:A82"/>
    <mergeCell ref="A84:A93"/>
  </mergeCells>
  <printOptions headings="1"/>
  <pageMargins left="0.2" right="0.2" top="0.5" bottom="0.5" header="0.3" footer="0.3"/>
  <pageSetup scale="11" orientation="portrait" cellComments="asDisplayed" r:id="rId1"/>
  <headerFooter>
    <oddHeader>&amp;C&amp;A</oddHeader>
    <oddFooter>&amp;RSchedule JNG-D3</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ED188"/>
  <sheetViews>
    <sheetView topLeftCell="CZ1" zoomScale="85" zoomScaleNormal="85" zoomScaleSheetLayoutView="80" workbookViewId="0">
      <selection activeCell="DG80" sqref="DG80:DP80"/>
    </sheetView>
  </sheetViews>
  <sheetFormatPr defaultColWidth="9.1796875" defaultRowHeight="15" customHeight="1" zeroHeight="1" x14ac:dyDescent="0.35"/>
  <cols>
    <col min="1" max="1" width="3.1796875" style="1" customWidth="1"/>
    <col min="2" max="2" width="50" customWidth="1"/>
    <col min="3" max="4" width="10.7265625" bestFit="1" customWidth="1"/>
    <col min="5" max="6" width="10.7265625" hidden="1" customWidth="1"/>
    <col min="7" max="9" width="12.7265625" hidden="1" customWidth="1"/>
    <col min="10" max="21" width="14.26953125" hidden="1" customWidth="1"/>
    <col min="22" max="40" width="15.26953125" hidden="1" customWidth="1"/>
    <col min="41" max="44" width="15.26953125" bestFit="1" customWidth="1"/>
    <col min="45" max="45" width="14.26953125" customWidth="1"/>
    <col min="46" max="46" width="12.1796875" customWidth="1"/>
    <col min="48" max="48" width="9.1796875" style="160"/>
    <col min="50" max="50" width="48.1796875" bestFit="1" customWidth="1"/>
    <col min="51" max="51" width="12.7265625" bestFit="1" customWidth="1"/>
    <col min="52" max="54" width="11.81640625" bestFit="1" customWidth="1"/>
    <col min="55" max="55" width="12.7265625" bestFit="1" customWidth="1"/>
    <col min="56" max="56" width="13.54296875" bestFit="1" customWidth="1"/>
    <col min="57" max="64" width="11.81640625" bestFit="1" customWidth="1"/>
    <col min="65" max="65" width="12.7265625" bestFit="1" customWidth="1"/>
    <col min="66" max="66" width="32.7265625" customWidth="1"/>
    <col min="67" max="67" width="11.81640625" bestFit="1" customWidth="1"/>
    <col min="68" max="68" width="12.7265625" bestFit="1" customWidth="1"/>
    <col min="69" max="69" width="16.26953125" bestFit="1" customWidth="1"/>
    <col min="70" max="75" width="11.81640625" bestFit="1" customWidth="1"/>
    <col min="76" max="76" width="15.54296875" bestFit="1" customWidth="1"/>
    <col min="80" max="80" width="9.1796875" style="148"/>
    <col min="81" max="81" width="35.1796875" bestFit="1" customWidth="1"/>
    <col min="82" max="82" width="52.54296875" bestFit="1" customWidth="1"/>
    <col min="83" max="84" width="15" bestFit="1" customWidth="1"/>
    <col min="85" max="89" width="14.26953125" bestFit="1" customWidth="1"/>
    <col min="92" max="92" width="35.1796875" bestFit="1" customWidth="1"/>
    <col min="93" max="93" width="52.54296875" bestFit="1" customWidth="1"/>
    <col min="94" max="95" width="15" bestFit="1" customWidth="1"/>
    <col min="96" max="100" width="14.26953125" bestFit="1" customWidth="1"/>
    <col min="101" max="103" width="13.453125" bestFit="1" customWidth="1"/>
    <col min="104" max="104" width="9.1796875" style="148"/>
    <col min="106" max="106" width="52.54296875" bestFit="1" customWidth="1"/>
    <col min="107" max="114" width="13.81640625" bestFit="1" customWidth="1"/>
    <col min="115" max="120" width="13.54296875" bestFit="1" customWidth="1"/>
    <col min="121" max="127" width="11.81640625" bestFit="1" customWidth="1"/>
    <col min="128" max="131" width="11.26953125" bestFit="1" customWidth="1"/>
    <col min="132" max="132" width="13.453125" bestFit="1" customWidth="1"/>
    <col min="133" max="133" width="9.81640625" bestFit="1" customWidth="1"/>
  </cols>
  <sheetData>
    <row r="1" spans="1:134" ht="14.5" x14ac:dyDescent="0.35">
      <c r="A1" s="217" t="s">
        <v>125</v>
      </c>
      <c r="AW1" s="217" t="s">
        <v>125</v>
      </c>
      <c r="AY1" s="47" t="s">
        <v>94</v>
      </c>
      <c r="BM1" s="164">
        <f>BM2-BM3</f>
        <v>-3273.9799999967217</v>
      </c>
      <c r="BN1" s="167" t="s">
        <v>89</v>
      </c>
      <c r="BP1" s="39"/>
      <c r="BT1" s="39"/>
      <c r="CC1" t="s">
        <v>121</v>
      </c>
      <c r="DA1" s="47" t="s">
        <v>151</v>
      </c>
    </row>
    <row r="2" spans="1:134" ht="15.5" x14ac:dyDescent="0.35">
      <c r="A2" s="46" t="s">
        <v>1</v>
      </c>
      <c r="B2" s="33"/>
      <c r="C2" s="33"/>
      <c r="D2" s="33"/>
      <c r="AW2" s="46" t="s">
        <v>1</v>
      </c>
      <c r="AX2" s="33"/>
      <c r="AY2" s="47" t="s">
        <v>93</v>
      </c>
      <c r="BM2" s="39">
        <f>SUM(AY6:BQ6)</f>
        <v>9828949.7200000025</v>
      </c>
      <c r="BN2" t="s">
        <v>91</v>
      </c>
      <c r="BO2" s="39"/>
      <c r="BP2" s="39"/>
      <c r="BT2" s="39"/>
      <c r="CC2" t="s">
        <v>116</v>
      </c>
      <c r="CE2" s="10">
        <v>44501</v>
      </c>
      <c r="CF2" s="10">
        <v>44531</v>
      </c>
      <c r="CG2" s="10">
        <v>44562</v>
      </c>
      <c r="CH2" s="10">
        <v>44593</v>
      </c>
      <c r="CI2" s="10">
        <v>44621</v>
      </c>
      <c r="CJ2" s="10">
        <v>44652</v>
      </c>
      <c r="CK2" s="10">
        <v>44682</v>
      </c>
      <c r="CN2" t="s">
        <v>120</v>
      </c>
      <c r="CP2" s="10">
        <v>44501</v>
      </c>
      <c r="CQ2" s="10">
        <v>44531</v>
      </c>
      <c r="CR2" s="10">
        <v>44562</v>
      </c>
      <c r="CS2" s="10">
        <v>44593</v>
      </c>
      <c r="CT2" s="10">
        <v>44621</v>
      </c>
      <c r="CU2" s="10">
        <v>44652</v>
      </c>
      <c r="CV2" s="10">
        <v>44682</v>
      </c>
      <c r="DA2" s="47" t="s">
        <v>93</v>
      </c>
    </row>
    <row r="3" spans="1:134" ht="15.5" x14ac:dyDescent="0.35">
      <c r="A3" s="46" t="s">
        <v>64</v>
      </c>
      <c r="B3" s="33"/>
      <c r="C3" s="33"/>
      <c r="D3" s="33"/>
      <c r="AW3" s="46" t="s">
        <v>7</v>
      </c>
      <c r="BM3" s="39">
        <f>SUM('MEEIA 2 calcs'!AO6:BG6)</f>
        <v>9832223.6999999993</v>
      </c>
      <c r="BN3" t="s">
        <v>92</v>
      </c>
      <c r="BP3" s="39"/>
      <c r="CC3" s="40"/>
      <c r="CD3" s="11"/>
      <c r="CN3" s="40"/>
      <c r="CO3" s="11"/>
    </row>
    <row r="4" spans="1:134" ht="14.5" x14ac:dyDescent="0.35">
      <c r="A4" s="47" t="s">
        <v>68</v>
      </c>
      <c r="AW4" s="1"/>
      <c r="AY4" s="10">
        <v>43525</v>
      </c>
      <c r="AZ4" s="10">
        <v>43556</v>
      </c>
      <c r="BA4" s="10">
        <v>43586</v>
      </c>
      <c r="BB4" s="10">
        <v>43617</v>
      </c>
      <c r="BC4" s="10">
        <v>43647</v>
      </c>
      <c r="BD4" s="10">
        <v>43678</v>
      </c>
      <c r="BE4" s="10">
        <v>43709</v>
      </c>
      <c r="BF4" s="10">
        <v>43739</v>
      </c>
      <c r="BG4" s="10">
        <v>43770</v>
      </c>
      <c r="BH4" s="10">
        <v>43800</v>
      </c>
      <c r="BI4" s="10">
        <v>43831</v>
      </c>
      <c r="BJ4" s="10">
        <v>43862</v>
      </c>
      <c r="BK4" s="10">
        <v>43891</v>
      </c>
      <c r="BL4" s="10">
        <v>43922</v>
      </c>
      <c r="BM4" s="10">
        <v>43952</v>
      </c>
      <c r="BN4" s="10">
        <v>43983</v>
      </c>
      <c r="BO4" s="10">
        <v>44013</v>
      </c>
      <c r="BP4" s="10">
        <v>44044</v>
      </c>
      <c r="BQ4" s="10">
        <v>44075</v>
      </c>
      <c r="BR4" s="10">
        <v>44105</v>
      </c>
      <c r="BS4" s="10">
        <v>44136</v>
      </c>
      <c r="BT4" s="10">
        <v>44166</v>
      </c>
      <c r="BU4" s="10">
        <v>44197</v>
      </c>
      <c r="BV4" s="10">
        <v>44228</v>
      </c>
      <c r="BW4" s="10">
        <v>44256</v>
      </c>
      <c r="CC4" s="295" t="s">
        <v>25</v>
      </c>
      <c r="CD4" s="15"/>
      <c r="CN4" s="295" t="s">
        <v>25</v>
      </c>
      <c r="CO4" s="15"/>
      <c r="DA4" s="1"/>
    </row>
    <row r="5" spans="1:134" ht="14.5" x14ac:dyDescent="0.35">
      <c r="C5" s="10">
        <v>42614</v>
      </c>
      <c r="D5" s="10">
        <v>42644</v>
      </c>
      <c r="E5" s="10">
        <v>42675</v>
      </c>
      <c r="F5" s="10">
        <v>42705</v>
      </c>
      <c r="G5" s="10">
        <v>42736</v>
      </c>
      <c r="H5" s="10">
        <v>42767</v>
      </c>
      <c r="I5" s="10">
        <v>42795</v>
      </c>
      <c r="J5" s="10">
        <v>42826</v>
      </c>
      <c r="K5" s="10">
        <v>42856</v>
      </c>
      <c r="L5" s="10">
        <v>42887</v>
      </c>
      <c r="M5" s="10">
        <v>42917</v>
      </c>
      <c r="N5" s="10">
        <v>42948</v>
      </c>
      <c r="O5" s="10">
        <v>42979</v>
      </c>
      <c r="P5" s="10">
        <v>43009</v>
      </c>
      <c r="Q5" s="10">
        <v>43040</v>
      </c>
      <c r="AW5" s="298" t="s">
        <v>0</v>
      </c>
      <c r="AX5" s="5"/>
      <c r="AY5" s="29"/>
      <c r="AZ5" s="29"/>
      <c r="BA5" s="29"/>
      <c r="BB5" s="29"/>
      <c r="BC5" s="29"/>
      <c r="BD5" s="29"/>
      <c r="BE5" s="29"/>
      <c r="BF5" s="29"/>
      <c r="BG5" s="29"/>
      <c r="BH5" s="29"/>
      <c r="BI5" s="29"/>
      <c r="BJ5" s="29"/>
      <c r="BK5" s="29"/>
      <c r="BL5" s="29"/>
      <c r="BM5" s="29"/>
      <c r="BN5" s="29"/>
      <c r="BO5" s="29"/>
      <c r="BP5" s="29"/>
      <c r="BQ5" s="29"/>
      <c r="BR5" s="29"/>
      <c r="BS5" s="29"/>
      <c r="BT5" s="29"/>
      <c r="BU5" s="29"/>
      <c r="BV5" s="29"/>
      <c r="BW5" s="29"/>
      <c r="CC5" s="295"/>
      <c r="CD5" s="15" t="s">
        <v>28</v>
      </c>
      <c r="CE5" s="214">
        <v>20626.079999999609</v>
      </c>
      <c r="CF5" s="214">
        <v>24775.299999998882</v>
      </c>
      <c r="CG5" s="214">
        <v>25830.020000001416</v>
      </c>
      <c r="CH5" s="214">
        <v>21223.889999997336</v>
      </c>
      <c r="CI5" s="214">
        <v>0</v>
      </c>
      <c r="CJ5" s="214">
        <v>0</v>
      </c>
      <c r="CK5" s="214">
        <v>0</v>
      </c>
      <c r="CN5" s="295"/>
      <c r="CO5" s="15" t="s">
        <v>28</v>
      </c>
      <c r="CP5" s="214">
        <v>20626.079999999609</v>
      </c>
      <c r="CQ5" s="214">
        <v>24775.299999998882</v>
      </c>
      <c r="CR5" s="214">
        <v>25830.020000001416</v>
      </c>
      <c r="CS5" s="214">
        <v>21223.889999997336</v>
      </c>
      <c r="CT5" s="214">
        <v>0</v>
      </c>
      <c r="CU5" s="214">
        <v>0</v>
      </c>
      <c r="CV5" s="214">
        <v>0</v>
      </c>
      <c r="DA5" s="1"/>
      <c r="DC5" s="10">
        <v>44166</v>
      </c>
      <c r="DD5" s="10">
        <v>44197</v>
      </c>
      <c r="DE5" s="10">
        <v>44228</v>
      </c>
      <c r="DF5" s="10">
        <v>44256</v>
      </c>
      <c r="DG5" s="10">
        <v>44287</v>
      </c>
      <c r="DH5" s="10">
        <v>44317</v>
      </c>
      <c r="DI5" s="10">
        <v>44348</v>
      </c>
      <c r="DJ5" s="10">
        <v>44378</v>
      </c>
      <c r="DK5" s="10">
        <v>44409</v>
      </c>
      <c r="DL5" s="10">
        <v>44440</v>
      </c>
      <c r="DM5" s="10">
        <v>44470</v>
      </c>
      <c r="DN5" s="10">
        <v>44501</v>
      </c>
      <c r="DO5" s="10">
        <v>44531</v>
      </c>
      <c r="DP5" s="10">
        <v>44562</v>
      </c>
      <c r="DQ5" s="10">
        <v>44593</v>
      </c>
      <c r="DR5" s="10">
        <v>44621</v>
      </c>
      <c r="DS5" s="10">
        <v>44652</v>
      </c>
      <c r="DT5" s="10">
        <v>44682</v>
      </c>
      <c r="DU5" s="10">
        <v>44713</v>
      </c>
      <c r="DV5" s="10">
        <v>44743</v>
      </c>
      <c r="DW5" s="10">
        <v>44774</v>
      </c>
      <c r="DX5" s="10">
        <v>44805</v>
      </c>
      <c r="DY5" s="10">
        <v>44835</v>
      </c>
      <c r="DZ5" s="10">
        <v>44866</v>
      </c>
      <c r="EA5" s="10">
        <v>44896</v>
      </c>
      <c r="EB5" s="45" t="s">
        <v>130</v>
      </c>
      <c r="EC5" s="45" t="s">
        <v>89</v>
      </c>
    </row>
    <row r="6" spans="1:134" ht="14.5" x14ac:dyDescent="0.35">
      <c r="A6" s="298" t="s">
        <v>0</v>
      </c>
      <c r="B6" s="5"/>
      <c r="C6" s="29"/>
      <c r="D6" s="29"/>
      <c r="E6" s="29"/>
      <c r="F6" s="29"/>
      <c r="G6" s="29"/>
      <c r="H6" s="7"/>
      <c r="I6" s="29"/>
      <c r="J6" s="29"/>
      <c r="K6" s="29"/>
      <c r="L6" s="29"/>
      <c r="M6" s="29"/>
      <c r="N6" s="29"/>
      <c r="O6" s="29"/>
      <c r="P6" s="29"/>
      <c r="Q6" s="29"/>
      <c r="AW6" s="298"/>
      <c r="AX6" s="5" t="s">
        <v>9</v>
      </c>
      <c r="AY6" s="21">
        <v>7004423.3000000007</v>
      </c>
      <c r="AZ6" s="118">
        <v>193976.29</v>
      </c>
      <c r="BA6" s="118">
        <v>258711.14</v>
      </c>
      <c r="BB6" s="118">
        <v>209760.13</v>
      </c>
      <c r="BC6" s="118">
        <v>1180880.3099999998</v>
      </c>
      <c r="BD6" s="118">
        <v>-1350623.74</v>
      </c>
      <c r="BE6" s="118">
        <v>87350.23</v>
      </c>
      <c r="BF6" s="21">
        <v>459064.35</v>
      </c>
      <c r="BG6" s="118">
        <v>41006.9</v>
      </c>
      <c r="BH6" s="118">
        <v>158880.82</v>
      </c>
      <c r="BI6" s="118">
        <v>83121.37999999999</v>
      </c>
      <c r="BJ6" s="118">
        <v>138134.42000000001</v>
      </c>
      <c r="BK6" s="21">
        <v>209941.13000000003</v>
      </c>
      <c r="BL6" s="21">
        <v>-1300.0800000000563</v>
      </c>
      <c r="BM6" s="21">
        <v>14255.75</v>
      </c>
      <c r="BN6" s="118">
        <v>253636.05</v>
      </c>
      <c r="BO6" s="21">
        <v>60801.639999999985</v>
      </c>
      <c r="BP6" s="21">
        <v>700403.20000000019</v>
      </c>
      <c r="BQ6" s="21">
        <v>126526.49999999997</v>
      </c>
      <c r="BR6" s="21">
        <v>21848.7</v>
      </c>
      <c r="BS6" s="21">
        <v>5996.8600000000006</v>
      </c>
      <c r="BT6" s="21">
        <v>-279762.15999999992</v>
      </c>
      <c r="BU6" s="21">
        <v>95606.290000000008</v>
      </c>
      <c r="BV6" s="21">
        <v>153442.74</v>
      </c>
      <c r="BW6" s="21">
        <v>225.28000000000486</v>
      </c>
      <c r="CB6" s="149"/>
      <c r="CC6" s="295"/>
      <c r="CD6" s="16" t="s">
        <v>26</v>
      </c>
      <c r="CE6" s="214">
        <v>-452926.68</v>
      </c>
      <c r="CF6" s="214">
        <v>-540882.03</v>
      </c>
      <c r="CG6" s="214">
        <v>-651029.75</v>
      </c>
      <c r="CH6" s="214">
        <v>-427144.88</v>
      </c>
      <c r="CI6" s="214">
        <v>-59180.159999999996</v>
      </c>
      <c r="CJ6" s="214">
        <v>-58562.48</v>
      </c>
      <c r="CK6" s="214">
        <v>-50748.47</v>
      </c>
      <c r="CL6" s="4"/>
      <c r="CM6" s="4"/>
      <c r="CN6" s="295"/>
      <c r="CO6" s="16" t="s">
        <v>26</v>
      </c>
      <c r="CP6" s="214">
        <v>-452926.68</v>
      </c>
      <c r="CQ6" s="214">
        <v>-540882.03</v>
      </c>
      <c r="CR6" s="214">
        <v>-651029.75</v>
      </c>
      <c r="CS6" s="214">
        <v>-427144.88</v>
      </c>
      <c r="CT6" s="214">
        <v>-59180.160000000003</v>
      </c>
      <c r="CU6" s="214">
        <v>-58562.479999999996</v>
      </c>
      <c r="CV6" s="214">
        <v>-50748.47</v>
      </c>
      <c r="CW6" s="4"/>
      <c r="CX6" s="4"/>
      <c r="CY6" s="4"/>
      <c r="DA6" s="298" t="s">
        <v>0</v>
      </c>
      <c r="DB6" s="5"/>
      <c r="DC6" s="29"/>
      <c r="DD6" s="29"/>
      <c r="DE6" s="29"/>
      <c r="DF6" s="151">
        <v>-3340.5820431405446</v>
      </c>
      <c r="DG6" s="152"/>
      <c r="DH6" s="152"/>
      <c r="DI6" s="152"/>
      <c r="DJ6" s="152"/>
      <c r="DK6" s="152"/>
      <c r="DL6" s="152"/>
      <c r="DM6" s="152"/>
      <c r="DN6" s="152"/>
      <c r="DO6" s="152"/>
      <c r="DP6" s="152"/>
      <c r="DQ6" s="152"/>
      <c r="DR6" s="152"/>
      <c r="DS6" s="152"/>
      <c r="DT6" s="152"/>
      <c r="DU6" s="152"/>
      <c r="DV6" s="152"/>
      <c r="DW6" s="152"/>
      <c r="DX6" s="152"/>
      <c r="DY6" s="152"/>
      <c r="DZ6" s="152"/>
      <c r="EA6" s="152"/>
    </row>
    <row r="7" spans="1:134" s="3" customFormat="1" ht="15" customHeight="1" x14ac:dyDescent="0.35">
      <c r="A7" s="298"/>
      <c r="B7" s="5" t="s">
        <v>9</v>
      </c>
      <c r="C7" s="21">
        <v>0</v>
      </c>
      <c r="D7" s="21">
        <v>0</v>
      </c>
      <c r="E7" s="21">
        <v>0</v>
      </c>
      <c r="F7" s="21">
        <v>0</v>
      </c>
      <c r="G7" s="21">
        <v>-189515</v>
      </c>
      <c r="H7" s="22">
        <v>-1872.22</v>
      </c>
      <c r="I7" s="22">
        <v>0</v>
      </c>
      <c r="J7" s="21">
        <v>0</v>
      </c>
      <c r="K7" s="21">
        <v>0</v>
      </c>
      <c r="L7" s="22">
        <f>-98663.75-98663.75-1872.22-1872.22</f>
        <v>-201071.94</v>
      </c>
      <c r="M7" s="21">
        <v>0</v>
      </c>
      <c r="N7" s="21">
        <v>0</v>
      </c>
      <c r="O7" s="21">
        <v>0</v>
      </c>
      <c r="P7" s="21">
        <v>0</v>
      </c>
      <c r="Q7" s="21">
        <f>-SUM(G7:P7)</f>
        <v>392459.16000000003</v>
      </c>
      <c r="AV7" s="161"/>
      <c r="AW7" s="298"/>
      <c r="AX7" s="5" t="s">
        <v>10</v>
      </c>
      <c r="AY7" s="22">
        <v>-36362.01</v>
      </c>
      <c r="AZ7" s="22">
        <v>124962.2</v>
      </c>
      <c r="BA7" s="22">
        <v>216142.69</v>
      </c>
      <c r="BB7" s="22">
        <v>164533.09</v>
      </c>
      <c r="BC7" s="22">
        <v>52414.7</v>
      </c>
      <c r="BD7" s="22">
        <v>41132.15</v>
      </c>
      <c r="BE7" s="22">
        <v>99790.34</v>
      </c>
      <c r="BF7" s="21">
        <v>162041.60999999999</v>
      </c>
      <c r="BG7" s="22">
        <v>143971.22</v>
      </c>
      <c r="BH7" s="22">
        <v>8571.3799999999992</v>
      </c>
      <c r="BI7" s="22">
        <v>-35370.6</v>
      </c>
      <c r="BJ7" s="22">
        <v>118298.99</v>
      </c>
      <c r="BK7" s="22">
        <v>171428.03</v>
      </c>
      <c r="BL7" s="22">
        <v>133296.92000000001</v>
      </c>
      <c r="BM7" s="22">
        <v>117655.75</v>
      </c>
      <c r="BN7" s="22">
        <v>130053.22</v>
      </c>
      <c r="BO7" s="22">
        <v>209735.52</v>
      </c>
      <c r="BP7" s="22">
        <v>197790.51</v>
      </c>
      <c r="BQ7" s="22">
        <v>179959.96</v>
      </c>
      <c r="BR7" s="22">
        <v>125626.02</v>
      </c>
      <c r="BS7" s="22">
        <v>131893.51</v>
      </c>
      <c r="BT7" s="22">
        <v>171081.87</v>
      </c>
      <c r="BU7" s="22">
        <v>221573.25</v>
      </c>
      <c r="BV7" s="22">
        <v>139999.91</v>
      </c>
      <c r="BW7" s="22">
        <v>69598.7</v>
      </c>
      <c r="CB7" s="150"/>
      <c r="CC7" s="295"/>
      <c r="CD7" s="16" t="s">
        <v>51</v>
      </c>
      <c r="CE7" s="214">
        <v>492875.96</v>
      </c>
      <c r="CF7" s="214">
        <v>588146.23</v>
      </c>
      <c r="CG7" s="214">
        <v>699374.74</v>
      </c>
      <c r="CH7" s="214">
        <v>432869.69</v>
      </c>
      <c r="CI7" s="214">
        <v>60881.03</v>
      </c>
      <c r="CJ7" s="214">
        <v>60189.59</v>
      </c>
      <c r="CK7" s="214">
        <v>52383.22</v>
      </c>
      <c r="CL7" s="2"/>
      <c r="CM7" s="2"/>
      <c r="CN7" s="295"/>
      <c r="CO7" s="16" t="s">
        <v>51</v>
      </c>
      <c r="CP7" s="214">
        <v>492875.96</v>
      </c>
      <c r="CQ7" s="214">
        <v>588146.23</v>
      </c>
      <c r="CR7" s="214">
        <v>699374.74</v>
      </c>
      <c r="CS7" s="214">
        <v>432869.69</v>
      </c>
      <c r="CT7" s="214">
        <v>60881.03</v>
      </c>
      <c r="CU7" s="214">
        <v>60189.59</v>
      </c>
      <c r="CV7" s="214">
        <v>52383.22</v>
      </c>
      <c r="CW7" s="2"/>
      <c r="CX7" s="2"/>
      <c r="CY7" s="2"/>
      <c r="CZ7" s="225"/>
      <c r="DA7" s="298"/>
      <c r="DB7" s="5" t="s">
        <v>9</v>
      </c>
      <c r="DC7" s="21">
        <v>-279762.15999999992</v>
      </c>
      <c r="DD7" s="21">
        <v>95606.290000000008</v>
      </c>
      <c r="DE7" s="21">
        <v>153442.74</v>
      </c>
      <c r="DF7" s="21">
        <v>225.280000000005</v>
      </c>
      <c r="DG7" s="21">
        <v>99299.199999999997</v>
      </c>
      <c r="DH7" s="21">
        <v>19536.79</v>
      </c>
      <c r="DI7" s="21">
        <v>3441.95</v>
      </c>
      <c r="DJ7" s="21">
        <v>-107676.22</v>
      </c>
      <c r="DK7" s="21">
        <v>405</v>
      </c>
      <c r="DL7" s="21">
        <v>0</v>
      </c>
      <c r="DM7" s="21">
        <v>0</v>
      </c>
      <c r="DN7" s="21">
        <v>73760.72</v>
      </c>
      <c r="DO7" s="21">
        <v>0</v>
      </c>
      <c r="DP7" s="21">
        <v>-96364.57</v>
      </c>
      <c r="DQ7" s="211"/>
      <c r="DR7" s="211"/>
      <c r="DS7" s="211"/>
      <c r="DT7" s="211"/>
      <c r="DU7" s="211"/>
      <c r="DV7" s="211"/>
      <c r="DW7" s="211"/>
      <c r="DX7" s="211"/>
      <c r="DY7" s="211"/>
      <c r="DZ7" s="211"/>
      <c r="EA7" s="211"/>
    </row>
    <row r="8" spans="1:134" s="3" customFormat="1" ht="14.5" x14ac:dyDescent="0.35">
      <c r="A8" s="298"/>
      <c r="B8" s="5" t="s">
        <v>10</v>
      </c>
      <c r="C8" s="22">
        <v>0</v>
      </c>
      <c r="D8" s="22">
        <v>0</v>
      </c>
      <c r="E8" s="22">
        <v>0</v>
      </c>
      <c r="F8" s="22">
        <v>0</v>
      </c>
      <c r="G8" s="22">
        <v>0</v>
      </c>
      <c r="H8" s="22">
        <v>0</v>
      </c>
      <c r="I8" s="22">
        <v>0</v>
      </c>
      <c r="J8" s="22">
        <v>0</v>
      </c>
      <c r="K8" s="22">
        <v>0</v>
      </c>
      <c r="L8" s="22">
        <v>0</v>
      </c>
      <c r="M8" s="22">
        <v>0</v>
      </c>
      <c r="N8" s="22">
        <v>0</v>
      </c>
      <c r="O8" s="22">
        <v>0</v>
      </c>
      <c r="P8" s="22">
        <v>0</v>
      </c>
      <c r="Q8" s="22">
        <v>0</v>
      </c>
      <c r="AV8" s="161"/>
      <c r="AW8" s="298"/>
      <c r="AX8" s="5" t="s">
        <v>11</v>
      </c>
      <c r="AY8" s="8">
        <v>7040785.3100000005</v>
      </c>
      <c r="AZ8" s="8">
        <v>69014.090000000011</v>
      </c>
      <c r="BA8" s="8">
        <v>42568.450000000012</v>
      </c>
      <c r="BB8" s="8">
        <v>45227.040000000008</v>
      </c>
      <c r="BC8" s="8">
        <v>1128465.6099999999</v>
      </c>
      <c r="BD8" s="8">
        <v>-1391755.89</v>
      </c>
      <c r="BE8" s="8">
        <v>-12440.11</v>
      </c>
      <c r="BF8" s="8">
        <v>297022.74</v>
      </c>
      <c r="BG8" s="8">
        <v>-102964.32</v>
      </c>
      <c r="BH8" s="8">
        <v>150309.44</v>
      </c>
      <c r="BI8" s="8">
        <v>118491.97999999998</v>
      </c>
      <c r="BJ8" s="8">
        <v>19835.430000000008</v>
      </c>
      <c r="BK8" s="8">
        <v>38513.100000000035</v>
      </c>
      <c r="BL8" s="8">
        <v>-134597.00000000006</v>
      </c>
      <c r="BM8" s="8">
        <v>-103400</v>
      </c>
      <c r="BN8" s="8">
        <v>123582.82999999999</v>
      </c>
      <c r="BO8" s="8">
        <v>-148933.88</v>
      </c>
      <c r="BP8" s="8">
        <v>502612.69000000018</v>
      </c>
      <c r="BQ8" s="8">
        <v>-53433.460000000021</v>
      </c>
      <c r="BR8" s="8">
        <v>-103777.32</v>
      </c>
      <c r="BS8" s="8">
        <v>-125896.65000000001</v>
      </c>
      <c r="BT8" s="8">
        <v>-450844.02999999991</v>
      </c>
      <c r="BU8" s="8">
        <v>-125966.95999999999</v>
      </c>
      <c r="BV8" s="8">
        <v>13442.829999999987</v>
      </c>
      <c r="BW8" s="8">
        <v>-69373.42</v>
      </c>
      <c r="CB8" s="149"/>
      <c r="CC8" s="295"/>
      <c r="CD8" s="16" t="s">
        <v>52</v>
      </c>
      <c r="CE8" s="214">
        <v>39949.280000000013</v>
      </c>
      <c r="CF8" s="214">
        <v>47264.200000000004</v>
      </c>
      <c r="CG8" s="214">
        <v>48344.990000000005</v>
      </c>
      <c r="CH8" s="214">
        <v>5724.8099999999795</v>
      </c>
      <c r="CI8" s="214">
        <v>1700.8699999999994</v>
      </c>
      <c r="CJ8" s="214">
        <v>1627.1099999999992</v>
      </c>
      <c r="CK8" s="214">
        <v>1634.7500000000036</v>
      </c>
      <c r="CL8" s="4"/>
      <c r="CM8" s="4"/>
      <c r="CN8" s="295"/>
      <c r="CO8" s="16" t="s">
        <v>52</v>
      </c>
      <c r="CP8" s="214">
        <v>39949.279999999992</v>
      </c>
      <c r="CQ8" s="214">
        <v>47264.199999999983</v>
      </c>
      <c r="CR8" s="214">
        <v>48344.99000000002</v>
      </c>
      <c r="CS8" s="214">
        <v>5724.8100000000086</v>
      </c>
      <c r="CT8" s="214">
        <v>1700.8699999999967</v>
      </c>
      <c r="CU8" s="214">
        <v>1627.1100000000006</v>
      </c>
      <c r="CV8" s="214">
        <v>1634.7500000000009</v>
      </c>
      <c r="CW8" s="4"/>
      <c r="CX8" s="4"/>
      <c r="CY8" s="4"/>
      <c r="CZ8" s="225"/>
      <c r="DA8" s="298"/>
      <c r="DB8" s="5" t="s">
        <v>10</v>
      </c>
      <c r="DC8" s="22">
        <v>171081.87</v>
      </c>
      <c r="DD8" s="22">
        <v>221573.25</v>
      </c>
      <c r="DE8" s="22">
        <v>139999.91</v>
      </c>
      <c r="DF8" s="22">
        <v>69598.7</v>
      </c>
      <c r="DG8" s="22">
        <v>79661.600000000006</v>
      </c>
      <c r="DH8" s="22">
        <v>83734.06</v>
      </c>
      <c r="DI8" s="22">
        <v>81721.8</v>
      </c>
      <c r="DJ8" s="22">
        <v>93432.28</v>
      </c>
      <c r="DK8" s="22">
        <v>87748.09</v>
      </c>
      <c r="DL8" s="22">
        <v>92364.89</v>
      </c>
      <c r="DM8" s="22">
        <v>92883.25</v>
      </c>
      <c r="DN8" s="22">
        <v>76286.48</v>
      </c>
      <c r="DO8" s="22">
        <v>85855.96</v>
      </c>
      <c r="DP8" s="22">
        <v>77650.67</v>
      </c>
      <c r="DQ8" s="12"/>
      <c r="DR8" s="12"/>
      <c r="DS8" s="12"/>
      <c r="DT8" s="12"/>
      <c r="DU8" s="12"/>
      <c r="DV8" s="12"/>
      <c r="DW8" s="12"/>
      <c r="DX8" s="12"/>
      <c r="DY8" s="12"/>
      <c r="DZ8" s="12"/>
      <c r="EA8" s="12"/>
    </row>
    <row r="9" spans="1:134" s="3" customFormat="1" ht="14.5" x14ac:dyDescent="0.35">
      <c r="A9" s="298"/>
      <c r="B9" s="5" t="s">
        <v>11</v>
      </c>
      <c r="C9" s="8">
        <v>0</v>
      </c>
      <c r="D9" s="8">
        <f t="shared" ref="D9:Q9" si="0">IF(OR(D7="",D8=""),"",D7-D8)</f>
        <v>0</v>
      </c>
      <c r="E9" s="8">
        <f t="shared" si="0"/>
        <v>0</v>
      </c>
      <c r="F9" s="8">
        <f t="shared" si="0"/>
        <v>0</v>
      </c>
      <c r="G9" s="8">
        <f t="shared" si="0"/>
        <v>-189515</v>
      </c>
      <c r="H9" s="8">
        <f>IF(OR(H7="",H8=""),"",H7-H8)</f>
        <v>-1872.22</v>
      </c>
      <c r="I9" s="8">
        <f t="shared" si="0"/>
        <v>0</v>
      </c>
      <c r="J9" s="8">
        <f t="shared" si="0"/>
        <v>0</v>
      </c>
      <c r="K9" s="8">
        <f t="shared" si="0"/>
        <v>0</v>
      </c>
      <c r="L9" s="8">
        <f t="shared" si="0"/>
        <v>-201071.94</v>
      </c>
      <c r="M9" s="8">
        <f t="shared" si="0"/>
        <v>0</v>
      </c>
      <c r="N9" s="8">
        <f t="shared" si="0"/>
        <v>0</v>
      </c>
      <c r="O9" s="8">
        <f t="shared" si="0"/>
        <v>0</v>
      </c>
      <c r="P9" s="8">
        <f t="shared" si="0"/>
        <v>0</v>
      </c>
      <c r="Q9" s="8">
        <f t="shared" si="0"/>
        <v>392459.16000000003</v>
      </c>
      <c r="AV9" s="161"/>
      <c r="AW9" s="298"/>
      <c r="AX9" s="5" t="s">
        <v>4</v>
      </c>
      <c r="AY9" s="23">
        <v>2.7878150000000001E-2</v>
      </c>
      <c r="AZ9" s="23">
        <v>2.6622739999999999E-2</v>
      </c>
      <c r="BA9" s="23">
        <v>2.677361E-2</v>
      </c>
      <c r="BB9" s="23">
        <v>2.6500570000000001E-2</v>
      </c>
      <c r="BC9" s="23">
        <v>2.594869E-2</v>
      </c>
      <c r="BD9" s="23">
        <v>2.3511899999999999E-2</v>
      </c>
      <c r="BE9" s="23">
        <v>2.21687E-2</v>
      </c>
      <c r="BF9" s="23">
        <v>2.113932E-2</v>
      </c>
      <c r="BG9" s="23">
        <v>1.8159890000000001E-2</v>
      </c>
      <c r="BH9" s="23">
        <v>1.9151990000000001E-2</v>
      </c>
      <c r="BI9" s="23">
        <v>1.8890779999999999E-2</v>
      </c>
      <c r="BJ9" s="23">
        <v>1.8035829999999999E-2</v>
      </c>
      <c r="BK9" s="23">
        <v>1.888592E-2</v>
      </c>
      <c r="BL9" s="23">
        <v>9.3845999999999999E-3</v>
      </c>
      <c r="BM9" s="23">
        <v>1.2906700000000001E-3</v>
      </c>
      <c r="BN9" s="23">
        <v>1.2563100000000001E-3</v>
      </c>
      <c r="BO9" s="23">
        <v>1.9366299999999999E-3</v>
      </c>
      <c r="BP9" s="23">
        <v>1.3658500000000001E-3</v>
      </c>
      <c r="BQ9" s="23">
        <v>1.23916E-3</v>
      </c>
      <c r="BR9" s="23">
        <v>2E-3</v>
      </c>
      <c r="BS9" s="23">
        <v>2.5244400000000002E-3</v>
      </c>
      <c r="BT9" s="23">
        <v>2.8469900000000002E-3</v>
      </c>
      <c r="BU9" s="23">
        <v>2.0613900000000002E-3</v>
      </c>
      <c r="BV9" s="23">
        <v>2.3221700000000001E-3</v>
      </c>
      <c r="BW9" s="23">
        <v>2.1367399999999998E-3</v>
      </c>
      <c r="CB9" s="149"/>
      <c r="CC9" s="295"/>
      <c r="CD9" s="16" t="s">
        <v>13</v>
      </c>
      <c r="CE9" s="214">
        <v>-19323.200000000405</v>
      </c>
      <c r="CF9" s="214">
        <v>-22488.900000001122</v>
      </c>
      <c r="CG9" s="214">
        <v>-22514.96999999859</v>
      </c>
      <c r="CH9" s="214">
        <v>15499.079999997357</v>
      </c>
      <c r="CI9" s="214">
        <v>-1700.8699999999994</v>
      </c>
      <c r="CJ9" s="214">
        <v>-1627.1099999999992</v>
      </c>
      <c r="CK9" s="214">
        <v>-1634.7500000000036</v>
      </c>
      <c r="CL9" s="4"/>
      <c r="CM9" s="4"/>
      <c r="CN9" s="295"/>
      <c r="CO9" s="16" t="s">
        <v>13</v>
      </c>
      <c r="CP9" s="214">
        <v>-19323.200000000383</v>
      </c>
      <c r="CQ9" s="214">
        <v>-22488.900000001093</v>
      </c>
      <c r="CR9" s="214">
        <v>-22514.969999998611</v>
      </c>
      <c r="CS9" s="214">
        <v>15499.079999997328</v>
      </c>
      <c r="CT9" s="214">
        <v>-1700.8699999999967</v>
      </c>
      <c r="CU9" s="214">
        <v>-1627.1100000000006</v>
      </c>
      <c r="CV9" s="214">
        <v>-1634.7500000000009</v>
      </c>
      <c r="CW9" s="4"/>
      <c r="CX9" s="4"/>
      <c r="CY9" s="4"/>
      <c r="CZ9" s="225"/>
      <c r="DA9" s="298"/>
      <c r="DB9" s="5" t="s">
        <v>11</v>
      </c>
      <c r="DC9" s="8">
        <v>-450844.02999999991</v>
      </c>
      <c r="DD9" s="8">
        <v>-125966.95999999999</v>
      </c>
      <c r="DE9" s="8">
        <v>13442.829999999987</v>
      </c>
      <c r="DF9" s="8">
        <v>-69373.42</v>
      </c>
      <c r="DG9" s="8">
        <v>19637.599999999991</v>
      </c>
      <c r="DH9" s="8">
        <v>-64197.27</v>
      </c>
      <c r="DI9" s="8">
        <v>-78279.850000000006</v>
      </c>
      <c r="DJ9" s="8">
        <v>-201108.5</v>
      </c>
      <c r="DK9" s="8">
        <v>-87343.09</v>
      </c>
      <c r="DL9" s="8">
        <v>-92364.89</v>
      </c>
      <c r="DM9" s="8">
        <v>-92883.25</v>
      </c>
      <c r="DN9" s="8">
        <v>-2525.7599999999948</v>
      </c>
      <c r="DO9" s="8">
        <v>-85855.96</v>
      </c>
      <c r="DP9" s="8">
        <v>-174015.24</v>
      </c>
      <c r="DQ9" s="12" t="s">
        <v>129</v>
      </c>
      <c r="DR9" s="12" t="s">
        <v>129</v>
      </c>
      <c r="DS9" s="12" t="s">
        <v>129</v>
      </c>
      <c r="DT9" s="12" t="s">
        <v>129</v>
      </c>
      <c r="DU9" s="12" t="s">
        <v>129</v>
      </c>
      <c r="DV9" s="12" t="s">
        <v>129</v>
      </c>
      <c r="DW9" s="12" t="s">
        <v>129</v>
      </c>
      <c r="DX9" s="12" t="s">
        <v>129</v>
      </c>
      <c r="DY9" s="12" t="s">
        <v>129</v>
      </c>
      <c r="DZ9" s="12" t="s">
        <v>129</v>
      </c>
      <c r="EA9" s="12" t="s">
        <v>129</v>
      </c>
    </row>
    <row r="10" spans="1:134" s="3" customFormat="1" ht="14.5" x14ac:dyDescent="0.35">
      <c r="A10" s="298"/>
      <c r="B10" s="5" t="s">
        <v>4</v>
      </c>
      <c r="C10" s="23">
        <v>7.5545970550536697E-3</v>
      </c>
      <c r="D10" s="23">
        <v>7.6017000000000003E-3</v>
      </c>
      <c r="E10" s="23">
        <v>7.6414500000000002E-3</v>
      </c>
      <c r="F10" s="23">
        <v>9.6220400000000001E-3</v>
      </c>
      <c r="G10" s="23">
        <v>8.9999999999999993E-3</v>
      </c>
      <c r="H10" s="23">
        <v>8.9999999999999993E-3</v>
      </c>
      <c r="I10" s="23">
        <v>1.15E-2</v>
      </c>
      <c r="J10" s="23">
        <v>1.15E-2</v>
      </c>
      <c r="K10" s="23">
        <v>1.15E-2</v>
      </c>
      <c r="L10" s="23">
        <v>1.41E-2</v>
      </c>
      <c r="M10" s="23">
        <v>1.39185E-2</v>
      </c>
      <c r="N10" s="23">
        <v>1.466976E-2</v>
      </c>
      <c r="O10" s="23">
        <v>1.4482760000000001E-2</v>
      </c>
      <c r="P10" s="23">
        <v>1.45083E-2</v>
      </c>
      <c r="Q10" s="23">
        <v>1.4428689E-2</v>
      </c>
      <c r="AV10" s="161"/>
      <c r="AW10" s="298"/>
      <c r="AX10" s="5" t="s">
        <v>5</v>
      </c>
      <c r="AY10" s="8">
        <v>975.68603367557773</v>
      </c>
      <c r="AZ10" s="8">
        <v>1087.0255341540258</v>
      </c>
      <c r="BA10" s="8">
        <v>1190.5868872923527</v>
      </c>
      <c r="BB10" s="8">
        <v>1280.9529585755447</v>
      </c>
      <c r="BC10" s="8">
        <v>3697.2304528205282</v>
      </c>
      <c r="BD10" s="8">
        <v>630.3728425712826</v>
      </c>
      <c r="BE10" s="8">
        <v>572.54336634096649</v>
      </c>
      <c r="BF10" s="8">
        <v>1070.2047513646482</v>
      </c>
      <c r="BG10" s="8">
        <v>765.16852073249026</v>
      </c>
      <c r="BH10" s="8">
        <v>1048.0856885197029</v>
      </c>
      <c r="BI10" s="8">
        <v>1221.9748230956698</v>
      </c>
      <c r="BJ10" s="8">
        <v>1198.3202447699666</v>
      </c>
      <c r="BK10" s="8">
        <v>1317.3000450301145</v>
      </c>
      <c r="BL10" s="8">
        <v>550.34800114798418</v>
      </c>
      <c r="BM10" s="8">
        <v>64.627630203054068</v>
      </c>
      <c r="BN10" s="8">
        <v>75.852085742545498</v>
      </c>
      <c r="BO10" s="8">
        <v>92.90411199252452</v>
      </c>
      <c r="BP10" s="8">
        <v>122.74099470059521</v>
      </c>
      <c r="BQ10" s="8">
        <v>105.85105877697275</v>
      </c>
      <c r="BR10" s="8">
        <v>153.56466852148051</v>
      </c>
      <c r="BS10" s="8">
        <v>167.37982304000002</v>
      </c>
      <c r="BT10" s="8">
        <v>81.843435917387481</v>
      </c>
      <c r="BU10" s="8">
        <v>37.634652770599523</v>
      </c>
      <c r="BV10" s="8">
        <v>45.004355839053062</v>
      </c>
      <c r="BW10" s="8">
        <v>29.065933206728971</v>
      </c>
      <c r="BX10" s="103" t="s">
        <v>90</v>
      </c>
      <c r="BY10" s="103" t="s">
        <v>89</v>
      </c>
      <c r="CB10" s="149"/>
      <c r="CC10" s="295"/>
      <c r="CD10" s="17" t="s">
        <v>8</v>
      </c>
      <c r="CE10" s="214">
        <v>-256.98413884328068</v>
      </c>
      <c r="CF10" s="214">
        <v>-314.16559918609727</v>
      </c>
      <c r="CG10" s="214">
        <v>-150.60802193166325</v>
      </c>
      <c r="CH10" s="214">
        <v>-79.545964253529533</v>
      </c>
      <c r="CI10" s="214">
        <v>-151.16564332316423</v>
      </c>
      <c r="CJ10" s="214">
        <v>-102.6392662555599</v>
      </c>
      <c r="CK10" s="214">
        <v>-122.26697962723581</v>
      </c>
      <c r="CL10" s="4"/>
      <c r="CM10" s="4"/>
      <c r="CN10" s="295"/>
      <c r="CO10" s="17" t="s">
        <v>8</v>
      </c>
      <c r="CP10" s="214">
        <v>-256.98413884328073</v>
      </c>
      <c r="CQ10" s="214">
        <v>-314.16559918609727</v>
      </c>
      <c r="CR10" s="214">
        <v>-150.60802193166325</v>
      </c>
      <c r="CS10" s="214">
        <v>-79.545964253529519</v>
      </c>
      <c r="CT10" s="214">
        <v>-151.16564332316423</v>
      </c>
      <c r="CU10" s="214">
        <v>-102.63926625555987</v>
      </c>
      <c r="CV10" s="214">
        <v>-122.26697962723584</v>
      </c>
      <c r="CW10" s="4"/>
      <c r="CX10" s="4"/>
      <c r="CY10" s="4"/>
      <c r="CZ10" s="225"/>
      <c r="DA10" s="298"/>
      <c r="DB10" s="5" t="s">
        <v>4</v>
      </c>
      <c r="DC10" s="220">
        <v>2E-3</v>
      </c>
      <c r="DD10" s="23">
        <v>2.0613900000000002E-3</v>
      </c>
      <c r="DE10" s="23">
        <v>2.3221700000000001E-3</v>
      </c>
      <c r="DF10" s="23">
        <v>2.1367399999999998E-3</v>
      </c>
      <c r="DG10" s="23">
        <v>2.2512299999999999E-3</v>
      </c>
      <c r="DH10" s="23">
        <v>2.2427200000000001E-3</v>
      </c>
      <c r="DI10" s="23">
        <v>2.01659E-3</v>
      </c>
      <c r="DJ10" s="23">
        <v>1.3954900000000001E-3</v>
      </c>
      <c r="DK10" s="23">
        <v>2.0509899999999999E-3</v>
      </c>
      <c r="DL10" s="23">
        <v>1.9323299999999999E-3</v>
      </c>
      <c r="DM10" s="23">
        <v>1.5E-3</v>
      </c>
      <c r="DN10" s="23">
        <v>1.5320900000000001E-3</v>
      </c>
      <c r="DO10" s="23">
        <v>2.6046400000000001E-3</v>
      </c>
      <c r="DP10" s="23">
        <v>2.3444999999999998E-3</v>
      </c>
      <c r="DQ10" s="23">
        <v>2.9584899999999998E-3</v>
      </c>
      <c r="DR10" s="23">
        <v>6.8829599999999996E-3</v>
      </c>
      <c r="DS10" s="23">
        <v>6.0041599999999997E-3</v>
      </c>
      <c r="DT10" s="23">
        <v>9.4970499999999999E-3</v>
      </c>
      <c r="DU10" s="23">
        <v>1.4858659999999999E-2</v>
      </c>
      <c r="DV10" s="23">
        <v>2.0566899999999999E-2</v>
      </c>
      <c r="DW10" s="23">
        <v>2.564054E-2</v>
      </c>
      <c r="DX10" s="23">
        <v>2.8416960000000002E-2</v>
      </c>
      <c r="DY10" s="23">
        <v>3.4701200000000001E-2</v>
      </c>
      <c r="DZ10" s="23">
        <v>4.286098E-2</v>
      </c>
      <c r="EA10" s="23">
        <v>4.617603E-2</v>
      </c>
    </row>
    <row r="11" spans="1:134" s="3" customFormat="1" ht="14.5" x14ac:dyDescent="0.35">
      <c r="A11" s="298"/>
      <c r="B11" s="5" t="s">
        <v>5</v>
      </c>
      <c r="C11" s="8">
        <v>0</v>
      </c>
      <c r="D11" s="8">
        <f>IF(OR(D10="",D9="",C14=""),"",((C14+D9)*D10)/12)</f>
        <v>0</v>
      </c>
      <c r="E11" s="8">
        <f t="shared" ref="E11:Q11" si="1">IF(OR(E10="",E9="",D14=""),"",((D14+E9)*E10)/12)</f>
        <v>0</v>
      </c>
      <c r="F11" s="8">
        <f>IF(OR(F10="",F9="",E14=""),"",((E14+F9)*F10)/12)</f>
        <v>0</v>
      </c>
      <c r="G11" s="8">
        <f>IF(OR(G10="",G9="",F14=""),"",((F14+G9)*G10)/12)</f>
        <v>-142.13624999999999</v>
      </c>
      <c r="H11" s="8">
        <f>IF(OR(H10="",H9="",G14=""),"",((G14+H6+H9)*H10)/12)</f>
        <v>-143.64701718749998</v>
      </c>
      <c r="I11" s="8">
        <f t="shared" si="1"/>
        <v>-183.6866281310547</v>
      </c>
      <c r="J11" s="8">
        <f t="shared" si="1"/>
        <v>-183.86266114968029</v>
      </c>
      <c r="K11" s="8">
        <f t="shared" si="1"/>
        <v>-184.0388628666154</v>
      </c>
      <c r="L11" s="8">
        <f t="shared" si="1"/>
        <v>-462.12342441771835</v>
      </c>
      <c r="M11" s="8">
        <f t="shared" si="1"/>
        <v>-456.7108197868975</v>
      </c>
      <c r="N11" s="8">
        <f t="shared" si="1"/>
        <v>-481.9204002163637</v>
      </c>
      <c r="O11" s="8">
        <f t="shared" si="1"/>
        <v>-476.35883889272668</v>
      </c>
      <c r="P11" s="8">
        <f t="shared" si="1"/>
        <v>-477.7748160284246</v>
      </c>
      <c r="Q11" s="8">
        <f t="shared" si="1"/>
        <v>-3.838343557334722</v>
      </c>
      <c r="AV11" s="161"/>
      <c r="AW11" s="298"/>
      <c r="AX11" s="6" t="s">
        <v>6</v>
      </c>
      <c r="AY11" s="8">
        <v>-275582.55886894098</v>
      </c>
      <c r="AZ11" s="8">
        <v>-274495.53333478695</v>
      </c>
      <c r="BA11" s="8">
        <v>-273304.94644749461</v>
      </c>
      <c r="BB11" s="8">
        <v>-272023.99348891905</v>
      </c>
      <c r="BC11" s="8">
        <v>-268326.76303609851</v>
      </c>
      <c r="BD11" s="8">
        <v>-267696.39019352722</v>
      </c>
      <c r="BE11" s="8">
        <v>-267123.84682718624</v>
      </c>
      <c r="BF11" s="8">
        <v>-266053.64207582158</v>
      </c>
      <c r="BG11" s="8">
        <v>-265288.47355508909</v>
      </c>
      <c r="BH11" s="8">
        <v>-264240.38786656939</v>
      </c>
      <c r="BI11" s="8">
        <v>-263018.41304347373</v>
      </c>
      <c r="BJ11" s="8">
        <v>-261820.09279870376</v>
      </c>
      <c r="BK11" s="8">
        <v>-260502.79275367365</v>
      </c>
      <c r="BL11" s="8">
        <v>-259952.44475252565</v>
      </c>
      <c r="BM11" s="8">
        <v>-259887.81712232259</v>
      </c>
      <c r="BN11" s="8">
        <v>-259811.96503658005</v>
      </c>
      <c r="BO11" s="8">
        <v>-259719.06092458751</v>
      </c>
      <c r="BP11" s="8">
        <v>-259596.3199298869</v>
      </c>
      <c r="BQ11" s="8">
        <v>-259490.46887110992</v>
      </c>
      <c r="BR11" s="8">
        <v>-259336.90420258843</v>
      </c>
      <c r="BS11" s="8">
        <v>-259169.52437954841</v>
      </c>
      <c r="BT11" s="8">
        <v>-259087.68094363101</v>
      </c>
      <c r="BU11" s="8">
        <v>-259050.04629086042</v>
      </c>
      <c r="BV11" s="8">
        <v>-259005.04193502138</v>
      </c>
      <c r="BW11" s="8">
        <v>-258975.97600181465</v>
      </c>
      <c r="BX11" s="165">
        <f>'MEEIA 2 calcs'!BL11</f>
        <v>-258938.43989187756</v>
      </c>
      <c r="BY11" s="166">
        <f>BV11-BX11</f>
        <v>-66.602043143822812</v>
      </c>
      <c r="CB11" s="149"/>
      <c r="CC11" s="295"/>
      <c r="CD11" s="17" t="s">
        <v>27</v>
      </c>
      <c r="CE11" s="214">
        <v>-35718.313144887157</v>
      </c>
      <c r="CF11" s="214">
        <v>-36032.478744073254</v>
      </c>
      <c r="CG11" s="214">
        <v>-36183.086766004919</v>
      </c>
      <c r="CH11" s="214">
        <v>-36262.632730258447</v>
      </c>
      <c r="CI11" s="214">
        <v>-36413.798373581609</v>
      </c>
      <c r="CJ11" s="214">
        <v>-36516.437639837168</v>
      </c>
      <c r="CK11" s="214">
        <v>-36638.704619464406</v>
      </c>
      <c r="CL11" s="4"/>
      <c r="CM11" s="4"/>
      <c r="CN11" s="295"/>
      <c r="CO11" s="17" t="s">
        <v>27</v>
      </c>
      <c r="CP11" s="214">
        <v>-35718.313144887157</v>
      </c>
      <c r="CQ11" s="214">
        <v>-36032.478744073254</v>
      </c>
      <c r="CR11" s="214">
        <v>-36183.086766004919</v>
      </c>
      <c r="CS11" s="214">
        <v>-36262.632730258447</v>
      </c>
      <c r="CT11" s="214">
        <v>-36413.798373581609</v>
      </c>
      <c r="CU11" s="214">
        <v>-36516.437639837168</v>
      </c>
      <c r="CV11" s="214">
        <v>-36638.704619464406</v>
      </c>
      <c r="CW11" s="4"/>
      <c r="CX11" s="4"/>
      <c r="CY11" s="4"/>
      <c r="CZ11" s="225"/>
      <c r="DA11" s="298"/>
      <c r="DB11" s="5" t="s">
        <v>5</v>
      </c>
      <c r="DC11" s="8">
        <v>58.051140936965787</v>
      </c>
      <c r="DD11" s="8">
        <v>38.204073571943958</v>
      </c>
      <c r="DE11" s="8">
        <v>45.64592247557826</v>
      </c>
      <c r="DF11" s="8">
        <v>-37.540489069865004</v>
      </c>
      <c r="DG11" s="8">
        <v>34.308234221388759</v>
      </c>
      <c r="DH11" s="8">
        <v>22.1869139520219</v>
      </c>
      <c r="DI11" s="8">
        <v>6.7987065568995568</v>
      </c>
      <c r="DJ11" s="8">
        <v>-18.681546720903437</v>
      </c>
      <c r="DK11" s="8">
        <v>-42.388292555739831</v>
      </c>
      <c r="DL11" s="8">
        <v>-54.816031441830397</v>
      </c>
      <c r="DM11" s="8">
        <v>-54.16902071828445</v>
      </c>
      <c r="DN11" s="8">
        <v>-55.657266922630306</v>
      </c>
      <c r="DO11" s="8">
        <v>-113.26791717600172</v>
      </c>
      <c r="DP11" s="8">
        <v>-135.97557247294469</v>
      </c>
      <c r="DQ11" s="12" t="s">
        <v>129</v>
      </c>
      <c r="DR11" s="12" t="s">
        <v>129</v>
      </c>
      <c r="DS11" s="12" t="s">
        <v>129</v>
      </c>
      <c r="DT11" s="12" t="s">
        <v>129</v>
      </c>
      <c r="DU11" s="12" t="s">
        <v>129</v>
      </c>
      <c r="DV11" s="12" t="s">
        <v>129</v>
      </c>
      <c r="DW11" s="12" t="s">
        <v>129</v>
      </c>
      <c r="DX11" s="12" t="s">
        <v>129</v>
      </c>
      <c r="DY11" s="12" t="s">
        <v>129</v>
      </c>
      <c r="DZ11" s="12" t="s">
        <v>129</v>
      </c>
      <c r="EA11" s="12" t="s">
        <v>129</v>
      </c>
    </row>
    <row r="12" spans="1:134" s="3" customFormat="1" ht="14.5" x14ac:dyDescent="0.35">
      <c r="A12" s="298"/>
      <c r="B12" s="6" t="s">
        <v>6</v>
      </c>
      <c r="C12" s="8">
        <v>0</v>
      </c>
      <c r="D12" s="8">
        <f t="shared" ref="D12:Q12" si="2">IF(OR(C12="",D11=""),"",C12+D11)</f>
        <v>0</v>
      </c>
      <c r="E12" s="8">
        <f t="shared" si="2"/>
        <v>0</v>
      </c>
      <c r="F12" s="8">
        <f t="shared" si="2"/>
        <v>0</v>
      </c>
      <c r="G12" s="8">
        <f t="shared" si="2"/>
        <v>-142.13624999999999</v>
      </c>
      <c r="H12" s="8">
        <f>IF(OR(G12="",H11=""),"",G12+H11)</f>
        <v>-285.78326718749997</v>
      </c>
      <c r="I12" s="8">
        <f t="shared" si="2"/>
        <v>-469.46989531855468</v>
      </c>
      <c r="J12" s="8">
        <f t="shared" si="2"/>
        <v>-653.332556468235</v>
      </c>
      <c r="K12" s="8">
        <f t="shared" si="2"/>
        <v>-837.37141933485043</v>
      </c>
      <c r="L12" s="8">
        <f t="shared" si="2"/>
        <v>-1299.4948437525688</v>
      </c>
      <c r="M12" s="8">
        <f t="shared" si="2"/>
        <v>-1756.2056635394663</v>
      </c>
      <c r="N12" s="8">
        <f t="shared" si="2"/>
        <v>-2238.1260637558298</v>
      </c>
      <c r="O12" s="8">
        <f t="shared" si="2"/>
        <v>-2714.4849026485563</v>
      </c>
      <c r="P12" s="8">
        <f>IF(OR(O12="",P11=""),"",O12+P11)</f>
        <v>-3192.2597186769808</v>
      </c>
      <c r="Q12" s="8">
        <f t="shared" si="2"/>
        <v>-3196.0980622343154</v>
      </c>
      <c r="AV12" s="161"/>
      <c r="AW12" s="298"/>
      <c r="AX12" s="5" t="s">
        <v>12</v>
      </c>
      <c r="AY12" s="8">
        <v>7041760.996033676</v>
      </c>
      <c r="AZ12" s="8">
        <v>70101.115534154043</v>
      </c>
      <c r="BA12" s="8">
        <v>43759.036887292365</v>
      </c>
      <c r="BB12" s="8">
        <v>46507.992958575553</v>
      </c>
      <c r="BC12" s="8">
        <v>1132162.8404528203</v>
      </c>
      <c r="BD12" s="8">
        <v>-1391125.5171574287</v>
      </c>
      <c r="BE12" s="8">
        <v>-11867.566633659035</v>
      </c>
      <c r="BF12" s="8">
        <v>298092.94475136464</v>
      </c>
      <c r="BG12" s="8">
        <v>-102199.15147926752</v>
      </c>
      <c r="BH12" s="8">
        <v>151357.5256885197</v>
      </c>
      <c r="BI12" s="8">
        <v>119713.95482309566</v>
      </c>
      <c r="BJ12" s="8">
        <v>21033.750244769974</v>
      </c>
      <c r="BK12" s="8">
        <v>39830.400045030146</v>
      </c>
      <c r="BL12" s="8">
        <v>-134046.65199885209</v>
      </c>
      <c r="BM12" s="8">
        <v>-103335.37236979694</v>
      </c>
      <c r="BN12" s="8">
        <v>123658.68208574253</v>
      </c>
      <c r="BO12" s="8">
        <v>-148840.97588800747</v>
      </c>
      <c r="BP12" s="8">
        <v>502735.43099470076</v>
      </c>
      <c r="BQ12" s="8">
        <v>-53327.60894122305</v>
      </c>
      <c r="BR12" s="8">
        <v>-103623.75533147853</v>
      </c>
      <c r="BS12" s="8">
        <v>-125729.27017696001</v>
      </c>
      <c r="BT12" s="8">
        <v>-450762.18656408251</v>
      </c>
      <c r="BU12" s="8">
        <v>-125929.32534722939</v>
      </c>
      <c r="BV12" s="8">
        <v>13487.834355839041</v>
      </c>
      <c r="BW12" s="8">
        <v>-69344.354066793268</v>
      </c>
      <c r="CB12" s="149"/>
      <c r="CC12" s="295"/>
      <c r="CD12" s="16" t="s">
        <v>14</v>
      </c>
      <c r="CE12" s="214">
        <v>-19580.184138843688</v>
      </c>
      <c r="CF12" s="214">
        <v>-22803.065599187223</v>
      </c>
      <c r="CG12" s="214">
        <v>-22665.578021930254</v>
      </c>
      <c r="CH12" s="214">
        <v>15419.534035743827</v>
      </c>
      <c r="CI12" s="214">
        <v>-1852.0356433231636</v>
      </c>
      <c r="CJ12" s="214">
        <v>-1729.7492662555592</v>
      </c>
      <c r="CK12" s="214">
        <v>-1757.0169796272394</v>
      </c>
      <c r="CL12" s="4"/>
      <c r="CM12" s="4"/>
      <c r="CN12" s="295"/>
      <c r="CO12" s="16" t="s">
        <v>14</v>
      </c>
      <c r="CP12" s="214">
        <v>-19580.184138843662</v>
      </c>
      <c r="CQ12" s="214">
        <v>-22803.065599187194</v>
      </c>
      <c r="CR12" s="214">
        <v>-22665.578021930276</v>
      </c>
      <c r="CS12" s="214">
        <v>15419.5340357438</v>
      </c>
      <c r="CT12" s="214">
        <v>-1852.0356433231609</v>
      </c>
      <c r="CU12" s="214">
        <v>-1729.7492662555605</v>
      </c>
      <c r="CV12" s="214">
        <v>-1757.0169796272367</v>
      </c>
      <c r="CW12" s="4"/>
      <c r="CX12" s="4"/>
      <c r="CY12" s="4"/>
      <c r="CZ12" s="225"/>
      <c r="DA12" s="298"/>
      <c r="DB12" s="6" t="s">
        <v>6</v>
      </c>
      <c r="DC12" s="8">
        <v>-259046.88323726106</v>
      </c>
      <c r="DD12" s="8">
        <v>-259008.67916368911</v>
      </c>
      <c r="DE12" s="8">
        <v>-258963.03324121353</v>
      </c>
      <c r="DF12" s="8">
        <v>-259000.57373028339</v>
      </c>
      <c r="DG12" s="8">
        <v>-258966.265496062</v>
      </c>
      <c r="DH12" s="8">
        <v>-258944.07858210997</v>
      </c>
      <c r="DI12" s="8">
        <v>-258937.27987555307</v>
      </c>
      <c r="DJ12" s="8">
        <v>-258955.96142227398</v>
      </c>
      <c r="DK12" s="8">
        <v>-258998.3497148297</v>
      </c>
      <c r="DL12" s="8">
        <v>-259053.16574627152</v>
      </c>
      <c r="DM12" s="8">
        <v>-259107.33476698981</v>
      </c>
      <c r="DN12" s="8">
        <v>-259162.99203391245</v>
      </c>
      <c r="DO12" s="8">
        <v>-259276.25995108846</v>
      </c>
      <c r="DP12" s="8">
        <v>-259412.23552356139</v>
      </c>
      <c r="DQ12" s="12" t="s">
        <v>129</v>
      </c>
      <c r="DR12" s="12" t="s">
        <v>129</v>
      </c>
      <c r="DS12" s="12" t="s">
        <v>129</v>
      </c>
      <c r="DT12" s="12" t="s">
        <v>129</v>
      </c>
      <c r="DU12" s="12" t="s">
        <v>129</v>
      </c>
      <c r="DV12" s="12" t="s">
        <v>129</v>
      </c>
      <c r="DW12" s="12" t="s">
        <v>129</v>
      </c>
      <c r="DX12" s="12" t="s">
        <v>129</v>
      </c>
      <c r="DY12" s="12" t="s">
        <v>129</v>
      </c>
      <c r="DZ12" s="12" t="s">
        <v>129</v>
      </c>
      <c r="EA12" s="12" t="s">
        <v>129</v>
      </c>
      <c r="EB12" s="165">
        <f>'MEEIA 2 calcs'!BW11</f>
        <v>-259387.5970339248</v>
      </c>
      <c r="EC12" s="165">
        <f>DP12-EB12</f>
        <v>-24.638489636592567</v>
      </c>
      <c r="ED12" s="47" t="s">
        <v>131</v>
      </c>
    </row>
    <row r="13" spans="1:134" s="3" customFormat="1" ht="14.5" x14ac:dyDescent="0.35">
      <c r="A13" s="298"/>
      <c r="B13" s="5" t="s">
        <v>12</v>
      </c>
      <c r="C13" s="8">
        <v>0</v>
      </c>
      <c r="D13" s="8">
        <f>IF(OR(D11="",D9=""),"",D9+D11)</f>
        <v>0</v>
      </c>
      <c r="E13" s="8">
        <f t="shared" ref="E13:F13" si="3">IF(OR(E11="",E9=""),"",E9+E11)</f>
        <v>0</v>
      </c>
      <c r="F13" s="8">
        <f t="shared" si="3"/>
        <v>0</v>
      </c>
      <c r="G13" s="8">
        <f>IF(OR(G11="",G9=""),"",G9+G11)</f>
        <v>-189657.13625000001</v>
      </c>
      <c r="H13" s="8">
        <f>IF(OR(H11="",H9=""),"",H9+H11)</f>
        <v>-2015.8670171875001</v>
      </c>
      <c r="I13" s="8">
        <f t="shared" ref="I13:Q13" si="4">IF(OR(I11="",I9=""),"",I9+I11)</f>
        <v>-183.6866281310547</v>
      </c>
      <c r="J13" s="8">
        <f t="shared" si="4"/>
        <v>-183.86266114968029</v>
      </c>
      <c r="K13" s="8">
        <f t="shared" si="4"/>
        <v>-184.0388628666154</v>
      </c>
      <c r="L13" s="8">
        <f t="shared" si="4"/>
        <v>-201534.06342441772</v>
      </c>
      <c r="M13" s="8">
        <f>IF(OR(M11="",M9=""),"",M9+M11)</f>
        <v>-456.7108197868975</v>
      </c>
      <c r="N13" s="8">
        <f t="shared" si="4"/>
        <v>-481.9204002163637</v>
      </c>
      <c r="O13" s="8">
        <f t="shared" si="4"/>
        <v>-476.35883889272668</v>
      </c>
      <c r="P13" s="8">
        <f t="shared" si="4"/>
        <v>-477.7748160284246</v>
      </c>
      <c r="Q13" s="8">
        <f t="shared" si="4"/>
        <v>392455.32165644271</v>
      </c>
      <c r="AV13" s="161"/>
      <c r="AW13" s="298"/>
      <c r="AX13" s="9" t="s">
        <v>3</v>
      </c>
      <c r="AY13" s="8">
        <v>420954.50113105215</v>
      </c>
      <c r="AZ13" s="8">
        <v>491055.61666520621</v>
      </c>
      <c r="BA13" s="8">
        <v>534814.65355249855</v>
      </c>
      <c r="BB13" s="8">
        <v>581322.64651107416</v>
      </c>
      <c r="BC13" s="8">
        <v>1713485.4869638945</v>
      </c>
      <c r="BD13" s="8">
        <v>322359.96980646579</v>
      </c>
      <c r="BE13" s="8">
        <v>310492.40317280678</v>
      </c>
      <c r="BF13" s="8">
        <v>608585.34792417148</v>
      </c>
      <c r="BG13" s="8">
        <v>506386.19644490397</v>
      </c>
      <c r="BH13" s="8">
        <v>657743.72213342367</v>
      </c>
      <c r="BI13" s="8">
        <v>777457.67695651937</v>
      </c>
      <c r="BJ13" s="8">
        <v>798491.42720128933</v>
      </c>
      <c r="BK13" s="8">
        <v>838321.8272463195</v>
      </c>
      <c r="BL13" s="8">
        <v>704275.17524746736</v>
      </c>
      <c r="BM13" s="8">
        <v>600939.80287767039</v>
      </c>
      <c r="BN13" s="8">
        <v>724598.48496341286</v>
      </c>
      <c r="BO13" s="8">
        <v>575757.50907540543</v>
      </c>
      <c r="BP13" s="8">
        <v>1078492.9400701062</v>
      </c>
      <c r="BQ13" s="8">
        <v>1025165.3311288832</v>
      </c>
      <c r="BR13" s="8">
        <v>921541.57579740463</v>
      </c>
      <c r="BS13" s="8">
        <v>795812.30562044459</v>
      </c>
      <c r="BT13" s="8">
        <v>345050.11905636208</v>
      </c>
      <c r="BU13" s="8">
        <v>219120.7937091327</v>
      </c>
      <c r="BV13" s="8">
        <v>232608.62806497174</v>
      </c>
      <c r="BW13" s="8">
        <v>163264.27399817848</v>
      </c>
      <c r="CB13" s="149"/>
      <c r="CC13" s="295"/>
      <c r="CD13" s="18" t="s">
        <v>2</v>
      </c>
      <c r="CE13" s="214">
        <v>-2013069.3294445162</v>
      </c>
      <c r="CF13" s="214">
        <v>-1447726.1650437033</v>
      </c>
      <c r="CG13" s="214">
        <v>-771017.0030656337</v>
      </c>
      <c r="CH13" s="214">
        <v>-322727.77902988991</v>
      </c>
      <c r="CI13" s="214">
        <v>-263698.78467321303</v>
      </c>
      <c r="CJ13" s="214">
        <v>-205238.94393946859</v>
      </c>
      <c r="CK13" s="214">
        <v>-154612.74091909587</v>
      </c>
      <c r="CL13" s="4"/>
      <c r="CM13" s="4"/>
      <c r="CN13" s="295"/>
      <c r="CO13" s="18" t="s">
        <v>2</v>
      </c>
      <c r="CP13" s="214">
        <v>-2013069.3294445162</v>
      </c>
      <c r="CQ13" s="214">
        <v>-1447726.1650437033</v>
      </c>
      <c r="CR13" s="214">
        <v>-771017.00306563359</v>
      </c>
      <c r="CS13" s="214">
        <v>-322727.77902988985</v>
      </c>
      <c r="CT13" s="214">
        <v>-263698.78467321297</v>
      </c>
      <c r="CU13" s="214">
        <v>-205238.94393946859</v>
      </c>
      <c r="CV13" s="214">
        <v>-154612.74091909581</v>
      </c>
      <c r="CW13" s="4"/>
      <c r="CX13" s="4"/>
      <c r="CY13" s="4"/>
      <c r="CZ13" s="225"/>
      <c r="DA13" s="298"/>
      <c r="DB13" s="5" t="s">
        <v>12</v>
      </c>
      <c r="DC13" s="8">
        <v>-450785.97885906295</v>
      </c>
      <c r="DD13" s="8">
        <v>-125928.75592642804</v>
      </c>
      <c r="DE13" s="8">
        <v>13488.475922475565</v>
      </c>
      <c r="DF13" s="8">
        <v>-72684.94048906659</v>
      </c>
      <c r="DG13" s="8">
        <v>19671.908234221381</v>
      </c>
      <c r="DH13" s="8">
        <v>-64175.083086047976</v>
      </c>
      <c r="DI13" s="8">
        <v>-78273.051293443103</v>
      </c>
      <c r="DJ13" s="8">
        <v>-201127.18154672091</v>
      </c>
      <c r="DK13" s="8">
        <v>-87385.478292555737</v>
      </c>
      <c r="DL13" s="8">
        <v>-92419.706031441834</v>
      </c>
      <c r="DM13" s="8">
        <v>-92937.419020718284</v>
      </c>
      <c r="DN13" s="8">
        <v>-2581.417266922625</v>
      </c>
      <c r="DO13" s="8">
        <v>-85969.227917176002</v>
      </c>
      <c r="DP13" s="8">
        <v>-174151.21557247292</v>
      </c>
      <c r="DQ13" s="12" t="s">
        <v>129</v>
      </c>
      <c r="DR13" s="12" t="s">
        <v>129</v>
      </c>
      <c r="DS13" s="12" t="s">
        <v>129</v>
      </c>
      <c r="DT13" s="12" t="s">
        <v>129</v>
      </c>
      <c r="DU13" s="12" t="s">
        <v>129</v>
      </c>
      <c r="DV13" s="12" t="s">
        <v>129</v>
      </c>
      <c r="DW13" s="12" t="s">
        <v>129</v>
      </c>
      <c r="DX13" s="12" t="s">
        <v>129</v>
      </c>
      <c r="DY13" s="12" t="s">
        <v>129</v>
      </c>
      <c r="DZ13" s="12" t="s">
        <v>129</v>
      </c>
      <c r="EA13" s="12" t="s">
        <v>129</v>
      </c>
    </row>
    <row r="14" spans="1:134" s="3" customFormat="1" ht="14.5" x14ac:dyDescent="0.35">
      <c r="A14" s="298"/>
      <c r="B14" s="9" t="s">
        <v>3</v>
      </c>
      <c r="C14" s="8">
        <v>0</v>
      </c>
      <c r="D14" s="8">
        <f>IF(OR(D13="",C14=""),"",D13+C14)</f>
        <v>0</v>
      </c>
      <c r="E14" s="8">
        <f t="shared" ref="E14:Q14" si="5">IF(OR(E13="",D14=""),"",E13+D14)</f>
        <v>0</v>
      </c>
      <c r="F14" s="8">
        <f t="shared" si="5"/>
        <v>0</v>
      </c>
      <c r="G14" s="8">
        <f>IF(OR(G13="",F14=""),"",G13+F14)</f>
        <v>-189657.13625000001</v>
      </c>
      <c r="H14" s="8">
        <f>IF(OR(H13="",G14=""),"",H13+G14+H6)</f>
        <v>-191673.00326718751</v>
      </c>
      <c r="I14" s="8">
        <f t="shared" si="5"/>
        <v>-191856.68989531856</v>
      </c>
      <c r="J14" s="8">
        <f t="shared" si="5"/>
        <v>-192040.55255646823</v>
      </c>
      <c r="K14" s="8">
        <f t="shared" si="5"/>
        <v>-192224.59141933484</v>
      </c>
      <c r="L14" s="8">
        <f t="shared" si="5"/>
        <v>-393758.65484375256</v>
      </c>
      <c r="M14" s="8">
        <f t="shared" si="5"/>
        <v>-394215.36566353944</v>
      </c>
      <c r="N14" s="8">
        <f t="shared" si="5"/>
        <v>-394697.2860637558</v>
      </c>
      <c r="O14" s="8">
        <f t="shared" si="5"/>
        <v>-395173.64490264852</v>
      </c>
      <c r="P14" s="8">
        <f t="shared" si="5"/>
        <v>-395651.41971867695</v>
      </c>
      <c r="Q14" s="8">
        <f t="shared" si="5"/>
        <v>-3196.0980622342322</v>
      </c>
      <c r="AV14" s="161"/>
      <c r="CB14" s="149"/>
      <c r="CC14" s="40"/>
      <c r="CD14" s="11"/>
      <c r="CE14" s="2"/>
      <c r="CF14" s="2"/>
      <c r="CG14" s="2"/>
      <c r="CH14" s="2"/>
      <c r="CI14" s="2"/>
      <c r="CJ14" s="2"/>
      <c r="CK14" s="2"/>
      <c r="CL14" s="4"/>
      <c r="CM14" s="4"/>
      <c r="CN14" s="40"/>
      <c r="CO14" s="11"/>
      <c r="CP14" s="2"/>
      <c r="CQ14" s="2"/>
      <c r="CR14" s="2"/>
      <c r="CS14" s="2"/>
      <c r="CT14" s="2"/>
      <c r="CU14" s="2"/>
      <c r="CV14" s="2"/>
      <c r="CW14" s="4"/>
      <c r="CX14" s="4"/>
      <c r="CY14" s="4"/>
      <c r="CZ14" s="225"/>
      <c r="DA14" s="298"/>
      <c r="DB14" s="9" t="s">
        <v>3</v>
      </c>
      <c r="DC14" s="8">
        <v>348364.89676273166</v>
      </c>
      <c r="DD14" s="8">
        <v>222436.14083630362</v>
      </c>
      <c r="DE14" s="8">
        <v>235924.61675877919</v>
      </c>
      <c r="DF14" s="8">
        <v>163239.6762697126</v>
      </c>
      <c r="DG14" s="8">
        <v>182911.58450393396</v>
      </c>
      <c r="DH14" s="8">
        <v>118736.50141788599</v>
      </c>
      <c r="DI14" s="8">
        <v>40463.450124442883</v>
      </c>
      <c r="DJ14" s="8">
        <v>-160663.73142227804</v>
      </c>
      <c r="DK14" s="8">
        <v>-248049.20971483376</v>
      </c>
      <c r="DL14" s="8">
        <v>-340468.91574627557</v>
      </c>
      <c r="DM14" s="8">
        <v>-433406.33476699388</v>
      </c>
      <c r="DN14" s="8">
        <v>-435987.75203391653</v>
      </c>
      <c r="DO14" s="8">
        <v>-521956.97995109251</v>
      </c>
      <c r="DP14" s="8">
        <v>-696108.1955235654</v>
      </c>
      <c r="DQ14" s="12" t="s">
        <v>129</v>
      </c>
      <c r="DR14" s="12" t="s">
        <v>129</v>
      </c>
      <c r="DS14" s="12" t="s">
        <v>129</v>
      </c>
      <c r="DT14" s="12" t="s">
        <v>129</v>
      </c>
      <c r="DU14" s="12" t="s">
        <v>129</v>
      </c>
      <c r="DV14" s="12" t="s">
        <v>129</v>
      </c>
      <c r="DW14" s="12" t="s">
        <v>129</v>
      </c>
      <c r="DX14" s="12" t="s">
        <v>129</v>
      </c>
      <c r="DY14" s="12" t="s">
        <v>129</v>
      </c>
      <c r="DZ14" s="12" t="s">
        <v>129</v>
      </c>
      <c r="EA14" s="12" t="s">
        <v>129</v>
      </c>
    </row>
    <row r="15" spans="1:134" s="4" customFormat="1" ht="8.25" customHeight="1" x14ac:dyDescent="0.35">
      <c r="A15" s="40"/>
      <c r="B15" s="11"/>
      <c r="C15" s="12"/>
      <c r="D15" s="12"/>
      <c r="E15" s="12"/>
      <c r="F15" s="12"/>
      <c r="G15" s="12"/>
      <c r="H15" s="12"/>
      <c r="I15" s="12"/>
      <c r="J15" s="12"/>
      <c r="K15" s="12"/>
      <c r="L15" s="12"/>
      <c r="M15" s="12"/>
      <c r="N15" s="12"/>
      <c r="O15" s="12"/>
      <c r="P15" s="12"/>
      <c r="Q15" s="12"/>
      <c r="AV15" s="162"/>
      <c r="CB15" s="149"/>
      <c r="CC15" s="295" t="s">
        <v>20</v>
      </c>
      <c r="CD15" s="15"/>
      <c r="CE15" s="2"/>
      <c r="CF15" s="2"/>
      <c r="CG15" s="2"/>
      <c r="CH15" s="2"/>
      <c r="CI15" s="2"/>
      <c r="CJ15" s="2"/>
      <c r="CK15" s="2"/>
      <c r="CN15" s="295" t="s">
        <v>20</v>
      </c>
      <c r="CO15" s="15"/>
      <c r="CP15" s="2"/>
      <c r="CQ15" s="2"/>
      <c r="CR15" s="2"/>
      <c r="CS15" s="2"/>
      <c r="CT15" s="2"/>
      <c r="CU15" s="2"/>
      <c r="CV15" s="2"/>
      <c r="CZ15" s="149"/>
      <c r="DA15" s="40"/>
      <c r="DB15" s="11"/>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row>
    <row r="16" spans="1:134" s="1" customFormat="1" ht="14.5" x14ac:dyDescent="0.35">
      <c r="B16"/>
      <c r="C16"/>
      <c r="D16"/>
      <c r="E16"/>
      <c r="F16"/>
      <c r="G16"/>
      <c r="H16"/>
      <c r="I16"/>
      <c r="J16"/>
      <c r="K16"/>
      <c r="L16"/>
      <c r="M16"/>
      <c r="N16"/>
      <c r="O16"/>
      <c r="P16"/>
      <c r="Q16"/>
      <c r="AV16" s="163"/>
      <c r="CB16" s="149"/>
      <c r="CC16" s="295"/>
      <c r="CD16" s="15" t="s">
        <v>28</v>
      </c>
      <c r="CE16" s="215">
        <v>0</v>
      </c>
      <c r="CF16" s="215">
        <v>0</v>
      </c>
      <c r="CG16" s="215">
        <v>0</v>
      </c>
      <c r="CH16" s="215">
        <v>0</v>
      </c>
      <c r="CI16" s="215">
        <v>0</v>
      </c>
      <c r="CJ16" s="215">
        <v>0</v>
      </c>
      <c r="CK16" s="215">
        <v>0</v>
      </c>
      <c r="CL16" s="4"/>
      <c r="CM16" s="4"/>
      <c r="CN16" s="295"/>
      <c r="CO16" s="15" t="s">
        <v>28</v>
      </c>
      <c r="CP16" s="215">
        <v>0</v>
      </c>
      <c r="CQ16" s="215">
        <v>0</v>
      </c>
      <c r="CR16" s="215">
        <v>0</v>
      </c>
      <c r="CS16" s="215">
        <v>0</v>
      </c>
      <c r="CT16" s="215">
        <v>0</v>
      </c>
      <c r="CU16" s="215">
        <v>0</v>
      </c>
      <c r="CV16" s="215">
        <v>0</v>
      </c>
      <c r="CW16" s="4"/>
      <c r="CX16" s="4"/>
      <c r="CY16" s="4"/>
      <c r="CZ16" s="182"/>
      <c r="DA16" s="295" t="s">
        <v>25</v>
      </c>
      <c r="DB16" s="15"/>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row>
    <row r="17" spans="1:131" s="1" customFormat="1" ht="14.5" x14ac:dyDescent="0.35">
      <c r="B17"/>
      <c r="C17"/>
      <c r="D17"/>
      <c r="E17"/>
      <c r="F17"/>
      <c r="G17"/>
      <c r="H17"/>
      <c r="I17"/>
      <c r="J17"/>
      <c r="K17"/>
      <c r="L17"/>
      <c r="M17"/>
      <c r="N17"/>
      <c r="O17"/>
      <c r="P17"/>
      <c r="Q17"/>
      <c r="AV17" s="163"/>
      <c r="CB17" s="150"/>
      <c r="CC17" s="295"/>
      <c r="CD17" s="16" t="s">
        <v>26</v>
      </c>
      <c r="CE17" s="215">
        <v>-236659.87723249063</v>
      </c>
      <c r="CF17" s="215">
        <v>-296177.30566513271</v>
      </c>
      <c r="CG17" s="215">
        <v>-381804.14898688439</v>
      </c>
      <c r="CH17" s="215">
        <v>-246708.5763060193</v>
      </c>
      <c r="CI17" s="215">
        <v>-14067.704131906468</v>
      </c>
      <c r="CJ17" s="215">
        <v>-8075.3701007850805</v>
      </c>
      <c r="CK17" s="215">
        <v>-8069.5010685150701</v>
      </c>
      <c r="CL17" s="2"/>
      <c r="CM17" s="2"/>
      <c r="CN17" s="295"/>
      <c r="CO17" s="16" t="s">
        <v>26</v>
      </c>
      <c r="CP17" s="215">
        <v>-237270.92053566518</v>
      </c>
      <c r="CQ17" s="215">
        <v>-297440.02156472043</v>
      </c>
      <c r="CR17" s="215">
        <v>-384027.55955538503</v>
      </c>
      <c r="CS17" s="215">
        <v>-248448.70779312411</v>
      </c>
      <c r="CT17" s="215">
        <v>-14142.518065753948</v>
      </c>
      <c r="CU17" s="215">
        <v>-8108.3955144196925</v>
      </c>
      <c r="CV17" s="215">
        <v>-8073.3360940229468</v>
      </c>
      <c r="CW17" s="2"/>
      <c r="CX17" s="2"/>
      <c r="CY17" s="2"/>
      <c r="CZ17" s="182"/>
      <c r="DA17" s="295"/>
      <c r="DB17" s="15" t="s">
        <v>28</v>
      </c>
      <c r="DC17" s="19">
        <v>17714.029999999329</v>
      </c>
      <c r="DD17" s="19">
        <v>20826.88000000082</v>
      </c>
      <c r="DE17" s="19">
        <v>19099.220000000671</v>
      </c>
      <c r="DF17" s="19">
        <v>21421.460000000894</v>
      </c>
      <c r="DG17" s="19">
        <v>19168.38000000082</v>
      </c>
      <c r="DH17" s="19">
        <v>25465.089999996126</v>
      </c>
      <c r="DI17" s="19">
        <v>70360.550000002608</v>
      </c>
      <c r="DJ17" s="19">
        <v>91202.140000000596</v>
      </c>
      <c r="DK17" s="19">
        <v>84499.239999998827</v>
      </c>
      <c r="DL17" s="19">
        <v>53951.849999999627</v>
      </c>
      <c r="DM17" s="19">
        <v>21911.110000000801</v>
      </c>
      <c r="DN17" s="19">
        <v>20626.079999999609</v>
      </c>
      <c r="DO17" s="19">
        <v>24775.299999998882</v>
      </c>
      <c r="DP17" s="19">
        <v>25830.020000001416</v>
      </c>
      <c r="DQ17" s="19">
        <v>21223.889999997336</v>
      </c>
      <c r="DR17" s="19">
        <v>0</v>
      </c>
      <c r="DS17" s="19">
        <v>0</v>
      </c>
      <c r="DT17" s="19">
        <v>0</v>
      </c>
      <c r="DU17" s="19">
        <v>0</v>
      </c>
      <c r="DV17" s="19">
        <v>0</v>
      </c>
      <c r="DW17" s="19">
        <v>0</v>
      </c>
      <c r="DX17" s="19">
        <v>0</v>
      </c>
      <c r="DY17" s="19">
        <v>0</v>
      </c>
      <c r="DZ17" s="19">
        <v>0</v>
      </c>
      <c r="EA17" s="19">
        <v>0</v>
      </c>
    </row>
    <row r="18" spans="1:131" s="1" customFormat="1" ht="14.5" x14ac:dyDescent="0.35">
      <c r="B18"/>
      <c r="C18"/>
      <c r="D18"/>
      <c r="E18"/>
      <c r="F18"/>
      <c r="G18"/>
      <c r="H18"/>
      <c r="I18"/>
      <c r="J18"/>
      <c r="K18"/>
      <c r="L18"/>
      <c r="M18"/>
      <c r="N18"/>
      <c r="O18"/>
      <c r="P18"/>
      <c r="Q18"/>
      <c r="AV18" s="163"/>
      <c r="CB18" s="149"/>
      <c r="CC18" s="295"/>
      <c r="CD18" s="16" t="s">
        <v>51</v>
      </c>
      <c r="CE18" s="215">
        <v>232427.07</v>
      </c>
      <c r="CF18" s="215">
        <v>290836.61</v>
      </c>
      <c r="CG18" s="215">
        <v>375935.37</v>
      </c>
      <c r="CH18" s="215">
        <v>242680.23</v>
      </c>
      <c r="CI18" s="215">
        <v>13830.45</v>
      </c>
      <c r="CJ18" s="215">
        <v>7909.14</v>
      </c>
      <c r="CK18" s="215">
        <v>7927.25</v>
      </c>
      <c r="CL18" s="4"/>
      <c r="CM18" s="4"/>
      <c r="CN18" s="295"/>
      <c r="CO18" s="16" t="s">
        <v>51</v>
      </c>
      <c r="CP18" s="215">
        <v>232427.07</v>
      </c>
      <c r="CQ18" s="215">
        <v>290836.61</v>
      </c>
      <c r="CR18" s="215">
        <v>375935.37</v>
      </c>
      <c r="CS18" s="215">
        <v>242680.23</v>
      </c>
      <c r="CT18" s="215">
        <v>13830.45</v>
      </c>
      <c r="CU18" s="215">
        <v>7909.14</v>
      </c>
      <c r="CV18" s="215">
        <v>7927.25</v>
      </c>
      <c r="CW18" s="4"/>
      <c r="CX18" s="4"/>
      <c r="CY18" s="4"/>
      <c r="CZ18" s="182"/>
      <c r="DA18" s="295"/>
      <c r="DB18" s="16" t="s">
        <v>26</v>
      </c>
      <c r="DC18" s="19">
        <v>686712.57000000007</v>
      </c>
      <c r="DD18" s="19">
        <v>753788.79</v>
      </c>
      <c r="DE18" s="19">
        <v>123252.23000000001</v>
      </c>
      <c r="DF18" s="19">
        <v>-572800.92000000004</v>
      </c>
      <c r="DG18" s="19">
        <v>-433116.61</v>
      </c>
      <c r="DH18" s="19">
        <v>-422296.81</v>
      </c>
      <c r="DI18" s="19">
        <v>-511624.21</v>
      </c>
      <c r="DJ18" s="19">
        <v>-644535.94999999995</v>
      </c>
      <c r="DK18" s="19">
        <v>-648872.89</v>
      </c>
      <c r="DL18" s="19">
        <v>-646588.66999999993</v>
      </c>
      <c r="DM18" s="19">
        <v>-495839.69999999995</v>
      </c>
      <c r="DN18" s="19">
        <v>-452926.68</v>
      </c>
      <c r="DO18" s="19">
        <v>-540882.03</v>
      </c>
      <c r="DP18" s="19">
        <v>-651029.75</v>
      </c>
      <c r="DQ18" s="19">
        <v>-427144.88</v>
      </c>
      <c r="DR18" s="19">
        <v>-59180.159999999996</v>
      </c>
      <c r="DS18" s="19">
        <v>-58562.48</v>
      </c>
      <c r="DT18" s="19">
        <v>-50748.47</v>
      </c>
      <c r="DU18" s="19">
        <v>-58661.299999999996</v>
      </c>
      <c r="DV18" s="19">
        <v>-68462.3</v>
      </c>
      <c r="DW18" s="19">
        <v>-66846.459999999992</v>
      </c>
      <c r="DX18" s="19">
        <v>-62475.11</v>
      </c>
      <c r="DY18" s="19">
        <v>-52251.13</v>
      </c>
      <c r="DZ18" s="19">
        <v>-49844.260000000009</v>
      </c>
      <c r="EA18" s="19">
        <v>-59378.83</v>
      </c>
    </row>
    <row r="19" spans="1:131" s="1" customFormat="1" ht="14.5" x14ac:dyDescent="0.35">
      <c r="B19"/>
      <c r="C19"/>
      <c r="D19"/>
      <c r="E19"/>
      <c r="F19"/>
      <c r="G19"/>
      <c r="H19"/>
      <c r="I19"/>
      <c r="J19"/>
      <c r="K19"/>
      <c r="L19"/>
      <c r="M19"/>
      <c r="N19"/>
      <c r="O19"/>
      <c r="P19"/>
      <c r="Q19"/>
      <c r="AV19" s="163"/>
      <c r="CB19" s="149"/>
      <c r="CC19" s="295"/>
      <c r="CD19" s="16" t="s">
        <v>52</v>
      </c>
      <c r="CE19" s="215">
        <v>-4232.8072324906243</v>
      </c>
      <c r="CF19" s="215">
        <v>-5340.69566513272</v>
      </c>
      <c r="CG19" s="215">
        <v>-5868.7789868843975</v>
      </c>
      <c r="CH19" s="215">
        <v>-4028.346306019288</v>
      </c>
      <c r="CI19" s="215">
        <v>-237.25413190646759</v>
      </c>
      <c r="CJ19" s="215">
        <v>-166.23010078508014</v>
      </c>
      <c r="CK19" s="215">
        <v>-142.25106851507007</v>
      </c>
      <c r="CL19" s="4"/>
      <c r="CM19" s="4"/>
      <c r="CN19" s="295"/>
      <c r="CO19" s="16" t="s">
        <v>52</v>
      </c>
      <c r="CP19" s="215">
        <v>-4843.8505356651731</v>
      </c>
      <c r="CQ19" s="215">
        <v>-6603.4115647204453</v>
      </c>
      <c r="CR19" s="215">
        <v>-8092.1895553850336</v>
      </c>
      <c r="CS19" s="215">
        <v>-5768.4777931240969</v>
      </c>
      <c r="CT19" s="215">
        <v>-312.06806575394694</v>
      </c>
      <c r="CU19" s="215">
        <v>-199.25551441969219</v>
      </c>
      <c r="CV19" s="215">
        <v>-146.08609402294678</v>
      </c>
      <c r="CW19" s="4" t="s">
        <v>117</v>
      </c>
      <c r="CX19" s="4" t="s">
        <v>118</v>
      </c>
      <c r="CY19" s="4" t="s">
        <v>119</v>
      </c>
      <c r="CZ19" s="182"/>
      <c r="DA19" s="295"/>
      <c r="DB19" s="16" t="s">
        <v>51</v>
      </c>
      <c r="DC19" s="19">
        <v>12811.640000000014</v>
      </c>
      <c r="DD19" s="19">
        <v>47263.67</v>
      </c>
      <c r="DE19" s="19">
        <v>-200239.46999999997</v>
      </c>
      <c r="DF19" s="19">
        <v>614417.39</v>
      </c>
      <c r="DG19" s="19">
        <v>473151.63</v>
      </c>
      <c r="DH19" s="19">
        <v>463923.9</v>
      </c>
      <c r="DI19" s="19">
        <v>554127.14</v>
      </c>
      <c r="DJ19" s="19">
        <v>697686.94</v>
      </c>
      <c r="DK19" s="19">
        <v>699968.13</v>
      </c>
      <c r="DL19" s="19">
        <v>698521.77</v>
      </c>
      <c r="DM19" s="19">
        <v>541136.61</v>
      </c>
      <c r="DN19" s="19">
        <v>492875.96</v>
      </c>
      <c r="DO19" s="19">
        <v>588146.23</v>
      </c>
      <c r="DP19" s="19">
        <v>699374.74</v>
      </c>
      <c r="DQ19" s="19">
        <v>432869.69</v>
      </c>
      <c r="DR19" s="19">
        <v>60881.03</v>
      </c>
      <c r="DS19" s="19">
        <v>60189.59</v>
      </c>
      <c r="DT19" s="19">
        <v>52383.22</v>
      </c>
      <c r="DU19" s="19">
        <v>60505.380000000005</v>
      </c>
      <c r="DV19" s="19">
        <v>70476.759999999995</v>
      </c>
      <c r="DW19" s="19">
        <v>68833.31</v>
      </c>
      <c r="DX19" s="19">
        <v>64386.179999999993</v>
      </c>
      <c r="DY19" s="19">
        <v>53918.12</v>
      </c>
      <c r="DZ19" s="19">
        <v>51472.34</v>
      </c>
      <c r="EA19" s="19">
        <v>61166.880000000005</v>
      </c>
    </row>
    <row r="20" spans="1:131" s="1" customFormat="1" ht="14.5" x14ac:dyDescent="0.35">
      <c r="B20"/>
      <c r="C20"/>
      <c r="D20"/>
      <c r="E20"/>
      <c r="F20"/>
      <c r="G20"/>
      <c r="H20"/>
      <c r="I20"/>
      <c r="J20"/>
      <c r="K20"/>
      <c r="L20"/>
      <c r="M20"/>
      <c r="N20"/>
      <c r="O20"/>
      <c r="P20"/>
      <c r="Q20"/>
      <c r="AV20" s="163"/>
      <c r="CB20" s="149"/>
      <c r="CC20" s="295"/>
      <c r="CD20" s="16" t="s">
        <v>13</v>
      </c>
      <c r="CE20" s="215">
        <v>4232.8072324906243</v>
      </c>
      <c r="CF20" s="215">
        <v>5340.69566513272</v>
      </c>
      <c r="CG20" s="215">
        <v>5868.7789868843975</v>
      </c>
      <c r="CH20" s="215">
        <v>4028.346306019288</v>
      </c>
      <c r="CI20" s="215">
        <v>237.25413190646759</v>
      </c>
      <c r="CJ20" s="215">
        <v>166.23010078508014</v>
      </c>
      <c r="CK20" s="215">
        <v>142.25106851507007</v>
      </c>
      <c r="CL20" s="4"/>
      <c r="CM20" s="4"/>
      <c r="CN20" s="295"/>
      <c r="CO20" s="16" t="s">
        <v>13</v>
      </c>
      <c r="CP20" s="215">
        <v>4843.8505356651731</v>
      </c>
      <c r="CQ20" s="215">
        <v>6603.4115647204453</v>
      </c>
      <c r="CR20" s="215">
        <v>8092.1895553850336</v>
      </c>
      <c r="CS20" s="215">
        <v>5768.4777931240969</v>
      </c>
      <c r="CT20" s="215">
        <v>312.06806575394694</v>
      </c>
      <c r="CU20" s="215">
        <v>199.25551441969219</v>
      </c>
      <c r="CV20" s="215">
        <v>146.08609402294678</v>
      </c>
      <c r="CW20" s="216">
        <f>SUM(CP20:CV20)</f>
        <v>25965.339123091337</v>
      </c>
      <c r="CX20" s="216">
        <f>SUM(CE20:CK20)</f>
        <v>20016.363491733649</v>
      </c>
      <c r="CY20" s="216">
        <f>CW20-CX20</f>
        <v>5948.9756313576872</v>
      </c>
      <c r="CZ20" s="182"/>
      <c r="DA20" s="295"/>
      <c r="DB20" s="16" t="s">
        <v>52</v>
      </c>
      <c r="DC20" s="19">
        <v>699524.21000000008</v>
      </c>
      <c r="DD20" s="19">
        <v>801052.46000000008</v>
      </c>
      <c r="DE20" s="19">
        <v>-76987.240000000005</v>
      </c>
      <c r="DF20" s="19">
        <v>41616.47</v>
      </c>
      <c r="DG20" s="19">
        <v>40035.020000000019</v>
      </c>
      <c r="DH20" s="19">
        <v>41627.089999999997</v>
      </c>
      <c r="DI20" s="19">
        <v>42502.93</v>
      </c>
      <c r="DJ20" s="19">
        <v>53150.990000000034</v>
      </c>
      <c r="DK20" s="19">
        <v>51095.24</v>
      </c>
      <c r="DL20" s="19">
        <v>51933.100000000079</v>
      </c>
      <c r="DM20" s="19">
        <v>45296.909999999989</v>
      </c>
      <c r="DN20" s="19">
        <v>39949.280000000013</v>
      </c>
      <c r="DO20" s="19">
        <v>47264.200000000004</v>
      </c>
      <c r="DP20" s="19">
        <v>48344.990000000005</v>
      </c>
      <c r="DQ20" s="19">
        <v>5724.8099999999795</v>
      </c>
      <c r="DR20" s="19">
        <v>1700.8699999999994</v>
      </c>
      <c r="DS20" s="19">
        <v>1627.1099999999992</v>
      </c>
      <c r="DT20" s="19">
        <v>1634.7500000000036</v>
      </c>
      <c r="DU20" s="19">
        <v>1844.0800000000004</v>
      </c>
      <c r="DV20" s="19">
        <v>2014.4600000000019</v>
      </c>
      <c r="DW20" s="19">
        <v>1986.8500000000031</v>
      </c>
      <c r="DX20" s="19">
        <v>1911.0699999999956</v>
      </c>
      <c r="DY20" s="19">
        <v>1666.990000000003</v>
      </c>
      <c r="DZ20" s="19">
        <v>1628.0799999999977</v>
      </c>
      <c r="EA20" s="19">
        <v>1788.0499999999997</v>
      </c>
    </row>
    <row r="21" spans="1:131" s="1" customFormat="1" ht="14.5" x14ac:dyDescent="0.35">
      <c r="B21"/>
      <c r="C21"/>
      <c r="D21"/>
      <c r="E21"/>
      <c r="F21"/>
      <c r="G21"/>
      <c r="H21"/>
      <c r="I21"/>
      <c r="J21"/>
      <c r="K21"/>
      <c r="L21"/>
      <c r="M21"/>
      <c r="N21"/>
      <c r="O21"/>
      <c r="P21"/>
      <c r="Q21"/>
      <c r="AV21" s="163"/>
      <c r="CB21" s="149"/>
      <c r="CC21" s="295"/>
      <c r="CD21" s="17" t="s">
        <v>8</v>
      </c>
      <c r="CE21" s="215">
        <v>-107.40502640789749</v>
      </c>
      <c r="CF21" s="215">
        <v>-118.33168507342872</v>
      </c>
      <c r="CG21" s="215">
        <v>-31.941369690225681</v>
      </c>
      <c r="CH21" s="215">
        <v>20.509519436720471</v>
      </c>
      <c r="CI21" s="215">
        <v>55.79634342978386</v>
      </c>
      <c r="CJ21" s="215">
        <v>52.740800728104723</v>
      </c>
      <c r="CK21" s="215">
        <v>89.850608756352003</v>
      </c>
      <c r="CL21" s="4"/>
      <c r="CM21" s="4"/>
      <c r="CN21" s="295"/>
      <c r="CO21" s="17" t="s">
        <v>8</v>
      </c>
      <c r="CP21" s="215">
        <v>-107.32701196336744</v>
      </c>
      <c r="CQ21" s="215">
        <v>-117.9249624593099</v>
      </c>
      <c r="CR21" s="215">
        <v>-31.140790440662332</v>
      </c>
      <c r="CS21" s="215">
        <v>21.948969436329914</v>
      </c>
      <c r="CT21" s="215">
        <v>59.188977333193556</v>
      </c>
      <c r="CU21" s="215">
        <v>55.718492833910751</v>
      </c>
      <c r="CV21" s="215">
        <v>94.56595005354167</v>
      </c>
      <c r="CW21" s="4"/>
      <c r="CX21" s="4"/>
      <c r="CY21" s="4"/>
      <c r="CZ21" s="182"/>
      <c r="DA21" s="295"/>
      <c r="DB21" s="16" t="s">
        <v>13</v>
      </c>
      <c r="DC21" s="19">
        <v>-681810.18000000075</v>
      </c>
      <c r="DD21" s="19">
        <v>-780225.57999999914</v>
      </c>
      <c r="DE21" s="19">
        <v>96086.460000000676</v>
      </c>
      <c r="DF21" s="19">
        <v>-20195.009999999103</v>
      </c>
      <c r="DG21" s="19">
        <v>-20866.639999999203</v>
      </c>
      <c r="DH21" s="19">
        <v>-16162.000000003867</v>
      </c>
      <c r="DI21" s="19">
        <v>27857.620000002607</v>
      </c>
      <c r="DJ21" s="19">
        <v>38051.150000000562</v>
      </c>
      <c r="DK21" s="19">
        <v>33403.999999998829</v>
      </c>
      <c r="DL21" s="19">
        <v>2018.7499999995471</v>
      </c>
      <c r="DM21" s="19">
        <v>-23385.799999999192</v>
      </c>
      <c r="DN21" s="19">
        <v>-19323.200000000405</v>
      </c>
      <c r="DO21" s="19">
        <v>-22488.900000001122</v>
      </c>
      <c r="DP21" s="19">
        <v>-22514.96999999859</v>
      </c>
      <c r="DQ21" s="19">
        <v>15499.079999997357</v>
      </c>
      <c r="DR21" s="19">
        <v>-1700.8699999999994</v>
      </c>
      <c r="DS21" s="19">
        <v>-1627.1099999999992</v>
      </c>
      <c r="DT21" s="19">
        <v>-1634.7500000000036</v>
      </c>
      <c r="DU21" s="19">
        <v>-1844.0800000000004</v>
      </c>
      <c r="DV21" s="19">
        <v>-2014.4600000000019</v>
      </c>
      <c r="DW21" s="19">
        <v>-1986.8500000000031</v>
      </c>
      <c r="DX21" s="19">
        <v>-1911.0699999999956</v>
      </c>
      <c r="DY21" s="19">
        <v>-1666.9899999999825</v>
      </c>
      <c r="DZ21" s="19">
        <v>-1628.0799999999977</v>
      </c>
      <c r="EA21" s="19">
        <v>-1788.0499999999997</v>
      </c>
    </row>
    <row r="22" spans="1:131" s="1" customFormat="1" ht="14.5" x14ac:dyDescent="0.35">
      <c r="B22"/>
      <c r="C22"/>
      <c r="D22"/>
      <c r="E22"/>
      <c r="F22"/>
      <c r="G22"/>
      <c r="H22"/>
      <c r="I22"/>
      <c r="J22"/>
      <c r="K22"/>
      <c r="L22"/>
      <c r="M22"/>
      <c r="N22"/>
      <c r="O22"/>
      <c r="P22"/>
      <c r="Q22"/>
      <c r="AV22" s="163"/>
      <c r="CB22" s="149"/>
      <c r="CC22" s="295"/>
      <c r="CD22" s="16" t="s">
        <v>14</v>
      </c>
      <c r="CE22" s="215">
        <v>4125.4022060827265</v>
      </c>
      <c r="CF22" s="215">
        <v>5222.363980059291</v>
      </c>
      <c r="CG22" s="215">
        <v>5836.8376171941718</v>
      </c>
      <c r="CH22" s="215">
        <v>4048.8558254560085</v>
      </c>
      <c r="CI22" s="215">
        <v>293.05047533625145</v>
      </c>
      <c r="CJ22" s="215">
        <v>218.97090151318486</v>
      </c>
      <c r="CK22" s="215">
        <v>232.10167727142209</v>
      </c>
      <c r="CL22" s="4"/>
      <c r="CM22" s="4"/>
      <c r="CN22" s="295"/>
      <c r="CO22" s="16" t="s">
        <v>14</v>
      </c>
      <c r="CP22" s="215">
        <v>4736.523523701806</v>
      </c>
      <c r="CQ22" s="215">
        <v>6485.486602261135</v>
      </c>
      <c r="CR22" s="215">
        <v>8061.0487649443712</v>
      </c>
      <c r="CS22" s="215">
        <v>5790.4267625604271</v>
      </c>
      <c r="CT22" s="215">
        <v>371.25704308714052</v>
      </c>
      <c r="CU22" s="215">
        <v>254.97400725360293</v>
      </c>
      <c r="CV22" s="215">
        <v>240.65204407648844</v>
      </c>
      <c r="CW22" s="4"/>
      <c r="CX22" s="4"/>
      <c r="CY22" s="4"/>
      <c r="CZ22" s="182"/>
      <c r="DA22" s="295"/>
      <c r="DB22" s="17" t="s">
        <v>8</v>
      </c>
      <c r="DC22" s="19">
        <v>-1067.0875374249529</v>
      </c>
      <c r="DD22" s="19">
        <v>-1225.9351256556843</v>
      </c>
      <c r="DE22" s="19">
        <v>-1401.4166619088783</v>
      </c>
      <c r="DF22" s="19">
        <v>-1183.9520008756031</v>
      </c>
      <c r="DG22" s="19">
        <v>-1162.7623897461733</v>
      </c>
      <c r="DH22" s="19">
        <v>-1074.9005653359347</v>
      </c>
      <c r="DI22" s="19">
        <v>-868.89858072018546</v>
      </c>
      <c r="DJ22" s="19">
        <v>-515.82345530398413</v>
      </c>
      <c r="DK22" s="19">
        <v>-632.86316034840559</v>
      </c>
      <c r="DL22" s="19">
        <v>-483.54449015623845</v>
      </c>
      <c r="DM22" s="19">
        <v>-310.70021856464894</v>
      </c>
      <c r="DN22" s="19">
        <v>-256.92634629293042</v>
      </c>
      <c r="DO22" s="19">
        <v>-314.06733602467597</v>
      </c>
      <c r="DP22" s="19">
        <v>-150.51955366493112</v>
      </c>
      <c r="DQ22" s="19">
        <v>-79.434305640423048</v>
      </c>
      <c r="DR22" s="19">
        <v>-150.90580426858051</v>
      </c>
      <c r="DS22" s="19">
        <v>-102.41247282528005</v>
      </c>
      <c r="DT22" s="19">
        <v>-121.90807076604845</v>
      </c>
      <c r="DU22" s="19">
        <v>-118.24717592086424</v>
      </c>
      <c r="DV22" s="19">
        <v>-46.538661005627148</v>
      </c>
      <c r="DW22" s="19">
        <v>84.712907340120296</v>
      </c>
      <c r="DX22" s="19">
        <v>242.03249230332318</v>
      </c>
      <c r="DY22" s="19">
        <v>447.3545015818936</v>
      </c>
      <c r="DZ22" s="19">
        <v>732.17623202080063</v>
      </c>
      <c r="EA22" s="19">
        <v>1020.113149793303</v>
      </c>
    </row>
    <row r="23" spans="1:131" s="1" customFormat="1" ht="14.5" x14ac:dyDescent="0.35">
      <c r="B23"/>
      <c r="C23"/>
      <c r="D23"/>
      <c r="E23"/>
      <c r="F23"/>
      <c r="G23"/>
      <c r="H23"/>
      <c r="I23"/>
      <c r="J23"/>
      <c r="K23"/>
      <c r="L23"/>
      <c r="M23"/>
      <c r="N23"/>
      <c r="O23"/>
      <c r="P23"/>
      <c r="Q23"/>
      <c r="AV23" s="163"/>
      <c r="CB23" s="149"/>
      <c r="CC23" s="295"/>
      <c r="CD23" s="18" t="s">
        <v>15</v>
      </c>
      <c r="CE23" s="215">
        <v>-841350.61978191836</v>
      </c>
      <c r="CF23" s="215">
        <v>-545291.64580185909</v>
      </c>
      <c r="CG23" s="215">
        <v>-163519.43818466493</v>
      </c>
      <c r="CH23" s="215">
        <v>83209.647640791081</v>
      </c>
      <c r="CI23" s="215">
        <v>97333.148116127326</v>
      </c>
      <c r="CJ23" s="215">
        <v>105461.25901764051</v>
      </c>
      <c r="CK23" s="215">
        <v>113620.61069491193</v>
      </c>
      <c r="CL23" s="4"/>
      <c r="CM23" s="4"/>
      <c r="CN23" s="295"/>
      <c r="CO23" s="18" t="s">
        <v>15</v>
      </c>
      <c r="CP23" s="215">
        <v>-840739.49846429913</v>
      </c>
      <c r="CQ23" s="215">
        <v>-543417.40186203807</v>
      </c>
      <c r="CR23" s="215">
        <v>-159420.9830970937</v>
      </c>
      <c r="CS23" s="215">
        <v>89049.673665466747</v>
      </c>
      <c r="CT23" s="215">
        <v>103251.38070855389</v>
      </c>
      <c r="CU23" s="215">
        <v>111415.49471580749</v>
      </c>
      <c r="CV23" s="215">
        <v>119583.39675988398</v>
      </c>
      <c r="CW23" s="4"/>
      <c r="CX23" s="4"/>
      <c r="CY23" s="4"/>
      <c r="CZ23" s="182"/>
      <c r="DA23" s="295"/>
      <c r="DB23" s="17" t="s">
        <v>27</v>
      </c>
      <c r="DC23" s="14">
        <v>-26147.875787511821</v>
      </c>
      <c r="DD23" s="14">
        <v>-27373.810913167505</v>
      </c>
      <c r="DE23" s="14">
        <v>-28775.227575076384</v>
      </c>
      <c r="DF23" s="14">
        <v>-29959.179575951988</v>
      </c>
      <c r="DG23" s="14">
        <v>-31121.941965698163</v>
      </c>
      <c r="DH23" s="14">
        <v>-32196.842531034097</v>
      </c>
      <c r="DI23" s="14">
        <v>-33065.74111175428</v>
      </c>
      <c r="DJ23" s="14">
        <v>-33581.564567058267</v>
      </c>
      <c r="DK23" s="14">
        <v>-34214.42772740667</v>
      </c>
      <c r="DL23" s="14">
        <v>-34697.972217562907</v>
      </c>
      <c r="DM23" s="14">
        <v>-35008.672436127556</v>
      </c>
      <c r="DN23" s="14">
        <v>-35265.598782420486</v>
      </c>
      <c r="DO23" s="14">
        <v>-35579.666118445159</v>
      </c>
      <c r="DP23" s="14">
        <v>-35730.185672110092</v>
      </c>
      <c r="DQ23" s="14">
        <v>-35809.619977750517</v>
      </c>
      <c r="DR23" s="14">
        <v>-35960.525782019096</v>
      </c>
      <c r="DS23" s="14">
        <v>-36062.938254844375</v>
      </c>
      <c r="DT23" s="14">
        <v>-36184.846325610422</v>
      </c>
      <c r="DU23" s="14">
        <v>-36303.093501531286</v>
      </c>
      <c r="DV23" s="14">
        <v>-36349.632162536916</v>
      </c>
      <c r="DW23" s="14">
        <v>-36264.919255196794</v>
      </c>
      <c r="DX23" s="14">
        <v>-36022.886762893468</v>
      </c>
      <c r="DY23" s="14">
        <v>-35575.532261311571</v>
      </c>
      <c r="DZ23" s="14">
        <v>-34843.356029290771</v>
      </c>
      <c r="EA23" s="14">
        <v>-33823.242879497469</v>
      </c>
    </row>
    <row r="24" spans="1:131" s="1" customFormat="1" ht="14.5" x14ac:dyDescent="0.35">
      <c r="B24"/>
      <c r="C24"/>
      <c r="D24"/>
      <c r="E24"/>
      <c r="F24"/>
      <c r="G24"/>
      <c r="H24"/>
      <c r="I24"/>
      <c r="J24"/>
      <c r="K24"/>
      <c r="L24"/>
      <c r="M24"/>
      <c r="N24"/>
      <c r="O24"/>
      <c r="P24"/>
      <c r="Q24"/>
      <c r="AV24" s="163"/>
      <c r="CB24" s="149"/>
      <c r="CC24" s="40"/>
      <c r="CD24" s="11"/>
      <c r="CE24" s="2"/>
      <c r="CF24" s="2"/>
      <c r="CG24" s="2"/>
      <c r="CH24" s="2"/>
      <c r="CI24" s="2"/>
      <c r="CJ24" s="2"/>
      <c r="CK24" s="2"/>
      <c r="CL24" s="4"/>
      <c r="CM24" s="4"/>
      <c r="CN24" s="40"/>
      <c r="CO24" s="11"/>
      <c r="CP24" s="2"/>
      <c r="CQ24" s="2"/>
      <c r="CR24" s="2"/>
      <c r="CS24" s="2"/>
      <c r="CT24" s="2"/>
      <c r="CU24" s="2"/>
      <c r="CV24" s="2"/>
      <c r="CW24" s="4"/>
      <c r="CX24" s="4"/>
      <c r="CY24" s="4"/>
      <c r="CZ24" s="182"/>
      <c r="DA24" s="295"/>
      <c r="DB24" s="16" t="s">
        <v>14</v>
      </c>
      <c r="DC24" s="19">
        <v>-682877.26753742574</v>
      </c>
      <c r="DD24" s="19">
        <v>-781451.51512565487</v>
      </c>
      <c r="DE24" s="19">
        <v>94685.043338091797</v>
      </c>
      <c r="DF24" s="19">
        <v>-21378.962000874708</v>
      </c>
      <c r="DG24" s="19">
        <v>-22029.402389745377</v>
      </c>
      <c r="DH24" s="19">
        <v>-17236.900565339802</v>
      </c>
      <c r="DI24" s="19">
        <v>26988.721419282418</v>
      </c>
      <c r="DJ24" s="19">
        <v>37535.326544696574</v>
      </c>
      <c r="DK24" s="19">
        <v>32771.136839650426</v>
      </c>
      <c r="DL24" s="19">
        <v>1535.2055098433084</v>
      </c>
      <c r="DM24" s="19">
        <v>-23696.50021856384</v>
      </c>
      <c r="DN24" s="19">
        <v>-19580.126346293338</v>
      </c>
      <c r="DO24" s="19">
        <v>-22802.967336025795</v>
      </c>
      <c r="DP24" s="19">
        <v>-22665.489553663523</v>
      </c>
      <c r="DQ24" s="19">
        <v>15419.645694356932</v>
      </c>
      <c r="DR24" s="19">
        <v>-1851.77580426858</v>
      </c>
      <c r="DS24" s="19">
        <v>-1729.5224728252795</v>
      </c>
      <c r="DT24" s="19">
        <v>-1756.6580707660519</v>
      </c>
      <c r="DU24" s="19">
        <v>-1962.3271759208646</v>
      </c>
      <c r="DV24" s="19">
        <v>-2060.9986610056294</v>
      </c>
      <c r="DW24" s="19">
        <v>-1902.1370926598829</v>
      </c>
      <c r="DX24" s="19">
        <v>-1669.0375076966725</v>
      </c>
      <c r="DY24" s="19">
        <v>-1219.6354984180889</v>
      </c>
      <c r="DZ24" s="19">
        <v>-895.90376797919703</v>
      </c>
      <c r="EA24" s="19">
        <v>-767.9368502066967</v>
      </c>
    </row>
    <row r="25" spans="1:131" s="1" customFormat="1" ht="14.5" x14ac:dyDescent="0.35">
      <c r="B25"/>
      <c r="C25"/>
      <c r="D25"/>
      <c r="E25"/>
      <c r="F25"/>
      <c r="G25"/>
      <c r="H25"/>
      <c r="I25"/>
      <c r="J25"/>
      <c r="K25"/>
      <c r="L25"/>
      <c r="M25"/>
      <c r="N25"/>
      <c r="O25"/>
      <c r="P25"/>
      <c r="Q25"/>
      <c r="AV25" s="163"/>
      <c r="CB25" s="149"/>
      <c r="CC25" s="295" t="s">
        <v>21</v>
      </c>
      <c r="CD25" s="15"/>
      <c r="CE25" s="2"/>
      <c r="CF25" s="2"/>
      <c r="CG25" s="2"/>
      <c r="CH25" s="2"/>
      <c r="CI25" s="2"/>
      <c r="CJ25" s="2"/>
      <c r="CK25" s="2"/>
      <c r="CL25" s="4"/>
      <c r="CM25" s="4"/>
      <c r="CN25" s="295" t="s">
        <v>21</v>
      </c>
      <c r="CO25" s="15"/>
      <c r="CP25" s="2"/>
      <c r="CQ25" s="2"/>
      <c r="CR25" s="2"/>
      <c r="CS25" s="2"/>
      <c r="CT25" s="2"/>
      <c r="CU25" s="2"/>
      <c r="CV25" s="2"/>
      <c r="CW25" s="4"/>
      <c r="CX25" s="4"/>
      <c r="CY25" s="4"/>
      <c r="CZ25" s="182"/>
      <c r="DA25" s="295"/>
      <c r="DB25" s="18" t="s">
        <v>2</v>
      </c>
      <c r="DC25" s="19">
        <v>-6403592.3120871419</v>
      </c>
      <c r="DD25" s="19">
        <v>-7137780.1572127966</v>
      </c>
      <c r="DE25" s="19">
        <v>-7243334.5838747043</v>
      </c>
      <c r="DF25" s="19">
        <v>-6650296.1558755804</v>
      </c>
      <c r="DG25" s="19">
        <v>-6199173.9282653257</v>
      </c>
      <c r="DH25" s="19">
        <v>-5752486.9288306646</v>
      </c>
      <c r="DI25" s="19">
        <v>-5171371.0674113818</v>
      </c>
      <c r="DJ25" s="19">
        <v>-4436148.8008666858</v>
      </c>
      <c r="DK25" s="19">
        <v>-3703409.5340270353</v>
      </c>
      <c r="DL25" s="19">
        <v>-3003352.558517192</v>
      </c>
      <c r="DM25" s="19">
        <v>-2485912.4487357559</v>
      </c>
      <c r="DN25" s="19">
        <v>-2012616.615082049</v>
      </c>
      <c r="DO25" s="19">
        <v>-1447273.3524180748</v>
      </c>
      <c r="DP25" s="19">
        <v>-770564.10197173851</v>
      </c>
      <c r="DQ25" s="19">
        <v>-322274.76627738157</v>
      </c>
      <c r="DR25" s="19">
        <v>-263245.5120816502</v>
      </c>
      <c r="DS25" s="19">
        <v>-204785.44455447549</v>
      </c>
      <c r="DT25" s="19">
        <v>-154158.88262524153</v>
      </c>
      <c r="DU25" s="19">
        <v>-95615.829801162385</v>
      </c>
      <c r="DV25" s="19">
        <v>-27200.068462167983</v>
      </c>
      <c r="DW25" s="19">
        <v>39731.104445172125</v>
      </c>
      <c r="DX25" s="19">
        <v>102448.24693747543</v>
      </c>
      <c r="DY25" s="19">
        <v>155146.73143905733</v>
      </c>
      <c r="DZ25" s="19">
        <v>205723.16767107815</v>
      </c>
      <c r="EA25" s="19">
        <v>266122.11082087149</v>
      </c>
    </row>
    <row r="26" spans="1:131" s="1" customFormat="1" ht="14.5" x14ac:dyDescent="0.35">
      <c r="B26"/>
      <c r="C26"/>
      <c r="D26"/>
      <c r="E26"/>
      <c r="F26"/>
      <c r="G26"/>
      <c r="H26"/>
      <c r="I26"/>
      <c r="J26"/>
      <c r="K26"/>
      <c r="L26"/>
      <c r="M26"/>
      <c r="N26"/>
      <c r="O26"/>
      <c r="P26"/>
      <c r="Q26"/>
      <c r="AV26" s="163"/>
      <c r="CB26" s="149"/>
      <c r="CC26" s="295"/>
      <c r="CD26" s="15" t="s">
        <v>28</v>
      </c>
      <c r="CE26" s="215">
        <v>993.04000000096858</v>
      </c>
      <c r="CF26" s="215">
        <v>1022.7099999990314</v>
      </c>
      <c r="CG26" s="215">
        <v>1061.0999999996275</v>
      </c>
      <c r="CH26" s="215">
        <v>818.65000000037253</v>
      </c>
      <c r="CI26" s="215">
        <v>0</v>
      </c>
      <c r="CJ26" s="215">
        <v>0</v>
      </c>
      <c r="CK26" s="215">
        <v>0</v>
      </c>
      <c r="CL26" s="4"/>
      <c r="CM26" s="4"/>
      <c r="CN26" s="295"/>
      <c r="CO26" s="15" t="s">
        <v>28</v>
      </c>
      <c r="CP26" s="215">
        <v>993.04000000096858</v>
      </c>
      <c r="CQ26" s="215">
        <v>1022.7099999990314</v>
      </c>
      <c r="CR26" s="215">
        <v>1061.0999999996275</v>
      </c>
      <c r="CS26" s="215">
        <v>818.65000000037253</v>
      </c>
      <c r="CT26" s="215">
        <v>0</v>
      </c>
      <c r="CU26" s="215">
        <v>0</v>
      </c>
      <c r="CV26" s="215">
        <v>0</v>
      </c>
      <c r="CW26" s="4"/>
      <c r="CX26" s="4"/>
      <c r="CY26" s="4"/>
      <c r="CZ26" s="182"/>
      <c r="DA26" s="40"/>
      <c r="DB26" s="11"/>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row>
    <row r="27" spans="1:131" ht="14.5" x14ac:dyDescent="0.35">
      <c r="CB27" s="150"/>
      <c r="CC27" s="295"/>
      <c r="CD27" s="16" t="s">
        <v>26</v>
      </c>
      <c r="CE27" s="215">
        <v>-85048.337899656035</v>
      </c>
      <c r="CF27" s="215">
        <v>-96923.929909834478</v>
      </c>
      <c r="CG27" s="215">
        <v>-114316.61954150567</v>
      </c>
      <c r="CH27" s="215">
        <v>-70347.05152582172</v>
      </c>
      <c r="CI27" s="215">
        <v>-3800.9561632831483</v>
      </c>
      <c r="CJ27" s="215">
        <v>-3430.8126987825262</v>
      </c>
      <c r="CK27" s="215">
        <v>-3159.8932354852132</v>
      </c>
      <c r="CL27" s="2"/>
      <c r="CM27" s="2"/>
      <c r="CN27" s="295"/>
      <c r="CO27" s="16" t="s">
        <v>26</v>
      </c>
      <c r="CP27" s="215">
        <v>-84913.526641125747</v>
      </c>
      <c r="CQ27" s="215">
        <v>-96636.184986975422</v>
      </c>
      <c r="CR27" s="215">
        <v>-113783.66949853272</v>
      </c>
      <c r="CS27" s="215">
        <v>-69912.247064021896</v>
      </c>
      <c r="CT27" s="215">
        <v>-3783.1481282858335</v>
      </c>
      <c r="CU27" s="215">
        <v>-3423.5497542955159</v>
      </c>
      <c r="CV27" s="215">
        <v>-3159.0651251823288</v>
      </c>
      <c r="CW27" s="2"/>
      <c r="CX27" s="2"/>
      <c r="CY27" s="2"/>
      <c r="DA27" s="295" t="s">
        <v>20</v>
      </c>
      <c r="DB27" s="15"/>
      <c r="DC27" s="7"/>
      <c r="DD27" s="7"/>
      <c r="DE27" s="7"/>
      <c r="DF27" s="7"/>
      <c r="DG27" s="7"/>
      <c r="DH27" s="7"/>
      <c r="DI27" s="7"/>
      <c r="DJ27" s="7"/>
      <c r="DK27" s="7"/>
      <c r="DL27" s="7"/>
      <c r="DM27" s="7"/>
      <c r="DN27" s="7"/>
      <c r="DO27" s="7"/>
      <c r="DP27" s="7"/>
      <c r="DQ27" s="7"/>
      <c r="DR27" s="7"/>
      <c r="DS27" s="7"/>
      <c r="DT27" s="7"/>
      <c r="DU27" s="7"/>
      <c r="DV27" s="7"/>
      <c r="DW27" s="7"/>
      <c r="DX27" s="7"/>
      <c r="DY27" s="125">
        <v>5948.9756313576872</v>
      </c>
      <c r="DZ27" s="7"/>
      <c r="EA27" s="7"/>
    </row>
    <row r="28" spans="1:131" ht="14.5" x14ac:dyDescent="0.35">
      <c r="A28" s="47" t="s">
        <v>82</v>
      </c>
      <c r="CB28" s="149"/>
      <c r="CC28" s="295"/>
      <c r="CD28" s="16" t="s">
        <v>51</v>
      </c>
      <c r="CE28" s="215">
        <v>86249.99</v>
      </c>
      <c r="CF28" s="215">
        <v>98347.18</v>
      </c>
      <c r="CG28" s="215">
        <v>116084.16</v>
      </c>
      <c r="CH28" s="215">
        <v>72696.31</v>
      </c>
      <c r="CI28" s="215">
        <v>3930.01</v>
      </c>
      <c r="CJ28" s="215">
        <v>3532.61</v>
      </c>
      <c r="CK28" s="215">
        <v>3250.65</v>
      </c>
      <c r="CL28" s="4"/>
      <c r="CM28" s="4"/>
      <c r="CN28" s="295"/>
      <c r="CO28" s="16" t="s">
        <v>51</v>
      </c>
      <c r="CP28" s="215">
        <v>86249.99</v>
      </c>
      <c r="CQ28" s="215">
        <v>98347.18</v>
      </c>
      <c r="CR28" s="215">
        <v>116084.16</v>
      </c>
      <c r="CS28" s="215">
        <v>72696.31</v>
      </c>
      <c r="CT28" s="215">
        <v>3930.01</v>
      </c>
      <c r="CU28" s="215">
        <v>3532.61</v>
      </c>
      <c r="CV28" s="215">
        <v>3250.65</v>
      </c>
      <c r="CW28" s="4"/>
      <c r="CX28" s="4"/>
      <c r="CY28" s="4"/>
      <c r="DA28" s="295"/>
      <c r="DB28" s="15" t="s">
        <v>28</v>
      </c>
      <c r="DC28" s="20">
        <v>0</v>
      </c>
      <c r="DD28" s="20">
        <v>0</v>
      </c>
      <c r="DE28" s="20">
        <v>0</v>
      </c>
      <c r="DF28" s="20">
        <v>0</v>
      </c>
      <c r="DG28" s="20">
        <v>0</v>
      </c>
      <c r="DH28" s="20">
        <v>0</v>
      </c>
      <c r="DI28" s="20">
        <v>0</v>
      </c>
      <c r="DJ28" s="20">
        <v>0</v>
      </c>
      <c r="DK28" s="20">
        <v>0</v>
      </c>
      <c r="DL28" s="20">
        <v>0</v>
      </c>
      <c r="DM28" s="20">
        <v>0</v>
      </c>
      <c r="DN28" s="20">
        <v>0</v>
      </c>
      <c r="DO28" s="20">
        <v>0</v>
      </c>
      <c r="DP28" s="20">
        <v>0</v>
      </c>
      <c r="DQ28" s="20">
        <v>0</v>
      </c>
      <c r="DR28" s="20">
        <v>0</v>
      </c>
      <c r="DS28" s="20">
        <v>0</v>
      </c>
      <c r="DT28" s="20">
        <v>0</v>
      </c>
      <c r="DU28" s="20">
        <v>0</v>
      </c>
      <c r="DV28" s="20">
        <v>0</v>
      </c>
      <c r="DW28" s="20">
        <v>0</v>
      </c>
      <c r="DX28" s="20">
        <v>0</v>
      </c>
      <c r="DY28" s="20">
        <v>0</v>
      </c>
      <c r="DZ28" s="20">
        <v>0</v>
      </c>
      <c r="EA28" s="20">
        <v>0</v>
      </c>
    </row>
    <row r="29" spans="1:131" ht="14.5" x14ac:dyDescent="0.35">
      <c r="C29" s="10">
        <v>42370</v>
      </c>
      <c r="D29" s="10">
        <v>42401</v>
      </c>
      <c r="E29" s="10">
        <v>42430</v>
      </c>
      <c r="F29" s="10">
        <v>42461</v>
      </c>
      <c r="G29" s="10">
        <v>42491</v>
      </c>
      <c r="H29" s="10">
        <v>42522</v>
      </c>
      <c r="I29" s="10">
        <v>42552</v>
      </c>
      <c r="J29" s="10">
        <v>42583</v>
      </c>
      <c r="K29" s="10">
        <v>42614</v>
      </c>
      <c r="L29" s="10">
        <v>42644</v>
      </c>
      <c r="M29" s="10">
        <v>42675</v>
      </c>
      <c r="N29" s="10">
        <v>42705</v>
      </c>
      <c r="O29" s="10">
        <v>42736</v>
      </c>
      <c r="P29" s="10">
        <v>42767</v>
      </c>
      <c r="Q29" s="10">
        <v>42795</v>
      </c>
      <c r="R29" s="10">
        <v>42826</v>
      </c>
      <c r="S29" s="10">
        <v>42856</v>
      </c>
      <c r="T29" s="10">
        <v>42887</v>
      </c>
      <c r="U29" s="10">
        <v>42917</v>
      </c>
      <c r="V29" s="10">
        <v>42948</v>
      </c>
      <c r="W29" s="10">
        <v>42979</v>
      </c>
      <c r="X29" s="10">
        <v>43009</v>
      </c>
      <c r="Y29" s="10">
        <v>43040</v>
      </c>
      <c r="Z29" s="10">
        <v>43070</v>
      </c>
      <c r="AA29" s="10">
        <v>43101</v>
      </c>
      <c r="AB29" s="10">
        <v>43132</v>
      </c>
      <c r="AC29" s="10">
        <v>43160</v>
      </c>
      <c r="AD29" s="10">
        <v>43191</v>
      </c>
      <c r="AE29" s="10">
        <v>43221</v>
      </c>
      <c r="AF29" s="10">
        <v>43252</v>
      </c>
      <c r="AG29" s="10">
        <v>43282</v>
      </c>
      <c r="AH29" s="10">
        <v>43313</v>
      </c>
      <c r="AI29" s="10">
        <v>43344</v>
      </c>
      <c r="AJ29" s="10">
        <v>43374</v>
      </c>
      <c r="AK29" s="10">
        <v>43405</v>
      </c>
      <c r="AL29" s="10">
        <v>43435</v>
      </c>
      <c r="AM29" s="10">
        <v>43466</v>
      </c>
      <c r="AN29" s="10">
        <v>43497</v>
      </c>
      <c r="AO29" s="10">
        <v>43525</v>
      </c>
      <c r="AP29" s="10">
        <v>43556</v>
      </c>
      <c r="AQ29" s="10">
        <v>43586</v>
      </c>
      <c r="AR29" s="10">
        <v>43617</v>
      </c>
      <c r="CB29" s="149"/>
      <c r="CC29" s="295"/>
      <c r="CD29" s="16" t="s">
        <v>52</v>
      </c>
      <c r="CE29" s="215">
        <v>1201.6521003439702</v>
      </c>
      <c r="CF29" s="215">
        <v>1423.2500901655148</v>
      </c>
      <c r="CG29" s="215">
        <v>1767.5404584943317</v>
      </c>
      <c r="CH29" s="215">
        <v>2349.2584741782775</v>
      </c>
      <c r="CI29" s="215">
        <v>129.05383671685195</v>
      </c>
      <c r="CJ29" s="215">
        <v>101.79730121747389</v>
      </c>
      <c r="CK29" s="215">
        <v>90.756764514786937</v>
      </c>
      <c r="CL29" s="4"/>
      <c r="CM29" s="4"/>
      <c r="CN29" s="295"/>
      <c r="CO29" s="16" t="s">
        <v>52</v>
      </c>
      <c r="CP29" s="215">
        <v>1336.4633588742581</v>
      </c>
      <c r="CQ29" s="215">
        <v>1710.9950130245707</v>
      </c>
      <c r="CR29" s="215">
        <v>2300.490501467284</v>
      </c>
      <c r="CS29" s="215">
        <v>2784.0629359781015</v>
      </c>
      <c r="CT29" s="215">
        <v>146.86187171416668</v>
      </c>
      <c r="CU29" s="215">
        <v>109.06024570448426</v>
      </c>
      <c r="CV29" s="215">
        <v>91.584874817671334</v>
      </c>
      <c r="CW29" s="4" t="s">
        <v>117</v>
      </c>
      <c r="CX29" s="4" t="s">
        <v>118</v>
      </c>
      <c r="CY29" s="4" t="s">
        <v>119</v>
      </c>
      <c r="DA29" s="295"/>
      <c r="DB29" s="16" t="s">
        <v>26</v>
      </c>
      <c r="DC29" s="20">
        <v>120857.06275512144</v>
      </c>
      <c r="DD29" s="20">
        <v>157131.76386056477</v>
      </c>
      <c r="DE29" s="20">
        <v>-115197.03218943029</v>
      </c>
      <c r="DF29" s="20">
        <v>-330846.44785598782</v>
      </c>
      <c r="DG29" s="20">
        <v>-223865.36362995688</v>
      </c>
      <c r="DH29" s="20">
        <v>-210176.78057078717</v>
      </c>
      <c r="DI29" s="20">
        <v>-274664.86631310626</v>
      </c>
      <c r="DJ29" s="20">
        <v>-362529.15554440091</v>
      </c>
      <c r="DK29" s="20">
        <v>-369792.94310600177</v>
      </c>
      <c r="DL29" s="20">
        <v>-363385.55298456381</v>
      </c>
      <c r="DM29" s="20">
        <v>-252118.8064792598</v>
      </c>
      <c r="DN29" s="20">
        <v>-236659.87723249063</v>
      </c>
      <c r="DO29" s="20">
        <v>-296177.30566513271</v>
      </c>
      <c r="DP29" s="20">
        <v>-381804.14898688439</v>
      </c>
      <c r="DQ29" s="20">
        <v>-246708.5763060193</v>
      </c>
      <c r="DR29" s="20">
        <v>-14067.704131906468</v>
      </c>
      <c r="DS29" s="20">
        <v>-8075.3701007850805</v>
      </c>
      <c r="DT29" s="20">
        <v>-8069.5010685150701</v>
      </c>
      <c r="DU29" s="20">
        <v>-10523.960092720119</v>
      </c>
      <c r="DV29" s="20">
        <v>-14468.941204805698</v>
      </c>
      <c r="DW29" s="20">
        <v>-13654.530108070918</v>
      </c>
      <c r="DX29" s="20">
        <v>-11445.528735503302</v>
      </c>
      <c r="DY29" s="20">
        <v>-8161.2905921701886</v>
      </c>
      <c r="DZ29" s="20">
        <v>-7466.1740536377019</v>
      </c>
      <c r="EA29" s="20">
        <v>-11799.60123590958</v>
      </c>
    </row>
    <row r="30" spans="1:131" ht="15" customHeight="1" x14ac:dyDescent="0.35">
      <c r="A30" s="295" t="s">
        <v>25</v>
      </c>
      <c r="B30" s="15"/>
      <c r="C30" s="30"/>
      <c r="D30" s="30"/>
      <c r="E30" s="7"/>
      <c r="F30" s="7"/>
      <c r="G30" s="7"/>
      <c r="H30" s="7"/>
      <c r="I30" s="7"/>
      <c r="J30" s="7"/>
      <c r="K30" s="7"/>
      <c r="L30" s="7"/>
      <c r="M30" s="7"/>
      <c r="N30" s="7"/>
      <c r="O30" s="7"/>
      <c r="P30" s="68">
        <v>13541921.743700374</v>
      </c>
      <c r="Q30" s="7"/>
      <c r="R30" s="7"/>
      <c r="S30" s="7"/>
      <c r="T30" s="7"/>
      <c r="U30" s="7"/>
      <c r="V30" s="7"/>
      <c r="W30" s="7"/>
      <c r="X30" s="7"/>
      <c r="Y30" s="7"/>
      <c r="Z30" s="7"/>
      <c r="AA30" s="7"/>
      <c r="AB30" s="7"/>
      <c r="AC30" s="7"/>
      <c r="AD30" s="7"/>
      <c r="AE30" s="7"/>
      <c r="AF30" s="7"/>
      <c r="AG30" s="7"/>
      <c r="AH30" s="7"/>
      <c r="AI30" s="7"/>
      <c r="AJ30" s="7"/>
      <c r="AK30" s="7"/>
      <c r="AL30" s="7"/>
      <c r="AM30" s="7"/>
      <c r="AN30" s="7"/>
      <c r="AO30" s="7"/>
      <c r="AP30" s="67"/>
      <c r="AQ30" s="67"/>
      <c r="AR30" s="67"/>
      <c r="CB30" s="149"/>
      <c r="CC30" s="295"/>
      <c r="CD30" s="16" t="s">
        <v>13</v>
      </c>
      <c r="CE30" s="215">
        <v>-208.61210034300166</v>
      </c>
      <c r="CF30" s="215">
        <v>-400.54009016648342</v>
      </c>
      <c r="CG30" s="215">
        <v>-706.44045849470422</v>
      </c>
      <c r="CH30" s="215">
        <v>-1530.608474177905</v>
      </c>
      <c r="CI30" s="215">
        <v>-129.05383671685195</v>
      </c>
      <c r="CJ30" s="215">
        <v>-101.79730121747389</v>
      </c>
      <c r="CK30" s="215">
        <v>-90.756764514786937</v>
      </c>
      <c r="CL30" s="4"/>
      <c r="CM30" s="4"/>
      <c r="CN30" s="295"/>
      <c r="CO30" s="16" t="s">
        <v>13</v>
      </c>
      <c r="CP30" s="215">
        <v>-343.42335887328954</v>
      </c>
      <c r="CQ30" s="215">
        <v>-688.28501302553923</v>
      </c>
      <c r="CR30" s="215">
        <v>-1239.3905014676566</v>
      </c>
      <c r="CS30" s="215">
        <v>-1965.4129359777289</v>
      </c>
      <c r="CT30" s="215">
        <v>-146.86187171416668</v>
      </c>
      <c r="CU30" s="215">
        <v>-109.06024570448426</v>
      </c>
      <c r="CV30" s="215">
        <v>-91.584874817671334</v>
      </c>
      <c r="CW30" s="216">
        <f>SUM(CP30:CV30)</f>
        <v>-4584.018801580537</v>
      </c>
      <c r="CX30" s="216">
        <f>SUM(CE30:CK30)</f>
        <v>-3167.8090256312071</v>
      </c>
      <c r="CY30" s="216">
        <f>CW30-CX30</f>
        <v>-1416.2097759493299</v>
      </c>
      <c r="DA30" s="295"/>
      <c r="DB30" s="16" t="s">
        <v>51</v>
      </c>
      <c r="DC30" s="20">
        <v>84398.080000000002</v>
      </c>
      <c r="DD30" s="20">
        <v>109860.73</v>
      </c>
      <c r="DE30" s="20">
        <v>113458.01</v>
      </c>
      <c r="DF30" s="20">
        <v>325175.89</v>
      </c>
      <c r="DG30" s="20">
        <v>219552.89</v>
      </c>
      <c r="DH30" s="20">
        <v>206267.22</v>
      </c>
      <c r="DI30" s="20">
        <v>270595.87</v>
      </c>
      <c r="DJ30" s="20">
        <v>357386.66</v>
      </c>
      <c r="DK30" s="20">
        <v>364675.44</v>
      </c>
      <c r="DL30" s="20">
        <v>358208.47</v>
      </c>
      <c r="DM30" s="20">
        <v>248050.58</v>
      </c>
      <c r="DN30" s="20">
        <v>232427.07</v>
      </c>
      <c r="DO30" s="20">
        <v>290836.61</v>
      </c>
      <c r="DP30" s="20">
        <v>375935.37</v>
      </c>
      <c r="DQ30" s="20">
        <v>242680.23</v>
      </c>
      <c r="DR30" s="20">
        <v>13830.45</v>
      </c>
      <c r="DS30" s="20">
        <v>7909.14</v>
      </c>
      <c r="DT30" s="20">
        <v>7927.25</v>
      </c>
      <c r="DU30" s="20">
        <v>10364.700000000001</v>
      </c>
      <c r="DV30" s="20">
        <v>14271.87</v>
      </c>
      <c r="DW30" s="20">
        <v>13453.18</v>
      </c>
      <c r="DX30" s="20">
        <v>11260.05</v>
      </c>
      <c r="DY30" s="20">
        <v>8003.94</v>
      </c>
      <c r="DZ30" s="20">
        <v>7297.68</v>
      </c>
      <c r="EA30" s="20">
        <v>11546.44</v>
      </c>
    </row>
    <row r="31" spans="1:131" s="3" customFormat="1" ht="15" customHeight="1" x14ac:dyDescent="0.35">
      <c r="A31" s="295"/>
      <c r="B31" s="15" t="s">
        <v>28</v>
      </c>
      <c r="C31" s="30"/>
      <c r="D31" s="30"/>
      <c r="E31" s="19">
        <f>+E57</f>
        <v>0</v>
      </c>
      <c r="F31" s="19">
        <f t="shared" ref="F31:AR31" si="6">+F57</f>
        <v>1315.62</v>
      </c>
      <c r="G31" s="19">
        <f t="shared" si="6"/>
        <v>9547.77</v>
      </c>
      <c r="H31" s="19">
        <f t="shared" si="6"/>
        <v>131836.54999999999</v>
      </c>
      <c r="I31" s="19">
        <f t="shared" si="6"/>
        <v>295613.25</v>
      </c>
      <c r="J31" s="19">
        <f t="shared" si="6"/>
        <v>620316.48999999987</v>
      </c>
      <c r="K31" s="19">
        <f t="shared" si="6"/>
        <v>555398.20999999985</v>
      </c>
      <c r="L31" s="19">
        <f t="shared" si="6"/>
        <v>198514.37000000011</v>
      </c>
      <c r="M31" s="19">
        <f t="shared" si="6"/>
        <v>277476.9599999999</v>
      </c>
      <c r="N31" s="19">
        <f t="shared" si="6"/>
        <v>434867.4</v>
      </c>
      <c r="O31" s="19">
        <f t="shared" si="6"/>
        <v>508459.40000000014</v>
      </c>
      <c r="P31" s="19">
        <f t="shared" si="6"/>
        <v>490745.49000000017</v>
      </c>
      <c r="Q31" s="19">
        <f t="shared" si="6"/>
        <v>527476.22000000009</v>
      </c>
      <c r="R31" s="19">
        <f t="shared" si="6"/>
        <v>258953.52000000025</v>
      </c>
      <c r="S31" s="19">
        <f t="shared" si="6"/>
        <v>394310.88999999978</v>
      </c>
      <c r="T31" s="19">
        <f t="shared" si="6"/>
        <v>1342259.4100000001</v>
      </c>
      <c r="U31" s="19">
        <f t="shared" si="6"/>
        <v>1962488.9300000002</v>
      </c>
      <c r="V31" s="19">
        <f t="shared" si="6"/>
        <v>2100865.73</v>
      </c>
      <c r="W31" s="19">
        <f t="shared" si="6"/>
        <v>1649752.0800000003</v>
      </c>
      <c r="X31" s="19">
        <f t="shared" si="6"/>
        <v>751621.14999999979</v>
      </c>
      <c r="Y31" s="19">
        <f t="shared" si="6"/>
        <v>841460.40999999968</v>
      </c>
      <c r="Z31" s="19">
        <f t="shared" si="6"/>
        <v>1085634.8200000005</v>
      </c>
      <c r="AA31" s="19">
        <f t="shared" si="6"/>
        <v>1183123.0699999994</v>
      </c>
      <c r="AB31" s="19">
        <f t="shared" si="6"/>
        <v>1041235.799999999</v>
      </c>
      <c r="AC31" s="19">
        <f t="shared" si="6"/>
        <v>1113426.4299999995</v>
      </c>
      <c r="AD31" s="19">
        <f t="shared" si="6"/>
        <v>1057341.1199999994</v>
      </c>
      <c r="AE31" s="19">
        <f t="shared" si="6"/>
        <v>1420849.9099999997</v>
      </c>
      <c r="AF31" s="19">
        <f t="shared" si="6"/>
        <v>3799102.3500000015</v>
      </c>
      <c r="AG31" s="19">
        <f t="shared" si="6"/>
        <v>5128806.18</v>
      </c>
      <c r="AH31" s="19">
        <f t="shared" si="6"/>
        <v>4697486.7700000005</v>
      </c>
      <c r="AI31" s="19">
        <f t="shared" si="6"/>
        <v>3577277.59</v>
      </c>
      <c r="AJ31" s="19">
        <f t="shared" si="6"/>
        <v>1552311.3900000006</v>
      </c>
      <c r="AK31" s="19">
        <f t="shared" si="6"/>
        <v>1560965.8799999983</v>
      </c>
      <c r="AL31" s="19">
        <f t="shared" si="6"/>
        <v>1902498.7800000007</v>
      </c>
      <c r="AM31" s="19">
        <f t="shared" si="6"/>
        <v>2044546.7300000009</v>
      </c>
      <c r="AN31" s="19">
        <f t="shared" si="6"/>
        <v>1819223.7300000016</v>
      </c>
      <c r="AO31" s="19">
        <f t="shared" si="6"/>
        <v>1991958.3199999982</v>
      </c>
      <c r="AP31" s="19">
        <f t="shared" si="6"/>
        <v>1852056.3300000017</v>
      </c>
      <c r="AQ31" s="19">
        <f t="shared" si="6"/>
        <v>2404199.6199999982</v>
      </c>
      <c r="AR31" s="19">
        <f t="shared" si="6"/>
        <v>6080629.2500000019</v>
      </c>
      <c r="AV31" s="161"/>
      <c r="CB31" s="149"/>
      <c r="CC31" s="295"/>
      <c r="CD31" s="17" t="s">
        <v>8</v>
      </c>
      <c r="CE31" s="215">
        <v>-33.896799027812584</v>
      </c>
      <c r="CF31" s="215">
        <v>-36.374195914962691</v>
      </c>
      <c r="CG31" s="215">
        <v>-10.206485686119455</v>
      </c>
      <c r="CH31" s="215">
        <v>4.6633211652036026</v>
      </c>
      <c r="CI31" s="215">
        <v>13.032095954644355</v>
      </c>
      <c r="CJ31" s="215">
        <v>13.091305131004477</v>
      </c>
      <c r="CK31" s="215">
        <v>23.218272374650894</v>
      </c>
      <c r="CL31" s="4"/>
      <c r="CM31" s="4"/>
      <c r="CN31" s="295"/>
      <c r="CO31" s="17" t="s">
        <v>8</v>
      </c>
      <c r="CP31" s="215">
        <v>-33.914010942902728</v>
      </c>
      <c r="CQ31" s="215">
        <v>-36.465916878557387</v>
      </c>
      <c r="CR31" s="215">
        <v>-10.39318899746541</v>
      </c>
      <c r="CS31" s="215">
        <v>4.3204799236523046</v>
      </c>
      <c r="CT31" s="215">
        <v>12.224061000676528</v>
      </c>
      <c r="CU31" s="215">
        <v>12.382399874886771</v>
      </c>
      <c r="CV31" s="215">
        <v>22.09574861116813</v>
      </c>
      <c r="CW31" s="4"/>
      <c r="CX31" s="4"/>
      <c r="CY31" s="4"/>
      <c r="CZ31" s="225"/>
      <c r="DA31" s="295"/>
      <c r="DB31" s="16" t="s">
        <v>52</v>
      </c>
      <c r="DC31" s="7">
        <v>205255.14275512146</v>
      </c>
      <c r="DD31" s="7">
        <v>266992.49386056478</v>
      </c>
      <c r="DE31" s="7">
        <v>-1739.0221894302958</v>
      </c>
      <c r="DF31" s="7">
        <v>-5670.5578559878049</v>
      </c>
      <c r="DG31" s="7">
        <v>-4312.4736299568613</v>
      </c>
      <c r="DH31" s="7">
        <v>-3909.5605707871728</v>
      </c>
      <c r="DI31" s="7">
        <v>-4068.9963131062686</v>
      </c>
      <c r="DJ31" s="7">
        <v>-5142.4955444009393</v>
      </c>
      <c r="DK31" s="7">
        <v>-5117.5031060017645</v>
      </c>
      <c r="DL31" s="7">
        <v>-5177.0829845638364</v>
      </c>
      <c r="DM31" s="7">
        <v>-4068.2264792598144</v>
      </c>
      <c r="DN31" s="7">
        <v>-4232.8072324906243</v>
      </c>
      <c r="DO31" s="7">
        <v>-5340.69566513272</v>
      </c>
      <c r="DP31" s="7">
        <v>-5868.7789868843975</v>
      </c>
      <c r="DQ31" s="7">
        <v>-4028.346306019288</v>
      </c>
      <c r="DR31" s="7">
        <v>-237.25413190646759</v>
      </c>
      <c r="DS31" s="7">
        <v>-166.23010078508014</v>
      </c>
      <c r="DT31" s="7">
        <v>-142.25106851507007</v>
      </c>
      <c r="DU31" s="7">
        <v>-159.26009272011834</v>
      </c>
      <c r="DV31" s="7">
        <v>-197.07120480569756</v>
      </c>
      <c r="DW31" s="7">
        <v>-201.35010807091749</v>
      </c>
      <c r="DX31" s="7">
        <v>-185.47873550330223</v>
      </c>
      <c r="DY31" s="7">
        <v>-157.35059217018897</v>
      </c>
      <c r="DZ31" s="7">
        <v>-168.49405363770165</v>
      </c>
      <c r="EA31" s="7">
        <v>-253.16123590957977</v>
      </c>
    </row>
    <row r="32" spans="1:131" s="3" customFormat="1" ht="14.5" x14ac:dyDescent="0.35">
      <c r="A32" s="295"/>
      <c r="B32" s="16" t="s">
        <v>26</v>
      </c>
      <c r="C32" s="24"/>
      <c r="D32" s="24"/>
      <c r="E32" s="19">
        <v>0</v>
      </c>
      <c r="F32" s="19">
        <v>0</v>
      </c>
      <c r="G32" s="19">
        <v>17393.11</v>
      </c>
      <c r="H32" s="19">
        <v>264954.01</v>
      </c>
      <c r="I32" s="19">
        <v>347680.79</v>
      </c>
      <c r="J32" s="19">
        <v>348292.31</v>
      </c>
      <c r="K32" s="19">
        <v>325763.31</v>
      </c>
      <c r="L32" s="19">
        <v>246495.91999999998</v>
      </c>
      <c r="M32" s="19">
        <v>210020.45</v>
      </c>
      <c r="N32" s="19">
        <v>286405.52</v>
      </c>
      <c r="O32" s="19">
        <v>537350.65</v>
      </c>
      <c r="P32" s="19">
        <v>2380685.19</v>
      </c>
      <c r="Q32" s="19">
        <v>1978228.74</v>
      </c>
      <c r="R32" s="19">
        <f>+'M2 Allocations - TD'!Q55</f>
        <v>1865586.4</v>
      </c>
      <c r="S32" s="19">
        <f>+'M2 Allocations - TD'!R55</f>
        <v>1834668.9400000002</v>
      </c>
      <c r="T32" s="19">
        <f>+'M2 Allocations - TD'!S55</f>
        <v>2295880.5500000003</v>
      </c>
      <c r="U32" s="19">
        <f>+'M2 Allocations - TD'!T55</f>
        <v>2739739.71</v>
      </c>
      <c r="V32" s="19">
        <f>+'M2 Allocations - TD'!U55</f>
        <v>2810029.6700000004</v>
      </c>
      <c r="W32" s="19">
        <f>+'M2 Allocations - TD'!V55</f>
        <v>2397146.59</v>
      </c>
      <c r="X32" s="19">
        <f>+'M2 Allocations - TD'!W55</f>
        <v>2196198.75</v>
      </c>
      <c r="Y32" s="19">
        <f>+'M2 Allocations - TD'!X55</f>
        <v>1955310.19</v>
      </c>
      <c r="Z32" s="19">
        <f>+'M2 Allocations - TD'!Y55</f>
        <v>2272928.3199999998</v>
      </c>
      <c r="AA32" s="19">
        <f>+'M2 Allocations - TD'!Z55</f>
        <v>3133513.62</v>
      </c>
      <c r="AB32" s="19">
        <f>+'M2 Allocations - TD'!AA55</f>
        <v>2686519.32</v>
      </c>
      <c r="AC32" s="19">
        <f>+'M2 Allocations - TD'!AB55</f>
        <v>2253809.6800000002</v>
      </c>
      <c r="AD32" s="19">
        <f>+'M2 Allocations - TD'!AC55</f>
        <v>2191880.6200000006</v>
      </c>
      <c r="AE32" s="19">
        <f>+'M2 Allocations - TD'!AD55</f>
        <v>2008078.9100000001</v>
      </c>
      <c r="AF32" s="19">
        <f>+'M2 Allocations - TD'!AE55</f>
        <v>2628092.9099999997</v>
      </c>
      <c r="AG32" s="19">
        <f>+'M2 Allocations - TD'!AF55</f>
        <v>2927384.4800000004</v>
      </c>
      <c r="AH32" s="19">
        <f>+'M2 Allocations - TD'!AG55</f>
        <v>2713828.6699999995</v>
      </c>
      <c r="AI32" s="19">
        <f>+'M2 Allocations - TD'!AH55</f>
        <v>2656476.0999999996</v>
      </c>
      <c r="AJ32" s="19">
        <f>+'M2 Allocations - TD'!AI55</f>
        <v>2241568.5700000003</v>
      </c>
      <c r="AK32" s="19">
        <f>+'M2 Allocations - TD'!AJ55</f>
        <v>2050332.64</v>
      </c>
      <c r="AL32" s="19">
        <f>+'M2 Allocations - TD'!AK55</f>
        <v>2540211.56</v>
      </c>
      <c r="AM32" s="19">
        <f>+'M2 Allocations - TD'!AL55</f>
        <v>2758522.64</v>
      </c>
      <c r="AN32" s="19">
        <f>+'M2 Allocations - TD'!AM55</f>
        <v>3731846.29</v>
      </c>
      <c r="AO32" s="19">
        <f>+'M2 Allocations - TD'!AN55</f>
        <v>3504116.61</v>
      </c>
      <c r="AP32" s="19">
        <f>+'M2 Allocations - TD'!AO55</f>
        <v>2834702.33</v>
      </c>
      <c r="AQ32" s="19">
        <f>+'M2 Allocations - TD'!AP55</f>
        <v>2693990.7500000005</v>
      </c>
      <c r="AR32" s="19">
        <f>+'M2 Allocations - TD'!AQ55</f>
        <v>3224890.5700000003</v>
      </c>
      <c r="AV32" s="161"/>
      <c r="CB32" s="149"/>
      <c r="CC32" s="295"/>
      <c r="CD32" s="16" t="s">
        <v>14</v>
      </c>
      <c r="CE32" s="215">
        <v>-242.50889937081425</v>
      </c>
      <c r="CF32" s="215">
        <v>-436.91428608144611</v>
      </c>
      <c r="CG32" s="215">
        <v>-716.64694418082365</v>
      </c>
      <c r="CH32" s="215">
        <v>-1525.9451530127014</v>
      </c>
      <c r="CI32" s="215">
        <v>-116.0217407622076</v>
      </c>
      <c r="CJ32" s="215">
        <v>-88.705996086469412</v>
      </c>
      <c r="CK32" s="215">
        <v>-67.538492140136043</v>
      </c>
      <c r="CL32" s="4"/>
      <c r="CM32" s="4"/>
      <c r="CN32" s="295"/>
      <c r="CO32" s="16" t="s">
        <v>14</v>
      </c>
      <c r="CP32" s="215">
        <v>-377.33736981619228</v>
      </c>
      <c r="CQ32" s="215">
        <v>-724.75092990409667</v>
      </c>
      <c r="CR32" s="215">
        <v>-1249.7836904651219</v>
      </c>
      <c r="CS32" s="215">
        <v>-1961.0924560540766</v>
      </c>
      <c r="CT32" s="215">
        <v>-134.63781071349015</v>
      </c>
      <c r="CU32" s="215">
        <v>-96.677845829597487</v>
      </c>
      <c r="CV32" s="215">
        <v>-69.489126206503201</v>
      </c>
      <c r="CW32" s="4"/>
      <c r="CX32" s="4"/>
      <c r="CY32" s="4"/>
      <c r="CZ32" s="225"/>
      <c r="DA32" s="295"/>
      <c r="DB32" s="16" t="s">
        <v>13</v>
      </c>
      <c r="DC32" s="7">
        <v>-205255.14275512146</v>
      </c>
      <c r="DD32" s="7">
        <v>-266992.49386056478</v>
      </c>
      <c r="DE32" s="7">
        <v>1739.0221894302958</v>
      </c>
      <c r="DF32" s="7">
        <v>5670.5578559878049</v>
      </c>
      <c r="DG32" s="7">
        <v>4312.4736299568613</v>
      </c>
      <c r="DH32" s="7">
        <v>3909.5605707871728</v>
      </c>
      <c r="DI32" s="7">
        <v>4068.9963131062686</v>
      </c>
      <c r="DJ32" s="7">
        <v>5142.4955444009393</v>
      </c>
      <c r="DK32" s="7">
        <v>5117.5031060017645</v>
      </c>
      <c r="DL32" s="7">
        <v>5177.0829845638364</v>
      </c>
      <c r="DM32" s="7">
        <v>4068.2264792598144</v>
      </c>
      <c r="DN32" s="7">
        <v>4232.8072324906243</v>
      </c>
      <c r="DO32" s="7">
        <v>5340.69566513272</v>
      </c>
      <c r="DP32" s="7">
        <v>5868.7789868843975</v>
      </c>
      <c r="DQ32" s="7">
        <v>4028.346306019288</v>
      </c>
      <c r="DR32" s="7">
        <v>237.25413190646759</v>
      </c>
      <c r="DS32" s="7">
        <v>166.23010078508014</v>
      </c>
      <c r="DT32" s="7">
        <v>142.25106851507007</v>
      </c>
      <c r="DU32" s="7">
        <v>159.26009272011834</v>
      </c>
      <c r="DV32" s="7">
        <v>197.07120480569756</v>
      </c>
      <c r="DW32" s="7">
        <v>201.35010807091749</v>
      </c>
      <c r="DX32" s="7">
        <v>185.47873550330223</v>
      </c>
      <c r="DY32" s="125">
        <v>6106.3262235278762</v>
      </c>
      <c r="DZ32" s="7">
        <v>168.49405363770165</v>
      </c>
      <c r="EA32" s="7">
        <v>253.16123590957977</v>
      </c>
    </row>
    <row r="33" spans="1:133" s="3" customFormat="1" ht="14.5" x14ac:dyDescent="0.35">
      <c r="A33" s="295"/>
      <c r="B33" s="16" t="s">
        <v>51</v>
      </c>
      <c r="C33" s="24"/>
      <c r="D33" s="24"/>
      <c r="E33" s="19"/>
      <c r="F33" s="19"/>
      <c r="G33" s="19"/>
      <c r="H33" s="19"/>
      <c r="I33" s="19"/>
      <c r="J33" s="19"/>
      <c r="K33" s="19"/>
      <c r="L33" s="19"/>
      <c r="M33" s="19"/>
      <c r="N33" s="19"/>
      <c r="O33" s="19">
        <f>+'MEEIA 2 calcs'!O18</f>
        <v>0</v>
      </c>
      <c r="P33" s="19">
        <f>+'MEEIA 2 calcs'!P18</f>
        <v>-1207876.0699999998</v>
      </c>
      <c r="Q33" s="19">
        <f>+'MEEIA 2 calcs'!Q18</f>
        <v>-991453.85</v>
      </c>
      <c r="R33" s="19">
        <f>+'MEEIA 2 calcs'!R18</f>
        <v>-942175.03</v>
      </c>
      <c r="S33" s="19">
        <f>+'MEEIA 2 calcs'!S18</f>
        <v>-924830.89</v>
      </c>
      <c r="T33" s="19">
        <f>+'MEEIA 2 calcs'!T18</f>
        <v>-1162964.6800000002</v>
      </c>
      <c r="U33" s="19">
        <f>+'MEEIA 2 calcs'!U18</f>
        <v>-1377616.51</v>
      </c>
      <c r="V33" s="19">
        <f>+'MEEIA 2 calcs'!V18</f>
        <v>-1419206.7000000002</v>
      </c>
      <c r="W33" s="19">
        <f>+'MEEIA 2 calcs'!W18</f>
        <v>-1209460.76</v>
      </c>
      <c r="X33" s="19">
        <f>+'MEEIA 2 calcs'!X18</f>
        <v>-1107295.8</v>
      </c>
      <c r="Y33" s="19">
        <f>+'MEEIA 2 calcs'!Y18</f>
        <v>-988276.53</v>
      </c>
      <c r="Z33" s="19">
        <f>+'MEEIA 2 calcs'!Z18</f>
        <v>-1145553.06</v>
      </c>
      <c r="AA33" s="19">
        <f>+'MEEIA 2 calcs'!AA18</f>
        <v>-1569459.38</v>
      </c>
      <c r="AB33" s="19">
        <f>+'MEEIA 2 calcs'!AB18</f>
        <v>231630.62999999998</v>
      </c>
      <c r="AC33" s="19">
        <f>+'MEEIA 2 calcs'!AC18</f>
        <v>87666.98000000001</v>
      </c>
      <c r="AD33" s="19">
        <f>+'MEEIA 2 calcs'!AD18</f>
        <v>85411.62</v>
      </c>
      <c r="AE33" s="19">
        <f>+'MEEIA 2 calcs'!AE18</f>
        <v>84463.6</v>
      </c>
      <c r="AF33" s="19">
        <f>+'MEEIA 2 calcs'!AF18</f>
        <v>105228.66999999998</v>
      </c>
      <c r="AG33" s="19">
        <f>+'MEEIA 2 calcs'!AG18</f>
        <v>100170.55</v>
      </c>
      <c r="AH33" s="19">
        <f>+'MEEIA 2 calcs'!AH18</f>
        <v>108068.86000000002</v>
      </c>
      <c r="AI33" s="19">
        <f>+'MEEIA 2 calcs'!AI18</f>
        <v>105313.19999999998</v>
      </c>
      <c r="AJ33" s="19">
        <f>+'MEEIA 2 calcs'!AJ18</f>
        <v>93009.289999999979</v>
      </c>
      <c r="AK33" s="19">
        <f>+'MEEIA 2 calcs'!AK18</f>
        <v>85572.94</v>
      </c>
      <c r="AL33" s="19">
        <f>+'MEEIA 2 calcs'!AL18</f>
        <v>97124.979999999981</v>
      </c>
      <c r="AM33" s="19">
        <f>+'MEEIA 2 calcs'!AM18</f>
        <v>105785.10999999999</v>
      </c>
      <c r="AN33" s="19">
        <f>+'MEEIA 2 calcs'!AN18</f>
        <v>181359.25</v>
      </c>
      <c r="AO33" s="19">
        <f>+'MEEIA 2 calcs'!AO18</f>
        <v>164712.29999999999</v>
      </c>
      <c r="AP33" s="19">
        <f>+'MEEIA 2 calcs'!AP18</f>
        <v>113525.45999999999</v>
      </c>
      <c r="AQ33" s="19">
        <f>+'MEEIA 2 calcs'!AQ18</f>
        <v>93935.329999999987</v>
      </c>
      <c r="AR33" s="19">
        <f>+'MEEIA 2 calcs'!AR18</f>
        <v>130300.17</v>
      </c>
      <c r="AV33" s="161"/>
      <c r="CB33" s="149"/>
      <c r="CC33" s="295"/>
      <c r="CD33" s="18" t="s">
        <v>16</v>
      </c>
      <c r="CE33" s="215">
        <v>-265528.47501163348</v>
      </c>
      <c r="CF33" s="215">
        <v>-167618.20929771493</v>
      </c>
      <c r="CG33" s="215">
        <v>-52250.696241895756</v>
      </c>
      <c r="CH33" s="215">
        <v>18919.668605091545</v>
      </c>
      <c r="CI33" s="215">
        <v>22733.656864329336</v>
      </c>
      <c r="CJ33" s="215">
        <v>26177.560868242865</v>
      </c>
      <c r="CK33" s="215">
        <v>29360.672376102728</v>
      </c>
      <c r="CL33" s="4"/>
      <c r="CM33" s="4"/>
      <c r="CN33" s="295"/>
      <c r="CO33" s="18" t="s">
        <v>16</v>
      </c>
      <c r="CP33" s="215">
        <v>-265663.30348207883</v>
      </c>
      <c r="CQ33" s="215">
        <v>-168040.87441198295</v>
      </c>
      <c r="CR33" s="215">
        <v>-53206.498102448066</v>
      </c>
      <c r="CS33" s="215">
        <v>17528.719441497858</v>
      </c>
      <c r="CT33" s="215">
        <v>21324.091630784369</v>
      </c>
      <c r="CU33" s="215">
        <v>24760.02378495477</v>
      </c>
      <c r="CV33" s="215">
        <v>27941.184658748269</v>
      </c>
      <c r="CW33" s="4"/>
      <c r="CX33" s="4"/>
      <c r="CY33" s="4"/>
      <c r="CZ33" s="225"/>
      <c r="DA33" s="295"/>
      <c r="DB33" s="17" t="s">
        <v>8</v>
      </c>
      <c r="DC33" s="8">
        <v>-569.72667885391422</v>
      </c>
      <c r="DD33" s="8">
        <v>-614.30479555992281</v>
      </c>
      <c r="DE33" s="8">
        <v>-669.84519243490524</v>
      </c>
      <c r="DF33" s="8">
        <v>-557.56489455284793</v>
      </c>
      <c r="DG33" s="8">
        <v>-545.54702596771358</v>
      </c>
      <c r="DH33" s="8">
        <v>-504.30609323968173</v>
      </c>
      <c r="DI33" s="8">
        <v>-407.38523366889325</v>
      </c>
      <c r="DJ33" s="8">
        <v>-239.80110286543649</v>
      </c>
      <c r="DK33" s="8">
        <v>-289.27978720617699</v>
      </c>
      <c r="DL33" s="8">
        <v>-214.0750237156893</v>
      </c>
      <c r="DM33" s="8">
        <v>-134.69084051732753</v>
      </c>
      <c r="DN33" s="8">
        <v>-107.37417049718839</v>
      </c>
      <c r="DO33" s="8">
        <v>-118.27922157568661</v>
      </c>
      <c r="DP33" s="8">
        <v>-31.894135766089558</v>
      </c>
      <c r="DQ33" s="8">
        <v>20.569134874610587</v>
      </c>
      <c r="DR33" s="8">
        <v>55.935073605531137</v>
      </c>
      <c r="DS33" s="8">
        <v>52.861887577390952</v>
      </c>
      <c r="DT33" s="8">
        <v>90.042233104237496</v>
      </c>
      <c r="DU33" s="8">
        <v>154.01854151257081</v>
      </c>
      <c r="DV33" s="8">
        <v>238.25013887866294</v>
      </c>
      <c r="DW33" s="8">
        <v>326.7088321027905</v>
      </c>
      <c r="DX33" s="8">
        <v>389.96325896842785</v>
      </c>
      <c r="DY33" s="8">
        <v>518.13257141092151</v>
      </c>
      <c r="DZ33" s="8">
        <v>668.48628600099914</v>
      </c>
      <c r="EA33" s="8">
        <v>768.16708288586085</v>
      </c>
      <c r="EB33" s="165">
        <f>SUM('MEEIA 2 calcs'!BJ32:CH32)</f>
        <v>-1967.59565378261</v>
      </c>
      <c r="EC33" s="165">
        <f>SUM(DC33:EA33)-EB33</f>
        <v>246.65649828314054</v>
      </c>
    </row>
    <row r="34" spans="1:133" s="3" customFormat="1" ht="14.5" x14ac:dyDescent="0.35">
      <c r="A34" s="295"/>
      <c r="B34" s="16" t="s">
        <v>52</v>
      </c>
      <c r="C34" s="24"/>
      <c r="D34" s="24"/>
      <c r="E34" s="19"/>
      <c r="F34" s="19"/>
      <c r="G34" s="19"/>
      <c r="H34" s="19"/>
      <c r="I34" s="19"/>
      <c r="J34" s="19"/>
      <c r="K34" s="19"/>
      <c r="L34" s="19"/>
      <c r="M34" s="19"/>
      <c r="N34" s="19"/>
      <c r="O34" s="19">
        <f>+O32+O33</f>
        <v>537350.65</v>
      </c>
      <c r="P34" s="19">
        <f t="shared" ref="P34:AR34" si="7">+P32+P33</f>
        <v>1172809.1200000001</v>
      </c>
      <c r="Q34" s="19">
        <f t="shared" si="7"/>
        <v>986774.89</v>
      </c>
      <c r="R34" s="19">
        <f t="shared" si="7"/>
        <v>923411.36999999988</v>
      </c>
      <c r="S34" s="19">
        <f t="shared" si="7"/>
        <v>909838.05000000016</v>
      </c>
      <c r="T34" s="19">
        <f t="shared" si="7"/>
        <v>1132915.8700000001</v>
      </c>
      <c r="U34" s="19">
        <f t="shared" si="7"/>
        <v>1362123.2</v>
      </c>
      <c r="V34" s="19">
        <f t="shared" si="7"/>
        <v>1390822.9700000002</v>
      </c>
      <c r="W34" s="19">
        <f t="shared" si="7"/>
        <v>1187685.8299999998</v>
      </c>
      <c r="X34" s="19">
        <f t="shared" si="7"/>
        <v>1088902.95</v>
      </c>
      <c r="Y34" s="19">
        <f t="shared" si="7"/>
        <v>967033.65999999992</v>
      </c>
      <c r="Z34" s="19">
        <f t="shared" si="7"/>
        <v>1127375.2599999998</v>
      </c>
      <c r="AA34" s="19">
        <f t="shared" si="7"/>
        <v>1564054.2400000002</v>
      </c>
      <c r="AB34" s="19">
        <f t="shared" si="7"/>
        <v>2918149.9499999997</v>
      </c>
      <c r="AC34" s="19">
        <f t="shared" si="7"/>
        <v>2341476.66</v>
      </c>
      <c r="AD34" s="19">
        <f t="shared" si="7"/>
        <v>2277292.2400000007</v>
      </c>
      <c r="AE34" s="19">
        <f t="shared" si="7"/>
        <v>2092542.5100000002</v>
      </c>
      <c r="AF34" s="19">
        <f t="shared" si="7"/>
        <v>2733321.5799999996</v>
      </c>
      <c r="AG34" s="19">
        <f t="shared" si="7"/>
        <v>3027555.0300000003</v>
      </c>
      <c r="AH34" s="19">
        <f t="shared" si="7"/>
        <v>2821897.5299999993</v>
      </c>
      <c r="AI34" s="19">
        <f t="shared" si="7"/>
        <v>2761789.3</v>
      </c>
      <c r="AJ34" s="19">
        <f t="shared" si="7"/>
        <v>2334577.8600000003</v>
      </c>
      <c r="AK34" s="19">
        <f t="shared" si="7"/>
        <v>2135905.58</v>
      </c>
      <c r="AL34" s="19">
        <f t="shared" si="7"/>
        <v>2637336.54</v>
      </c>
      <c r="AM34" s="19">
        <f t="shared" si="7"/>
        <v>2864307.75</v>
      </c>
      <c r="AN34" s="19">
        <f t="shared" si="7"/>
        <v>3913205.54</v>
      </c>
      <c r="AO34" s="19">
        <f t="shared" si="7"/>
        <v>3668828.9099999997</v>
      </c>
      <c r="AP34" s="19">
        <f t="shared" si="7"/>
        <v>2948227.79</v>
      </c>
      <c r="AQ34" s="19">
        <f t="shared" si="7"/>
        <v>2787926.0800000005</v>
      </c>
      <c r="AR34" s="19">
        <f t="shared" si="7"/>
        <v>3355190.74</v>
      </c>
      <c r="AV34" s="161"/>
      <c r="CB34" s="149"/>
      <c r="CC34" s="40"/>
      <c r="CD34" s="11"/>
      <c r="CE34" s="2"/>
      <c r="CF34" s="2"/>
      <c r="CG34" s="2"/>
      <c r="CH34" s="2"/>
      <c r="CI34" s="2"/>
      <c r="CJ34" s="2"/>
      <c r="CK34" s="2"/>
      <c r="CL34" s="4"/>
      <c r="CM34" s="4"/>
      <c r="CN34" s="40"/>
      <c r="CO34" s="11"/>
      <c r="CP34" s="2"/>
      <c r="CQ34" s="2"/>
      <c r="CR34" s="2"/>
      <c r="CS34" s="2"/>
      <c r="CT34" s="2"/>
      <c r="CU34" s="2"/>
      <c r="CV34" s="2"/>
      <c r="CW34" s="4"/>
      <c r="CX34" s="4"/>
      <c r="CY34" s="4"/>
      <c r="CZ34" s="225"/>
      <c r="DA34" s="295"/>
      <c r="DB34" s="16" t="s">
        <v>14</v>
      </c>
      <c r="DC34" s="7">
        <v>-205824.86943397537</v>
      </c>
      <c r="DD34" s="7">
        <v>-267606.79865612468</v>
      </c>
      <c r="DE34" s="7">
        <v>1069.1769969953907</v>
      </c>
      <c r="DF34" s="7">
        <v>5112.9929614349567</v>
      </c>
      <c r="DG34" s="7">
        <v>3766.9266039891477</v>
      </c>
      <c r="DH34" s="7">
        <v>3405.2544775474912</v>
      </c>
      <c r="DI34" s="7">
        <v>3661.6110794373753</v>
      </c>
      <c r="DJ34" s="7">
        <v>4902.6944415355028</v>
      </c>
      <c r="DK34" s="7">
        <v>4828.2233187955871</v>
      </c>
      <c r="DL34" s="7">
        <v>4963.0079608481474</v>
      </c>
      <c r="DM34" s="7">
        <v>3933.5356387424868</v>
      </c>
      <c r="DN34" s="7">
        <v>4125.4330619934362</v>
      </c>
      <c r="DO34" s="7">
        <v>5222.4164435570337</v>
      </c>
      <c r="DP34" s="7">
        <v>5836.8848511183078</v>
      </c>
      <c r="DQ34" s="7">
        <v>4048.9154408938984</v>
      </c>
      <c r="DR34" s="7">
        <v>293.18920551199875</v>
      </c>
      <c r="DS34" s="7">
        <v>219.09198836247108</v>
      </c>
      <c r="DT34" s="7">
        <v>232.29330161930756</v>
      </c>
      <c r="DU34" s="7">
        <v>313.27863423268911</v>
      </c>
      <c r="DV34" s="7">
        <v>435.3213436843605</v>
      </c>
      <c r="DW34" s="7">
        <v>528.05894017370792</v>
      </c>
      <c r="DX34" s="7">
        <v>575.44199447173014</v>
      </c>
      <c r="DY34" s="7">
        <v>6624.4587949387978</v>
      </c>
      <c r="DZ34" s="7">
        <v>836.9803396387008</v>
      </c>
      <c r="EA34" s="7">
        <v>1021.3283187954406</v>
      </c>
    </row>
    <row r="35" spans="1:133" s="3" customFormat="1" ht="14.5" x14ac:dyDescent="0.35">
      <c r="A35" s="295"/>
      <c r="B35" s="16" t="s">
        <v>13</v>
      </c>
      <c r="C35" s="24"/>
      <c r="D35" s="24"/>
      <c r="E35" s="19">
        <f>+E31-E32</f>
        <v>0</v>
      </c>
      <c r="F35" s="19">
        <f t="shared" ref="F35:N35" si="8">+F31-F32</f>
        <v>1315.62</v>
      </c>
      <c r="G35" s="19">
        <f t="shared" si="8"/>
        <v>-7845.34</v>
      </c>
      <c r="H35" s="19">
        <f t="shared" si="8"/>
        <v>-133117.46000000002</v>
      </c>
      <c r="I35" s="19">
        <f t="shared" si="8"/>
        <v>-52067.539999999979</v>
      </c>
      <c r="J35" s="19">
        <f t="shared" si="8"/>
        <v>272024.17999999988</v>
      </c>
      <c r="K35" s="19">
        <f t="shared" si="8"/>
        <v>229634.89999999985</v>
      </c>
      <c r="L35" s="19">
        <f t="shared" si="8"/>
        <v>-47981.549999999872</v>
      </c>
      <c r="M35" s="19">
        <f t="shared" si="8"/>
        <v>67456.509999999893</v>
      </c>
      <c r="N35" s="19">
        <f t="shared" si="8"/>
        <v>148461.88</v>
      </c>
      <c r="O35" s="19">
        <f>+O31-O34</f>
        <v>-28891.249999999884</v>
      </c>
      <c r="P35" s="19">
        <f t="shared" ref="P35:AR35" si="9">+P31-P34</f>
        <v>-682063.62999999989</v>
      </c>
      <c r="Q35" s="19">
        <f t="shared" si="9"/>
        <v>-459298.66999999993</v>
      </c>
      <c r="R35" s="19">
        <f t="shared" si="9"/>
        <v>-664457.84999999963</v>
      </c>
      <c r="S35" s="19">
        <f t="shared" si="9"/>
        <v>-515527.16000000038</v>
      </c>
      <c r="T35" s="19">
        <f t="shared" si="9"/>
        <v>209343.54000000004</v>
      </c>
      <c r="U35" s="19">
        <f t="shared" si="9"/>
        <v>600365.73000000021</v>
      </c>
      <c r="V35" s="19">
        <f t="shared" si="9"/>
        <v>710042.75999999978</v>
      </c>
      <c r="W35" s="19">
        <f t="shared" si="9"/>
        <v>462066.25000000047</v>
      </c>
      <c r="X35" s="19">
        <f t="shared" si="9"/>
        <v>-337281.80000000016</v>
      </c>
      <c r="Y35" s="19">
        <f t="shared" si="9"/>
        <v>-125573.25000000023</v>
      </c>
      <c r="Z35" s="19">
        <f t="shared" si="9"/>
        <v>-41740.439999999246</v>
      </c>
      <c r="AA35" s="19">
        <f t="shared" si="9"/>
        <v>-380931.17000000086</v>
      </c>
      <c r="AB35" s="19">
        <f t="shared" si="9"/>
        <v>-1876914.1500000008</v>
      </c>
      <c r="AC35" s="19">
        <f t="shared" si="9"/>
        <v>-1228050.2300000007</v>
      </c>
      <c r="AD35" s="19">
        <f t="shared" si="9"/>
        <v>-1219951.1200000013</v>
      </c>
      <c r="AE35" s="19">
        <f t="shared" si="9"/>
        <v>-671692.60000000056</v>
      </c>
      <c r="AF35" s="19">
        <f t="shared" si="9"/>
        <v>1065780.7700000019</v>
      </c>
      <c r="AG35" s="19">
        <f t="shared" si="9"/>
        <v>2101251.1499999994</v>
      </c>
      <c r="AH35" s="19">
        <f t="shared" si="9"/>
        <v>1875589.2400000012</v>
      </c>
      <c r="AI35" s="19">
        <f t="shared" si="9"/>
        <v>815488.29</v>
      </c>
      <c r="AJ35" s="19">
        <f t="shared" si="9"/>
        <v>-782266.46999999974</v>
      </c>
      <c r="AK35" s="19">
        <f t="shared" si="9"/>
        <v>-574939.70000000182</v>
      </c>
      <c r="AL35" s="19">
        <f t="shared" si="9"/>
        <v>-734837.75999999931</v>
      </c>
      <c r="AM35" s="19">
        <f t="shared" si="9"/>
        <v>-819761.01999999909</v>
      </c>
      <c r="AN35" s="19">
        <f t="shared" si="9"/>
        <v>-2093981.8099999984</v>
      </c>
      <c r="AO35" s="19">
        <f t="shared" si="9"/>
        <v>-1676870.5900000015</v>
      </c>
      <c r="AP35" s="19">
        <f t="shared" si="9"/>
        <v>-1096171.4599999983</v>
      </c>
      <c r="AQ35" s="19">
        <f t="shared" si="9"/>
        <v>-383726.46000000229</v>
      </c>
      <c r="AR35" s="19">
        <f t="shared" si="9"/>
        <v>2725438.5100000016</v>
      </c>
      <c r="AV35" s="161"/>
      <c r="CB35" s="149"/>
      <c r="CC35" s="295" t="s">
        <v>22</v>
      </c>
      <c r="CD35" s="15"/>
      <c r="CE35" s="2"/>
      <c r="CF35" s="2"/>
      <c r="CG35" s="2"/>
      <c r="CH35" s="2"/>
      <c r="CI35" s="2"/>
      <c r="CJ35" s="2"/>
      <c r="CK35" s="2"/>
      <c r="CL35" s="4"/>
      <c r="CM35" s="4"/>
      <c r="CN35" s="295" t="s">
        <v>22</v>
      </c>
      <c r="CO35" s="15"/>
      <c r="CP35" s="2"/>
      <c r="CQ35" s="2"/>
      <c r="CR35" s="2"/>
      <c r="CS35" s="2"/>
      <c r="CT35" s="2"/>
      <c r="CU35" s="2"/>
      <c r="CV35" s="2"/>
      <c r="CW35" s="4"/>
      <c r="CX35" s="4"/>
      <c r="CY35" s="4"/>
      <c r="CZ35" s="225"/>
      <c r="DA35" s="295"/>
      <c r="DB35" s="18" t="s">
        <v>15</v>
      </c>
      <c r="DC35" s="7">
        <v>-3418929.7998023392</v>
      </c>
      <c r="DD35" s="7">
        <v>-3576675.8684584638</v>
      </c>
      <c r="DE35" s="7">
        <v>-3462148.6814614683</v>
      </c>
      <c r="DF35" s="7">
        <v>-3131859.7985000336</v>
      </c>
      <c r="DG35" s="7">
        <v>-2908539.9818960442</v>
      </c>
      <c r="DH35" s="7">
        <v>-2698867.5074184965</v>
      </c>
      <c r="DI35" s="7">
        <v>-2424610.0263390592</v>
      </c>
      <c r="DJ35" s="7">
        <v>-2062320.6718975238</v>
      </c>
      <c r="DK35" s="7">
        <v>-1692817.0085787282</v>
      </c>
      <c r="DL35" s="7">
        <v>-1329645.5306178802</v>
      </c>
      <c r="DM35" s="7">
        <v>-1077661.4149791377</v>
      </c>
      <c r="DN35" s="7">
        <v>-841108.9119171442</v>
      </c>
      <c r="DO35" s="7">
        <v>-545049.8854735872</v>
      </c>
      <c r="DP35" s="7">
        <v>-163277.63062246889</v>
      </c>
      <c r="DQ35" s="7">
        <v>83451.514818425028</v>
      </c>
      <c r="DR35" s="7">
        <v>97575.154023937022</v>
      </c>
      <c r="DS35" s="7">
        <v>105703.3860122995</v>
      </c>
      <c r="DT35" s="7">
        <v>113862.92931391881</v>
      </c>
      <c r="DU35" s="7">
        <v>124540.90794815149</v>
      </c>
      <c r="DV35" s="7">
        <v>139248.09929183585</v>
      </c>
      <c r="DW35" s="7">
        <v>153229.33823200956</v>
      </c>
      <c r="DX35" s="7">
        <v>165064.83022648128</v>
      </c>
      <c r="DY35" s="7">
        <v>179693.22902142009</v>
      </c>
      <c r="DZ35" s="7">
        <v>187827.8893610588</v>
      </c>
      <c r="EA35" s="7">
        <v>200395.65767985425</v>
      </c>
    </row>
    <row r="36" spans="1:133" s="3" customFormat="1" ht="14.5" x14ac:dyDescent="0.35">
      <c r="A36" s="295"/>
      <c r="B36" s="17" t="s">
        <v>8</v>
      </c>
      <c r="C36" s="28"/>
      <c r="D36" s="28"/>
      <c r="E36" s="19">
        <f>+(D39+E35)*'MEEIA 2 calcs'!E9/12</f>
        <v>0</v>
      </c>
      <c r="F36" s="19">
        <f>+(E39+F35)*'MEEIA 2 calcs'!F9/12</f>
        <v>0.81740457315000004</v>
      </c>
      <c r="G36" s="19">
        <f>+(F39+G35)*'MEEIA 2 calcs'!G9/12</f>
        <v>-4.1120878401733671</v>
      </c>
      <c r="H36" s="19">
        <f>+(G39+H35)*'MEEIA 2 calcs'!H9/12</f>
        <v>-72.888470503810979</v>
      </c>
      <c r="I36" s="19">
        <f>+(H39+I35)*'MEEIA 2 calcs'!I9/12</f>
        <v>-100.53727091046454</v>
      </c>
      <c r="J36" s="19">
        <f>+(I39+J35)*'MEEIA 2 calcs'!J9/12</f>
        <v>51.055640138452524</v>
      </c>
      <c r="K36" s="19">
        <f>+(J39+K35)*'MEEIA 2 calcs'!K9/12</f>
        <v>195.04628353960507</v>
      </c>
      <c r="L36" s="19">
        <f>+(K39+L35)*'MEEIA 2 calcs'!L9/12</f>
        <v>165.9908425098269</v>
      </c>
      <c r="M36" s="19">
        <f>+(L39+M35)*'MEEIA 2 calcs'!M9/12</f>
        <v>209.91998739941698</v>
      </c>
      <c r="N36" s="19">
        <f>+(M39+N35)*'MEEIA 2 calcs'!N9/12</f>
        <v>383.53972018736869</v>
      </c>
      <c r="O36" s="19">
        <f>+(N39+O35)*'MEEIA 2 calcs'!O9/12</f>
        <v>337.36408653681991</v>
      </c>
      <c r="P36" s="19">
        <f>+(O39+P35+P33+P30)*'MEEIA 2 calcs'!P9/12</f>
        <v>9076.6036423770038</v>
      </c>
      <c r="Q36" s="19">
        <f>+(P39+Q35+Q33+Q30)*'MEEIA 2 calcs'!Q9/12</f>
        <v>10216.276345416782</v>
      </c>
      <c r="R36" s="19">
        <f>+(Q39+R35+R33+R30)*'MEEIA 2 calcs'!R9/12</f>
        <v>8686.3771002478079</v>
      </c>
      <c r="S36" s="19">
        <f>+(R39+S35+S33+S30)*'MEEIA 2 calcs'!S9/12</f>
        <v>7314.3584137188782</v>
      </c>
      <c r="T36" s="19">
        <f>+(S39+T35+T33+T30)*'MEEIA 2 calcs'!T9/12</f>
        <v>7856.1289780218758</v>
      </c>
      <c r="U36" s="19">
        <f>+(T39+U35+U33+U30)*'MEEIA 2 calcs'!U9/12</f>
        <v>6862.6005905357752</v>
      </c>
      <c r="V36" s="19">
        <f>+(U39+V35+V33+V30)*'MEEIA 2 calcs'!V9/12</f>
        <v>6374.4645350234823</v>
      </c>
      <c r="W36" s="19">
        <f>+(V39+W35+W33+W30)*'MEEIA 2 calcs'!W9/12</f>
        <v>5398.8726272971644</v>
      </c>
      <c r="X36" s="19">
        <f>+(W39+X35+X33+X30)*'MEEIA 2 calcs'!X9/12</f>
        <v>3668.3903488622923</v>
      </c>
      <c r="Y36" s="19">
        <f>+(X39+Y35+Y33+Y30)*'MEEIA 2 calcs'!Y9/12</f>
        <v>2313.3890565334823</v>
      </c>
      <c r="Z36" s="19">
        <f>+(Y39+Z35+Z33+Z30)*'MEEIA 2 calcs'!Z9/12</f>
        <v>1092.2218515735174</v>
      </c>
      <c r="AA36" s="19">
        <f>+(Z39+AA35+AA33+AA30)*'MEEIA 2 calcs'!AA9/12</f>
        <v>-1730.0916849366415</v>
      </c>
      <c r="AB36" s="19">
        <f>+(AA39+AB35+AB33+AB30)*'MEEIA 2 calcs'!AB9/12</f>
        <v>-4351.5884484099142</v>
      </c>
      <c r="AC36" s="19">
        <f>+(AB39+AC35+AC33+AC30)*'MEEIA 2 calcs'!AC9/12</f>
        <v>-6849.9712319403661</v>
      </c>
      <c r="AD36" s="19">
        <f>+(AC39+AD35+AD33+AD30)*'MEEIA 2 calcs'!AD9/12</f>
        <v>-9906.2199792734245</v>
      </c>
      <c r="AE36" s="19">
        <f>+(AD39+AE35+AE33+AE30)*'MEEIA 2 calcs'!AE9/12</f>
        <v>-10518.596470181234</v>
      </c>
      <c r="AF36" s="19">
        <f>+(AE39+AF35+AF33+AF30)*'MEEIA 2 calcs'!AF9/12</f>
        <v>-8700.4568393734316</v>
      </c>
      <c r="AG36" s="19">
        <f>+(AF39+AG35+AG33+AG30)*'MEEIA 2 calcs'!AG9/12</f>
        <v>-4669.5918585107474</v>
      </c>
      <c r="AH36" s="19">
        <f>+(AG39+AH35+AH33+AH30)*'MEEIA 2 calcs'!AH9/12</f>
        <v>-791.3491249462927</v>
      </c>
      <c r="AI36" s="19">
        <f>+(AH39+AI35+AI33+AI30)*'MEEIA 2 calcs'!AI9/12</f>
        <v>993.01159523930812</v>
      </c>
      <c r="AJ36" s="19">
        <f>+(AI39+AJ35+AJ33+AJ30)*'MEEIA 2 calcs'!AJ9/12</f>
        <v>-361.67784872719307</v>
      </c>
      <c r="AK36" s="19">
        <f>+(AJ39+AK35+AK33+AK30)*'MEEIA 2 calcs'!AK9/12</f>
        <v>-1403.27042635164</v>
      </c>
      <c r="AL36" s="19">
        <f>+(AK39+AL35+AL33+AL30)*'MEEIA 2 calcs'!AL9/12</f>
        <v>-2996.657001182999</v>
      </c>
      <c r="AM36" s="19">
        <f>+(AL39+AM35+AM33+AM30)*'MEEIA 2 calcs'!AM9/12</f>
        <v>-4836.4667881191972</v>
      </c>
      <c r="AN36" s="19">
        <f>+(AM39+AN35+AN33+AN30)*'MEEIA 2 calcs'!AN9/12</f>
        <v>-9325.6901584176212</v>
      </c>
      <c r="AO36" s="19">
        <f>+(AN39+AO35+AO33+AO30)*'MEEIA 2 calcs'!AO9/12</f>
        <v>-12687.750328235825</v>
      </c>
      <c r="AP36" s="19">
        <f>+(AO39+AP35+AP33+AP30)*'MEEIA 2 calcs'!AP9/12</f>
        <v>-14324.604336454917</v>
      </c>
      <c r="AQ36" s="19">
        <f>+(AP39+AQ35+AQ33+AQ30)*'MEEIA 2 calcs'!AQ9/12</f>
        <v>-15084.304300307596</v>
      </c>
      <c r="AR36" s="19">
        <f>+(AQ39+AR35+AR33+AR30)*'MEEIA 2 calcs'!AR9/12</f>
        <v>-8657.226352239104</v>
      </c>
      <c r="AS36" s="103" t="s">
        <v>84</v>
      </c>
      <c r="AT36" s="103" t="s">
        <v>85</v>
      </c>
      <c r="AV36" s="161"/>
      <c r="CB36" s="149"/>
      <c r="CC36" s="295"/>
      <c r="CD36" s="15" t="s">
        <v>28</v>
      </c>
      <c r="CE36" s="215">
        <v>9312.6499999985099</v>
      </c>
      <c r="CF36" s="215">
        <v>11751.719999998808</v>
      </c>
      <c r="CG36" s="215">
        <v>12005.310000002384</v>
      </c>
      <c r="CH36" s="215">
        <v>10126.529999997467</v>
      </c>
      <c r="CI36" s="215">
        <v>0</v>
      </c>
      <c r="CJ36" s="215">
        <v>0</v>
      </c>
      <c r="CK36" s="215">
        <v>0</v>
      </c>
      <c r="CL36" s="4"/>
      <c r="CM36" s="4"/>
      <c r="CN36" s="295"/>
      <c r="CO36" s="15" t="s">
        <v>28</v>
      </c>
      <c r="CP36" s="215">
        <v>9312.6499999985099</v>
      </c>
      <c r="CQ36" s="215">
        <v>11751.719999998808</v>
      </c>
      <c r="CR36" s="215">
        <v>12005.310000002384</v>
      </c>
      <c r="CS36" s="215">
        <v>10126.529999997467</v>
      </c>
      <c r="CT36" s="215">
        <v>0</v>
      </c>
      <c r="CU36" s="215">
        <v>0</v>
      </c>
      <c r="CV36" s="215">
        <v>0</v>
      </c>
      <c r="CW36" s="4"/>
      <c r="CX36" s="4"/>
      <c r="CY36" s="4"/>
      <c r="CZ36" s="225"/>
      <c r="DA36" s="40"/>
      <c r="DB36" s="11"/>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row>
    <row r="37" spans="1:133" s="3" customFormat="1" ht="14.5" x14ac:dyDescent="0.35">
      <c r="A37" s="295"/>
      <c r="B37" s="17" t="s">
        <v>27</v>
      </c>
      <c r="C37" s="28"/>
      <c r="D37" s="28"/>
      <c r="E37" s="19">
        <f>+E36</f>
        <v>0</v>
      </c>
      <c r="F37" s="14">
        <f>+E37+F36</f>
        <v>0.81740457315000004</v>
      </c>
      <c r="G37" s="14">
        <f t="shared" ref="G37:AR37" si="10">+F37+G36</f>
        <v>-3.294683267023367</v>
      </c>
      <c r="H37" s="14">
        <f t="shared" si="10"/>
        <v>-76.183153770834352</v>
      </c>
      <c r="I37" s="14">
        <f t="shared" si="10"/>
        <v>-176.72042468129888</v>
      </c>
      <c r="J37" s="14">
        <f t="shared" si="10"/>
        <v>-125.66478454284635</v>
      </c>
      <c r="K37" s="14">
        <f t="shared" si="10"/>
        <v>69.381498996758722</v>
      </c>
      <c r="L37" s="14">
        <f t="shared" si="10"/>
        <v>235.37234150658563</v>
      </c>
      <c r="M37" s="14">
        <f t="shared" si="10"/>
        <v>445.29232890600258</v>
      </c>
      <c r="N37" s="14">
        <f t="shared" si="10"/>
        <v>828.83204909337132</v>
      </c>
      <c r="O37" s="14">
        <f t="shared" si="10"/>
        <v>1166.1961356301913</v>
      </c>
      <c r="P37" s="14">
        <f t="shared" si="10"/>
        <v>10242.799778007195</v>
      </c>
      <c r="Q37" s="14">
        <f t="shared" si="10"/>
        <v>20459.076123423976</v>
      </c>
      <c r="R37" s="14">
        <f t="shared" si="10"/>
        <v>29145.453223671786</v>
      </c>
      <c r="S37" s="14">
        <f t="shared" si="10"/>
        <v>36459.811637390667</v>
      </c>
      <c r="T37" s="14">
        <f t="shared" si="10"/>
        <v>44315.940615412546</v>
      </c>
      <c r="U37" s="14">
        <f t="shared" si="10"/>
        <v>51178.541205948321</v>
      </c>
      <c r="V37" s="14">
        <f t="shared" si="10"/>
        <v>57553.005740971799</v>
      </c>
      <c r="W37" s="14">
        <f t="shared" si="10"/>
        <v>62951.878368268961</v>
      </c>
      <c r="X37" s="14">
        <f t="shared" si="10"/>
        <v>66620.268717131257</v>
      </c>
      <c r="Y37" s="14">
        <f t="shared" si="10"/>
        <v>68933.657773664745</v>
      </c>
      <c r="Z37" s="14">
        <f t="shared" si="10"/>
        <v>70025.87962523826</v>
      </c>
      <c r="AA37" s="14">
        <f t="shared" si="10"/>
        <v>68295.787940301612</v>
      </c>
      <c r="AB37" s="14">
        <f t="shared" si="10"/>
        <v>63944.199491891697</v>
      </c>
      <c r="AC37" s="14">
        <f t="shared" si="10"/>
        <v>57094.228259951327</v>
      </c>
      <c r="AD37" s="14">
        <f t="shared" si="10"/>
        <v>47188.008280677903</v>
      </c>
      <c r="AE37" s="14">
        <f t="shared" si="10"/>
        <v>36669.411810496669</v>
      </c>
      <c r="AF37" s="14">
        <f t="shared" si="10"/>
        <v>27968.954971123239</v>
      </c>
      <c r="AG37" s="14">
        <f t="shared" si="10"/>
        <v>23299.363112612493</v>
      </c>
      <c r="AH37" s="14">
        <f t="shared" si="10"/>
        <v>22508.0139876662</v>
      </c>
      <c r="AI37" s="14">
        <f t="shared" si="10"/>
        <v>23501.02558290551</v>
      </c>
      <c r="AJ37" s="14">
        <f t="shared" si="10"/>
        <v>23139.347734178318</v>
      </c>
      <c r="AK37" s="14">
        <f t="shared" si="10"/>
        <v>21736.077307826679</v>
      </c>
      <c r="AL37" s="14">
        <f t="shared" si="10"/>
        <v>18739.420306643682</v>
      </c>
      <c r="AM37" s="14">
        <f t="shared" si="10"/>
        <v>13902.953518524486</v>
      </c>
      <c r="AN37" s="14">
        <f t="shared" si="10"/>
        <v>4577.2633601068646</v>
      </c>
      <c r="AO37" s="14">
        <f t="shared" si="10"/>
        <v>-8110.4869681289601</v>
      </c>
      <c r="AP37" s="14">
        <f t="shared" si="10"/>
        <v>-22435.091304583875</v>
      </c>
      <c r="AQ37" s="14">
        <f t="shared" si="10"/>
        <v>-37519.39560489147</v>
      </c>
      <c r="AR37" s="14">
        <f t="shared" si="10"/>
        <v>-46176.62195713057</v>
      </c>
      <c r="AS37" s="104">
        <f>+'MEEIA 2 calcs'!AR22</f>
        <v>-36524.301393109679</v>
      </c>
      <c r="AT37" s="105">
        <f>+AR37-AS37</f>
        <v>-9652.3205640208907</v>
      </c>
      <c r="AV37" s="161"/>
      <c r="CB37" s="150"/>
      <c r="CC37" s="295"/>
      <c r="CD37" s="16" t="s">
        <v>26</v>
      </c>
      <c r="CE37" s="215">
        <v>-109523.64277962862</v>
      </c>
      <c r="CF37" s="215">
        <v>-119570.42005814648</v>
      </c>
      <c r="CG37" s="215">
        <v>-127589.09913487616</v>
      </c>
      <c r="CH37" s="215">
        <v>-90032.567630487814</v>
      </c>
      <c r="CI37" s="215">
        <v>-29850.366428408659</v>
      </c>
      <c r="CJ37" s="215">
        <v>-27677.731835119779</v>
      </c>
      <c r="CK37" s="215">
        <v>-28367.49080792554</v>
      </c>
      <c r="CL37" s="2"/>
      <c r="CM37" s="2"/>
      <c r="CN37" s="295"/>
      <c r="CO37" s="16" t="s">
        <v>26</v>
      </c>
      <c r="CP37" s="215">
        <v>-109213.44913716688</v>
      </c>
      <c r="CQ37" s="215">
        <v>-118950.08683599679</v>
      </c>
      <c r="CR37" s="215">
        <v>-126522.54456751024</v>
      </c>
      <c r="CS37" s="215">
        <v>-89191.627690175315</v>
      </c>
      <c r="CT37" s="215">
        <v>-29813.934940734485</v>
      </c>
      <c r="CU37" s="215">
        <v>-27661.804594547866</v>
      </c>
      <c r="CV37" s="215">
        <v>-28365.583171593844</v>
      </c>
      <c r="CW37" s="2"/>
      <c r="CX37" s="2"/>
      <c r="CY37" s="2"/>
      <c r="CZ37" s="225"/>
      <c r="DA37" s="295" t="s">
        <v>21</v>
      </c>
      <c r="DB37" s="15"/>
      <c r="DC37" s="7"/>
      <c r="DD37" s="7"/>
      <c r="DE37" s="7"/>
      <c r="DF37" s="7"/>
      <c r="DG37" s="7"/>
      <c r="DH37" s="7"/>
      <c r="DI37" s="7"/>
      <c r="DJ37" s="7"/>
      <c r="DK37" s="7"/>
      <c r="DL37" s="7"/>
      <c r="DM37" s="7"/>
      <c r="DN37" s="7"/>
      <c r="DO37" s="7"/>
      <c r="DP37" s="7"/>
      <c r="DQ37" s="7"/>
      <c r="DR37" s="7"/>
      <c r="DS37" s="7"/>
      <c r="DT37" s="7"/>
      <c r="DU37" s="7"/>
      <c r="DV37" s="7"/>
      <c r="DW37" s="7"/>
      <c r="DX37" s="7"/>
      <c r="DY37" s="125">
        <v>-1416.2097759493299</v>
      </c>
      <c r="DZ37" s="7"/>
      <c r="EA37" s="7"/>
    </row>
    <row r="38" spans="1:133" s="3" customFormat="1" ht="14.5" x14ac:dyDescent="0.35">
      <c r="A38" s="295"/>
      <c r="B38" s="16" t="s">
        <v>14</v>
      </c>
      <c r="C38" s="24"/>
      <c r="D38" s="24"/>
      <c r="E38" s="19">
        <f>+E35+E36</f>
        <v>0</v>
      </c>
      <c r="F38" s="19">
        <f t="shared" ref="F38:AR38" si="11">+F35+F36</f>
        <v>1316.4374045731499</v>
      </c>
      <c r="G38" s="19">
        <f t="shared" si="11"/>
        <v>-7849.4520878401736</v>
      </c>
      <c r="H38" s="19">
        <f t="shared" si="11"/>
        <v>-133190.34847050384</v>
      </c>
      <c r="I38" s="19">
        <f t="shared" si="11"/>
        <v>-52168.077270910442</v>
      </c>
      <c r="J38" s="19">
        <f t="shared" si="11"/>
        <v>272075.23564013833</v>
      </c>
      <c r="K38" s="19">
        <f t="shared" si="11"/>
        <v>229829.94628353947</v>
      </c>
      <c r="L38" s="19">
        <f t="shared" si="11"/>
        <v>-47815.559157490046</v>
      </c>
      <c r="M38" s="19">
        <f t="shared" si="11"/>
        <v>67666.429987399315</v>
      </c>
      <c r="N38" s="19">
        <f t="shared" si="11"/>
        <v>148845.41972018738</v>
      </c>
      <c r="O38" s="19">
        <f t="shared" si="11"/>
        <v>-28553.885913463062</v>
      </c>
      <c r="P38" s="19">
        <f t="shared" si="11"/>
        <v>-672987.02635762293</v>
      </c>
      <c r="Q38" s="19">
        <f t="shared" si="11"/>
        <v>-449082.39365458314</v>
      </c>
      <c r="R38" s="19">
        <f t="shared" si="11"/>
        <v>-655771.47289975185</v>
      </c>
      <c r="S38" s="19">
        <f t="shared" si="11"/>
        <v>-508212.80158628151</v>
      </c>
      <c r="T38" s="19">
        <f t="shared" si="11"/>
        <v>217199.66897802192</v>
      </c>
      <c r="U38" s="19">
        <f t="shared" si="11"/>
        <v>607228.330590536</v>
      </c>
      <c r="V38" s="19">
        <f t="shared" si="11"/>
        <v>716417.22453502321</v>
      </c>
      <c r="W38" s="19">
        <f t="shared" si="11"/>
        <v>467465.12262729765</v>
      </c>
      <c r="X38" s="19">
        <f t="shared" si="11"/>
        <v>-333613.40965113789</v>
      </c>
      <c r="Y38" s="19">
        <f t="shared" si="11"/>
        <v>-123259.86094346675</v>
      </c>
      <c r="Z38" s="19">
        <f t="shared" si="11"/>
        <v>-40648.218148425731</v>
      </c>
      <c r="AA38" s="19">
        <f t="shared" si="11"/>
        <v>-382661.26168493752</v>
      </c>
      <c r="AB38" s="19">
        <f t="shared" si="11"/>
        <v>-1881265.7384484108</v>
      </c>
      <c r="AC38" s="19">
        <f t="shared" si="11"/>
        <v>-1234900.2012319411</v>
      </c>
      <c r="AD38" s="19">
        <f t="shared" si="11"/>
        <v>-1229857.3399792747</v>
      </c>
      <c r="AE38" s="19">
        <f t="shared" si="11"/>
        <v>-682211.19647018181</v>
      </c>
      <c r="AF38" s="19">
        <f t="shared" si="11"/>
        <v>1057080.3131606285</v>
      </c>
      <c r="AG38" s="19">
        <f t="shared" si="11"/>
        <v>2096581.5581414886</v>
      </c>
      <c r="AH38" s="19">
        <f t="shared" si="11"/>
        <v>1874797.8908750548</v>
      </c>
      <c r="AI38" s="19">
        <f t="shared" si="11"/>
        <v>816481.30159523932</v>
      </c>
      <c r="AJ38" s="19">
        <f t="shared" si="11"/>
        <v>-782628.14784872695</v>
      </c>
      <c r="AK38" s="19">
        <f t="shared" si="11"/>
        <v>-576342.97042635351</v>
      </c>
      <c r="AL38" s="19">
        <f t="shared" si="11"/>
        <v>-737834.41700118233</v>
      </c>
      <c r="AM38" s="19">
        <f t="shared" si="11"/>
        <v>-824597.48678811826</v>
      </c>
      <c r="AN38" s="19">
        <f t="shared" si="11"/>
        <v>-2103307.5001584161</v>
      </c>
      <c r="AO38" s="19">
        <f t="shared" si="11"/>
        <v>-1689558.3403282373</v>
      </c>
      <c r="AP38" s="19">
        <f t="shared" si="11"/>
        <v>-1110496.0643364533</v>
      </c>
      <c r="AQ38" s="19">
        <f t="shared" si="11"/>
        <v>-398810.76430030988</v>
      </c>
      <c r="AR38" s="19">
        <f t="shared" si="11"/>
        <v>2716781.2836477626</v>
      </c>
      <c r="AV38" s="161"/>
      <c r="CB38" s="149"/>
      <c r="CC38" s="295"/>
      <c r="CD38" s="16" t="s">
        <v>51</v>
      </c>
      <c r="CE38" s="215">
        <v>135146.15</v>
      </c>
      <c r="CF38" s="215">
        <v>147703.67000000001</v>
      </c>
      <c r="CG38" s="215">
        <v>157813.82</v>
      </c>
      <c r="CH38" s="215">
        <v>94457.73</v>
      </c>
      <c r="CI38" s="215">
        <v>30773.360000000001</v>
      </c>
      <c r="CJ38" s="215">
        <v>28505.86</v>
      </c>
      <c r="CK38" s="215">
        <v>29204.54</v>
      </c>
      <c r="CL38" s="4"/>
      <c r="CM38" s="4"/>
      <c r="CN38" s="295"/>
      <c r="CO38" s="16" t="s">
        <v>51</v>
      </c>
      <c r="CP38" s="215">
        <v>135146.15</v>
      </c>
      <c r="CQ38" s="215">
        <v>147703.67000000001</v>
      </c>
      <c r="CR38" s="215">
        <v>157813.82</v>
      </c>
      <c r="CS38" s="215">
        <v>94457.73</v>
      </c>
      <c r="CT38" s="215">
        <v>30773.360000000001</v>
      </c>
      <c r="CU38" s="215">
        <v>28505.86</v>
      </c>
      <c r="CV38" s="215">
        <v>29204.54</v>
      </c>
      <c r="CW38" s="4"/>
      <c r="CX38" s="4"/>
      <c r="CY38" s="4"/>
      <c r="CZ38" s="225"/>
      <c r="DA38" s="295"/>
      <c r="DB38" s="15" t="s">
        <v>28</v>
      </c>
      <c r="DC38" s="20">
        <v>0</v>
      </c>
      <c r="DD38" s="20">
        <v>0</v>
      </c>
      <c r="DE38" s="20">
        <v>255.64000000059605</v>
      </c>
      <c r="DF38" s="20">
        <v>592.33999999985099</v>
      </c>
      <c r="DG38" s="20">
        <v>632.41000000014901</v>
      </c>
      <c r="DH38" s="20">
        <v>892.52999999932945</v>
      </c>
      <c r="DI38" s="20">
        <v>1958.390000000596</v>
      </c>
      <c r="DJ38" s="20">
        <v>2575.9900000002235</v>
      </c>
      <c r="DK38" s="20">
        <v>2901.589999999851</v>
      </c>
      <c r="DL38" s="20">
        <v>2255.2100000008941</v>
      </c>
      <c r="DM38" s="20">
        <v>1201.0499999988824</v>
      </c>
      <c r="DN38" s="20">
        <v>993.04000000096858</v>
      </c>
      <c r="DO38" s="20">
        <v>1022.7099999990314</v>
      </c>
      <c r="DP38" s="20">
        <v>1061.0999999996275</v>
      </c>
      <c r="DQ38" s="20">
        <v>818.65000000037253</v>
      </c>
      <c r="DR38" s="20">
        <v>0</v>
      </c>
      <c r="DS38" s="20">
        <v>0</v>
      </c>
      <c r="DT38" s="20">
        <v>0</v>
      </c>
      <c r="DU38" s="20">
        <v>0</v>
      </c>
      <c r="DV38" s="20">
        <v>0</v>
      </c>
      <c r="DW38" s="20">
        <v>0</v>
      </c>
      <c r="DX38" s="20">
        <v>0</v>
      </c>
      <c r="DY38" s="20">
        <v>0</v>
      </c>
      <c r="DZ38" s="20">
        <v>0</v>
      </c>
      <c r="EA38" s="20">
        <v>0</v>
      </c>
    </row>
    <row r="39" spans="1:133" s="4" customFormat="1" ht="14.5" x14ac:dyDescent="0.35">
      <c r="A39" s="295"/>
      <c r="B39" s="18" t="s">
        <v>2</v>
      </c>
      <c r="C39" s="26"/>
      <c r="D39" s="26"/>
      <c r="E39" s="19">
        <f>+D39+E38</f>
        <v>0</v>
      </c>
      <c r="F39" s="19">
        <f t="shared" ref="F39:O39" si="12">+E39+F38</f>
        <v>1316.4374045731499</v>
      </c>
      <c r="G39" s="19">
        <f t="shared" si="12"/>
        <v>-6533.0146832670234</v>
      </c>
      <c r="H39" s="19">
        <f t="shared" si="12"/>
        <v>-139723.36315377086</v>
      </c>
      <c r="I39" s="19">
        <f t="shared" si="12"/>
        <v>-191891.44042468129</v>
      </c>
      <c r="J39" s="19">
        <f t="shared" si="12"/>
        <v>80183.795215457038</v>
      </c>
      <c r="K39" s="19">
        <f t="shared" si="12"/>
        <v>310013.7414989965</v>
      </c>
      <c r="L39" s="19">
        <f t="shared" si="12"/>
        <v>262198.18234150647</v>
      </c>
      <c r="M39" s="19">
        <f t="shared" si="12"/>
        <v>329864.61232890579</v>
      </c>
      <c r="N39" s="19">
        <f t="shared" si="12"/>
        <v>478710.03204909316</v>
      </c>
      <c r="O39" s="19">
        <f t="shared" si="12"/>
        <v>450156.14613563009</v>
      </c>
      <c r="P39" s="19">
        <f>+O39+P38+P30+P33</f>
        <v>12111214.793478381</v>
      </c>
      <c r="Q39" s="19">
        <f t="shared" ref="Q39:AR39" si="13">+P39+Q38+Q30+Q33</f>
        <v>10670678.549823798</v>
      </c>
      <c r="R39" s="19">
        <f t="shared" si="13"/>
        <v>9072732.0469240472</v>
      </c>
      <c r="S39" s="19">
        <f t="shared" si="13"/>
        <v>7639688.355337766</v>
      </c>
      <c r="T39" s="19">
        <f t="shared" si="13"/>
        <v>6693923.3443157878</v>
      </c>
      <c r="U39" s="19">
        <f t="shared" si="13"/>
        <v>5923535.1649063239</v>
      </c>
      <c r="V39" s="19">
        <f t="shared" si="13"/>
        <v>5220745.6894413466</v>
      </c>
      <c r="W39" s="19">
        <f t="shared" si="13"/>
        <v>4478750.0520686442</v>
      </c>
      <c r="X39" s="19">
        <f t="shared" si="13"/>
        <v>3037840.8424175065</v>
      </c>
      <c r="Y39" s="19">
        <f t="shared" si="13"/>
        <v>1926304.4514740396</v>
      </c>
      <c r="Z39" s="19">
        <f t="shared" si="13"/>
        <v>740103.17332561384</v>
      </c>
      <c r="AA39" s="19">
        <f t="shared" si="13"/>
        <v>-1212017.4683593237</v>
      </c>
      <c r="AB39" s="19">
        <f t="shared" si="13"/>
        <v>-2861652.5768077346</v>
      </c>
      <c r="AC39" s="19">
        <f t="shared" si="13"/>
        <v>-4008885.7980396757</v>
      </c>
      <c r="AD39" s="19">
        <f t="shared" si="13"/>
        <v>-5153331.5180189507</v>
      </c>
      <c r="AE39" s="19">
        <f t="shared" si="13"/>
        <v>-5751079.1144891325</v>
      </c>
      <c r="AF39" s="19">
        <f t="shared" si="13"/>
        <v>-4588770.1313285045</v>
      </c>
      <c r="AG39" s="19">
        <f t="shared" si="13"/>
        <v>-2392018.0231870161</v>
      </c>
      <c r="AH39" s="19">
        <f t="shared" si="13"/>
        <v>-409151.27231196139</v>
      </c>
      <c r="AI39" s="19">
        <f t="shared" si="13"/>
        <v>512643.22928327788</v>
      </c>
      <c r="AJ39" s="19">
        <f t="shared" si="13"/>
        <v>-176975.62856544909</v>
      </c>
      <c r="AK39" s="19">
        <f t="shared" si="13"/>
        <v>-667745.65899180272</v>
      </c>
      <c r="AL39" s="19">
        <f t="shared" si="13"/>
        <v>-1308455.0959929852</v>
      </c>
      <c r="AM39" s="19">
        <f t="shared" si="13"/>
        <v>-2027267.4727811036</v>
      </c>
      <c r="AN39" s="19">
        <f t="shared" si="13"/>
        <v>-3949215.7229395197</v>
      </c>
      <c r="AO39" s="19">
        <f t="shared" si="13"/>
        <v>-5474061.7632677574</v>
      </c>
      <c r="AP39" s="19">
        <f t="shared" si="13"/>
        <v>-6471032.367604211</v>
      </c>
      <c r="AQ39" s="19">
        <f t="shared" si="13"/>
        <v>-6775907.801904521</v>
      </c>
      <c r="AR39" s="19">
        <f t="shared" si="13"/>
        <v>-3928826.3482567584</v>
      </c>
      <c r="AV39" s="162"/>
      <c r="CB39" s="149"/>
      <c r="CC39" s="295"/>
      <c r="CD39" s="16" t="s">
        <v>52</v>
      </c>
      <c r="CE39" s="215">
        <v>25622.507220371379</v>
      </c>
      <c r="CF39" s="215">
        <v>28133.24994185353</v>
      </c>
      <c r="CG39" s="215">
        <v>30224.720865123847</v>
      </c>
      <c r="CH39" s="215">
        <v>4425.1623695121816</v>
      </c>
      <c r="CI39" s="215">
        <v>922.99357159134161</v>
      </c>
      <c r="CJ39" s="215">
        <v>828.12816488022145</v>
      </c>
      <c r="CK39" s="215">
        <v>837.04919207446073</v>
      </c>
      <c r="CN39" s="295"/>
      <c r="CO39" s="16" t="s">
        <v>52</v>
      </c>
      <c r="CP39" s="215">
        <v>25932.70086283311</v>
      </c>
      <c r="CQ39" s="215">
        <v>28753.583164003227</v>
      </c>
      <c r="CR39" s="215">
        <v>31291.275432489769</v>
      </c>
      <c r="CS39" s="215">
        <v>5266.1023098246806</v>
      </c>
      <c r="CT39" s="215">
        <v>959.4250592655153</v>
      </c>
      <c r="CU39" s="215">
        <v>844.05540545213444</v>
      </c>
      <c r="CV39" s="215">
        <v>838.956828406157</v>
      </c>
      <c r="CW39" s="4" t="s">
        <v>117</v>
      </c>
      <c r="CX39" s="4" t="s">
        <v>118</v>
      </c>
      <c r="CY39" s="4" t="s">
        <v>119</v>
      </c>
      <c r="CZ39" s="149"/>
      <c r="DA39" s="295"/>
      <c r="DB39" s="16" t="s">
        <v>26</v>
      </c>
      <c r="DC39" s="20">
        <v>80360.687024982573</v>
      </c>
      <c r="DD39" s="20">
        <v>95761.440926806667</v>
      </c>
      <c r="DE39" s="20">
        <v>-1907.9937762007746</v>
      </c>
      <c r="DF39" s="20">
        <v>-102362.10040602235</v>
      </c>
      <c r="DG39" s="20">
        <v>-81659.759942022312</v>
      </c>
      <c r="DH39" s="20">
        <v>-80583.41964173934</v>
      </c>
      <c r="DI39" s="20">
        <v>-95520.020947600293</v>
      </c>
      <c r="DJ39" s="20">
        <v>-112468.59809397052</v>
      </c>
      <c r="DK39" s="20">
        <v>-112970.29647430769</v>
      </c>
      <c r="DL39" s="20">
        <v>-114176.56432782451</v>
      </c>
      <c r="DM39" s="20">
        <v>-95359.199900074542</v>
      </c>
      <c r="DN39" s="20">
        <v>-85048.337899656035</v>
      </c>
      <c r="DO39" s="20">
        <v>-96923.929909834478</v>
      </c>
      <c r="DP39" s="20">
        <v>-114316.61954150567</v>
      </c>
      <c r="DQ39" s="20">
        <v>-70347.05152582172</v>
      </c>
      <c r="DR39" s="20">
        <v>-3800.9561632831483</v>
      </c>
      <c r="DS39" s="20">
        <v>-3430.8126987825262</v>
      </c>
      <c r="DT39" s="20">
        <v>-3159.8932354852132</v>
      </c>
      <c r="DU39" s="20">
        <v>-3581.5162113053066</v>
      </c>
      <c r="DV39" s="20">
        <v>-4119.5944291965261</v>
      </c>
      <c r="DW39" s="20">
        <v>-4322.0730845019007</v>
      </c>
      <c r="DX39" s="20">
        <v>-3929.9254185913205</v>
      </c>
      <c r="DY39" s="20">
        <v>-3276.9745441742421</v>
      </c>
      <c r="DZ39" s="20">
        <v>-3126.7202336261671</v>
      </c>
      <c r="EA39" s="20">
        <v>-3790.1875290561552</v>
      </c>
    </row>
    <row r="40" spans="1:133" ht="14.5" x14ac:dyDescent="0.35">
      <c r="CB40" s="149"/>
      <c r="CC40" s="295"/>
      <c r="CD40" s="16" t="s">
        <v>13</v>
      </c>
      <c r="CE40" s="215">
        <v>-16309.857220372869</v>
      </c>
      <c r="CF40" s="215">
        <v>-16381.529941854722</v>
      </c>
      <c r="CG40" s="215">
        <v>-18219.410865121463</v>
      </c>
      <c r="CH40" s="215">
        <v>5701.3676304852852</v>
      </c>
      <c r="CI40" s="215">
        <v>-922.99357159134161</v>
      </c>
      <c r="CJ40" s="215">
        <v>-828.12816488022145</v>
      </c>
      <c r="CK40" s="215">
        <v>-837.04919207446073</v>
      </c>
      <c r="CL40" s="4"/>
      <c r="CM40" s="4"/>
      <c r="CN40" s="295"/>
      <c r="CO40" s="16" t="s">
        <v>13</v>
      </c>
      <c r="CP40" s="215">
        <v>-16620.0508628346</v>
      </c>
      <c r="CQ40" s="215">
        <v>-17001.863164004419</v>
      </c>
      <c r="CR40" s="215">
        <v>-19285.965432487385</v>
      </c>
      <c r="CS40" s="215">
        <v>4860.4276901727862</v>
      </c>
      <c r="CT40" s="215">
        <v>-959.4250592655153</v>
      </c>
      <c r="CU40" s="215">
        <v>-844.05540545213444</v>
      </c>
      <c r="CV40" s="215">
        <v>-838.956828406157</v>
      </c>
      <c r="CW40" s="216">
        <f>SUM(CP40:CV40)</f>
        <v>-50689.88906227742</v>
      </c>
      <c r="CX40" s="216">
        <f>SUM(CE40:CK40)</f>
        <v>-47797.6013254098</v>
      </c>
      <c r="CY40" s="216">
        <f>CW40-CX40</f>
        <v>-2892.28773686762</v>
      </c>
      <c r="DA40" s="295"/>
      <c r="DB40" s="16" t="s">
        <v>51</v>
      </c>
      <c r="DC40" s="20">
        <v>49988.83</v>
      </c>
      <c r="DD40" s="20">
        <v>59615.22</v>
      </c>
      <c r="DE40" s="20">
        <v>2335.62</v>
      </c>
      <c r="DF40" s="20">
        <v>104083.7</v>
      </c>
      <c r="DG40" s="20">
        <v>82832.47</v>
      </c>
      <c r="DH40" s="20">
        <v>81630.89</v>
      </c>
      <c r="DI40" s="20">
        <v>96732.3</v>
      </c>
      <c r="DJ40" s="20">
        <v>113949.84</v>
      </c>
      <c r="DK40" s="20">
        <v>114477</v>
      </c>
      <c r="DL40" s="20">
        <v>115688.1</v>
      </c>
      <c r="DM40" s="20">
        <v>96527.89</v>
      </c>
      <c r="DN40" s="20">
        <v>86249.99</v>
      </c>
      <c r="DO40" s="20">
        <v>98347.18</v>
      </c>
      <c r="DP40" s="20">
        <v>116084.16</v>
      </c>
      <c r="DQ40" s="20">
        <v>72696.31</v>
      </c>
      <c r="DR40" s="20">
        <v>3930.01</v>
      </c>
      <c r="DS40" s="20">
        <v>3532.61</v>
      </c>
      <c r="DT40" s="20">
        <v>3250.65</v>
      </c>
      <c r="DU40" s="20">
        <v>3684.79</v>
      </c>
      <c r="DV40" s="20">
        <v>4244.25</v>
      </c>
      <c r="DW40" s="20">
        <v>4450.8100000000004</v>
      </c>
      <c r="DX40" s="20">
        <v>4045.9</v>
      </c>
      <c r="DY40" s="20">
        <v>3372.86</v>
      </c>
      <c r="DZ40" s="20">
        <v>3221.24</v>
      </c>
      <c r="EA40" s="20">
        <v>3921.68</v>
      </c>
    </row>
    <row r="41" spans="1:133" ht="14.5" x14ac:dyDescent="0.35">
      <c r="A41" s="36" t="s">
        <v>38</v>
      </c>
      <c r="B41" s="36"/>
      <c r="C41" s="32"/>
      <c r="D41" s="32"/>
      <c r="E41" s="102" t="s">
        <v>83</v>
      </c>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CB41" s="149"/>
      <c r="CC41" s="295"/>
      <c r="CD41" s="17" t="s">
        <v>8</v>
      </c>
      <c r="CE41" s="215">
        <v>-84.941653771023212</v>
      </c>
      <c r="CF41" s="215">
        <v>-115.92016346648461</v>
      </c>
      <c r="CG41" s="215">
        <v>-77.091957039179292</v>
      </c>
      <c r="CH41" s="215">
        <v>-72.606903432645424</v>
      </c>
      <c r="CI41" s="215">
        <v>-151.84084377784714</v>
      </c>
      <c r="CJ41" s="215">
        <v>-118.68167734782816</v>
      </c>
      <c r="CK41" s="215">
        <v>-165.36745250356313</v>
      </c>
      <c r="CL41" s="4"/>
      <c r="CM41" s="4"/>
      <c r="CN41" s="295"/>
      <c r="CO41" s="17" t="s">
        <v>8</v>
      </c>
      <c r="CP41" s="215">
        <v>-84.981257485829829</v>
      </c>
      <c r="CQ41" s="215">
        <v>-116.12214602032306</v>
      </c>
      <c r="CR41" s="215">
        <v>-77.482184023869124</v>
      </c>
      <c r="CS41" s="215">
        <v>-73.306747354553593</v>
      </c>
      <c r="CT41" s="215">
        <v>-153.49033626118796</v>
      </c>
      <c r="CU41" s="215">
        <v>-120.12936100482553</v>
      </c>
      <c r="CV41" s="215">
        <v>-167.6599743454681</v>
      </c>
      <c r="CW41" s="4"/>
      <c r="CX41" s="4"/>
      <c r="CY41" s="4"/>
      <c r="DA41" s="295"/>
      <c r="DB41" s="16" t="s">
        <v>52</v>
      </c>
      <c r="DC41" s="7">
        <v>130349.51702498258</v>
      </c>
      <c r="DD41" s="7">
        <v>155376.66092680668</v>
      </c>
      <c r="DE41" s="7">
        <v>427.62622379922527</v>
      </c>
      <c r="DF41" s="7">
        <v>1721.5995939776476</v>
      </c>
      <c r="DG41" s="7">
        <v>1172.7100579776888</v>
      </c>
      <c r="DH41" s="7">
        <v>1047.4703582606599</v>
      </c>
      <c r="DI41" s="7">
        <v>1212.2790523997101</v>
      </c>
      <c r="DJ41" s="7">
        <v>1481.2419060294778</v>
      </c>
      <c r="DK41" s="7">
        <v>1506.7035256923118</v>
      </c>
      <c r="DL41" s="7">
        <v>1511.5356721754943</v>
      </c>
      <c r="DM41" s="7">
        <v>1168.6900999254576</v>
      </c>
      <c r="DN41" s="7">
        <v>1201.6521003439702</v>
      </c>
      <c r="DO41" s="7">
        <v>1423.2500901655148</v>
      </c>
      <c r="DP41" s="7">
        <v>1767.5404584943317</v>
      </c>
      <c r="DQ41" s="7">
        <v>2349.2584741782775</v>
      </c>
      <c r="DR41" s="7">
        <v>129.05383671685195</v>
      </c>
      <c r="DS41" s="7">
        <v>101.79730121747389</v>
      </c>
      <c r="DT41" s="7">
        <v>90.756764514786937</v>
      </c>
      <c r="DU41" s="7">
        <v>103.27378869469339</v>
      </c>
      <c r="DV41" s="7">
        <v>124.65557080347389</v>
      </c>
      <c r="DW41" s="7">
        <v>128.73691549809973</v>
      </c>
      <c r="DX41" s="7">
        <v>115.97458140867957</v>
      </c>
      <c r="DY41" s="7">
        <v>95.885455825758072</v>
      </c>
      <c r="DZ41" s="7">
        <v>94.519766373832681</v>
      </c>
      <c r="EA41" s="7">
        <v>131.49247094384464</v>
      </c>
    </row>
    <row r="42" spans="1:133" ht="14.5" x14ac:dyDescent="0.35">
      <c r="A42" t="s">
        <v>33</v>
      </c>
      <c r="C42" s="37"/>
      <c r="D42" s="37"/>
      <c r="E42" s="41">
        <v>0</v>
      </c>
      <c r="F42" s="41">
        <v>1315.62</v>
      </c>
      <c r="G42" s="41">
        <v>10863.39</v>
      </c>
      <c r="H42" s="41">
        <v>131166.53999999998</v>
      </c>
      <c r="I42" s="41">
        <v>387036.02</v>
      </c>
      <c r="J42" s="41">
        <v>954427.99</v>
      </c>
      <c r="K42" s="41">
        <v>1422347.46</v>
      </c>
      <c r="L42" s="41">
        <v>1541935.33</v>
      </c>
      <c r="M42" s="41">
        <v>1724075.76</v>
      </c>
      <c r="N42" s="41">
        <v>2021006.24</v>
      </c>
      <c r="O42" s="41">
        <v>2345067.64</v>
      </c>
      <c r="P42" s="41">
        <v>2665179.0900000003</v>
      </c>
      <c r="Q42" s="41">
        <v>2980723.6900000004</v>
      </c>
      <c r="R42" s="41">
        <v>3131477.4300000006</v>
      </c>
      <c r="S42" s="41">
        <v>3331069.0200000005</v>
      </c>
      <c r="T42" s="41">
        <v>4201806.9000000004</v>
      </c>
      <c r="U42" s="41">
        <v>5473047.7200000007</v>
      </c>
      <c r="V42" s="41">
        <v>6865154.2600000007</v>
      </c>
      <c r="W42" s="41">
        <v>7768433.6700000009</v>
      </c>
      <c r="X42" s="42">
        <v>8046566.0200000005</v>
      </c>
      <c r="Y42" s="42">
        <v>8430171.9900000002</v>
      </c>
      <c r="Z42" s="42">
        <v>8973651.790000001</v>
      </c>
      <c r="AA42" s="42">
        <v>9526672.7300000004</v>
      </c>
      <c r="AB42" s="42">
        <v>10016175.68</v>
      </c>
      <c r="AC42" s="42">
        <v>10476907.279999999</v>
      </c>
      <c r="AD42" s="42">
        <v>10845217.629999999</v>
      </c>
      <c r="AE42" s="42">
        <v>11326489.399999999</v>
      </c>
      <c r="AF42" s="42">
        <v>13319448.119999999</v>
      </c>
      <c r="AG42" s="42">
        <v>16025105.289999999</v>
      </c>
      <c r="AH42" s="42">
        <v>18630918.66</v>
      </c>
      <c r="AI42" s="42">
        <v>20159549.379999999</v>
      </c>
      <c r="AJ42" s="42">
        <v>20538767.649999999</v>
      </c>
      <c r="AK42" s="42">
        <v>21025291.689999998</v>
      </c>
      <c r="AL42" s="42">
        <v>21687799.919999998</v>
      </c>
      <c r="AM42" s="42">
        <v>22350456.27</v>
      </c>
      <c r="AN42" s="42">
        <v>22942873.07</v>
      </c>
      <c r="AO42" s="42">
        <v>23494830.52</v>
      </c>
      <c r="AP42" s="42">
        <v>23930455.640000001</v>
      </c>
      <c r="AQ42" s="42">
        <v>24520866.27</v>
      </c>
      <c r="AR42" s="42">
        <v>27144259.460000001</v>
      </c>
      <c r="CB42" s="149"/>
      <c r="CC42" s="295"/>
      <c r="CD42" s="16" t="s">
        <v>14</v>
      </c>
      <c r="CE42" s="215">
        <v>-16394.798874143893</v>
      </c>
      <c r="CF42" s="215">
        <v>-16497.450105321208</v>
      </c>
      <c r="CG42" s="215">
        <v>-18296.502822160641</v>
      </c>
      <c r="CH42" s="215">
        <v>5628.7607270526396</v>
      </c>
      <c r="CI42" s="215">
        <v>-1074.8344153691887</v>
      </c>
      <c r="CJ42" s="215">
        <v>-946.80984222804955</v>
      </c>
      <c r="CK42" s="215">
        <v>-1002.4166445780238</v>
      </c>
      <c r="CL42" s="4"/>
      <c r="CM42" s="4"/>
      <c r="CN42" s="295"/>
      <c r="CO42" s="16" t="s">
        <v>14</v>
      </c>
      <c r="CP42" s="215">
        <v>-16705.032120320429</v>
      </c>
      <c r="CQ42" s="215">
        <v>-17117.985310024742</v>
      </c>
      <c r="CR42" s="215">
        <v>-19363.447616511254</v>
      </c>
      <c r="CS42" s="215">
        <v>4787.1209428182328</v>
      </c>
      <c r="CT42" s="215">
        <v>-1112.9153955267034</v>
      </c>
      <c r="CU42" s="215">
        <v>-964.18476645696001</v>
      </c>
      <c r="CV42" s="215">
        <v>-1006.6168027516251</v>
      </c>
      <c r="CW42" s="4"/>
      <c r="CX42" s="4"/>
      <c r="CY42" s="4"/>
      <c r="DA42" s="295"/>
      <c r="DB42" s="16" t="s">
        <v>13</v>
      </c>
      <c r="DC42" s="7">
        <v>-130349.51702498258</v>
      </c>
      <c r="DD42" s="7">
        <v>-155376.66092680668</v>
      </c>
      <c r="DE42" s="7">
        <v>-171.98622379862923</v>
      </c>
      <c r="DF42" s="7">
        <v>-1129.2595939777966</v>
      </c>
      <c r="DG42" s="7">
        <v>-540.30005797753984</v>
      </c>
      <c r="DH42" s="7">
        <v>-154.9403582613304</v>
      </c>
      <c r="DI42" s="7">
        <v>746.11094760088599</v>
      </c>
      <c r="DJ42" s="7">
        <v>1094.7480939707457</v>
      </c>
      <c r="DK42" s="7">
        <v>1394.8864743075392</v>
      </c>
      <c r="DL42" s="7">
        <v>743.67432782539981</v>
      </c>
      <c r="DM42" s="7">
        <v>32.359900073424797</v>
      </c>
      <c r="DN42" s="7">
        <v>-208.61210034300166</v>
      </c>
      <c r="DO42" s="7">
        <v>-400.54009016648342</v>
      </c>
      <c r="DP42" s="7">
        <v>-706.44045849470422</v>
      </c>
      <c r="DQ42" s="7">
        <v>-1530.608474177905</v>
      </c>
      <c r="DR42" s="7">
        <v>-129.05383671685195</v>
      </c>
      <c r="DS42" s="7">
        <v>-101.79730121747389</v>
      </c>
      <c r="DT42" s="7">
        <v>-90.756764514786937</v>
      </c>
      <c r="DU42" s="7">
        <v>-103.27378869469339</v>
      </c>
      <c r="DV42" s="7">
        <v>-124.65557080347389</v>
      </c>
      <c r="DW42" s="7">
        <v>-128.73691549809973</v>
      </c>
      <c r="DX42" s="7">
        <v>-115.97458140867957</v>
      </c>
      <c r="DY42" s="125">
        <v>-1512.095231775088</v>
      </c>
      <c r="DZ42" s="7">
        <v>-94.519766373832681</v>
      </c>
      <c r="EA42" s="7">
        <v>-131.49247094384464</v>
      </c>
    </row>
    <row r="43" spans="1:133" ht="14.5" x14ac:dyDescent="0.35">
      <c r="A43" t="s">
        <v>34</v>
      </c>
      <c r="C43" s="37"/>
      <c r="D43" s="37"/>
      <c r="E43" s="41">
        <v>0</v>
      </c>
      <c r="F43" s="41">
        <v>0</v>
      </c>
      <c r="G43" s="41">
        <v>0</v>
      </c>
      <c r="H43" s="41">
        <v>4137.67</v>
      </c>
      <c r="I43" s="41">
        <v>17379.89</v>
      </c>
      <c r="J43" s="41">
        <v>31710.98</v>
      </c>
      <c r="K43" s="41">
        <v>53901.279999999999</v>
      </c>
      <c r="L43" s="41">
        <v>77392.58</v>
      </c>
      <c r="M43" s="41">
        <v>104809.43</v>
      </c>
      <c r="N43" s="41">
        <v>141632.76</v>
      </c>
      <c r="O43" s="41">
        <v>189180.89</v>
      </c>
      <c r="P43" s="41">
        <v>231631.52000000002</v>
      </c>
      <c r="Q43" s="41">
        <v>284317.06</v>
      </c>
      <c r="R43" s="41">
        <v>308249.02</v>
      </c>
      <c r="S43" s="41">
        <v>353276.86</v>
      </c>
      <c r="T43" s="41">
        <v>437936.68</v>
      </c>
      <c r="U43" s="41">
        <v>570057.93999999994</v>
      </c>
      <c r="V43" s="41">
        <v>694339.08</v>
      </c>
      <c r="W43" s="41">
        <v>837878.04999999993</v>
      </c>
      <c r="X43" s="42">
        <v>948910.29999999993</v>
      </c>
      <c r="Y43" s="42">
        <v>1055083.5899999999</v>
      </c>
      <c r="Z43" s="42">
        <v>1178710.0299999998</v>
      </c>
      <c r="AA43" s="42">
        <v>1324771.1099999999</v>
      </c>
      <c r="AB43" s="42">
        <v>1450947.7499999998</v>
      </c>
      <c r="AC43" s="42">
        <v>1608620.2299999997</v>
      </c>
      <c r="AD43" s="42">
        <v>1789739.7799999998</v>
      </c>
      <c r="AE43" s="42">
        <v>2044452.3199999998</v>
      </c>
      <c r="AF43" s="42">
        <v>2426232.96</v>
      </c>
      <c r="AG43" s="42">
        <v>2956688.29</v>
      </c>
      <c r="AH43" s="42">
        <v>3400127.59</v>
      </c>
      <c r="AI43" s="42">
        <v>3902289.12</v>
      </c>
      <c r="AJ43" s="42">
        <v>4245964.8900000006</v>
      </c>
      <c r="AK43" s="42">
        <v>4556973.95</v>
      </c>
      <c r="AL43" s="42">
        <v>4900967.08</v>
      </c>
      <c r="AM43" s="42">
        <v>5271737.41</v>
      </c>
      <c r="AN43" s="42">
        <v>5586511.8100000005</v>
      </c>
      <c r="AO43" s="42">
        <v>5965803.6600000001</v>
      </c>
      <c r="AP43" s="42">
        <v>6353214.2999999998</v>
      </c>
      <c r="AQ43" s="42">
        <v>6845511.75</v>
      </c>
      <c r="AR43" s="42">
        <v>7542708.96</v>
      </c>
      <c r="CB43" s="149"/>
      <c r="CC43" s="295"/>
      <c r="CD43" s="18" t="s">
        <v>17</v>
      </c>
      <c r="CE43" s="215">
        <v>-665385.1820132006</v>
      </c>
      <c r="CF43" s="215">
        <v>-534178.9621185218</v>
      </c>
      <c r="CG43" s="215">
        <v>-394661.64494068245</v>
      </c>
      <c r="CH43" s="215">
        <v>-294575.15421362984</v>
      </c>
      <c r="CI43" s="215">
        <v>-264876.62862899899</v>
      </c>
      <c r="CJ43" s="215">
        <v>-237317.57847122705</v>
      </c>
      <c r="CK43" s="215">
        <v>-209115.45511580509</v>
      </c>
      <c r="CL43" s="4"/>
      <c r="CM43" s="4"/>
      <c r="CN43" s="295"/>
      <c r="CO43" s="18" t="s">
        <v>17</v>
      </c>
      <c r="CP43" s="215">
        <v>-665695.41525937722</v>
      </c>
      <c r="CQ43" s="215">
        <v>-535109.73056940199</v>
      </c>
      <c r="CR43" s="215">
        <v>-396659.35818591324</v>
      </c>
      <c r="CS43" s="215">
        <v>-297414.50724309502</v>
      </c>
      <c r="CT43" s="215">
        <v>-267754.06263862172</v>
      </c>
      <c r="CU43" s="215">
        <v>-240212.38740507868</v>
      </c>
      <c r="CV43" s="215">
        <v>-212014.46420783031</v>
      </c>
      <c r="CW43" s="4"/>
      <c r="CX43" s="4"/>
      <c r="CY43" s="4"/>
      <c r="DA43" s="295"/>
      <c r="DB43" s="17" t="s">
        <v>8</v>
      </c>
      <c r="DC43" s="8">
        <v>-177.40149058971369</v>
      </c>
      <c r="DD43" s="8">
        <v>-199.32744354093134</v>
      </c>
      <c r="DE43" s="8">
        <v>-224.16361373968195</v>
      </c>
      <c r="DF43" s="8">
        <v>-187.97136871804545</v>
      </c>
      <c r="DG43" s="8">
        <v>-182.64022707120466</v>
      </c>
      <c r="DH43" s="8">
        <v>-166.75664099481352</v>
      </c>
      <c r="DI43" s="8">
        <v>-133.58968355873412</v>
      </c>
      <c r="DJ43" s="8">
        <v>-79.081609163004686</v>
      </c>
      <c r="DK43" s="8">
        <v>-96.4375903515933</v>
      </c>
      <c r="DL43" s="8">
        <v>-72.125006368987826</v>
      </c>
      <c r="DM43" s="8">
        <v>-43.927096953677818</v>
      </c>
      <c r="DN43" s="8">
        <v>-33.887191114480679</v>
      </c>
      <c r="DO43" s="8">
        <v>-36.357859831281786</v>
      </c>
      <c r="DP43" s="8">
        <v>-10.191777987043457</v>
      </c>
      <c r="DQ43" s="8">
        <v>4.681884219974255</v>
      </c>
      <c r="DR43" s="8">
        <v>13.075293756117951</v>
      </c>
      <c r="DS43" s="8">
        <v>13.129009153567369</v>
      </c>
      <c r="DT43" s="8">
        <v>23.277940363196844</v>
      </c>
      <c r="DU43" s="8">
        <v>40.883159406817875</v>
      </c>
      <c r="DV43" s="8">
        <v>63.719888565561348</v>
      </c>
      <c r="DW43" s="8">
        <v>88.81009636544762</v>
      </c>
      <c r="DX43" s="8">
        <v>107.94335668388864</v>
      </c>
      <c r="DY43" s="8">
        <v>137.50742611817807</v>
      </c>
      <c r="DZ43" s="8">
        <v>181.50047609901944</v>
      </c>
      <c r="EA43" s="8">
        <v>210.82155817846206</v>
      </c>
      <c r="EB43" s="165">
        <f>SUM('MEEIA 2 calcs'!BJ42:CH42)</f>
        <v>-835.31241035163509</v>
      </c>
      <c r="EC43" s="165">
        <f>SUM(DC43:EA43)-EB43</f>
        <v>76.803899278672134</v>
      </c>
    </row>
    <row r="44" spans="1:133" ht="14.5" x14ac:dyDescent="0.35">
      <c r="A44" t="s">
        <v>35</v>
      </c>
      <c r="C44" s="37"/>
      <c r="D44" s="37"/>
      <c r="E44" s="41">
        <v>0</v>
      </c>
      <c r="F44" s="41">
        <v>0</v>
      </c>
      <c r="G44" s="41">
        <v>0</v>
      </c>
      <c r="H44" s="41">
        <v>6869.5</v>
      </c>
      <c r="I44" s="41">
        <v>31303.59</v>
      </c>
      <c r="J44" s="41">
        <v>64748.7</v>
      </c>
      <c r="K44" s="41">
        <v>121255.72</v>
      </c>
      <c r="L44" s="41">
        <v>169552.81</v>
      </c>
      <c r="M44" s="41">
        <v>225508.91</v>
      </c>
      <c r="N44" s="41">
        <v>301145.52</v>
      </c>
      <c r="O44" s="41">
        <v>398580.96</v>
      </c>
      <c r="P44" s="41">
        <v>490208.33</v>
      </c>
      <c r="Q44" s="41">
        <v>604857.14</v>
      </c>
      <c r="R44" s="41">
        <v>666314.65</v>
      </c>
      <c r="S44" s="41">
        <v>770470.61</v>
      </c>
      <c r="T44" s="41">
        <v>994805.05</v>
      </c>
      <c r="U44" s="41">
        <v>1330352.24</v>
      </c>
      <c r="V44" s="41">
        <v>1652784.7</v>
      </c>
      <c r="W44" s="41">
        <v>2007406.74</v>
      </c>
      <c r="X44" s="42">
        <v>2239872.39</v>
      </c>
      <c r="Y44" s="42">
        <v>2463589.64</v>
      </c>
      <c r="Z44" s="42">
        <v>2730371.64</v>
      </c>
      <c r="AA44" s="42">
        <v>3042506.19</v>
      </c>
      <c r="AB44" s="42">
        <v>3314030.7199999997</v>
      </c>
      <c r="AC44" s="42">
        <v>3633532.4899999998</v>
      </c>
      <c r="AD44" s="42">
        <v>3968022.1199999996</v>
      </c>
      <c r="AE44" s="42">
        <v>4418193.97</v>
      </c>
      <c r="AF44" s="42">
        <v>5292598.74</v>
      </c>
      <c r="AG44" s="42">
        <v>6473842.0099999998</v>
      </c>
      <c r="AH44" s="42">
        <v>7487104.5899999999</v>
      </c>
      <c r="AI44" s="42">
        <v>8491574.9000000004</v>
      </c>
      <c r="AJ44" s="42">
        <v>9047137.040000001</v>
      </c>
      <c r="AK44" s="42">
        <v>9551899.1300000008</v>
      </c>
      <c r="AL44" s="42">
        <v>10140818.360000001</v>
      </c>
      <c r="AM44" s="42">
        <v>10806286.970000001</v>
      </c>
      <c r="AN44" s="42">
        <v>11396408.860000001</v>
      </c>
      <c r="AO44" s="42">
        <v>12084453.48</v>
      </c>
      <c r="AP44" s="42">
        <v>12758882.860000001</v>
      </c>
      <c r="AQ44" s="42">
        <v>13617205.550000001</v>
      </c>
      <c r="AR44" s="42">
        <v>15282414.110000001</v>
      </c>
      <c r="CB44" s="149"/>
      <c r="CC44" s="40"/>
      <c r="CD44" s="11"/>
      <c r="CE44" s="2"/>
      <c r="CF44" s="2"/>
      <c r="CG44" s="2"/>
      <c r="CH44" s="2"/>
      <c r="CI44" s="2"/>
      <c r="CJ44" s="2"/>
      <c r="CK44" s="2"/>
      <c r="CL44" s="4"/>
      <c r="CM44" s="4"/>
      <c r="CN44" s="40"/>
      <c r="CO44" s="11"/>
      <c r="CP44" s="2"/>
      <c r="CQ44" s="2"/>
      <c r="CR44" s="2"/>
      <c r="CS44" s="2"/>
      <c r="CT44" s="2"/>
      <c r="CU44" s="2"/>
      <c r="CV44" s="2"/>
      <c r="CW44" s="4"/>
      <c r="CX44" s="4"/>
      <c r="CY44" s="4"/>
      <c r="DA44" s="295"/>
      <c r="DB44" s="16" t="s">
        <v>14</v>
      </c>
      <c r="DC44" s="7">
        <v>-130526.9185155723</v>
      </c>
      <c r="DD44" s="7">
        <v>-155575.98837034762</v>
      </c>
      <c r="DE44" s="7">
        <v>-396.1498375383112</v>
      </c>
      <c r="DF44" s="7">
        <v>-1317.230962695842</v>
      </c>
      <c r="DG44" s="7">
        <v>-722.9402850487445</v>
      </c>
      <c r="DH44" s="7">
        <v>-321.69699925614395</v>
      </c>
      <c r="DI44" s="7">
        <v>612.52126404215187</v>
      </c>
      <c r="DJ44" s="7">
        <v>1015.666484807741</v>
      </c>
      <c r="DK44" s="7">
        <v>1298.4488839559458</v>
      </c>
      <c r="DL44" s="7">
        <v>671.54932145641203</v>
      </c>
      <c r="DM44" s="7">
        <v>-11.567196880253022</v>
      </c>
      <c r="DN44" s="7">
        <v>-242.49929145748234</v>
      </c>
      <c r="DO44" s="7">
        <v>-436.89794999776518</v>
      </c>
      <c r="DP44" s="7">
        <v>-716.63223648174767</v>
      </c>
      <c r="DQ44" s="7">
        <v>-1525.9265899579307</v>
      </c>
      <c r="DR44" s="7">
        <v>-115.97854296073399</v>
      </c>
      <c r="DS44" s="7">
        <v>-88.66829206390652</v>
      </c>
      <c r="DT44" s="7">
        <v>-67.478824151590089</v>
      </c>
      <c r="DU44" s="7">
        <v>-62.39062928787552</v>
      </c>
      <c r="DV44" s="7">
        <v>-60.935682237912545</v>
      </c>
      <c r="DW44" s="7">
        <v>-39.926819132652113</v>
      </c>
      <c r="DX44" s="7">
        <v>-8.0312247247909312</v>
      </c>
      <c r="DY44" s="7">
        <v>-1374.5878056569099</v>
      </c>
      <c r="DZ44" s="7">
        <v>86.980709725186756</v>
      </c>
      <c r="EA44" s="7">
        <v>79.329087234617418</v>
      </c>
    </row>
    <row r="45" spans="1:133" ht="14.5" x14ac:dyDescent="0.35">
      <c r="A45" t="s">
        <v>36</v>
      </c>
      <c r="C45" s="37"/>
      <c r="D45" s="37"/>
      <c r="E45" s="41">
        <v>0</v>
      </c>
      <c r="F45" s="41">
        <v>0</v>
      </c>
      <c r="G45" s="41">
        <v>0</v>
      </c>
      <c r="H45" s="41">
        <v>526.23</v>
      </c>
      <c r="I45" s="41">
        <v>2233.4700000000003</v>
      </c>
      <c r="J45" s="41">
        <v>4262.4400000000005</v>
      </c>
      <c r="K45" s="41">
        <v>8761.7000000000007</v>
      </c>
      <c r="L45" s="41">
        <v>13045.740000000002</v>
      </c>
      <c r="M45" s="41">
        <v>20273.660000000003</v>
      </c>
      <c r="N45" s="41">
        <v>37885.900000000009</v>
      </c>
      <c r="O45" s="41">
        <v>65178.16</v>
      </c>
      <c r="P45" s="41">
        <v>88883.11</v>
      </c>
      <c r="Q45" s="41">
        <v>117758.75</v>
      </c>
      <c r="R45" s="41">
        <v>128287.45</v>
      </c>
      <c r="S45" s="41">
        <v>156969.91999999998</v>
      </c>
      <c r="T45" s="41">
        <v>283745.70999999996</v>
      </c>
      <c r="U45" s="41">
        <v>460465.1</v>
      </c>
      <c r="V45" s="41">
        <v>676481.38</v>
      </c>
      <c r="W45" s="41">
        <v>878807.12</v>
      </c>
      <c r="X45" s="42">
        <v>979154.54</v>
      </c>
      <c r="Y45" s="42">
        <v>1074451.24</v>
      </c>
      <c r="Z45" s="42">
        <v>1186616.24</v>
      </c>
      <c r="AA45" s="42">
        <v>1315454.6599999999</v>
      </c>
      <c r="AB45" s="42">
        <v>1428559.95</v>
      </c>
      <c r="AC45" s="42">
        <v>1557915.5699999998</v>
      </c>
      <c r="AD45" s="42">
        <v>1686488.2399999998</v>
      </c>
      <c r="AE45" s="42">
        <v>1862900.9999999998</v>
      </c>
      <c r="AF45" s="42">
        <v>2278664.34</v>
      </c>
      <c r="AG45" s="42">
        <v>2813126</v>
      </c>
      <c r="AH45" s="42">
        <v>3289771.59</v>
      </c>
      <c r="AI45" s="42">
        <v>3697831.11</v>
      </c>
      <c r="AJ45" s="42">
        <v>3900717.4</v>
      </c>
      <c r="AK45" s="42">
        <v>4087079.7399999998</v>
      </c>
      <c r="AL45" s="42">
        <v>4305525.0999999996</v>
      </c>
      <c r="AM45" s="42">
        <v>4552393.01</v>
      </c>
      <c r="AN45" s="42">
        <v>4778787.0999999996</v>
      </c>
      <c r="AO45" s="42">
        <v>5045402.72</v>
      </c>
      <c r="AP45" s="42">
        <v>5300788.51</v>
      </c>
      <c r="AQ45" s="42">
        <v>5635365.4399999995</v>
      </c>
      <c r="AR45" s="42">
        <v>6411912.9499999993</v>
      </c>
      <c r="CB45" s="149"/>
      <c r="CC45" s="295" t="s">
        <v>23</v>
      </c>
      <c r="CD45" s="15"/>
      <c r="CE45" s="2"/>
      <c r="CF45" s="2"/>
      <c r="CG45" s="2"/>
      <c r="CH45" s="2"/>
      <c r="CI45" s="2"/>
      <c r="CJ45" s="2"/>
      <c r="CK45" s="2"/>
      <c r="CL45" s="4"/>
      <c r="CM45" s="4"/>
      <c r="CN45" s="295" t="s">
        <v>23</v>
      </c>
      <c r="CO45" s="15"/>
      <c r="CP45" s="2"/>
      <c r="CQ45" s="2"/>
      <c r="CR45" s="2"/>
      <c r="CS45" s="2"/>
      <c r="CT45" s="2"/>
      <c r="CU45" s="2"/>
      <c r="CV45" s="2"/>
      <c r="CW45" s="4"/>
      <c r="CX45" s="4"/>
      <c r="CY45" s="4"/>
      <c r="DA45" s="295"/>
      <c r="DB45" s="18" t="s">
        <v>16</v>
      </c>
      <c r="DC45" s="7">
        <v>-1064586.3450288717</v>
      </c>
      <c r="DD45" s="7">
        <v>-1160547.1133992192</v>
      </c>
      <c r="DE45" s="7">
        <v>-1158607.6432367575</v>
      </c>
      <c r="DF45" s="7">
        <v>-1055841.1741994533</v>
      </c>
      <c r="DG45" s="7">
        <v>-973731.64448450203</v>
      </c>
      <c r="DH45" s="7">
        <v>-892422.45148375817</v>
      </c>
      <c r="DI45" s="7">
        <v>-795077.630219716</v>
      </c>
      <c r="DJ45" s="7">
        <v>-680112.12373490829</v>
      </c>
      <c r="DK45" s="7">
        <v>-564336.67485095235</v>
      </c>
      <c r="DL45" s="7">
        <v>-447977.02552949591</v>
      </c>
      <c r="DM45" s="7">
        <v>-351460.70272637613</v>
      </c>
      <c r="DN45" s="7">
        <v>-265453.2120178336</v>
      </c>
      <c r="DO45" s="7">
        <v>-167542.92996783138</v>
      </c>
      <c r="DP45" s="7">
        <v>-52175.402204313126</v>
      </c>
      <c r="DQ45" s="7">
        <v>18994.981205728938</v>
      </c>
      <c r="DR45" s="7">
        <v>22809.012662768204</v>
      </c>
      <c r="DS45" s="7">
        <v>26252.954370704298</v>
      </c>
      <c r="DT45" s="7">
        <v>29436.125546552707</v>
      </c>
      <c r="DU45" s="7">
        <v>33058.524917264833</v>
      </c>
      <c r="DV45" s="7">
        <v>37241.839235026921</v>
      </c>
      <c r="DW45" s="7">
        <v>41652.72241589427</v>
      </c>
      <c r="DX45" s="7">
        <v>45690.591191169478</v>
      </c>
      <c r="DY45" s="7">
        <v>47688.863385512566</v>
      </c>
      <c r="DZ45" s="7">
        <v>50997.084095237755</v>
      </c>
      <c r="EA45" s="7">
        <v>54998.093182472374</v>
      </c>
    </row>
    <row r="46" spans="1:133" ht="14.5" x14ac:dyDescent="0.35">
      <c r="A46" t="s">
        <v>37</v>
      </c>
      <c r="C46" s="37"/>
      <c r="D46" s="37"/>
      <c r="E46" s="41">
        <v>0</v>
      </c>
      <c r="F46" s="41">
        <v>0</v>
      </c>
      <c r="G46" s="41">
        <v>0</v>
      </c>
      <c r="H46" s="41">
        <v>0</v>
      </c>
      <c r="I46" s="41">
        <v>360.22</v>
      </c>
      <c r="J46" s="41">
        <v>1610.72</v>
      </c>
      <c r="K46" s="41">
        <v>3708.4399999999996</v>
      </c>
      <c r="L46" s="41">
        <v>5556.58</v>
      </c>
      <c r="M46" s="41">
        <v>7842.59</v>
      </c>
      <c r="N46" s="41">
        <v>10918.86</v>
      </c>
      <c r="O46" s="41">
        <v>16615.46</v>
      </c>
      <c r="P46" s="41">
        <v>22758.07</v>
      </c>
      <c r="Q46" s="41">
        <v>31593.03</v>
      </c>
      <c r="R46" s="41">
        <v>39281.5</v>
      </c>
      <c r="S46" s="41">
        <v>50126.66</v>
      </c>
      <c r="T46" s="41">
        <v>70160.39</v>
      </c>
      <c r="U46" s="41">
        <v>99498.43</v>
      </c>
      <c r="V46" s="41">
        <v>125723.48999999999</v>
      </c>
      <c r="W46" s="41">
        <v>151515.57</v>
      </c>
      <c r="X46" s="42">
        <v>170427.22</v>
      </c>
      <c r="Y46" s="42">
        <v>188562.65</v>
      </c>
      <c r="Z46" s="42">
        <v>208655.59</v>
      </c>
      <c r="AA46" s="42">
        <v>231472.88999999998</v>
      </c>
      <c r="AB46" s="42">
        <v>251997.65999999997</v>
      </c>
      <c r="AC46" s="42">
        <v>274863.21999999997</v>
      </c>
      <c r="AD46" s="42">
        <v>298818.81999999995</v>
      </c>
      <c r="AE46" s="42">
        <v>331875.56999999995</v>
      </c>
      <c r="AF46" s="42">
        <v>404071.67999999993</v>
      </c>
      <c r="AG46" s="42">
        <v>500160.08999999997</v>
      </c>
      <c r="AH46" s="42">
        <v>581014.66999999993</v>
      </c>
      <c r="AI46" s="42">
        <v>646771.12999999989</v>
      </c>
      <c r="AJ46" s="42">
        <v>682335.71999999986</v>
      </c>
      <c r="AK46" s="42">
        <v>715657.68999999983</v>
      </c>
      <c r="AL46" s="42">
        <v>756057.14999999979</v>
      </c>
      <c r="AM46" s="42">
        <v>803044.9099999998</v>
      </c>
      <c r="AN46" s="42">
        <v>850516.91999999981</v>
      </c>
      <c r="AO46" s="42">
        <v>903405.12999999977</v>
      </c>
      <c r="AP46" s="42">
        <v>953931.43999999971</v>
      </c>
      <c r="AQ46" s="42">
        <v>1023538.6499999997</v>
      </c>
      <c r="AR46" s="42">
        <v>1212863.4699999997</v>
      </c>
      <c r="CB46" s="149"/>
      <c r="CC46" s="295"/>
      <c r="CD46" s="15" t="s">
        <v>28</v>
      </c>
      <c r="CE46" s="215">
        <v>10374.580000000075</v>
      </c>
      <c r="CF46" s="215">
        <v>12057.450000001118</v>
      </c>
      <c r="CG46" s="215">
        <v>12824.789999999106</v>
      </c>
      <c r="CH46" s="215">
        <v>10330.179999999702</v>
      </c>
      <c r="CI46" s="215">
        <v>0</v>
      </c>
      <c r="CJ46" s="215">
        <v>0</v>
      </c>
      <c r="CK46" s="215">
        <v>0</v>
      </c>
      <c r="CL46" s="4"/>
      <c r="CM46" s="4"/>
      <c r="CN46" s="295"/>
      <c r="CO46" s="15" t="s">
        <v>28</v>
      </c>
      <c r="CP46" s="215">
        <v>10374.580000000075</v>
      </c>
      <c r="CQ46" s="215">
        <v>12057.450000001118</v>
      </c>
      <c r="CR46" s="215">
        <v>12824.789999999106</v>
      </c>
      <c r="CS46" s="215">
        <v>10330.179999999702</v>
      </c>
      <c r="CT46" s="215">
        <v>0</v>
      </c>
      <c r="CU46" s="215">
        <v>0</v>
      </c>
      <c r="CV46" s="215">
        <v>0</v>
      </c>
      <c r="CW46" s="4"/>
      <c r="CX46" s="4"/>
      <c r="CY46" s="4"/>
      <c r="DA46" s="40"/>
      <c r="DB46" s="11"/>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row>
    <row r="47" spans="1:133" ht="14.5" x14ac:dyDescent="0.35">
      <c r="A47" t="s">
        <v>29</v>
      </c>
      <c r="C47" s="37"/>
      <c r="D47" s="37"/>
      <c r="E47" s="41">
        <v>0</v>
      </c>
      <c r="F47" s="41">
        <v>0</v>
      </c>
      <c r="G47" s="41">
        <v>0</v>
      </c>
      <c r="H47" s="41">
        <v>0</v>
      </c>
      <c r="I47" s="41">
        <v>0</v>
      </c>
      <c r="J47" s="41">
        <v>1868.8500000000001</v>
      </c>
      <c r="K47" s="41">
        <v>4053.29</v>
      </c>
      <c r="L47" s="41">
        <v>5059.2199999999993</v>
      </c>
      <c r="M47" s="41">
        <v>7508.869999999999</v>
      </c>
      <c r="N47" s="41">
        <v>12297.34</v>
      </c>
      <c r="O47" s="41">
        <v>18722.91</v>
      </c>
      <c r="P47" s="41">
        <v>25431.389999999996</v>
      </c>
      <c r="Q47" s="41">
        <v>32318.059999999998</v>
      </c>
      <c r="R47" s="41">
        <v>36911.199999999997</v>
      </c>
      <c r="S47" s="41">
        <v>42919.069999999992</v>
      </c>
      <c r="T47" s="41">
        <v>58636.82</v>
      </c>
      <c r="U47" s="41">
        <v>76159.05</v>
      </c>
      <c r="V47" s="41">
        <v>95963.299999999988</v>
      </c>
      <c r="W47" s="41">
        <v>116157.13999999998</v>
      </c>
      <c r="X47" s="42">
        <v>126888.96999999999</v>
      </c>
      <c r="Y47" s="42">
        <v>141420.74</v>
      </c>
      <c r="Z47" s="42">
        <v>160909.37999999995</v>
      </c>
      <c r="AA47" s="42">
        <v>181160.15999999997</v>
      </c>
      <c r="AB47" s="42">
        <v>201561.77999999997</v>
      </c>
      <c r="AC47" s="42">
        <v>224861.17999999996</v>
      </c>
      <c r="AD47" s="42">
        <v>245754.5</v>
      </c>
      <c r="AE47" s="42">
        <v>270978.73999999993</v>
      </c>
      <c r="AF47" s="42">
        <v>332977.51</v>
      </c>
      <c r="AG47" s="42">
        <v>413877.85</v>
      </c>
      <c r="AH47" s="42">
        <v>491349.19999999995</v>
      </c>
      <c r="AI47" s="42">
        <v>559548.25</v>
      </c>
      <c r="AJ47" s="42">
        <v>594952.58000000007</v>
      </c>
      <c r="AK47" s="42">
        <v>633938.96</v>
      </c>
      <c r="AL47" s="42">
        <v>682172.33</v>
      </c>
      <c r="AM47" s="42">
        <v>733968.09999999986</v>
      </c>
      <c r="AN47" s="42">
        <v>782012.6399999999</v>
      </c>
      <c r="AO47" s="42">
        <v>835173.21</v>
      </c>
      <c r="AP47" s="42">
        <v>883852.3</v>
      </c>
      <c r="AQ47" s="42">
        <v>942837.01</v>
      </c>
      <c r="AR47" s="42">
        <v>1071794.97</v>
      </c>
      <c r="CB47" s="150"/>
      <c r="CC47" s="295"/>
      <c r="CD47" s="16" t="s">
        <v>26</v>
      </c>
      <c r="CE47" s="215">
        <v>-22828.889630809208</v>
      </c>
      <c r="CF47" s="215">
        <v>-29924.142514541847</v>
      </c>
      <c r="CG47" s="215">
        <v>-28848.082586273878</v>
      </c>
      <c r="CH47" s="215">
        <v>-20936.748032217365</v>
      </c>
      <c r="CI47" s="215">
        <v>-9363.3583204824445</v>
      </c>
      <c r="CJ47" s="215">
        <v>-9437.0051141241493</v>
      </c>
      <c r="CK47" s="215">
        <v>-9234.9091119732129</v>
      </c>
      <c r="CL47" s="2"/>
      <c r="CM47" s="2"/>
      <c r="CN47" s="295"/>
      <c r="CO47" s="16" t="s">
        <v>26</v>
      </c>
      <c r="CP47" s="215">
        <v>-22705.686486155013</v>
      </c>
      <c r="CQ47" s="215">
        <v>-29648.694170827279</v>
      </c>
      <c r="CR47" s="215">
        <v>-28388.594686249391</v>
      </c>
      <c r="CS47" s="215">
        <v>-20595.01936131802</v>
      </c>
      <c r="CT47" s="215">
        <v>-9348.310124921727</v>
      </c>
      <c r="CU47" s="215">
        <v>-9429.8658266884941</v>
      </c>
      <c r="CV47" s="215">
        <v>-9234.0736114224255</v>
      </c>
      <c r="CW47" s="2"/>
      <c r="CX47" s="2"/>
      <c r="CY47" s="2"/>
      <c r="DA47" s="295" t="s">
        <v>22</v>
      </c>
      <c r="DB47" s="15"/>
      <c r="DC47" s="7"/>
      <c r="DD47" s="7"/>
      <c r="DE47" s="7"/>
      <c r="DF47" s="7"/>
      <c r="DG47" s="7"/>
      <c r="DH47" s="7"/>
      <c r="DI47" s="7"/>
      <c r="DJ47" s="7"/>
      <c r="DK47" s="7"/>
      <c r="DL47" s="7"/>
      <c r="DM47" s="7"/>
      <c r="DN47" s="7"/>
      <c r="DO47" s="7"/>
      <c r="DP47" s="7"/>
      <c r="DQ47" s="7"/>
      <c r="DR47" s="7"/>
      <c r="DS47" s="7"/>
      <c r="DT47" s="7"/>
      <c r="DU47" s="7"/>
      <c r="DV47" s="7"/>
      <c r="DW47" s="7"/>
      <c r="DX47" s="7"/>
      <c r="DY47" s="125">
        <v>-2892.28773686762</v>
      </c>
      <c r="DZ47" s="7"/>
      <c r="EA47" s="7"/>
    </row>
    <row r="48" spans="1:133" ht="14.5" x14ac:dyDescent="0.35">
      <c r="A48" s="33" t="s">
        <v>31</v>
      </c>
      <c r="B48" s="33"/>
      <c r="C48" s="31"/>
      <c r="D48" s="31"/>
      <c r="E48" s="44">
        <f>SUM(E42:E47)</f>
        <v>0</v>
      </c>
      <c r="F48" s="44">
        <f t="shared" ref="F48:AR48" si="14">SUM(F42:F47)</f>
        <v>1315.62</v>
      </c>
      <c r="G48" s="44">
        <f t="shared" si="14"/>
        <v>10863.39</v>
      </c>
      <c r="H48" s="44">
        <f t="shared" si="14"/>
        <v>142699.94</v>
      </c>
      <c r="I48" s="44">
        <f t="shared" si="14"/>
        <v>438313.19</v>
      </c>
      <c r="J48" s="44">
        <f t="shared" si="14"/>
        <v>1058629.68</v>
      </c>
      <c r="K48" s="44">
        <f t="shared" si="14"/>
        <v>1614027.89</v>
      </c>
      <c r="L48" s="44">
        <f t="shared" si="14"/>
        <v>1812542.2600000002</v>
      </c>
      <c r="M48" s="44">
        <f t="shared" si="14"/>
        <v>2090019.22</v>
      </c>
      <c r="N48" s="44">
        <f t="shared" si="14"/>
        <v>2524886.6199999996</v>
      </c>
      <c r="O48" s="44">
        <f t="shared" si="14"/>
        <v>3033346.0200000005</v>
      </c>
      <c r="P48" s="44">
        <f t="shared" si="14"/>
        <v>3524091.5100000002</v>
      </c>
      <c r="Q48" s="44">
        <f t="shared" si="14"/>
        <v>4051567.7300000004</v>
      </c>
      <c r="R48" s="44">
        <f t="shared" si="14"/>
        <v>4310521.2500000009</v>
      </c>
      <c r="S48" s="44">
        <f t="shared" si="14"/>
        <v>4704832.1400000006</v>
      </c>
      <c r="T48" s="44">
        <f t="shared" si="14"/>
        <v>6047091.5499999998</v>
      </c>
      <c r="U48" s="44">
        <f t="shared" si="14"/>
        <v>8009580.4799999995</v>
      </c>
      <c r="V48" s="44">
        <f t="shared" si="14"/>
        <v>10110446.210000003</v>
      </c>
      <c r="W48" s="44">
        <f t="shared" si="14"/>
        <v>11760198.290000001</v>
      </c>
      <c r="X48" s="44">
        <f t="shared" si="14"/>
        <v>12511819.440000001</v>
      </c>
      <c r="Y48" s="44">
        <f t="shared" si="14"/>
        <v>13353279.850000001</v>
      </c>
      <c r="Z48" s="44">
        <f t="shared" si="14"/>
        <v>14438914.670000002</v>
      </c>
      <c r="AA48" s="44">
        <f t="shared" si="14"/>
        <v>15622037.74</v>
      </c>
      <c r="AB48" s="44">
        <f t="shared" si="14"/>
        <v>16663273.539999997</v>
      </c>
      <c r="AC48" s="44">
        <f t="shared" si="14"/>
        <v>17776699.969999999</v>
      </c>
      <c r="AD48" s="44">
        <f t="shared" si="14"/>
        <v>18834041.089999996</v>
      </c>
      <c r="AE48" s="44">
        <f t="shared" si="14"/>
        <v>20254890.999999996</v>
      </c>
      <c r="AF48" s="44">
        <f t="shared" si="14"/>
        <v>24053993.350000001</v>
      </c>
      <c r="AG48" s="44">
        <f t="shared" si="14"/>
        <v>29182799.529999997</v>
      </c>
      <c r="AH48" s="44">
        <f t="shared" si="14"/>
        <v>33880286.300000004</v>
      </c>
      <c r="AI48" s="44">
        <f t="shared" si="14"/>
        <v>37457563.890000001</v>
      </c>
      <c r="AJ48" s="44">
        <f t="shared" si="14"/>
        <v>39009875.279999994</v>
      </c>
      <c r="AK48" s="44">
        <f t="shared" si="14"/>
        <v>40570841.159999996</v>
      </c>
      <c r="AL48" s="44">
        <f t="shared" si="14"/>
        <v>42473339.939999998</v>
      </c>
      <c r="AM48" s="44">
        <f t="shared" si="14"/>
        <v>44517886.669999994</v>
      </c>
      <c r="AN48" s="44">
        <f t="shared" si="14"/>
        <v>46337110.400000006</v>
      </c>
      <c r="AO48" s="44">
        <f t="shared" si="14"/>
        <v>48329068.719999999</v>
      </c>
      <c r="AP48" s="44">
        <f t="shared" si="14"/>
        <v>50181125.049999997</v>
      </c>
      <c r="AQ48" s="44">
        <f t="shared" si="14"/>
        <v>52585324.669999994</v>
      </c>
      <c r="AR48" s="44">
        <f t="shared" si="14"/>
        <v>58665953.920000002</v>
      </c>
      <c r="CB48" s="149"/>
      <c r="CC48" s="295"/>
      <c r="CD48" s="16" t="s">
        <v>51</v>
      </c>
      <c r="CE48" s="215">
        <v>39890.089999999997</v>
      </c>
      <c r="CF48" s="215">
        <v>52432.800000000003</v>
      </c>
      <c r="CG48" s="215">
        <v>50635.33</v>
      </c>
      <c r="CH48" s="215">
        <v>23630.6</v>
      </c>
      <c r="CI48" s="215">
        <v>10235.24</v>
      </c>
      <c r="CJ48" s="215">
        <v>10302.52</v>
      </c>
      <c r="CK48" s="215">
        <v>10077.35</v>
      </c>
      <c r="CL48" s="4"/>
      <c r="CM48" s="4"/>
      <c r="CN48" s="295"/>
      <c r="CO48" s="16" t="s">
        <v>51</v>
      </c>
      <c r="CP48" s="215">
        <v>39890.089999999997</v>
      </c>
      <c r="CQ48" s="215">
        <v>52432.800000000003</v>
      </c>
      <c r="CR48" s="215">
        <v>50635.33</v>
      </c>
      <c r="CS48" s="215">
        <v>23630.6</v>
      </c>
      <c r="CT48" s="215">
        <v>10235.24</v>
      </c>
      <c r="CU48" s="215">
        <v>10302.52</v>
      </c>
      <c r="CV48" s="215">
        <v>10077.35</v>
      </c>
      <c r="CW48" s="4"/>
      <c r="CX48" s="4"/>
      <c r="CY48" s="4"/>
      <c r="DA48" s="295"/>
      <c r="DB48" s="15" t="s">
        <v>28</v>
      </c>
      <c r="DC48" s="20">
        <v>8127.0399999991059</v>
      </c>
      <c r="DD48" s="20">
        <v>8329.3000000007451</v>
      </c>
      <c r="DE48" s="20">
        <v>8800.269999999553</v>
      </c>
      <c r="DF48" s="20">
        <v>10333.070000000298</v>
      </c>
      <c r="DG48" s="20">
        <v>8760.0100000016391</v>
      </c>
      <c r="DH48" s="20">
        <v>11044.909999996424</v>
      </c>
      <c r="DI48" s="20">
        <v>31907.310000002384</v>
      </c>
      <c r="DJ48" s="20">
        <v>40946.179999999702</v>
      </c>
      <c r="DK48" s="20">
        <v>36410.359999999404</v>
      </c>
      <c r="DL48" s="20">
        <v>22318.39999999851</v>
      </c>
      <c r="DM48" s="20">
        <v>8944.2900000028312</v>
      </c>
      <c r="DN48" s="20">
        <v>9312.6499999985099</v>
      </c>
      <c r="DO48" s="20">
        <v>11751.719999998808</v>
      </c>
      <c r="DP48" s="20">
        <v>12005.310000002384</v>
      </c>
      <c r="DQ48" s="20">
        <v>10126.529999997467</v>
      </c>
      <c r="DR48" s="20">
        <v>0</v>
      </c>
      <c r="DS48" s="20">
        <v>0</v>
      </c>
      <c r="DT48" s="20">
        <v>0</v>
      </c>
      <c r="DU48" s="20">
        <v>0</v>
      </c>
      <c r="DV48" s="20">
        <v>0</v>
      </c>
      <c r="DW48" s="20">
        <v>0</v>
      </c>
      <c r="DX48" s="20">
        <v>0</v>
      </c>
      <c r="DY48" s="20">
        <v>0</v>
      </c>
      <c r="DZ48" s="20">
        <v>0</v>
      </c>
      <c r="EA48" s="20">
        <v>0</v>
      </c>
    </row>
    <row r="49" spans="1:133" ht="14.5" x14ac:dyDescent="0.35">
      <c r="A49"/>
      <c r="C49" s="37"/>
      <c r="D49" s="37"/>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CB49" s="149"/>
      <c r="CC49" s="295"/>
      <c r="CD49" s="16" t="s">
        <v>52</v>
      </c>
      <c r="CE49" s="215">
        <v>17061.200369190788</v>
      </c>
      <c r="CF49" s="215">
        <v>22508.657485458156</v>
      </c>
      <c r="CG49" s="215">
        <v>21787.247413726123</v>
      </c>
      <c r="CH49" s="215">
        <v>2693.8519677826334</v>
      </c>
      <c r="CI49" s="215">
        <v>871.88167951755531</v>
      </c>
      <c r="CJ49" s="215">
        <v>865.51488587585118</v>
      </c>
      <c r="CK49" s="215">
        <v>842.44088802678743</v>
      </c>
      <c r="CL49" s="4"/>
      <c r="CM49" s="4"/>
      <c r="CN49" s="295"/>
      <c r="CO49" s="16" t="s">
        <v>52</v>
      </c>
      <c r="CP49" s="215">
        <v>17184.403513844984</v>
      </c>
      <c r="CQ49" s="215">
        <v>22784.105829172724</v>
      </c>
      <c r="CR49" s="215">
        <v>22246.735313750611</v>
      </c>
      <c r="CS49" s="215">
        <v>3035.5806386819786</v>
      </c>
      <c r="CT49" s="215">
        <v>886.92987507827274</v>
      </c>
      <c r="CU49" s="215">
        <v>872.65417331150638</v>
      </c>
      <c r="CV49" s="215">
        <v>843.27638857757483</v>
      </c>
      <c r="CW49" s="4" t="s">
        <v>117</v>
      </c>
      <c r="CX49" s="4" t="s">
        <v>118</v>
      </c>
      <c r="CY49" s="4" t="s">
        <v>119</v>
      </c>
      <c r="DA49" s="295"/>
      <c r="DB49" s="16" t="s">
        <v>26</v>
      </c>
      <c r="DC49" s="20">
        <v>306551.46210147406</v>
      </c>
      <c r="DD49" s="20">
        <v>328395.30665898882</v>
      </c>
      <c r="DE49" s="20">
        <v>129041.97894362173</v>
      </c>
      <c r="DF49" s="20">
        <v>-116248.37555983226</v>
      </c>
      <c r="DG49" s="20">
        <v>-104613.38045356744</v>
      </c>
      <c r="DH49" s="20">
        <v>-106758.31587632833</v>
      </c>
      <c r="DI49" s="20">
        <v>-119183.41184852651</v>
      </c>
      <c r="DJ49" s="20">
        <v>-138596.39079341319</v>
      </c>
      <c r="DK49" s="20">
        <v>-137793.28735156739</v>
      </c>
      <c r="DL49" s="20">
        <v>-140452.99254978076</v>
      </c>
      <c r="DM49" s="20">
        <v>-123659.88827741763</v>
      </c>
      <c r="DN49" s="20">
        <v>-109523.64277962862</v>
      </c>
      <c r="DO49" s="20">
        <v>-119570.42005814648</v>
      </c>
      <c r="DP49" s="20">
        <v>-127589.09913487616</v>
      </c>
      <c r="DQ49" s="20">
        <v>-90032.567630487814</v>
      </c>
      <c r="DR49" s="20">
        <v>-29850.366428408659</v>
      </c>
      <c r="DS49" s="20">
        <v>-27677.731835119779</v>
      </c>
      <c r="DT49" s="20">
        <v>-28367.49080792554</v>
      </c>
      <c r="DU49" s="20">
        <v>-31712.240190643679</v>
      </c>
      <c r="DV49" s="20">
        <v>-36266.351017925241</v>
      </c>
      <c r="DW49" s="20">
        <v>-35382.790747787352</v>
      </c>
      <c r="DX49" s="20">
        <v>-33777.721147319782</v>
      </c>
      <c r="DY49" s="20">
        <v>-29077.038685363284</v>
      </c>
      <c r="DZ49" s="20">
        <v>-27430.212146395083</v>
      </c>
      <c r="EA49" s="20">
        <v>-31670.308000207406</v>
      </c>
    </row>
    <row r="50" spans="1:133" ht="14.5" x14ac:dyDescent="0.35">
      <c r="A50" s="36" t="s">
        <v>39</v>
      </c>
      <c r="B50" s="36"/>
      <c r="C50" s="37"/>
      <c r="D50" s="37"/>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CB50" s="149"/>
      <c r="CC50" s="295"/>
      <c r="CD50" s="16" t="s">
        <v>13</v>
      </c>
      <c r="CE50" s="215">
        <v>-6686.620369190714</v>
      </c>
      <c r="CF50" s="215">
        <v>-10451.207485457038</v>
      </c>
      <c r="CG50" s="215">
        <v>-8962.4574137270174</v>
      </c>
      <c r="CH50" s="215">
        <v>7636.3280322170685</v>
      </c>
      <c r="CI50" s="215">
        <v>-871.88167951755531</v>
      </c>
      <c r="CJ50" s="215">
        <v>-865.51488587585118</v>
      </c>
      <c r="CK50" s="215">
        <v>-842.44088802678743</v>
      </c>
      <c r="CL50" s="4"/>
      <c r="CM50" s="4"/>
      <c r="CN50" s="295"/>
      <c r="CO50" s="16" t="s">
        <v>13</v>
      </c>
      <c r="CP50" s="215">
        <v>-6809.823513844909</v>
      </c>
      <c r="CQ50" s="215">
        <v>-10726.655829171606</v>
      </c>
      <c r="CR50" s="215">
        <v>-9421.9453137515047</v>
      </c>
      <c r="CS50" s="215">
        <v>7294.5993613177234</v>
      </c>
      <c r="CT50" s="215">
        <v>-886.92987507827274</v>
      </c>
      <c r="CU50" s="215">
        <v>-872.65417331150638</v>
      </c>
      <c r="CV50" s="215">
        <v>-843.27638857757483</v>
      </c>
      <c r="CW50" s="216">
        <f>SUM(CP50:CV50)</f>
        <v>-22266.685732417649</v>
      </c>
      <c r="CX50" s="216">
        <f>SUM(CE50:CK50)</f>
        <v>-21043.794689577895</v>
      </c>
      <c r="CY50" s="216">
        <f>CW50-CX50</f>
        <v>-1222.8910428397539</v>
      </c>
      <c r="DA50" s="295"/>
      <c r="DB50" s="16" t="s">
        <v>51</v>
      </c>
      <c r="DC50" s="20">
        <v>-54088.43</v>
      </c>
      <c r="DD50" s="20">
        <v>-57968.47</v>
      </c>
      <c r="DE50" s="20">
        <v>-155185.29</v>
      </c>
      <c r="DF50" s="20">
        <v>144151.20000000001</v>
      </c>
      <c r="DG50" s="20">
        <v>129139.73</v>
      </c>
      <c r="DH50" s="20">
        <v>131496.01999999999</v>
      </c>
      <c r="DI50" s="20">
        <v>146683.67000000001</v>
      </c>
      <c r="DJ50" s="20">
        <v>170727.8</v>
      </c>
      <c r="DK50" s="20">
        <v>169792.6</v>
      </c>
      <c r="DL50" s="20">
        <v>173041.64</v>
      </c>
      <c r="DM50" s="20">
        <v>152089.43</v>
      </c>
      <c r="DN50" s="20">
        <v>135146.15</v>
      </c>
      <c r="DO50" s="20">
        <v>147703.67000000001</v>
      </c>
      <c r="DP50" s="20">
        <v>157813.82</v>
      </c>
      <c r="DQ50" s="20">
        <v>94457.73</v>
      </c>
      <c r="DR50" s="20">
        <v>30773.360000000001</v>
      </c>
      <c r="DS50" s="20">
        <v>28505.86</v>
      </c>
      <c r="DT50" s="20">
        <v>29204.54</v>
      </c>
      <c r="DU50" s="20">
        <v>32647.23</v>
      </c>
      <c r="DV50" s="20">
        <v>37342.58</v>
      </c>
      <c r="DW50" s="20">
        <v>36437.18</v>
      </c>
      <c r="DX50" s="20">
        <v>34781.339999999997</v>
      </c>
      <c r="DY50" s="20">
        <v>29940.03</v>
      </c>
      <c r="DZ50" s="20">
        <v>28253.98</v>
      </c>
      <c r="EA50" s="20">
        <v>32650.48</v>
      </c>
    </row>
    <row r="51" spans="1:133" ht="14.5" x14ac:dyDescent="0.35">
      <c r="A51" s="38" t="s">
        <v>33</v>
      </c>
      <c r="B51" s="38"/>
      <c r="C51" s="37"/>
      <c r="D51" s="37"/>
      <c r="E51" s="45">
        <f>E42-D42</f>
        <v>0</v>
      </c>
      <c r="F51" s="45">
        <f>IF(F42="","",F42-E42)</f>
        <v>1315.62</v>
      </c>
      <c r="G51" s="45">
        <f>IF(G42="","",G42-F42)</f>
        <v>9547.77</v>
      </c>
      <c r="H51" s="45">
        <f t="shared" ref="H51:AR56" si="15">IF(H42="","",H42-G42)</f>
        <v>120303.14999999998</v>
      </c>
      <c r="I51" s="45">
        <f t="shared" si="15"/>
        <v>255869.48000000004</v>
      </c>
      <c r="J51" s="45">
        <f t="shared" si="15"/>
        <v>567391.97</v>
      </c>
      <c r="K51" s="45">
        <f t="shared" si="15"/>
        <v>467919.47</v>
      </c>
      <c r="L51" s="45">
        <f t="shared" si="15"/>
        <v>119587.87000000011</v>
      </c>
      <c r="M51" s="45">
        <f t="shared" si="15"/>
        <v>182140.42999999993</v>
      </c>
      <c r="N51" s="45">
        <f t="shared" si="15"/>
        <v>296930.48</v>
      </c>
      <c r="O51" s="45">
        <f t="shared" si="15"/>
        <v>324061.40000000014</v>
      </c>
      <c r="P51" s="45">
        <f t="shared" si="15"/>
        <v>320111.45000000019</v>
      </c>
      <c r="Q51" s="45">
        <f t="shared" si="15"/>
        <v>315544.60000000009</v>
      </c>
      <c r="R51" s="45">
        <f t="shared" si="15"/>
        <v>150753.74000000022</v>
      </c>
      <c r="S51" s="45">
        <f t="shared" si="15"/>
        <v>199591.58999999985</v>
      </c>
      <c r="T51" s="45">
        <f t="shared" si="15"/>
        <v>870737.87999999989</v>
      </c>
      <c r="U51" s="45">
        <f t="shared" si="15"/>
        <v>1271240.8200000003</v>
      </c>
      <c r="V51" s="45">
        <f t="shared" si="15"/>
        <v>1392106.54</v>
      </c>
      <c r="W51" s="45">
        <f t="shared" si="15"/>
        <v>903279.41000000015</v>
      </c>
      <c r="X51" s="45">
        <f t="shared" si="15"/>
        <v>278132.34999999963</v>
      </c>
      <c r="Y51" s="45">
        <f>IF(Y42="","",Y42-X42)</f>
        <v>383605.96999999974</v>
      </c>
      <c r="Z51" s="45">
        <f t="shared" si="15"/>
        <v>543479.80000000075</v>
      </c>
      <c r="AA51" s="45">
        <f t="shared" si="15"/>
        <v>553020.93999999948</v>
      </c>
      <c r="AB51" s="45">
        <f t="shared" si="15"/>
        <v>489502.94999999925</v>
      </c>
      <c r="AC51" s="45">
        <f t="shared" si="15"/>
        <v>460731.59999999963</v>
      </c>
      <c r="AD51" s="45">
        <f t="shared" si="15"/>
        <v>368310.34999999963</v>
      </c>
      <c r="AE51" s="45">
        <f t="shared" si="15"/>
        <v>481271.76999999955</v>
      </c>
      <c r="AF51" s="45">
        <f t="shared" si="15"/>
        <v>1992958.7200000007</v>
      </c>
      <c r="AG51" s="45">
        <f t="shared" si="15"/>
        <v>2705657.17</v>
      </c>
      <c r="AH51" s="45">
        <f t="shared" si="15"/>
        <v>2605813.370000001</v>
      </c>
      <c r="AI51" s="45">
        <f t="shared" si="15"/>
        <v>1528630.7199999988</v>
      </c>
      <c r="AJ51" s="45">
        <f t="shared" si="15"/>
        <v>379218.26999999955</v>
      </c>
      <c r="AK51" s="45">
        <f t="shared" si="15"/>
        <v>486524.03999999911</v>
      </c>
      <c r="AL51" s="45">
        <f t="shared" si="15"/>
        <v>662508.23000000045</v>
      </c>
      <c r="AM51" s="45">
        <f t="shared" si="15"/>
        <v>662656.35000000149</v>
      </c>
      <c r="AN51" s="45">
        <f t="shared" si="15"/>
        <v>592416.80000000075</v>
      </c>
      <c r="AO51" s="45">
        <f>IF(AO42="","",AO42-AN42)</f>
        <v>551957.44999999925</v>
      </c>
      <c r="AP51" s="45">
        <f>IF(AP42="","",AP42-AO42)</f>
        <v>435625.12000000104</v>
      </c>
      <c r="AQ51" s="45">
        <f t="shared" si="15"/>
        <v>590410.62999999896</v>
      </c>
      <c r="AR51" s="45">
        <f t="shared" si="15"/>
        <v>2623393.1900000013</v>
      </c>
      <c r="CB51" s="149"/>
      <c r="CC51" s="295"/>
      <c r="CD51" s="17" t="s">
        <v>8</v>
      </c>
      <c r="CE51" s="215">
        <v>-27.035384303313489</v>
      </c>
      <c r="CF51" s="215">
        <v>-36.855312051041274</v>
      </c>
      <c r="CG51" s="215">
        <v>-25.039728528201056</v>
      </c>
      <c r="CH51" s="215">
        <v>-23.894863251534023</v>
      </c>
      <c r="CI51" s="215">
        <v>-50.234736557447974</v>
      </c>
      <c r="CJ51" s="215">
        <v>-39.124245328254908</v>
      </c>
      <c r="CK51" s="215">
        <v>-54.60684331866792</v>
      </c>
      <c r="CL51" s="4"/>
      <c r="CM51" s="4"/>
      <c r="CN51" s="295"/>
      <c r="CO51" s="17" t="s">
        <v>8</v>
      </c>
      <c r="CP51" s="215">
        <v>-27.051114162137921</v>
      </c>
      <c r="CQ51" s="215">
        <v>-36.9418440996483</v>
      </c>
      <c r="CR51" s="215">
        <v>-25.207407490628555</v>
      </c>
      <c r="CS51" s="215">
        <v>-24.190746274209076</v>
      </c>
      <c r="CT51" s="215">
        <v>-50.931912768175017</v>
      </c>
      <c r="CU51" s="215">
        <v>-39.736328683212392</v>
      </c>
      <c r="CV51" s="215">
        <v>-55.576148746981119</v>
      </c>
      <c r="CW51" s="4"/>
      <c r="CX51" s="4"/>
      <c r="CY51" s="4"/>
      <c r="DA51" s="295"/>
      <c r="DB51" s="16" t="s">
        <v>52</v>
      </c>
      <c r="DC51" s="7">
        <v>252463.03210147406</v>
      </c>
      <c r="DD51" s="7">
        <v>270426.83665898885</v>
      </c>
      <c r="DE51" s="7">
        <v>-26143.311056378283</v>
      </c>
      <c r="DF51" s="7">
        <v>27902.824440167751</v>
      </c>
      <c r="DG51" s="7">
        <v>24526.349546432553</v>
      </c>
      <c r="DH51" s="7">
        <v>24737.704123671661</v>
      </c>
      <c r="DI51" s="7">
        <v>27500.258151473507</v>
      </c>
      <c r="DJ51" s="7">
        <v>32131.409206586803</v>
      </c>
      <c r="DK51" s="7">
        <v>31999.31264843262</v>
      </c>
      <c r="DL51" s="7">
        <v>32588.647450219258</v>
      </c>
      <c r="DM51" s="7">
        <v>28429.541722582362</v>
      </c>
      <c r="DN51" s="7">
        <v>25622.507220371379</v>
      </c>
      <c r="DO51" s="7">
        <v>28133.24994185353</v>
      </c>
      <c r="DP51" s="7">
        <v>30224.720865123847</v>
      </c>
      <c r="DQ51" s="7">
        <v>4425.1623695121816</v>
      </c>
      <c r="DR51" s="7">
        <v>922.99357159134161</v>
      </c>
      <c r="DS51" s="7">
        <v>828.12816488022145</v>
      </c>
      <c r="DT51" s="7">
        <v>837.04919207446073</v>
      </c>
      <c r="DU51" s="7">
        <v>934.98980935632062</v>
      </c>
      <c r="DV51" s="7">
        <v>1076.228982074761</v>
      </c>
      <c r="DW51" s="7">
        <v>1054.389252212648</v>
      </c>
      <c r="DX51" s="7">
        <v>1003.6188526802143</v>
      </c>
      <c r="DY51" s="7">
        <v>862.99131463671438</v>
      </c>
      <c r="DZ51" s="7">
        <v>823.76785360491704</v>
      </c>
      <c r="EA51" s="7">
        <v>980.17199979259385</v>
      </c>
    </row>
    <row r="52" spans="1:133" ht="14.5" x14ac:dyDescent="0.35">
      <c r="A52" s="38" t="s">
        <v>34</v>
      </c>
      <c r="B52" s="38"/>
      <c r="C52" s="37"/>
      <c r="D52" s="37"/>
      <c r="E52" s="45">
        <f t="shared" ref="E52:E56" si="16">E43-D43</f>
        <v>0</v>
      </c>
      <c r="F52" s="45">
        <f t="shared" ref="F52:U56" si="17">IF(F43="","",F43-E43)</f>
        <v>0</v>
      </c>
      <c r="G52" s="45">
        <f t="shared" si="17"/>
        <v>0</v>
      </c>
      <c r="H52" s="45">
        <f t="shared" si="17"/>
        <v>4137.67</v>
      </c>
      <c r="I52" s="45">
        <f t="shared" si="17"/>
        <v>13242.22</v>
      </c>
      <c r="J52" s="45">
        <f t="shared" si="17"/>
        <v>14331.09</v>
      </c>
      <c r="K52" s="45">
        <f t="shared" si="17"/>
        <v>22190.3</v>
      </c>
      <c r="L52" s="45">
        <f t="shared" si="17"/>
        <v>23491.300000000003</v>
      </c>
      <c r="M52" s="45">
        <f t="shared" si="17"/>
        <v>27416.849999999991</v>
      </c>
      <c r="N52" s="45">
        <f t="shared" si="17"/>
        <v>36823.330000000016</v>
      </c>
      <c r="O52" s="45">
        <f t="shared" si="17"/>
        <v>47548.130000000005</v>
      </c>
      <c r="P52" s="45">
        <f t="shared" si="17"/>
        <v>42450.630000000005</v>
      </c>
      <c r="Q52" s="45">
        <f t="shared" si="17"/>
        <v>52685.539999999979</v>
      </c>
      <c r="R52" s="45">
        <f t="shared" si="17"/>
        <v>23931.960000000021</v>
      </c>
      <c r="S52" s="45">
        <f t="shared" si="17"/>
        <v>45027.839999999967</v>
      </c>
      <c r="T52" s="45">
        <f t="shared" si="17"/>
        <v>84659.82</v>
      </c>
      <c r="U52" s="45">
        <f t="shared" si="17"/>
        <v>132121.25999999995</v>
      </c>
      <c r="V52" s="45">
        <f t="shared" si="15"/>
        <v>124281.14000000001</v>
      </c>
      <c r="W52" s="45">
        <f t="shared" si="15"/>
        <v>143538.96999999997</v>
      </c>
      <c r="X52" s="45">
        <f t="shared" si="15"/>
        <v>111032.25</v>
      </c>
      <c r="Y52" s="45">
        <f t="shared" si="15"/>
        <v>106173.28999999992</v>
      </c>
      <c r="Z52" s="45">
        <f t="shared" si="15"/>
        <v>123626.43999999994</v>
      </c>
      <c r="AA52" s="45">
        <f t="shared" si="15"/>
        <v>146061.08000000007</v>
      </c>
      <c r="AB52" s="45">
        <f t="shared" si="15"/>
        <v>126176.6399999999</v>
      </c>
      <c r="AC52" s="45">
        <f t="shared" si="15"/>
        <v>157672.47999999998</v>
      </c>
      <c r="AD52" s="45">
        <f t="shared" si="15"/>
        <v>181119.55000000005</v>
      </c>
      <c r="AE52" s="45">
        <f t="shared" si="15"/>
        <v>254712.54000000004</v>
      </c>
      <c r="AF52" s="45">
        <f t="shared" si="15"/>
        <v>381780.64000000013</v>
      </c>
      <c r="AG52" s="45">
        <f t="shared" si="15"/>
        <v>530455.33000000007</v>
      </c>
      <c r="AH52" s="45">
        <f t="shared" si="15"/>
        <v>443439.29999999981</v>
      </c>
      <c r="AI52" s="45">
        <f t="shared" si="15"/>
        <v>502161.53000000026</v>
      </c>
      <c r="AJ52" s="45">
        <f t="shared" si="15"/>
        <v>343675.77000000048</v>
      </c>
      <c r="AK52" s="45">
        <f t="shared" si="15"/>
        <v>311009.05999999959</v>
      </c>
      <c r="AL52" s="45">
        <f t="shared" si="15"/>
        <v>343993.12999999989</v>
      </c>
      <c r="AM52" s="45">
        <f t="shared" si="15"/>
        <v>370770.33000000007</v>
      </c>
      <c r="AN52" s="45">
        <f t="shared" si="15"/>
        <v>314774.40000000037</v>
      </c>
      <c r="AO52" s="45">
        <f>IF(AO43="","",AO43-AN43)</f>
        <v>379291.84999999963</v>
      </c>
      <c r="AP52" s="45">
        <f t="shared" si="15"/>
        <v>387410.63999999966</v>
      </c>
      <c r="AQ52" s="45">
        <f t="shared" si="15"/>
        <v>492297.45000000019</v>
      </c>
      <c r="AR52" s="45">
        <f t="shared" si="15"/>
        <v>697197.21</v>
      </c>
      <c r="CB52" s="149"/>
      <c r="CC52" s="295"/>
      <c r="CD52" s="16" t="s">
        <v>14</v>
      </c>
      <c r="CE52" s="215">
        <v>-6713.6557534940275</v>
      </c>
      <c r="CF52" s="215">
        <v>-10488.062797508079</v>
      </c>
      <c r="CG52" s="215">
        <v>-8987.4971422552189</v>
      </c>
      <c r="CH52" s="215">
        <v>7612.4331689655346</v>
      </c>
      <c r="CI52" s="215">
        <v>-922.11641607500326</v>
      </c>
      <c r="CJ52" s="215">
        <v>-904.63913120410609</v>
      </c>
      <c r="CK52" s="215">
        <v>-897.0477313454553</v>
      </c>
      <c r="CL52" s="4"/>
      <c r="CM52" s="4"/>
      <c r="CN52" s="295"/>
      <c r="CO52" s="16" t="s">
        <v>14</v>
      </c>
      <c r="CP52" s="215">
        <v>-6836.8746280070472</v>
      </c>
      <c r="CQ52" s="215">
        <v>-10763.597673271255</v>
      </c>
      <c r="CR52" s="215">
        <v>-9447.1527212421333</v>
      </c>
      <c r="CS52" s="215">
        <v>7270.4086150435141</v>
      </c>
      <c r="CT52" s="215">
        <v>-937.86178784644778</v>
      </c>
      <c r="CU52" s="215">
        <v>-912.39050199471876</v>
      </c>
      <c r="CV52" s="215">
        <v>-898.8525373245559</v>
      </c>
      <c r="CW52" s="4"/>
      <c r="CX52" s="4"/>
      <c r="CY52" s="4"/>
      <c r="DA52" s="295"/>
      <c r="DB52" s="16" t="s">
        <v>13</v>
      </c>
      <c r="DC52" s="7">
        <v>-244335.99210147496</v>
      </c>
      <c r="DD52" s="7">
        <v>-262097.5366589881</v>
      </c>
      <c r="DE52" s="7">
        <v>34943.581056377836</v>
      </c>
      <c r="DF52" s="7">
        <v>-17569.754440167453</v>
      </c>
      <c r="DG52" s="7">
        <v>-15766.339546430914</v>
      </c>
      <c r="DH52" s="7">
        <v>-13692.794123675238</v>
      </c>
      <c r="DI52" s="7">
        <v>4407.0518485288776</v>
      </c>
      <c r="DJ52" s="7">
        <v>8814.7707934128994</v>
      </c>
      <c r="DK52" s="7">
        <v>4411.0473515667836</v>
      </c>
      <c r="DL52" s="7">
        <v>-10270.247450220748</v>
      </c>
      <c r="DM52" s="7">
        <v>-19485.251722579531</v>
      </c>
      <c r="DN52" s="7">
        <v>-16309.857220372869</v>
      </c>
      <c r="DO52" s="7">
        <v>-16381.529941854722</v>
      </c>
      <c r="DP52" s="7">
        <v>-18219.410865121463</v>
      </c>
      <c r="DQ52" s="7">
        <v>5701.3676304852852</v>
      </c>
      <c r="DR52" s="7">
        <v>-922.99357159134161</v>
      </c>
      <c r="DS52" s="7">
        <v>-828.12816488022145</v>
      </c>
      <c r="DT52" s="7">
        <v>-837.04919207446073</v>
      </c>
      <c r="DU52" s="7">
        <v>-934.98980935632062</v>
      </c>
      <c r="DV52" s="7">
        <v>-1076.228982074761</v>
      </c>
      <c r="DW52" s="7">
        <v>-1054.389252212648</v>
      </c>
      <c r="DX52" s="7">
        <v>-1003.6188526802143</v>
      </c>
      <c r="DY52" s="125">
        <v>-3755.2790515043343</v>
      </c>
      <c r="DZ52" s="7">
        <v>-823.76785360491704</v>
      </c>
      <c r="EA52" s="7">
        <v>-980.17199979259385</v>
      </c>
    </row>
    <row r="53" spans="1:133" ht="14.5" x14ac:dyDescent="0.35">
      <c r="A53" s="38" t="s">
        <v>35</v>
      </c>
      <c r="B53" s="38"/>
      <c r="C53" s="37"/>
      <c r="D53" s="37"/>
      <c r="E53" s="45">
        <f t="shared" si="16"/>
        <v>0</v>
      </c>
      <c r="F53" s="45">
        <f t="shared" si="17"/>
        <v>0</v>
      </c>
      <c r="G53" s="45">
        <f t="shared" si="17"/>
        <v>0</v>
      </c>
      <c r="H53" s="45">
        <f t="shared" si="17"/>
        <v>6869.5</v>
      </c>
      <c r="I53" s="45">
        <f t="shared" si="17"/>
        <v>24434.09</v>
      </c>
      <c r="J53" s="45">
        <f t="shared" si="17"/>
        <v>33445.11</v>
      </c>
      <c r="K53" s="45">
        <f t="shared" si="17"/>
        <v>56507.020000000004</v>
      </c>
      <c r="L53" s="45">
        <f t="shared" si="17"/>
        <v>48297.09</v>
      </c>
      <c r="M53" s="45">
        <f t="shared" si="17"/>
        <v>55956.100000000006</v>
      </c>
      <c r="N53" s="45">
        <f t="shared" si="17"/>
        <v>75636.610000000015</v>
      </c>
      <c r="O53" s="45">
        <f t="shared" si="17"/>
        <v>97435.44</v>
      </c>
      <c r="P53" s="45">
        <f t="shared" si="17"/>
        <v>91627.37</v>
      </c>
      <c r="Q53" s="45">
        <f t="shared" si="17"/>
        <v>114648.81</v>
      </c>
      <c r="R53" s="45">
        <f t="shared" si="17"/>
        <v>61457.510000000009</v>
      </c>
      <c r="S53" s="45">
        <f t="shared" si="17"/>
        <v>104155.95999999996</v>
      </c>
      <c r="T53" s="45">
        <f t="shared" si="17"/>
        <v>224334.44000000006</v>
      </c>
      <c r="U53" s="45">
        <f t="shared" si="17"/>
        <v>335547.18999999994</v>
      </c>
      <c r="V53" s="45">
        <f t="shared" si="15"/>
        <v>322432.45999999996</v>
      </c>
      <c r="W53" s="45">
        <f t="shared" si="15"/>
        <v>354622.04000000004</v>
      </c>
      <c r="X53" s="45">
        <f t="shared" si="15"/>
        <v>232465.65000000014</v>
      </c>
      <c r="Y53" s="45">
        <f t="shared" si="15"/>
        <v>223717.25</v>
      </c>
      <c r="Z53" s="45">
        <f t="shared" si="15"/>
        <v>266782</v>
      </c>
      <c r="AA53" s="45">
        <f t="shared" si="15"/>
        <v>312134.54999999981</v>
      </c>
      <c r="AB53" s="45">
        <f t="shared" si="15"/>
        <v>271524.5299999998</v>
      </c>
      <c r="AC53" s="45">
        <f t="shared" si="15"/>
        <v>319501.77</v>
      </c>
      <c r="AD53" s="45">
        <f t="shared" si="15"/>
        <v>334489.62999999989</v>
      </c>
      <c r="AE53" s="45">
        <f t="shared" si="15"/>
        <v>450171.85000000009</v>
      </c>
      <c r="AF53" s="45">
        <f t="shared" si="15"/>
        <v>874404.77000000048</v>
      </c>
      <c r="AG53" s="45">
        <f t="shared" si="15"/>
        <v>1181243.2699999996</v>
      </c>
      <c r="AH53" s="45">
        <f t="shared" si="15"/>
        <v>1013262.5800000001</v>
      </c>
      <c r="AI53" s="45">
        <f t="shared" si="15"/>
        <v>1004470.3100000005</v>
      </c>
      <c r="AJ53" s="45">
        <f t="shared" si="15"/>
        <v>555562.1400000006</v>
      </c>
      <c r="AK53" s="45">
        <f t="shared" si="15"/>
        <v>504762.08999999985</v>
      </c>
      <c r="AL53" s="45">
        <f t="shared" si="15"/>
        <v>588919.23000000045</v>
      </c>
      <c r="AM53" s="45">
        <f t="shared" si="15"/>
        <v>665468.6099999994</v>
      </c>
      <c r="AN53" s="45">
        <f t="shared" si="15"/>
        <v>590121.8900000006</v>
      </c>
      <c r="AO53" s="45">
        <f t="shared" si="15"/>
        <v>688044.61999999918</v>
      </c>
      <c r="AP53" s="45">
        <f t="shared" si="15"/>
        <v>674429.38000000082</v>
      </c>
      <c r="AQ53" s="45">
        <f t="shared" si="15"/>
        <v>858322.68999999948</v>
      </c>
      <c r="AR53" s="45">
        <f t="shared" si="15"/>
        <v>1665208.5600000005</v>
      </c>
      <c r="CB53" s="149"/>
      <c r="CC53" s="295"/>
      <c r="CD53" s="18" t="s">
        <v>18</v>
      </c>
      <c r="CE53" s="215">
        <v>-211780.00788576331</v>
      </c>
      <c r="CF53" s="215">
        <v>-169835.27068327137</v>
      </c>
      <c r="CG53" s="215">
        <v>-128187.43782552659</v>
      </c>
      <c r="CH53" s="215">
        <v>-96944.404656561062</v>
      </c>
      <c r="CI53" s="215">
        <v>-87631.281072636062</v>
      </c>
      <c r="CJ53" s="215">
        <v>-78233.400203840167</v>
      </c>
      <c r="CK53" s="215">
        <v>-69053.097935185622</v>
      </c>
      <c r="CL53" s="4"/>
      <c r="CM53" s="4"/>
      <c r="CN53" s="295"/>
      <c r="CO53" s="18" t="s">
        <v>18</v>
      </c>
      <c r="CP53" s="215">
        <v>-211903.2267602763</v>
      </c>
      <c r="CQ53" s="215">
        <v>-170234.02443354757</v>
      </c>
      <c r="CR53" s="215">
        <v>-129045.84715478971</v>
      </c>
      <c r="CS53" s="215">
        <v>-98144.838539746197</v>
      </c>
      <c r="CT53" s="215">
        <v>-88847.460327592649</v>
      </c>
      <c r="CU53" s="215">
        <v>-79457.330829587372</v>
      </c>
      <c r="CV53" s="215">
        <v>-70278.833366911931</v>
      </c>
      <c r="CW53" s="4"/>
      <c r="CX53" s="4"/>
      <c r="CY53" s="4"/>
      <c r="DA53" s="295"/>
      <c r="DB53" s="17" t="s">
        <v>8</v>
      </c>
      <c r="DC53" s="8">
        <v>-249.8335681626495</v>
      </c>
      <c r="DD53" s="8">
        <v>-312.52686536122258</v>
      </c>
      <c r="DE53" s="8">
        <v>-375.39261386253241</v>
      </c>
      <c r="DF53" s="8">
        <v>-322.94428960940297</v>
      </c>
      <c r="DG53" s="8">
        <v>-319.03962289269901</v>
      </c>
      <c r="DH53" s="8">
        <v>-295.87659224900534</v>
      </c>
      <c r="DI53" s="8">
        <v>-240.70286352234578</v>
      </c>
      <c r="DJ53" s="8">
        <v>-145.71637810979612</v>
      </c>
      <c r="DK53" s="8">
        <v>-184.41410876220593</v>
      </c>
      <c r="DL53" s="8">
        <v>-147.56385820710088</v>
      </c>
      <c r="DM53" s="8">
        <v>-97.991570328601483</v>
      </c>
      <c r="DN53" s="8">
        <v>-84.928122998185174</v>
      </c>
      <c r="DO53" s="8">
        <v>-115.89715744741331</v>
      </c>
      <c r="DP53" s="8">
        <v>-77.071244265417434</v>
      </c>
      <c r="DQ53" s="8">
        <v>-72.580761182127048</v>
      </c>
      <c r="DR53" s="8">
        <v>-151.78000854561199</v>
      </c>
      <c r="DS53" s="8">
        <v>-118.62857897498122</v>
      </c>
      <c r="DT53" s="8">
        <v>-165.28342239516945</v>
      </c>
      <c r="DU53" s="8">
        <v>-219.53293065653057</v>
      </c>
      <c r="DV53" s="8">
        <v>-242.08978610457052</v>
      </c>
      <c r="DW53" s="8">
        <v>-226.72526894883333</v>
      </c>
      <c r="DX53" s="8">
        <v>-171.82418989044268</v>
      </c>
      <c r="DY53" s="8">
        <v>-134.59876281374724</v>
      </c>
      <c r="DZ53" s="8">
        <v>-68.755796671001278</v>
      </c>
      <c r="EA53" s="8">
        <v>47.529190250665458</v>
      </c>
      <c r="EB53" s="165">
        <f>SUM('MEEIA 2 calcs'!BJ52:CH52)</f>
        <v>-4602.331691325664</v>
      </c>
      <c r="EC53" s="165">
        <f>SUM(DC53:EA53)-EB53</f>
        <v>108.16251961473517</v>
      </c>
    </row>
    <row r="54" spans="1:133" ht="14.5" x14ac:dyDescent="0.35">
      <c r="A54" s="38" t="s">
        <v>36</v>
      </c>
      <c r="B54" s="38"/>
      <c r="C54" s="37"/>
      <c r="D54" s="37"/>
      <c r="E54" s="45">
        <f t="shared" si="16"/>
        <v>0</v>
      </c>
      <c r="F54" s="45">
        <f t="shared" si="17"/>
        <v>0</v>
      </c>
      <c r="G54" s="45">
        <f t="shared" si="17"/>
        <v>0</v>
      </c>
      <c r="H54" s="45">
        <f t="shared" si="17"/>
        <v>526.23</v>
      </c>
      <c r="I54" s="45">
        <f t="shared" si="17"/>
        <v>1707.2400000000002</v>
      </c>
      <c r="J54" s="45">
        <f t="shared" si="17"/>
        <v>2028.9700000000003</v>
      </c>
      <c r="K54" s="45">
        <f t="shared" si="17"/>
        <v>4499.26</v>
      </c>
      <c r="L54" s="45">
        <f t="shared" si="17"/>
        <v>4284.0400000000009</v>
      </c>
      <c r="M54" s="45">
        <f t="shared" si="17"/>
        <v>7227.9200000000019</v>
      </c>
      <c r="N54" s="45">
        <f t="shared" si="17"/>
        <v>17612.240000000005</v>
      </c>
      <c r="O54" s="45">
        <f t="shared" si="17"/>
        <v>27292.259999999995</v>
      </c>
      <c r="P54" s="45">
        <f t="shared" si="17"/>
        <v>23704.949999999997</v>
      </c>
      <c r="Q54" s="45">
        <f t="shared" si="17"/>
        <v>28875.64</v>
      </c>
      <c r="R54" s="45">
        <f t="shared" si="17"/>
        <v>10528.699999999997</v>
      </c>
      <c r="S54" s="45">
        <f t="shared" si="17"/>
        <v>28682.469999999987</v>
      </c>
      <c r="T54" s="45">
        <f t="shared" si="17"/>
        <v>126775.78999999998</v>
      </c>
      <c r="U54" s="45">
        <f t="shared" si="17"/>
        <v>176719.39</v>
      </c>
      <c r="V54" s="45">
        <f t="shared" si="15"/>
        <v>216016.28000000003</v>
      </c>
      <c r="W54" s="45">
        <f t="shared" si="15"/>
        <v>202325.74</v>
      </c>
      <c r="X54" s="45">
        <f t="shared" si="15"/>
        <v>100347.42000000004</v>
      </c>
      <c r="Y54" s="45">
        <f t="shared" si="15"/>
        <v>95296.699999999953</v>
      </c>
      <c r="Z54" s="45">
        <f t="shared" si="15"/>
        <v>112165</v>
      </c>
      <c r="AA54" s="45">
        <f t="shared" si="15"/>
        <v>128838.41999999993</v>
      </c>
      <c r="AB54" s="45">
        <f t="shared" si="15"/>
        <v>113105.29000000004</v>
      </c>
      <c r="AC54" s="45">
        <f t="shared" si="15"/>
        <v>129355.61999999988</v>
      </c>
      <c r="AD54" s="45">
        <f t="shared" si="15"/>
        <v>128572.66999999993</v>
      </c>
      <c r="AE54" s="45">
        <f t="shared" si="15"/>
        <v>176412.76</v>
      </c>
      <c r="AF54" s="45">
        <f t="shared" si="15"/>
        <v>415763.34000000008</v>
      </c>
      <c r="AG54" s="45">
        <f t="shared" si="15"/>
        <v>534461.66000000015</v>
      </c>
      <c r="AH54" s="45">
        <f t="shared" si="15"/>
        <v>476645.58999999985</v>
      </c>
      <c r="AI54" s="45">
        <f t="shared" si="15"/>
        <v>408059.52</v>
      </c>
      <c r="AJ54" s="45">
        <f t="shared" si="15"/>
        <v>202886.29000000004</v>
      </c>
      <c r="AK54" s="45">
        <f t="shared" si="15"/>
        <v>186362.33999999985</v>
      </c>
      <c r="AL54" s="45">
        <f t="shared" si="15"/>
        <v>218445.35999999987</v>
      </c>
      <c r="AM54" s="45">
        <f t="shared" si="15"/>
        <v>246867.91000000015</v>
      </c>
      <c r="AN54" s="45">
        <f t="shared" si="15"/>
        <v>226394.08999999985</v>
      </c>
      <c r="AO54" s="45">
        <f t="shared" si="15"/>
        <v>266615.62000000011</v>
      </c>
      <c r="AP54" s="45">
        <f t="shared" si="15"/>
        <v>255385.79000000004</v>
      </c>
      <c r="AQ54" s="45">
        <f t="shared" si="15"/>
        <v>334576.9299999997</v>
      </c>
      <c r="AR54" s="45">
        <f t="shared" si="15"/>
        <v>776547.50999999978</v>
      </c>
      <c r="CB54" s="149"/>
      <c r="CC54" s="40"/>
      <c r="CD54" s="11"/>
      <c r="CE54" s="2"/>
      <c r="CF54" s="2"/>
      <c r="CG54" s="2"/>
      <c r="CH54" s="2"/>
      <c r="CI54" s="2"/>
      <c r="CJ54" s="2"/>
      <c r="CK54" s="2"/>
      <c r="CL54" s="4"/>
      <c r="CM54" s="4"/>
      <c r="CN54" s="40"/>
      <c r="CO54" s="11"/>
      <c r="CP54" s="2"/>
      <c r="CQ54" s="2"/>
      <c r="CR54" s="2"/>
      <c r="CS54" s="2"/>
      <c r="CT54" s="2"/>
      <c r="CU54" s="2"/>
      <c r="CV54" s="2"/>
      <c r="CW54" s="4"/>
      <c r="CX54" s="4"/>
      <c r="CY54" s="4"/>
      <c r="DA54" s="295"/>
      <c r="DB54" s="16" t="s">
        <v>14</v>
      </c>
      <c r="DC54" s="7">
        <v>-244585.82566963762</v>
      </c>
      <c r="DD54" s="7">
        <v>-262410.0635243493</v>
      </c>
      <c r="DE54" s="7">
        <v>34568.188442515304</v>
      </c>
      <c r="DF54" s="7">
        <v>-17892.698729776857</v>
      </c>
      <c r="DG54" s="7">
        <v>-16085.379169323613</v>
      </c>
      <c r="DH54" s="7">
        <v>-13988.670715924243</v>
      </c>
      <c r="DI54" s="7">
        <v>4166.3489850065316</v>
      </c>
      <c r="DJ54" s="7">
        <v>8669.0544153031024</v>
      </c>
      <c r="DK54" s="7">
        <v>4226.633242804578</v>
      </c>
      <c r="DL54" s="7">
        <v>-10417.811308427848</v>
      </c>
      <c r="DM54" s="7">
        <v>-19583.243292908133</v>
      </c>
      <c r="DN54" s="7">
        <v>-16394.785343371055</v>
      </c>
      <c r="DO54" s="7">
        <v>-16497.427099302135</v>
      </c>
      <c r="DP54" s="7">
        <v>-18296.482109386881</v>
      </c>
      <c r="DQ54" s="7">
        <v>5628.7868693031578</v>
      </c>
      <c r="DR54" s="7">
        <v>-1074.7735801369536</v>
      </c>
      <c r="DS54" s="7">
        <v>-946.75674385520267</v>
      </c>
      <c r="DT54" s="7">
        <v>-1002.3326144696302</v>
      </c>
      <c r="DU54" s="7">
        <v>-1154.5227400128513</v>
      </c>
      <c r="DV54" s="7">
        <v>-1318.3187681793315</v>
      </c>
      <c r="DW54" s="7">
        <v>-1281.1145211614812</v>
      </c>
      <c r="DX54" s="7">
        <v>-1175.4430425706571</v>
      </c>
      <c r="DY54" s="7">
        <v>-3889.8778143180816</v>
      </c>
      <c r="DZ54" s="7">
        <v>-892.52365027591827</v>
      </c>
      <c r="EA54" s="7">
        <v>-932.64280954192839</v>
      </c>
    </row>
    <row r="55" spans="1:133" ht="14.5" x14ac:dyDescent="0.35">
      <c r="A55" s="38" t="s">
        <v>37</v>
      </c>
      <c r="B55" s="38"/>
      <c r="C55" s="37"/>
      <c r="D55" s="37"/>
      <c r="E55" s="45">
        <f t="shared" si="16"/>
        <v>0</v>
      </c>
      <c r="F55" s="45">
        <f t="shared" si="17"/>
        <v>0</v>
      </c>
      <c r="G55" s="45">
        <f t="shared" si="17"/>
        <v>0</v>
      </c>
      <c r="H55" s="45">
        <f t="shared" si="17"/>
        <v>0</v>
      </c>
      <c r="I55" s="45">
        <f t="shared" si="17"/>
        <v>360.22</v>
      </c>
      <c r="J55" s="45">
        <f t="shared" si="17"/>
        <v>1250.5</v>
      </c>
      <c r="K55" s="45">
        <f t="shared" si="17"/>
        <v>2097.7199999999993</v>
      </c>
      <c r="L55" s="45">
        <f t="shared" si="17"/>
        <v>1848.1400000000003</v>
      </c>
      <c r="M55" s="45">
        <f t="shared" si="17"/>
        <v>2286.0100000000002</v>
      </c>
      <c r="N55" s="45">
        <f t="shared" si="17"/>
        <v>3076.2700000000004</v>
      </c>
      <c r="O55" s="45">
        <f t="shared" si="17"/>
        <v>5696.5999999999985</v>
      </c>
      <c r="P55" s="45">
        <f t="shared" si="17"/>
        <v>6142.6100000000006</v>
      </c>
      <c r="Q55" s="45">
        <f t="shared" si="17"/>
        <v>8834.9599999999991</v>
      </c>
      <c r="R55" s="45">
        <f t="shared" si="17"/>
        <v>7688.4700000000012</v>
      </c>
      <c r="S55" s="45">
        <f t="shared" si="17"/>
        <v>10845.160000000003</v>
      </c>
      <c r="T55" s="45">
        <f t="shared" si="17"/>
        <v>20033.729999999996</v>
      </c>
      <c r="U55" s="45">
        <f t="shared" si="17"/>
        <v>29338.039999999994</v>
      </c>
      <c r="V55" s="45">
        <f t="shared" si="15"/>
        <v>26225.059999999998</v>
      </c>
      <c r="W55" s="45">
        <f t="shared" si="15"/>
        <v>25792.080000000016</v>
      </c>
      <c r="X55" s="45">
        <f t="shared" si="15"/>
        <v>18911.649999999994</v>
      </c>
      <c r="Y55" s="45">
        <f t="shared" si="15"/>
        <v>18135.429999999993</v>
      </c>
      <c r="Z55" s="45">
        <f t="shared" si="15"/>
        <v>20092.940000000002</v>
      </c>
      <c r="AA55" s="45">
        <f t="shared" si="15"/>
        <v>22817.299999999988</v>
      </c>
      <c r="AB55" s="45">
        <f t="shared" si="15"/>
        <v>20524.76999999999</v>
      </c>
      <c r="AC55" s="45">
        <f t="shared" si="15"/>
        <v>22865.559999999998</v>
      </c>
      <c r="AD55" s="45">
        <f t="shared" si="15"/>
        <v>23955.599999999977</v>
      </c>
      <c r="AE55" s="45">
        <f t="shared" si="15"/>
        <v>33056.75</v>
      </c>
      <c r="AF55" s="45">
        <f t="shared" si="15"/>
        <v>72196.109999999986</v>
      </c>
      <c r="AG55" s="45">
        <f t="shared" si="15"/>
        <v>96088.410000000033</v>
      </c>
      <c r="AH55" s="45">
        <f t="shared" si="15"/>
        <v>80854.579999999958</v>
      </c>
      <c r="AI55" s="45">
        <f t="shared" si="15"/>
        <v>65756.459999999963</v>
      </c>
      <c r="AJ55" s="45">
        <f t="shared" si="15"/>
        <v>35564.589999999967</v>
      </c>
      <c r="AK55" s="45">
        <f t="shared" si="15"/>
        <v>33321.969999999972</v>
      </c>
      <c r="AL55" s="45">
        <f t="shared" si="15"/>
        <v>40399.459999999963</v>
      </c>
      <c r="AM55" s="45">
        <f t="shared" si="15"/>
        <v>46987.760000000009</v>
      </c>
      <c r="AN55" s="45">
        <f t="shared" si="15"/>
        <v>47472.010000000009</v>
      </c>
      <c r="AO55" s="45">
        <f t="shared" si="15"/>
        <v>52888.209999999963</v>
      </c>
      <c r="AP55" s="45">
        <f t="shared" si="15"/>
        <v>50526.309999999939</v>
      </c>
      <c r="AQ55" s="45">
        <f t="shared" si="15"/>
        <v>69607.209999999963</v>
      </c>
      <c r="AR55" s="45">
        <f t="shared" si="15"/>
        <v>189324.82000000007</v>
      </c>
      <c r="CB55" s="149"/>
      <c r="CC55" s="295" t="s">
        <v>24</v>
      </c>
      <c r="CD55" s="15"/>
      <c r="CE55" s="2"/>
      <c r="CF55" s="2"/>
      <c r="CG55" s="2"/>
      <c r="CH55" s="2"/>
      <c r="CI55" s="2"/>
      <c r="CJ55" s="2"/>
      <c r="CK55" s="2"/>
      <c r="CL55" s="4"/>
      <c r="CM55" s="4"/>
      <c r="CN55" s="295" t="s">
        <v>24</v>
      </c>
      <c r="CO55" s="15"/>
      <c r="CP55" s="2"/>
      <c r="CQ55" s="2"/>
      <c r="CR55" s="2"/>
      <c r="CS55" s="2"/>
      <c r="CT55" s="2"/>
      <c r="CU55" s="2"/>
      <c r="CV55" s="2"/>
      <c r="CW55" s="4"/>
      <c r="CX55" s="4"/>
      <c r="CY55" s="4"/>
      <c r="DA55" s="295"/>
      <c r="DB55" s="18" t="s">
        <v>17</v>
      </c>
      <c r="DC55" s="7">
        <v>-1499251.2425440596</v>
      </c>
      <c r="DD55" s="7">
        <v>-1819629.776068409</v>
      </c>
      <c r="DE55" s="7">
        <v>-1940246.8776258938</v>
      </c>
      <c r="DF55" s="7">
        <v>-1813988.3763556706</v>
      </c>
      <c r="DG55" s="7">
        <v>-1700934.0255249944</v>
      </c>
      <c r="DH55" s="7">
        <v>-1583426.6762409187</v>
      </c>
      <c r="DI55" s="7">
        <v>-1432576.6572559122</v>
      </c>
      <c r="DJ55" s="7">
        <v>-1253179.8028406091</v>
      </c>
      <c r="DK55" s="7">
        <v>-1079160.5695978045</v>
      </c>
      <c r="DL55" s="7">
        <v>-916536.74090623227</v>
      </c>
      <c r="DM55" s="7">
        <v>-784030.5541991404</v>
      </c>
      <c r="DN55" s="7">
        <v>-665279.18954251148</v>
      </c>
      <c r="DO55" s="7">
        <v>-534072.94664181361</v>
      </c>
      <c r="DP55" s="7">
        <v>-394555.60875120049</v>
      </c>
      <c r="DQ55" s="7">
        <v>-294469.0918818973</v>
      </c>
      <c r="DR55" s="7">
        <v>-264770.50546203426</v>
      </c>
      <c r="DS55" s="7">
        <v>-237211.40220588946</v>
      </c>
      <c r="DT55" s="7">
        <v>-209009.19482035909</v>
      </c>
      <c r="DU55" s="7">
        <v>-177516.48756037193</v>
      </c>
      <c r="DV55" s="7">
        <v>-141492.22632855125</v>
      </c>
      <c r="DW55" s="7">
        <v>-106336.16084971273</v>
      </c>
      <c r="DX55" s="7">
        <v>-72730.263892283401</v>
      </c>
      <c r="DY55" s="7">
        <v>-46680.111706601485</v>
      </c>
      <c r="DZ55" s="7">
        <v>-19318.655356877403</v>
      </c>
      <c r="EA55" s="7">
        <v>12399.181833580667</v>
      </c>
    </row>
    <row r="56" spans="1:133" ht="14.5" x14ac:dyDescent="0.35">
      <c r="A56" s="38" t="s">
        <v>29</v>
      </c>
      <c r="B56" s="38"/>
      <c r="C56" s="37"/>
      <c r="D56" s="37"/>
      <c r="E56" s="45">
        <f t="shared" si="16"/>
        <v>0</v>
      </c>
      <c r="F56" s="45">
        <f t="shared" si="17"/>
        <v>0</v>
      </c>
      <c r="G56" s="45">
        <f t="shared" si="17"/>
        <v>0</v>
      </c>
      <c r="H56" s="45">
        <f t="shared" si="17"/>
        <v>0</v>
      </c>
      <c r="I56" s="45">
        <f t="shared" si="17"/>
        <v>0</v>
      </c>
      <c r="J56" s="45">
        <f t="shared" si="17"/>
        <v>1868.8500000000001</v>
      </c>
      <c r="K56" s="45">
        <f t="shared" si="17"/>
        <v>2184.4399999999996</v>
      </c>
      <c r="L56" s="45">
        <f t="shared" si="17"/>
        <v>1005.9299999999994</v>
      </c>
      <c r="M56" s="45">
        <f t="shared" si="17"/>
        <v>2449.6499999999996</v>
      </c>
      <c r="N56" s="45">
        <f t="shared" si="17"/>
        <v>4788.4700000000012</v>
      </c>
      <c r="O56" s="45">
        <f t="shared" si="17"/>
        <v>6425.57</v>
      </c>
      <c r="P56" s="45">
        <f t="shared" si="17"/>
        <v>6708.4799999999959</v>
      </c>
      <c r="Q56" s="45">
        <f t="shared" si="17"/>
        <v>6886.6700000000019</v>
      </c>
      <c r="R56" s="45">
        <f t="shared" si="17"/>
        <v>4593.1399999999994</v>
      </c>
      <c r="S56" s="45">
        <f t="shared" si="17"/>
        <v>6007.8699999999953</v>
      </c>
      <c r="T56" s="45">
        <f t="shared" si="17"/>
        <v>15717.750000000007</v>
      </c>
      <c r="U56" s="45">
        <f t="shared" si="17"/>
        <v>17522.230000000003</v>
      </c>
      <c r="V56" s="45">
        <f t="shared" si="15"/>
        <v>19804.249999999985</v>
      </c>
      <c r="W56" s="45">
        <f t="shared" si="15"/>
        <v>20193.839999999997</v>
      </c>
      <c r="X56" s="45">
        <f t="shared" si="15"/>
        <v>10731.830000000002</v>
      </c>
      <c r="Y56" s="45">
        <f t="shared" si="15"/>
        <v>14531.770000000004</v>
      </c>
      <c r="Z56" s="45">
        <f t="shared" si="15"/>
        <v>19488.639999999956</v>
      </c>
      <c r="AA56" s="45">
        <f t="shared" si="15"/>
        <v>20250.780000000028</v>
      </c>
      <c r="AB56" s="45">
        <f t="shared" si="15"/>
        <v>20401.619999999995</v>
      </c>
      <c r="AC56" s="45">
        <f t="shared" si="15"/>
        <v>23299.399999999994</v>
      </c>
      <c r="AD56" s="45">
        <f t="shared" si="15"/>
        <v>20893.320000000036</v>
      </c>
      <c r="AE56" s="45">
        <f t="shared" si="15"/>
        <v>25224.239999999932</v>
      </c>
      <c r="AF56" s="45">
        <f t="shared" si="15"/>
        <v>61998.770000000077</v>
      </c>
      <c r="AG56" s="45">
        <f t="shared" si="15"/>
        <v>80900.339999999967</v>
      </c>
      <c r="AH56" s="45">
        <f t="shared" si="15"/>
        <v>77471.349999999977</v>
      </c>
      <c r="AI56" s="45">
        <f t="shared" si="15"/>
        <v>68199.050000000047</v>
      </c>
      <c r="AJ56" s="45">
        <f t="shared" si="15"/>
        <v>35404.330000000075</v>
      </c>
      <c r="AK56" s="45">
        <f t="shared" si="15"/>
        <v>38986.379999999888</v>
      </c>
      <c r="AL56" s="45">
        <f t="shared" si="15"/>
        <v>48233.369999999995</v>
      </c>
      <c r="AM56" s="45">
        <f t="shared" si="15"/>
        <v>51795.769999999902</v>
      </c>
      <c r="AN56" s="45">
        <f t="shared" si="15"/>
        <v>48044.540000000037</v>
      </c>
      <c r="AO56" s="45">
        <f t="shared" si="15"/>
        <v>53160.570000000065</v>
      </c>
      <c r="AP56" s="45">
        <f t="shared" si="15"/>
        <v>48679.090000000084</v>
      </c>
      <c r="AQ56" s="45">
        <f t="shared" si="15"/>
        <v>58984.709999999963</v>
      </c>
      <c r="AR56" s="45">
        <f t="shared" si="15"/>
        <v>128957.95999999996</v>
      </c>
      <c r="CC56" s="295"/>
      <c r="CD56" s="15" t="s">
        <v>28</v>
      </c>
      <c r="CE56" s="215">
        <v>-54.189999999944121</v>
      </c>
      <c r="CF56" s="215">
        <v>-56.580000000074506</v>
      </c>
      <c r="CG56" s="215">
        <v>-61.179999999701977</v>
      </c>
      <c r="CH56" s="215">
        <v>-51.470000000204891</v>
      </c>
      <c r="CI56" s="215">
        <v>0</v>
      </c>
      <c r="CJ56" s="215">
        <v>0</v>
      </c>
      <c r="CK56" s="215">
        <v>0</v>
      </c>
      <c r="CN56" s="295"/>
      <c r="CO56" s="15" t="s">
        <v>28</v>
      </c>
      <c r="CP56" s="215">
        <v>-54.189999999944121</v>
      </c>
      <c r="CQ56" s="215">
        <v>-56.580000000074506</v>
      </c>
      <c r="CR56" s="215">
        <v>-61.179999999701977</v>
      </c>
      <c r="CS56" s="215">
        <v>-51.470000000204891</v>
      </c>
      <c r="CT56" s="215">
        <v>0</v>
      </c>
      <c r="CU56" s="215">
        <v>0</v>
      </c>
      <c r="CV56" s="215">
        <v>0</v>
      </c>
      <c r="DA56" s="40"/>
      <c r="DB56" s="11"/>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row>
    <row r="57" spans="1:133" ht="14.5" x14ac:dyDescent="0.35">
      <c r="A57" s="35" t="s">
        <v>31</v>
      </c>
      <c r="B57" s="35"/>
      <c r="C57" s="37"/>
      <c r="D57" s="37"/>
      <c r="E57" s="44">
        <f>SUM(E51:E56)</f>
        <v>0</v>
      </c>
      <c r="F57" s="44">
        <f t="shared" ref="F57:AR57" si="18">SUM(F51:F56)</f>
        <v>1315.62</v>
      </c>
      <c r="G57" s="44">
        <f t="shared" si="18"/>
        <v>9547.77</v>
      </c>
      <c r="H57" s="44">
        <f t="shared" si="18"/>
        <v>131836.54999999999</v>
      </c>
      <c r="I57" s="44">
        <f t="shared" si="18"/>
        <v>295613.25</v>
      </c>
      <c r="J57" s="44">
        <f t="shared" si="18"/>
        <v>620316.48999999987</v>
      </c>
      <c r="K57" s="44">
        <f t="shared" si="18"/>
        <v>555398.20999999985</v>
      </c>
      <c r="L57" s="44">
        <f t="shared" si="18"/>
        <v>198514.37000000011</v>
      </c>
      <c r="M57" s="44">
        <f t="shared" si="18"/>
        <v>277476.9599999999</v>
      </c>
      <c r="N57" s="44">
        <f t="shared" si="18"/>
        <v>434867.4</v>
      </c>
      <c r="O57" s="44">
        <f t="shared" si="18"/>
        <v>508459.40000000014</v>
      </c>
      <c r="P57" s="44">
        <f t="shared" si="18"/>
        <v>490745.49000000017</v>
      </c>
      <c r="Q57" s="44">
        <f t="shared" si="18"/>
        <v>527476.22000000009</v>
      </c>
      <c r="R57" s="44">
        <f t="shared" si="18"/>
        <v>258953.52000000025</v>
      </c>
      <c r="S57" s="44">
        <f t="shared" si="18"/>
        <v>394310.88999999978</v>
      </c>
      <c r="T57" s="44">
        <f t="shared" si="18"/>
        <v>1342259.4100000001</v>
      </c>
      <c r="U57" s="44">
        <f t="shared" si="18"/>
        <v>1962488.9300000002</v>
      </c>
      <c r="V57" s="44">
        <f t="shared" si="18"/>
        <v>2100865.73</v>
      </c>
      <c r="W57" s="44">
        <f t="shared" si="18"/>
        <v>1649752.0800000003</v>
      </c>
      <c r="X57" s="44">
        <f t="shared" si="18"/>
        <v>751621.14999999979</v>
      </c>
      <c r="Y57" s="44">
        <f t="shared" si="18"/>
        <v>841460.40999999968</v>
      </c>
      <c r="Z57" s="44">
        <f t="shared" si="18"/>
        <v>1085634.8200000005</v>
      </c>
      <c r="AA57" s="44">
        <f t="shared" si="18"/>
        <v>1183123.0699999994</v>
      </c>
      <c r="AB57" s="44">
        <f t="shared" si="18"/>
        <v>1041235.799999999</v>
      </c>
      <c r="AC57" s="44">
        <f t="shared" si="18"/>
        <v>1113426.4299999995</v>
      </c>
      <c r="AD57" s="44">
        <f t="shared" si="18"/>
        <v>1057341.1199999994</v>
      </c>
      <c r="AE57" s="44">
        <f t="shared" si="18"/>
        <v>1420849.9099999997</v>
      </c>
      <c r="AF57" s="44">
        <f t="shared" si="18"/>
        <v>3799102.3500000015</v>
      </c>
      <c r="AG57" s="44">
        <f t="shared" si="18"/>
        <v>5128806.18</v>
      </c>
      <c r="AH57" s="44">
        <f t="shared" si="18"/>
        <v>4697486.7700000005</v>
      </c>
      <c r="AI57" s="44">
        <f t="shared" si="18"/>
        <v>3577277.59</v>
      </c>
      <c r="AJ57" s="44">
        <f t="shared" si="18"/>
        <v>1552311.3900000006</v>
      </c>
      <c r="AK57" s="44">
        <f t="shared" si="18"/>
        <v>1560965.8799999983</v>
      </c>
      <c r="AL57" s="44">
        <f t="shared" si="18"/>
        <v>1902498.7800000007</v>
      </c>
      <c r="AM57" s="44">
        <f t="shared" si="18"/>
        <v>2044546.7300000009</v>
      </c>
      <c r="AN57" s="44">
        <f t="shared" si="18"/>
        <v>1819223.7300000016</v>
      </c>
      <c r="AO57" s="44">
        <f t="shared" si="18"/>
        <v>1991958.3199999982</v>
      </c>
      <c r="AP57" s="44">
        <f t="shared" si="18"/>
        <v>1852056.3300000017</v>
      </c>
      <c r="AQ57" s="44">
        <f t="shared" si="18"/>
        <v>2404199.6199999982</v>
      </c>
      <c r="AR57" s="44">
        <f t="shared" si="18"/>
        <v>6080629.2500000019</v>
      </c>
      <c r="CC57" s="295"/>
      <c r="CD57" s="16" t="s">
        <v>26</v>
      </c>
      <c r="CE57" s="215">
        <v>1134.0675425845006</v>
      </c>
      <c r="CF57" s="215">
        <v>1713.7681476555249</v>
      </c>
      <c r="CG57" s="215">
        <v>1528.2002495401016</v>
      </c>
      <c r="CH57" s="215">
        <v>880.06349454617578</v>
      </c>
      <c r="CI57" s="215">
        <v>-2097.7749559192816</v>
      </c>
      <c r="CJ57" s="215">
        <v>-9941.5602511884663</v>
      </c>
      <c r="CK57" s="215">
        <v>-1916.6757761009615</v>
      </c>
      <c r="CN57" s="295"/>
      <c r="CO57" s="16" t="s">
        <v>26</v>
      </c>
      <c r="CP57" s="215">
        <v>1176.9028001128138</v>
      </c>
      <c r="CQ57" s="215">
        <v>1792.9575585199016</v>
      </c>
      <c r="CR57" s="215">
        <v>1692.6183076773953</v>
      </c>
      <c r="CS57" s="215">
        <v>1002.7219086393443</v>
      </c>
      <c r="CT57" s="215">
        <v>-2092.2487403040109</v>
      </c>
      <c r="CU57" s="215">
        <v>-9938.8643100484314</v>
      </c>
      <c r="CV57" s="215">
        <v>-1916.4119977784555</v>
      </c>
      <c r="DA57" s="295" t="s">
        <v>23</v>
      </c>
      <c r="DB57" s="15"/>
      <c r="DC57" s="7"/>
      <c r="DD57" s="7"/>
      <c r="DE57" s="7"/>
      <c r="DF57" s="7"/>
      <c r="DG57" s="7"/>
      <c r="DH57" s="7"/>
      <c r="DI57" s="7"/>
      <c r="DJ57" s="7"/>
      <c r="DK57" s="7"/>
      <c r="DL57" s="7"/>
      <c r="DM57" s="7"/>
      <c r="DN57" s="7"/>
      <c r="DO57" s="7"/>
      <c r="DP57" s="7"/>
      <c r="DQ57" s="7"/>
      <c r="DR57" s="7"/>
      <c r="DS57" s="7"/>
      <c r="DT57" s="7"/>
      <c r="DU57" s="7"/>
      <c r="DV57" s="7"/>
      <c r="DW57" s="7"/>
      <c r="DX57" s="7"/>
      <c r="DY57" s="125">
        <v>-1222.8910428397539</v>
      </c>
      <c r="DZ57" s="7"/>
      <c r="EA57" s="7"/>
    </row>
    <row r="58" spans="1:133" ht="14.5" x14ac:dyDescent="0.35">
      <c r="CB58" s="182"/>
      <c r="CC58" s="295"/>
      <c r="CD58" s="16" t="s">
        <v>51</v>
      </c>
      <c r="CE58" s="215">
        <v>-837.34</v>
      </c>
      <c r="CF58" s="215">
        <v>-1174.03</v>
      </c>
      <c r="CG58" s="215">
        <v>-1093.94</v>
      </c>
      <c r="CH58" s="215">
        <v>-595.17999999999995</v>
      </c>
      <c r="CI58" s="215">
        <v>2111.9699999999998</v>
      </c>
      <c r="CJ58" s="215">
        <v>9939.4599999999991</v>
      </c>
      <c r="CK58" s="215">
        <v>1923.43</v>
      </c>
      <c r="CL58" s="1"/>
      <c r="CM58" s="1"/>
      <c r="CN58" s="295"/>
      <c r="CO58" s="16" t="s">
        <v>51</v>
      </c>
      <c r="CP58" s="215">
        <v>-837.34</v>
      </c>
      <c r="CQ58" s="215">
        <v>-1174.03</v>
      </c>
      <c r="CR58" s="215">
        <v>-1093.94</v>
      </c>
      <c r="CS58" s="215">
        <v>-595.17999999999995</v>
      </c>
      <c r="CT58" s="215">
        <v>2111.9699999999998</v>
      </c>
      <c r="CU58" s="215">
        <v>9939.4599999999991</v>
      </c>
      <c r="CV58" s="215">
        <v>1923.43</v>
      </c>
      <c r="CW58" s="1"/>
      <c r="CX58" s="1"/>
      <c r="CY58" s="1"/>
      <c r="DA58" s="295"/>
      <c r="DB58" s="15" t="s">
        <v>28</v>
      </c>
      <c r="DC58" s="20">
        <v>9586.9900000002235</v>
      </c>
      <c r="DD58" s="20">
        <v>12497.580000000075</v>
      </c>
      <c r="DE58" s="20">
        <v>10043.310000000522</v>
      </c>
      <c r="DF58" s="20">
        <v>10496.050000000745</v>
      </c>
      <c r="DG58" s="20">
        <v>9775.9599999990314</v>
      </c>
      <c r="DH58" s="20">
        <v>13527.650000000373</v>
      </c>
      <c r="DI58" s="20">
        <v>36494.849999999627</v>
      </c>
      <c r="DJ58" s="20">
        <v>47679.970000000671</v>
      </c>
      <c r="DK58" s="20">
        <v>45288.439999999478</v>
      </c>
      <c r="DL58" s="20">
        <v>29486.400000000373</v>
      </c>
      <c r="DM58" s="20">
        <v>11833.289999999106</v>
      </c>
      <c r="DN58" s="20">
        <v>10374.580000000075</v>
      </c>
      <c r="DO58" s="20">
        <v>12057.450000001118</v>
      </c>
      <c r="DP58" s="20">
        <v>12824.789999999106</v>
      </c>
      <c r="DQ58" s="20">
        <v>10330.179999999702</v>
      </c>
      <c r="DR58" s="20">
        <v>0</v>
      </c>
      <c r="DS58" s="20">
        <v>0</v>
      </c>
      <c r="DT58" s="20">
        <v>0</v>
      </c>
      <c r="DU58" s="20">
        <v>0</v>
      </c>
      <c r="DV58" s="20">
        <v>0</v>
      </c>
      <c r="DW58" s="20">
        <v>0</v>
      </c>
      <c r="DX58" s="20">
        <v>0</v>
      </c>
      <c r="DY58" s="20">
        <v>0</v>
      </c>
      <c r="DZ58" s="20">
        <v>0</v>
      </c>
      <c r="EA58" s="20">
        <v>0</v>
      </c>
    </row>
    <row r="59" spans="1:133" ht="14.5" x14ac:dyDescent="0.35">
      <c r="CC59" s="295"/>
      <c r="CD59" s="16" t="s">
        <v>52</v>
      </c>
      <c r="CE59" s="215">
        <v>296.72754258450061</v>
      </c>
      <c r="CF59" s="215">
        <v>539.73814765552493</v>
      </c>
      <c r="CG59" s="215">
        <v>434.26024954010154</v>
      </c>
      <c r="CH59" s="215">
        <v>284.88349454617583</v>
      </c>
      <c r="CI59" s="215">
        <v>14.195044080718162</v>
      </c>
      <c r="CJ59" s="215">
        <v>-2.1002511884671549</v>
      </c>
      <c r="CK59" s="215">
        <v>6.7542238990386068</v>
      </c>
      <c r="CN59" s="295"/>
      <c r="CO59" s="16" t="s">
        <v>52</v>
      </c>
      <c r="CP59" s="215">
        <v>339.56280011281376</v>
      </c>
      <c r="CQ59" s="215">
        <v>618.92755851990159</v>
      </c>
      <c r="CR59" s="215">
        <v>598.6783076773952</v>
      </c>
      <c r="CS59" s="215">
        <v>407.54190863934434</v>
      </c>
      <c r="CT59" s="215">
        <v>19.72125969598892</v>
      </c>
      <c r="CU59" s="215">
        <v>0.59568995156769233</v>
      </c>
      <c r="CV59" s="215">
        <v>7.0180022215445206</v>
      </c>
      <c r="CW59" s="4" t="s">
        <v>117</v>
      </c>
      <c r="CX59" s="4" t="s">
        <v>118</v>
      </c>
      <c r="CY59" s="4" t="s">
        <v>119</v>
      </c>
      <c r="DA59" s="295"/>
      <c r="DB59" s="16" t="s">
        <v>26</v>
      </c>
      <c r="DC59" s="20">
        <v>132518.9610920955</v>
      </c>
      <c r="DD59" s="20">
        <v>130056.06716620013</v>
      </c>
      <c r="DE59" s="20">
        <v>73469.336246691571</v>
      </c>
      <c r="DF59" s="20">
        <v>-22612.659176541922</v>
      </c>
      <c r="DG59" s="20">
        <v>-24415.905916675132</v>
      </c>
      <c r="DH59" s="20">
        <v>-26227.136477870259</v>
      </c>
      <c r="DI59" s="20">
        <v>-23636.693041994658</v>
      </c>
      <c r="DJ59" s="20">
        <v>-32709.066060894642</v>
      </c>
      <c r="DK59" s="20">
        <v>-30007.954013018152</v>
      </c>
      <c r="DL59" s="20">
        <v>-30398.556259296256</v>
      </c>
      <c r="DM59" s="20">
        <v>-26335.111362820855</v>
      </c>
      <c r="DN59" s="20">
        <v>-22828.889630809208</v>
      </c>
      <c r="DO59" s="20">
        <v>-29924.142514541847</v>
      </c>
      <c r="DP59" s="20">
        <v>-28848.082586273878</v>
      </c>
      <c r="DQ59" s="20">
        <v>-20936.748032217365</v>
      </c>
      <c r="DR59" s="20">
        <v>-9363.3583204824445</v>
      </c>
      <c r="DS59" s="20">
        <v>-9437.0051141241493</v>
      </c>
      <c r="DT59" s="20">
        <v>-9234.9091119732129</v>
      </c>
      <c r="DU59" s="20">
        <v>-10506.965502226194</v>
      </c>
      <c r="DV59" s="20">
        <v>-10928.084351774703</v>
      </c>
      <c r="DW59" s="20">
        <v>-10838.193004551051</v>
      </c>
      <c r="DX59" s="20">
        <v>-10559.893442002107</v>
      </c>
      <c r="DY59" s="20">
        <v>-9362.8553505780201</v>
      </c>
      <c r="DZ59" s="20">
        <v>-9452.1264699535604</v>
      </c>
      <c r="EA59" s="20">
        <v>-9797.8820407188032</v>
      </c>
    </row>
    <row r="60" spans="1:133" ht="14.5" x14ac:dyDescent="0.35">
      <c r="CC60" s="295"/>
      <c r="CD60" s="16" t="s">
        <v>13</v>
      </c>
      <c r="CE60" s="215">
        <v>-350.91754258444473</v>
      </c>
      <c r="CF60" s="215">
        <v>-596.31814765559943</v>
      </c>
      <c r="CG60" s="215">
        <v>-495.44024953980352</v>
      </c>
      <c r="CH60" s="215">
        <v>-336.35349454638072</v>
      </c>
      <c r="CI60" s="215">
        <v>-14.195044080718162</v>
      </c>
      <c r="CJ60" s="215">
        <v>2.1002511884671549</v>
      </c>
      <c r="CK60" s="215">
        <v>-6.7542238990386068</v>
      </c>
      <c r="CN60" s="295"/>
      <c r="CO60" s="16" t="s">
        <v>13</v>
      </c>
      <c r="CP60" s="215">
        <v>-393.75280011275788</v>
      </c>
      <c r="CQ60" s="215">
        <v>-675.5075585199761</v>
      </c>
      <c r="CR60" s="215">
        <v>-659.85830767709717</v>
      </c>
      <c r="CS60" s="215">
        <v>-459.01190863954923</v>
      </c>
      <c r="CT60" s="215">
        <v>-19.72125969598892</v>
      </c>
      <c r="CU60" s="215">
        <v>-0.59568995156769233</v>
      </c>
      <c r="CV60" s="215">
        <v>-7.0180022215445206</v>
      </c>
      <c r="CW60" s="216">
        <f>SUM(CP60:CV60)</f>
        <v>-2215.4655268184815</v>
      </c>
      <c r="CX60" s="216">
        <f>SUM(CE60:CK60)</f>
        <v>-1797.8784511175181</v>
      </c>
      <c r="CY60" s="216">
        <f>CW60-CX60</f>
        <v>-417.5870757009634</v>
      </c>
      <c r="DA60" s="295"/>
      <c r="DB60" s="16" t="s">
        <v>51</v>
      </c>
      <c r="DC60" s="20">
        <v>-37492.33</v>
      </c>
      <c r="DD60" s="20">
        <v>-36812.410000000003</v>
      </c>
      <c r="DE60" s="20">
        <v>-123157.44</v>
      </c>
      <c r="DF60" s="20">
        <v>40007.54</v>
      </c>
      <c r="DG60" s="20">
        <v>42694.89</v>
      </c>
      <c r="DH60" s="20">
        <v>45615.15</v>
      </c>
      <c r="DI60" s="20">
        <v>41162.83</v>
      </c>
      <c r="DJ60" s="20">
        <v>56959.49</v>
      </c>
      <c r="DK60" s="20">
        <v>52295.71</v>
      </c>
      <c r="DL60" s="20">
        <v>52959.66</v>
      </c>
      <c r="DM60" s="20">
        <v>45730.01</v>
      </c>
      <c r="DN60" s="20">
        <v>39890.089999999997</v>
      </c>
      <c r="DO60" s="20">
        <v>52432.800000000003</v>
      </c>
      <c r="DP60" s="20">
        <v>50635.33</v>
      </c>
      <c r="DQ60" s="20">
        <v>23630.6</v>
      </c>
      <c r="DR60" s="20">
        <v>10235.24</v>
      </c>
      <c r="DS60" s="20">
        <v>10302.52</v>
      </c>
      <c r="DT60" s="20">
        <v>10077.35</v>
      </c>
      <c r="DU60" s="20">
        <v>11463.99</v>
      </c>
      <c r="DV60" s="20">
        <v>11928.19</v>
      </c>
      <c r="DW60" s="20">
        <v>11832.42</v>
      </c>
      <c r="DX60" s="20">
        <v>11526.06</v>
      </c>
      <c r="DY60" s="20">
        <v>10219.18</v>
      </c>
      <c r="DZ60" s="20">
        <v>10320.07</v>
      </c>
      <c r="EA60" s="20">
        <v>10712.45</v>
      </c>
    </row>
    <row r="61" spans="1:133" ht="14.5" x14ac:dyDescent="0.35">
      <c r="CC61" s="295"/>
      <c r="CD61" s="17" t="s">
        <v>8</v>
      </c>
      <c r="CE61" s="215">
        <v>-3.7052753332339194</v>
      </c>
      <c r="CF61" s="215">
        <v>-6.6842426801800059</v>
      </c>
      <c r="CG61" s="215">
        <v>-6.3284809879377741</v>
      </c>
      <c r="CH61" s="215">
        <v>-8.2170381712741474</v>
      </c>
      <c r="CI61" s="215">
        <v>-17.918502372297308</v>
      </c>
      <c r="CJ61" s="215">
        <v>-10.665449438586032</v>
      </c>
      <c r="CK61" s="215">
        <v>-15.361564936007662</v>
      </c>
      <c r="CN61" s="295"/>
      <c r="CO61" s="17" t="s">
        <v>8</v>
      </c>
      <c r="CP61" s="215">
        <v>-3.7107442890427991</v>
      </c>
      <c r="CQ61" s="215">
        <v>-6.7107297282586211</v>
      </c>
      <c r="CR61" s="215">
        <v>-6.3844509790378297</v>
      </c>
      <c r="CS61" s="215">
        <v>-8.3179199847490732</v>
      </c>
      <c r="CT61" s="215">
        <v>-18.156432627671325</v>
      </c>
      <c r="CU61" s="215">
        <v>-10.874469276319472</v>
      </c>
      <c r="CV61" s="215">
        <v>-15.692555199496416</v>
      </c>
      <c r="DA61" s="295"/>
      <c r="DB61" s="16" t="s">
        <v>52</v>
      </c>
      <c r="DC61" s="7">
        <v>95026.6310920955</v>
      </c>
      <c r="DD61" s="7">
        <v>93243.657166200122</v>
      </c>
      <c r="DE61" s="7">
        <v>-49688.103753308431</v>
      </c>
      <c r="DF61" s="7">
        <v>17394.880823458079</v>
      </c>
      <c r="DG61" s="7">
        <v>18278.984083324867</v>
      </c>
      <c r="DH61" s="7">
        <v>19388.013522129742</v>
      </c>
      <c r="DI61" s="7">
        <v>17526.136958005343</v>
      </c>
      <c r="DJ61" s="7">
        <v>24250.423939105356</v>
      </c>
      <c r="DK61" s="7">
        <v>22287.755986981847</v>
      </c>
      <c r="DL61" s="7">
        <v>22561.103740703747</v>
      </c>
      <c r="DM61" s="7">
        <v>19394.898637179147</v>
      </c>
      <c r="DN61" s="7">
        <v>17061.200369190788</v>
      </c>
      <c r="DO61" s="7">
        <v>22508.657485458156</v>
      </c>
      <c r="DP61" s="7">
        <v>21787.247413726123</v>
      </c>
      <c r="DQ61" s="7">
        <v>2693.8519677826334</v>
      </c>
      <c r="DR61" s="7">
        <v>871.88167951755531</v>
      </c>
      <c r="DS61" s="7">
        <v>865.51488587585118</v>
      </c>
      <c r="DT61" s="7">
        <v>842.44088802678743</v>
      </c>
      <c r="DU61" s="7">
        <v>957.02449777380571</v>
      </c>
      <c r="DV61" s="7">
        <v>1000.105648225297</v>
      </c>
      <c r="DW61" s="7">
        <v>994.22699544894931</v>
      </c>
      <c r="DX61" s="7">
        <v>966.1665579978926</v>
      </c>
      <c r="DY61" s="7">
        <v>856.32464942198021</v>
      </c>
      <c r="DZ61" s="7">
        <v>867.94353004643926</v>
      </c>
      <c r="EA61" s="7">
        <v>914.56795928119755</v>
      </c>
    </row>
    <row r="62" spans="1:133" ht="14.5" x14ac:dyDescent="0.35">
      <c r="CC62" s="295"/>
      <c r="CD62" s="16" t="s">
        <v>14</v>
      </c>
      <c r="CE62" s="215">
        <v>-354.62281791767867</v>
      </c>
      <c r="CF62" s="215">
        <v>-603.00239033577941</v>
      </c>
      <c r="CG62" s="215">
        <v>-501.7687305277413</v>
      </c>
      <c r="CH62" s="215">
        <v>-344.57053271765488</v>
      </c>
      <c r="CI62" s="215">
        <v>-32.113546453015474</v>
      </c>
      <c r="CJ62" s="215">
        <v>-8.5651982501188773</v>
      </c>
      <c r="CK62" s="215">
        <v>-22.115788835046267</v>
      </c>
      <c r="CN62" s="295"/>
      <c r="CO62" s="16" t="s">
        <v>14</v>
      </c>
      <c r="CP62" s="215">
        <v>-397.46354440180068</v>
      </c>
      <c r="CQ62" s="215">
        <v>-682.21828824823467</v>
      </c>
      <c r="CR62" s="215">
        <v>-666.24275865613504</v>
      </c>
      <c r="CS62" s="215">
        <v>-467.32982862429833</v>
      </c>
      <c r="CT62" s="215">
        <v>-37.877692323660241</v>
      </c>
      <c r="CU62" s="215">
        <v>-11.470159227887164</v>
      </c>
      <c r="CV62" s="215">
        <v>-22.710557421040939</v>
      </c>
      <c r="DA62" s="295"/>
      <c r="DB62" s="16" t="s">
        <v>13</v>
      </c>
      <c r="DC62" s="7">
        <v>-85439.641092095277</v>
      </c>
      <c r="DD62" s="7">
        <v>-80746.077166200048</v>
      </c>
      <c r="DE62" s="7">
        <v>59731.413753308952</v>
      </c>
      <c r="DF62" s="7">
        <v>-6898.8308234573342</v>
      </c>
      <c r="DG62" s="7">
        <v>-8503.0240833258358</v>
      </c>
      <c r="DH62" s="7">
        <v>-5860.3635221293698</v>
      </c>
      <c r="DI62" s="7">
        <v>18968.713041994284</v>
      </c>
      <c r="DJ62" s="7">
        <v>23429.546060895314</v>
      </c>
      <c r="DK62" s="7">
        <v>23000.684013017632</v>
      </c>
      <c r="DL62" s="7">
        <v>6925.2962592966251</v>
      </c>
      <c r="DM62" s="7">
        <v>-7561.6086371800411</v>
      </c>
      <c r="DN62" s="7">
        <v>-6686.620369190714</v>
      </c>
      <c r="DO62" s="7">
        <v>-10451.207485457038</v>
      </c>
      <c r="DP62" s="7">
        <v>-8962.4574137270174</v>
      </c>
      <c r="DQ62" s="7">
        <v>7636.3280322170685</v>
      </c>
      <c r="DR62" s="7">
        <v>-871.88167951755531</v>
      </c>
      <c r="DS62" s="7">
        <v>-865.51488587585118</v>
      </c>
      <c r="DT62" s="7">
        <v>-842.44088802678743</v>
      </c>
      <c r="DU62" s="7">
        <v>-957.02449777380571</v>
      </c>
      <c r="DV62" s="7">
        <v>-1000.105648225297</v>
      </c>
      <c r="DW62" s="7">
        <v>-994.22699544894931</v>
      </c>
      <c r="DX62" s="7">
        <v>-966.1665579978926</v>
      </c>
      <c r="DY62" s="125">
        <v>-2079.2156922617341</v>
      </c>
      <c r="DZ62" s="7">
        <v>-867.94353004643926</v>
      </c>
      <c r="EA62" s="7">
        <v>-914.56795928119755</v>
      </c>
    </row>
    <row r="63" spans="1:133" ht="14.5" x14ac:dyDescent="0.35">
      <c r="CC63" s="295"/>
      <c r="CD63" s="18" t="s">
        <v>19</v>
      </c>
      <c r="CE63" s="215">
        <v>-29025.044752000424</v>
      </c>
      <c r="CF63" s="215">
        <v>-30802.077142336202</v>
      </c>
      <c r="CG63" s="215">
        <v>-32397.785872863944</v>
      </c>
      <c r="CH63" s="215">
        <v>-33337.536405581595</v>
      </c>
      <c r="CI63" s="215">
        <v>-31257.67995203461</v>
      </c>
      <c r="CJ63" s="215">
        <v>-21326.78515028473</v>
      </c>
      <c r="CK63" s="215">
        <v>-19425.470939119776</v>
      </c>
      <c r="CN63" s="295"/>
      <c r="CO63" s="18" t="s">
        <v>19</v>
      </c>
      <c r="CP63" s="215">
        <v>-29067.885478484546</v>
      </c>
      <c r="CQ63" s="215">
        <v>-30924.133766732783</v>
      </c>
      <c r="CR63" s="215">
        <v>-32684.316525388916</v>
      </c>
      <c r="CS63" s="215">
        <v>-33746.826354013217</v>
      </c>
      <c r="CT63" s="215">
        <v>-31672.734046336878</v>
      </c>
      <c r="CU63" s="215">
        <v>-21744.744205564766</v>
      </c>
      <c r="CV63" s="215">
        <v>-19844.024762985806</v>
      </c>
      <c r="DA63" s="295"/>
      <c r="DB63" s="17" t="s">
        <v>8</v>
      </c>
      <c r="DC63" s="8">
        <v>-80.659068788228211</v>
      </c>
      <c r="DD63" s="8">
        <v>-103.34324554279476</v>
      </c>
      <c r="DE63" s="8">
        <v>-128.71070923117023</v>
      </c>
      <c r="DF63" s="8">
        <v>-112.56042368544114</v>
      </c>
      <c r="DG63" s="8">
        <v>-112.19823111456544</v>
      </c>
      <c r="DH63" s="8">
        <v>-104.36516886812977</v>
      </c>
      <c r="DI63" s="8">
        <v>-83.754672571940219</v>
      </c>
      <c r="DJ63" s="8">
        <v>-48.619869025091965</v>
      </c>
      <c r="DK63" s="8">
        <v>-58.596921518767203</v>
      </c>
      <c r="DL63" s="8">
        <v>-45.573108301713177</v>
      </c>
      <c r="DM63" s="8">
        <v>-30.611451906474628</v>
      </c>
      <c r="DN63" s="8">
        <v>-27.03101587698421</v>
      </c>
      <c r="DO63" s="8">
        <v>-36.847884530038144</v>
      </c>
      <c r="DP63" s="8">
        <v>-25.03304138421181</v>
      </c>
      <c r="DQ63" s="8">
        <v>-23.886423194425817</v>
      </c>
      <c r="DR63" s="8">
        <v>-50.215095829351725</v>
      </c>
      <c r="DS63" s="8">
        <v>-39.107102454543032</v>
      </c>
      <c r="DT63" s="8">
        <v>-54.579714096830166</v>
      </c>
      <c r="DU63" s="8">
        <v>-72.450610917973222</v>
      </c>
      <c r="DV63" s="8">
        <v>-81.678345336540247</v>
      </c>
      <c r="DW63" s="8">
        <v>-78.843971983874752</v>
      </c>
      <c r="DX63" s="8">
        <v>-62.561425300714255</v>
      </c>
      <c r="DY63" s="8">
        <v>-53.038544283503292</v>
      </c>
      <c r="DZ63" s="8">
        <v>-31.939064677146799</v>
      </c>
      <c r="EA63" s="8">
        <v>3.1700055689382158</v>
      </c>
      <c r="EB63" s="165">
        <f>SUM('MEEIA 2 calcs'!BJ62:CH62)</f>
        <v>-1577.9555047564365</v>
      </c>
      <c r="EC63" s="165">
        <f>SUM(DC63:EA63)-EB63</f>
        <v>34.920399904920714</v>
      </c>
    </row>
    <row r="64" spans="1:133" ht="14.5" x14ac:dyDescent="0.35">
      <c r="DA64" s="295"/>
      <c r="DB64" s="16" t="s">
        <v>14</v>
      </c>
      <c r="DC64" s="7">
        <v>-85520.300160883504</v>
      </c>
      <c r="DD64" s="7">
        <v>-80849.420411742845</v>
      </c>
      <c r="DE64" s="7">
        <v>59602.703044077782</v>
      </c>
      <c r="DF64" s="7">
        <v>-7011.3912471427757</v>
      </c>
      <c r="DG64" s="7">
        <v>-8615.2223144404015</v>
      </c>
      <c r="DH64" s="7">
        <v>-5964.7286909974991</v>
      </c>
      <c r="DI64" s="7">
        <v>18884.958369422344</v>
      </c>
      <c r="DJ64" s="7">
        <v>23380.926191870221</v>
      </c>
      <c r="DK64" s="7">
        <v>22942.087091498863</v>
      </c>
      <c r="DL64" s="7">
        <v>6879.7231509949115</v>
      </c>
      <c r="DM64" s="7">
        <v>-7592.2200890865161</v>
      </c>
      <c r="DN64" s="7">
        <v>-6713.6513850676984</v>
      </c>
      <c r="DO64" s="7">
        <v>-10488.055369987076</v>
      </c>
      <c r="DP64" s="7">
        <v>-8987.4904551112286</v>
      </c>
      <c r="DQ64" s="7">
        <v>7612.4416090226423</v>
      </c>
      <c r="DR64" s="7">
        <v>-922.09677534690707</v>
      </c>
      <c r="DS64" s="7">
        <v>-904.62198833039417</v>
      </c>
      <c r="DT64" s="7">
        <v>-897.02060212361755</v>
      </c>
      <c r="DU64" s="7">
        <v>-1029.475108691779</v>
      </c>
      <c r="DV64" s="7">
        <v>-1081.7839935618372</v>
      </c>
      <c r="DW64" s="7">
        <v>-1073.0709674328241</v>
      </c>
      <c r="DX64" s="7">
        <v>-1028.7279832986069</v>
      </c>
      <c r="DY64" s="7">
        <v>-2132.2542365452373</v>
      </c>
      <c r="DZ64" s="7">
        <v>-899.88259472358607</v>
      </c>
      <c r="EA64" s="7">
        <v>-911.39795371225932</v>
      </c>
    </row>
    <row r="65" spans="81:133" ht="14.5" x14ac:dyDescent="0.35">
      <c r="DA65" s="295"/>
      <c r="DB65" s="18" t="s">
        <v>18</v>
      </c>
      <c r="DC65" s="7">
        <v>-484035.07179815753</v>
      </c>
      <c r="DD65" s="7">
        <v>-601696.90220990032</v>
      </c>
      <c r="DE65" s="7">
        <v>-665251.63916582253</v>
      </c>
      <c r="DF65" s="7">
        <v>-632255.4904129653</v>
      </c>
      <c r="DG65" s="7">
        <v>-598175.8227274057</v>
      </c>
      <c r="DH65" s="7">
        <v>-558525.40141840326</v>
      </c>
      <c r="DI65" s="7">
        <v>-498477.61304898094</v>
      </c>
      <c r="DJ65" s="7">
        <v>-418137.19685711071</v>
      </c>
      <c r="DK65" s="7">
        <v>-342899.39976561186</v>
      </c>
      <c r="DL65" s="7">
        <v>-283060.01661461696</v>
      </c>
      <c r="DM65" s="7">
        <v>-244922.22670370346</v>
      </c>
      <c r="DN65" s="7">
        <v>-211745.78808877117</v>
      </c>
      <c r="DO65" s="7">
        <v>-169801.04345875824</v>
      </c>
      <c r="DP65" s="7">
        <v>-128153.20391386947</v>
      </c>
      <c r="DQ65" s="7">
        <v>-96910.162304846832</v>
      </c>
      <c r="DR65" s="7">
        <v>-87597.019080193742</v>
      </c>
      <c r="DS65" s="7">
        <v>-78199.121068524139</v>
      </c>
      <c r="DT65" s="7">
        <v>-69018.791670647755</v>
      </c>
      <c r="DU65" s="7">
        <v>-58584.276779339532</v>
      </c>
      <c r="DV65" s="7">
        <v>-47737.870772901369</v>
      </c>
      <c r="DW65" s="7">
        <v>-36978.521740334196</v>
      </c>
      <c r="DX65" s="7">
        <v>-26481.189723632804</v>
      </c>
      <c r="DY65" s="7">
        <v>-18394.263960178039</v>
      </c>
      <c r="DZ65" s="7">
        <v>-8974.0765549016251</v>
      </c>
      <c r="EA65" s="7">
        <v>826.97549138611612</v>
      </c>
    </row>
    <row r="66" spans="81:133" ht="14.5" x14ac:dyDescent="0.35">
      <c r="DA66" s="40"/>
      <c r="DB66" s="11"/>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row>
    <row r="67" spans="81:133" ht="14.5" x14ac:dyDescent="0.35">
      <c r="CC67" s="27"/>
      <c r="CD67" s="27" t="s">
        <v>32</v>
      </c>
      <c r="CN67" s="27"/>
      <c r="CO67" s="27" t="s">
        <v>32</v>
      </c>
      <c r="DA67" s="295" t="s">
        <v>24</v>
      </c>
      <c r="DB67" s="15"/>
      <c r="DC67" s="7"/>
      <c r="DD67" s="7"/>
      <c r="DE67" s="7"/>
      <c r="DF67" s="7"/>
      <c r="DG67" s="7"/>
      <c r="DH67" s="7"/>
      <c r="DI67" s="7"/>
      <c r="DJ67" s="7"/>
      <c r="DK67" s="7"/>
      <c r="DL67" s="7"/>
      <c r="DM67" s="7"/>
      <c r="DN67" s="7"/>
      <c r="DO67" s="7"/>
      <c r="DP67" s="7"/>
      <c r="DQ67" s="7"/>
      <c r="DR67" s="7"/>
      <c r="DS67" s="7"/>
      <c r="DT67" s="7"/>
      <c r="DU67" s="7"/>
      <c r="DV67" s="7"/>
      <c r="DW67" s="7"/>
      <c r="DX67" s="7"/>
      <c r="DY67" s="125">
        <v>-417.5870757009634</v>
      </c>
      <c r="DZ67" s="7"/>
      <c r="EA67" s="7"/>
    </row>
    <row r="68" spans="81:133" ht="14.5" x14ac:dyDescent="0.35">
      <c r="CD68" t="s">
        <v>33</v>
      </c>
      <c r="CE68" s="43">
        <v>849229853</v>
      </c>
      <c r="CF68" s="43">
        <v>1063566547</v>
      </c>
      <c r="CG68" s="43">
        <v>1372451320</v>
      </c>
      <c r="CH68" s="43">
        <v>1445914846</v>
      </c>
      <c r="CI68" s="43">
        <v>1156058653</v>
      </c>
      <c r="CJ68" s="43">
        <v>900363528</v>
      </c>
      <c r="CK68" s="43">
        <v>837159184</v>
      </c>
      <c r="CO68" t="s">
        <v>33</v>
      </c>
      <c r="CP68" s="43">
        <v>616534565.60039997</v>
      </c>
      <c r="CQ68" s="43">
        <v>621003419.78059995</v>
      </c>
      <c r="CR68" s="43">
        <v>656971283.38569999</v>
      </c>
      <c r="CS68" s="43">
        <v>646272651.48329997</v>
      </c>
      <c r="CT68" s="43">
        <v>615981334.59430003</v>
      </c>
      <c r="CU68" s="43">
        <v>577077250.67460001</v>
      </c>
      <c r="CV68" s="43">
        <v>787949883.91209996</v>
      </c>
      <c r="DA68" s="295"/>
      <c r="DB68" s="15" t="s">
        <v>28</v>
      </c>
      <c r="DC68" s="20">
        <v>0</v>
      </c>
      <c r="DD68" s="20">
        <v>0</v>
      </c>
      <c r="DE68" s="20">
        <v>0</v>
      </c>
      <c r="DF68" s="20">
        <v>0</v>
      </c>
      <c r="DG68" s="20">
        <v>0</v>
      </c>
      <c r="DH68" s="20">
        <v>0</v>
      </c>
      <c r="DI68" s="20">
        <v>0</v>
      </c>
      <c r="DJ68" s="20">
        <v>0</v>
      </c>
      <c r="DK68" s="20">
        <v>-101.14999999990687</v>
      </c>
      <c r="DL68" s="20">
        <v>-108.16000000014901</v>
      </c>
      <c r="DM68" s="20">
        <v>-67.520000000018626</v>
      </c>
      <c r="DN68" s="20">
        <v>-54.189999999944121</v>
      </c>
      <c r="DO68" s="20">
        <v>-56.580000000074506</v>
      </c>
      <c r="DP68" s="20">
        <v>-61.179999999701977</v>
      </c>
      <c r="DQ68" s="20">
        <v>-51.470000000204891</v>
      </c>
      <c r="DR68" s="20">
        <v>0</v>
      </c>
      <c r="DS68" s="20">
        <v>0</v>
      </c>
      <c r="DT68" s="20">
        <v>0</v>
      </c>
      <c r="DU68" s="20">
        <v>0</v>
      </c>
      <c r="DV68" s="20">
        <v>0</v>
      </c>
      <c r="DW68" s="20">
        <v>0</v>
      </c>
      <c r="DX68" s="20">
        <v>0</v>
      </c>
      <c r="DY68" s="20">
        <v>0</v>
      </c>
      <c r="DZ68" s="20">
        <v>0</v>
      </c>
      <c r="EA68" s="20">
        <v>0</v>
      </c>
    </row>
    <row r="69" spans="81:133" ht="14.5" x14ac:dyDescent="0.35">
      <c r="CD69" t="s">
        <v>34</v>
      </c>
      <c r="CE69" s="43">
        <v>219607166</v>
      </c>
      <c r="CF69" s="43">
        <v>250466096</v>
      </c>
      <c r="CG69" s="43">
        <v>295383726</v>
      </c>
      <c r="CH69" s="43">
        <v>301077290</v>
      </c>
      <c r="CI69" s="43">
        <v>261058604</v>
      </c>
      <c r="CJ69" s="43">
        <v>230949228</v>
      </c>
      <c r="CK69" s="43">
        <v>223998788</v>
      </c>
      <c r="CO69" t="s">
        <v>34</v>
      </c>
      <c r="CP69" s="43">
        <v>219607159</v>
      </c>
      <c r="CQ69" s="43">
        <v>250528302</v>
      </c>
      <c r="CR69" s="43">
        <v>295412831</v>
      </c>
      <c r="CS69" s="43">
        <v>301068791</v>
      </c>
      <c r="CT69" s="43">
        <v>261058604</v>
      </c>
      <c r="CU69" s="43">
        <v>230949228</v>
      </c>
      <c r="CV69" s="43">
        <v>223998788</v>
      </c>
      <c r="DA69" s="295"/>
      <c r="DB69" s="16" t="s">
        <v>26</v>
      </c>
      <c r="DC69" s="20">
        <v>46424.397026326449</v>
      </c>
      <c r="DD69" s="20">
        <v>42444.211387439616</v>
      </c>
      <c r="DE69" s="20">
        <v>37845.94077531778</v>
      </c>
      <c r="DF69" s="20">
        <v>-731.33700161567504</v>
      </c>
      <c r="DG69" s="20">
        <v>1437.7999422217736</v>
      </c>
      <c r="DH69" s="20">
        <v>1448.8425667251033</v>
      </c>
      <c r="DI69" s="20">
        <v>1380.7821512277105</v>
      </c>
      <c r="DJ69" s="20">
        <v>1767.2604926793401</v>
      </c>
      <c r="DK69" s="20">
        <v>1691.5909448949833</v>
      </c>
      <c r="DL69" s="20">
        <v>1824.9961214654177</v>
      </c>
      <c r="DM69" s="20">
        <v>1633.3060195728406</v>
      </c>
      <c r="DN69" s="20">
        <v>1134.0675425845006</v>
      </c>
      <c r="DO69" s="20">
        <v>1713.7681476555249</v>
      </c>
      <c r="DP69" s="20">
        <v>1528.2002495401016</v>
      </c>
      <c r="DQ69" s="20">
        <v>880.06349454617578</v>
      </c>
      <c r="DR69" s="20">
        <v>-2097.7749559192816</v>
      </c>
      <c r="DS69" s="20">
        <v>-9941.5602511884663</v>
      </c>
      <c r="DT69" s="20">
        <v>-1916.6757761009615</v>
      </c>
      <c r="DU69" s="20">
        <v>-2336.6180031047011</v>
      </c>
      <c r="DV69" s="20">
        <v>-2679.3289962978324</v>
      </c>
      <c r="DW69" s="20">
        <v>-2648.8730550887763</v>
      </c>
      <c r="DX69" s="20">
        <v>-2762.0412565834886</v>
      </c>
      <c r="DY69" s="20">
        <v>-2372.9708277142608</v>
      </c>
      <c r="DZ69" s="20">
        <v>-2369.0270963874896</v>
      </c>
      <c r="EA69" s="20">
        <v>-2320.8511941080565</v>
      </c>
    </row>
    <row r="70" spans="81:133" ht="14.5" x14ac:dyDescent="0.35">
      <c r="CD70" t="s">
        <v>35</v>
      </c>
      <c r="CE70" s="43">
        <v>505304455</v>
      </c>
      <c r="CF70" s="43">
        <v>555282313.60000002</v>
      </c>
      <c r="CG70" s="43">
        <v>590675076</v>
      </c>
      <c r="CH70" s="43">
        <v>582248455</v>
      </c>
      <c r="CI70" s="43">
        <v>534070902</v>
      </c>
      <c r="CJ70" s="43">
        <v>506459043</v>
      </c>
      <c r="CK70" s="43">
        <v>516003997</v>
      </c>
      <c r="CO70" t="s">
        <v>35</v>
      </c>
      <c r="CP70" s="43">
        <v>505304455</v>
      </c>
      <c r="CQ70" s="43">
        <v>552284069</v>
      </c>
      <c r="CR70" s="43">
        <v>590858313</v>
      </c>
      <c r="CS70" s="43">
        <v>582248455</v>
      </c>
      <c r="CT70" s="43">
        <v>534070902</v>
      </c>
      <c r="CU70" s="43">
        <v>506459043</v>
      </c>
      <c r="CV70" s="43">
        <v>516003997</v>
      </c>
      <c r="DA70" s="295"/>
      <c r="DB70" s="16" t="s">
        <v>51</v>
      </c>
      <c r="DC70" s="20">
        <v>-29994.51</v>
      </c>
      <c r="DD70" s="20">
        <v>-27431.4</v>
      </c>
      <c r="DE70" s="20">
        <v>-37690.370000000003</v>
      </c>
      <c r="DF70" s="20">
        <v>999.06</v>
      </c>
      <c r="DG70" s="20">
        <v>-1068.3499999999999</v>
      </c>
      <c r="DH70" s="20">
        <v>-1085.3800000000001</v>
      </c>
      <c r="DI70" s="20">
        <v>-1047.53</v>
      </c>
      <c r="DJ70" s="20">
        <v>-1336.85</v>
      </c>
      <c r="DK70" s="20">
        <v>-1272.6199999999999</v>
      </c>
      <c r="DL70" s="20">
        <v>-1376.1</v>
      </c>
      <c r="DM70" s="20">
        <v>-1261.3</v>
      </c>
      <c r="DN70" s="20">
        <v>-837.34</v>
      </c>
      <c r="DO70" s="20">
        <v>-1174.03</v>
      </c>
      <c r="DP70" s="20">
        <v>-1093.94</v>
      </c>
      <c r="DQ70" s="20">
        <v>-595.17999999999995</v>
      </c>
      <c r="DR70" s="20">
        <v>2111.9699999999998</v>
      </c>
      <c r="DS70" s="20">
        <v>9939.4599999999991</v>
      </c>
      <c r="DT70" s="20">
        <v>1923.43</v>
      </c>
      <c r="DU70" s="20">
        <v>2344.67</v>
      </c>
      <c r="DV70" s="20">
        <v>2689.87</v>
      </c>
      <c r="DW70" s="20">
        <v>2659.72</v>
      </c>
      <c r="DX70" s="20">
        <v>2772.83</v>
      </c>
      <c r="DY70" s="20">
        <v>2382.11</v>
      </c>
      <c r="DZ70" s="20">
        <v>2379.37</v>
      </c>
      <c r="EA70" s="20">
        <v>2335.83</v>
      </c>
    </row>
    <row r="71" spans="81:133" ht="14.5" x14ac:dyDescent="0.35">
      <c r="CD71" t="s">
        <v>36</v>
      </c>
      <c r="CE71" s="43">
        <v>200697530</v>
      </c>
      <c r="CF71" s="43">
        <v>269908616.5</v>
      </c>
      <c r="CG71" s="43">
        <v>254759231</v>
      </c>
      <c r="CH71" s="43">
        <v>236605471</v>
      </c>
      <c r="CI71" s="43">
        <v>220600472</v>
      </c>
      <c r="CJ71" s="43">
        <v>227017145</v>
      </c>
      <c r="CK71" s="43">
        <v>225997805</v>
      </c>
      <c r="CO71" t="s">
        <v>36</v>
      </c>
      <c r="CP71" s="43">
        <v>200697530</v>
      </c>
      <c r="CQ71" s="43">
        <v>263803028</v>
      </c>
      <c r="CR71" s="43">
        <v>254759231</v>
      </c>
      <c r="CS71" s="43">
        <v>236605471</v>
      </c>
      <c r="CT71" s="43">
        <v>220600472</v>
      </c>
      <c r="CU71" s="43">
        <v>227017145</v>
      </c>
      <c r="CV71" s="43">
        <v>225997805</v>
      </c>
      <c r="DA71" s="295"/>
      <c r="DB71" s="16" t="s">
        <v>52</v>
      </c>
      <c r="DC71" s="7">
        <v>16429.887026326451</v>
      </c>
      <c r="DD71" s="7">
        <v>15012.811387439615</v>
      </c>
      <c r="DE71" s="7">
        <v>155.57077531777759</v>
      </c>
      <c r="DF71" s="7">
        <v>267.72299838432491</v>
      </c>
      <c r="DG71" s="7">
        <v>369.44994222177365</v>
      </c>
      <c r="DH71" s="7">
        <v>363.46256672510322</v>
      </c>
      <c r="DI71" s="7">
        <v>333.25215122771056</v>
      </c>
      <c r="DJ71" s="7">
        <v>430.41049267934022</v>
      </c>
      <c r="DK71" s="7">
        <v>418.9709448949834</v>
      </c>
      <c r="DL71" s="7">
        <v>448.89612146541776</v>
      </c>
      <c r="DM71" s="7">
        <v>372.00601957284061</v>
      </c>
      <c r="DN71" s="7">
        <v>296.72754258450061</v>
      </c>
      <c r="DO71" s="7">
        <v>539.73814765552493</v>
      </c>
      <c r="DP71" s="7">
        <v>434.26024954010154</v>
      </c>
      <c r="DQ71" s="7">
        <v>284.88349454617583</v>
      </c>
      <c r="DR71" s="7">
        <v>14.195044080718162</v>
      </c>
      <c r="DS71" s="7">
        <v>-2.1002511884671549</v>
      </c>
      <c r="DT71" s="7">
        <v>6.7542238990386068</v>
      </c>
      <c r="DU71" s="7">
        <v>8.0519968952989984</v>
      </c>
      <c r="DV71" s="7">
        <v>10.541003702167473</v>
      </c>
      <c r="DW71" s="7">
        <v>10.846944911223545</v>
      </c>
      <c r="DX71" s="7">
        <v>10.788743416511352</v>
      </c>
      <c r="DY71" s="7">
        <v>9.1391722857392779</v>
      </c>
      <c r="DZ71" s="7">
        <v>10.342903612510327</v>
      </c>
      <c r="EA71" s="7">
        <v>14.978805891943466</v>
      </c>
    </row>
    <row r="72" spans="81:133" ht="14.5" x14ac:dyDescent="0.35">
      <c r="CD72" t="s">
        <v>37</v>
      </c>
      <c r="CE72" s="43">
        <v>69778498</v>
      </c>
      <c r="CF72" s="43">
        <v>120928612.40000001</v>
      </c>
      <c r="CG72" s="43">
        <v>91160220</v>
      </c>
      <c r="CH72" s="43">
        <v>84926008</v>
      </c>
      <c r="CI72" s="43">
        <v>81012090</v>
      </c>
      <c r="CJ72" s="43">
        <v>85726323</v>
      </c>
      <c r="CK72" s="43">
        <v>71350428</v>
      </c>
      <c r="CO72" t="s">
        <v>37</v>
      </c>
      <c r="CP72" s="43">
        <v>69778498</v>
      </c>
      <c r="CQ72" s="43">
        <v>110311543</v>
      </c>
      <c r="CR72" s="43">
        <v>91160220</v>
      </c>
      <c r="CS72" s="43">
        <v>84926008</v>
      </c>
      <c r="CT72" s="43">
        <v>81012090</v>
      </c>
      <c r="CU72" s="43">
        <v>85726323</v>
      </c>
      <c r="CV72" s="43">
        <v>71350428</v>
      </c>
      <c r="DA72" s="295"/>
      <c r="DB72" s="16" t="s">
        <v>13</v>
      </c>
      <c r="DC72" s="7">
        <v>-16429.887026326451</v>
      </c>
      <c r="DD72" s="7">
        <v>-15012.811387439615</v>
      </c>
      <c r="DE72" s="7">
        <v>-155.57077531777759</v>
      </c>
      <c r="DF72" s="7">
        <v>-267.72299838432491</v>
      </c>
      <c r="DG72" s="7">
        <v>-369.44994222177365</v>
      </c>
      <c r="DH72" s="7">
        <v>-363.46256672510322</v>
      </c>
      <c r="DI72" s="7">
        <v>-333.25215122771056</v>
      </c>
      <c r="DJ72" s="7">
        <v>-430.41049267934022</v>
      </c>
      <c r="DK72" s="7">
        <v>-520.12094489489027</v>
      </c>
      <c r="DL72" s="7">
        <v>-557.05612146556678</v>
      </c>
      <c r="DM72" s="7">
        <v>-439.52601957285924</v>
      </c>
      <c r="DN72" s="7">
        <v>-350.91754258444473</v>
      </c>
      <c r="DO72" s="7">
        <v>-596.31814765559943</v>
      </c>
      <c r="DP72" s="7">
        <v>-495.44024953980352</v>
      </c>
      <c r="DQ72" s="7">
        <v>-336.35349454638072</v>
      </c>
      <c r="DR72" s="7">
        <v>-14.195044080718162</v>
      </c>
      <c r="DS72" s="7">
        <v>2.1002511884671549</v>
      </c>
      <c r="DT72" s="7">
        <v>-6.7542238990386068</v>
      </c>
      <c r="DU72" s="7">
        <v>-8.0519968952989984</v>
      </c>
      <c r="DV72" s="7">
        <v>-10.541003702167473</v>
      </c>
      <c r="DW72" s="7">
        <v>-10.846944911223545</v>
      </c>
      <c r="DX72" s="7">
        <v>-10.788743416511352</v>
      </c>
      <c r="DY72" s="125">
        <v>-426.72624798670267</v>
      </c>
      <c r="DZ72" s="7">
        <v>-10.342903612510327</v>
      </c>
      <c r="EA72" s="7">
        <v>-14.978805891943466</v>
      </c>
    </row>
    <row r="73" spans="81:133" ht="14.5" x14ac:dyDescent="0.35">
      <c r="CC73" s="33"/>
      <c r="CD73" s="33" t="s">
        <v>31</v>
      </c>
      <c r="CE73" s="34">
        <v>1844617502</v>
      </c>
      <c r="CF73" s="34">
        <v>2260152185.5</v>
      </c>
      <c r="CG73" s="34">
        <v>2604429573</v>
      </c>
      <c r="CH73" s="34">
        <v>2650772070</v>
      </c>
      <c r="CI73" s="34">
        <v>2252800721</v>
      </c>
      <c r="CJ73" s="34">
        <v>1950515267</v>
      </c>
      <c r="CK73" s="34">
        <v>1874510202</v>
      </c>
      <c r="CN73" s="33"/>
      <c r="CO73" s="33" t="s">
        <v>31</v>
      </c>
      <c r="CP73" s="34">
        <v>1611922207.6004</v>
      </c>
      <c r="CQ73" s="34">
        <v>1797930361.7806001</v>
      </c>
      <c r="CR73" s="34">
        <v>1889161878.3857</v>
      </c>
      <c r="CS73" s="34">
        <v>1851121376.4833</v>
      </c>
      <c r="CT73" s="34">
        <v>1712723402.5943</v>
      </c>
      <c r="CU73" s="34">
        <v>1627228989.6746001</v>
      </c>
      <c r="CV73" s="34">
        <v>1825300901.9120998</v>
      </c>
      <c r="DA73" s="295"/>
      <c r="DB73" s="17" t="s">
        <v>8</v>
      </c>
      <c r="DC73" s="8">
        <v>10.533268969552775</v>
      </c>
      <c r="DD73" s="8">
        <v>3.5672243491871143</v>
      </c>
      <c r="DE73" s="8">
        <v>-3.3045326405885134</v>
      </c>
      <c r="DF73" s="8">
        <v>-2.911024309865446</v>
      </c>
      <c r="DG73" s="8">
        <v>-3.3372826999905723</v>
      </c>
      <c r="DH73" s="8">
        <v>-3.5960699843044797</v>
      </c>
      <c r="DI73" s="8">
        <v>-3.466127398272032</v>
      </c>
      <c r="DJ73" s="8">
        <v>-2.6044961406548688</v>
      </c>
      <c r="DK73" s="8">
        <v>-4.1347525096621425</v>
      </c>
      <c r="DL73" s="8">
        <v>-4.2074935627473264</v>
      </c>
      <c r="DM73" s="8">
        <v>-3.4792588585674582</v>
      </c>
      <c r="DN73" s="8">
        <v>-3.7058458060919803</v>
      </c>
      <c r="DO73" s="8">
        <v>-6.6852126402561458</v>
      </c>
      <c r="DP73" s="8">
        <v>-6.3293542621688728</v>
      </c>
      <c r="DQ73" s="8">
        <v>-8.2181403584550186</v>
      </c>
      <c r="DR73" s="8">
        <v>-17.921067255265893</v>
      </c>
      <c r="DS73" s="8">
        <v>-10.667688126714124</v>
      </c>
      <c r="DT73" s="8">
        <v>-15.365107741483181</v>
      </c>
      <c r="DU73" s="8">
        <v>-21.165335265749118</v>
      </c>
      <c r="DV73" s="8">
        <v>-24.740557008740662</v>
      </c>
      <c r="DW73" s="8">
        <v>-25.236780195409754</v>
      </c>
      <c r="DX73" s="8">
        <v>-21.488508157836353</v>
      </c>
      <c r="DY73" s="8">
        <v>-20.648188849955428</v>
      </c>
      <c r="DZ73" s="8">
        <v>-17.115668731069857</v>
      </c>
      <c r="EA73" s="8">
        <v>-9.5746870906235895</v>
      </c>
      <c r="EB73" s="165">
        <f>SUM('MEEIA 2 calcs'!BJ72:CH72)</f>
        <v>-221.24243074279778</v>
      </c>
      <c r="EC73" s="165">
        <f>SUM(DC73:EA73)-EB73</f>
        <v>-4.5602555329351731</v>
      </c>
    </row>
    <row r="74" spans="81:133" ht="14.5" x14ac:dyDescent="0.35">
      <c r="DA74" s="295"/>
      <c r="DB74" s="16" t="s">
        <v>14</v>
      </c>
      <c r="DC74" s="7">
        <v>-16419.353757356897</v>
      </c>
      <c r="DD74" s="7">
        <v>-15009.244163090429</v>
      </c>
      <c r="DE74" s="7">
        <v>-158.87530795836611</v>
      </c>
      <c r="DF74" s="7">
        <v>-270.63402269419038</v>
      </c>
      <c r="DG74" s="7">
        <v>-372.78722492176422</v>
      </c>
      <c r="DH74" s="7">
        <v>-367.05863670940772</v>
      </c>
      <c r="DI74" s="7">
        <v>-336.71827862598258</v>
      </c>
      <c r="DJ74" s="7">
        <v>-433.0149888199951</v>
      </c>
      <c r="DK74" s="7">
        <v>-524.25569740455239</v>
      </c>
      <c r="DL74" s="7">
        <v>-561.26361502831412</v>
      </c>
      <c r="DM74" s="7">
        <v>-443.00527843142669</v>
      </c>
      <c r="DN74" s="7">
        <v>-354.62338839053672</v>
      </c>
      <c r="DO74" s="7">
        <v>-603.0033602958556</v>
      </c>
      <c r="DP74" s="7">
        <v>-501.76960380197238</v>
      </c>
      <c r="DQ74" s="7">
        <v>-344.57163490483572</v>
      </c>
      <c r="DR74" s="7">
        <v>-32.116111335984058</v>
      </c>
      <c r="DS74" s="7">
        <v>-8.5674369382469688</v>
      </c>
      <c r="DT74" s="7">
        <v>-22.119331640521786</v>
      </c>
      <c r="DU74" s="7">
        <v>-29.217332161048116</v>
      </c>
      <c r="DV74" s="7">
        <v>-35.281560710908138</v>
      </c>
      <c r="DW74" s="7">
        <v>-36.083725106633295</v>
      </c>
      <c r="DX74" s="7">
        <v>-32.277251574347702</v>
      </c>
      <c r="DY74" s="7">
        <v>-447.37443683665811</v>
      </c>
      <c r="DZ74" s="7">
        <v>-27.458572343580183</v>
      </c>
      <c r="EA74" s="7">
        <v>-24.553492982567057</v>
      </c>
    </row>
    <row r="75" spans="81:133" ht="14.5" x14ac:dyDescent="0.35">
      <c r="DA75" s="295"/>
      <c r="DB75" s="18" t="s">
        <v>19</v>
      </c>
      <c r="DC75" s="7">
        <v>63210.147086286204</v>
      </c>
      <c r="DD75" s="7">
        <v>20769.502923195774</v>
      </c>
      <c r="DE75" s="7">
        <v>-17079.742384762598</v>
      </c>
      <c r="DF75" s="7">
        <v>-16351.316407456789</v>
      </c>
      <c r="DG75" s="7">
        <v>-17792.453632378554</v>
      </c>
      <c r="DH75" s="7">
        <v>-19244.892269087963</v>
      </c>
      <c r="DI75" s="7">
        <v>-20629.140547713945</v>
      </c>
      <c r="DJ75" s="7">
        <v>-22399.005536533939</v>
      </c>
      <c r="DK75" s="7">
        <v>-24195.881233938493</v>
      </c>
      <c r="DL75" s="7">
        <v>-26133.244848966806</v>
      </c>
      <c r="DM75" s="7">
        <v>-27837.550127398234</v>
      </c>
      <c r="DN75" s="7">
        <v>-29029.513515788771</v>
      </c>
      <c r="DO75" s="7">
        <v>-30806.546876084627</v>
      </c>
      <c r="DP75" s="7">
        <v>-32402.256479886601</v>
      </c>
      <c r="DQ75" s="7">
        <v>-33342.008114791439</v>
      </c>
      <c r="DR75" s="7">
        <v>-31262.154226127423</v>
      </c>
      <c r="DS75" s="7">
        <v>-21331.26166306567</v>
      </c>
      <c r="DT75" s="7">
        <v>-19429.950994706192</v>
      </c>
      <c r="DU75" s="7">
        <v>-17114.49832686724</v>
      </c>
      <c r="DV75" s="7">
        <v>-14459.909887578149</v>
      </c>
      <c r="DW75" s="7">
        <v>-11836.273612684783</v>
      </c>
      <c r="DX75" s="7">
        <v>-9095.7208642591304</v>
      </c>
      <c r="DY75" s="7">
        <v>-7160.9853010957886</v>
      </c>
      <c r="DZ75" s="7">
        <v>-4809.073873439369</v>
      </c>
      <c r="EA75" s="7">
        <v>-2497.7973664219362</v>
      </c>
    </row>
    <row r="76" spans="81:133" ht="14.5" x14ac:dyDescent="0.35">
      <c r="DA76" s="40"/>
      <c r="DB76" s="11"/>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row>
    <row r="77" spans="81:133" ht="14.5" x14ac:dyDescent="0.35">
      <c r="DA77" s="296" t="s">
        <v>65</v>
      </c>
      <c r="DB77" s="84"/>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row>
    <row r="78" spans="81:133" ht="14.5" x14ac:dyDescent="0.35">
      <c r="DA78" s="296"/>
      <c r="DB78" s="84" t="s">
        <v>66</v>
      </c>
      <c r="DC78" s="22">
        <v>0.28999999999999998</v>
      </c>
      <c r="DD78" s="22">
        <v>0.18</v>
      </c>
      <c r="DE78" s="22">
        <v>-383.51</v>
      </c>
      <c r="DF78" s="22">
        <v>-838.54</v>
      </c>
      <c r="DG78" s="22">
        <v>-901.74</v>
      </c>
      <c r="DH78" s="22">
        <v>-918.67</v>
      </c>
      <c r="DI78" s="22">
        <v>-989.05</v>
      </c>
      <c r="DJ78" s="22">
        <v>-1207.8800000000001</v>
      </c>
      <c r="DK78" s="22">
        <v>-1173.18</v>
      </c>
      <c r="DL78" s="22">
        <v>-1200.93</v>
      </c>
      <c r="DM78" s="22">
        <v>-1051.26</v>
      </c>
      <c r="DN78" s="22">
        <v>-899.18</v>
      </c>
      <c r="DO78" s="22">
        <v>-1032.83</v>
      </c>
      <c r="DP78" s="22">
        <v>-970.5</v>
      </c>
      <c r="DQ78" s="12"/>
      <c r="DR78" s="12"/>
      <c r="DS78" s="12"/>
      <c r="DT78" s="12"/>
      <c r="DU78" s="12"/>
      <c r="DV78" s="12"/>
      <c r="DW78" s="12"/>
      <c r="DX78" s="12"/>
      <c r="DY78" s="12"/>
      <c r="DZ78" s="12"/>
      <c r="EA78" s="12"/>
    </row>
    <row r="79" spans="81:133" ht="14.5" x14ac:dyDescent="0.35">
      <c r="DA79" s="296"/>
      <c r="DB79" s="84" t="s">
        <v>67</v>
      </c>
      <c r="DC79" s="8">
        <v>-0.28999999999999998</v>
      </c>
      <c r="DD79" s="8">
        <v>-0.18</v>
      </c>
      <c r="DE79" s="8">
        <v>383.51</v>
      </c>
      <c r="DF79" s="8">
        <v>838.54</v>
      </c>
      <c r="DG79" s="8">
        <v>901.74</v>
      </c>
      <c r="DH79" s="8">
        <v>918.67</v>
      </c>
      <c r="DI79" s="8">
        <v>989.05</v>
      </c>
      <c r="DJ79" s="8">
        <v>1207.8800000000001</v>
      </c>
      <c r="DK79" s="8">
        <v>1173.18</v>
      </c>
      <c r="DL79" s="8">
        <v>1200.93</v>
      </c>
      <c r="DM79" s="8">
        <v>1051.26</v>
      </c>
      <c r="DN79" s="8">
        <v>899.18</v>
      </c>
      <c r="DO79" s="8">
        <v>1032.83</v>
      </c>
      <c r="DP79" s="8">
        <v>970.5</v>
      </c>
      <c r="DQ79" s="12" t="s">
        <v>129</v>
      </c>
      <c r="DR79" s="12" t="s">
        <v>129</v>
      </c>
      <c r="DS79" s="12" t="s">
        <v>129</v>
      </c>
      <c r="DT79" s="12" t="s">
        <v>129</v>
      </c>
      <c r="DU79" s="12" t="s">
        <v>129</v>
      </c>
      <c r="DV79" s="12" t="s">
        <v>129</v>
      </c>
      <c r="DW79" s="12" t="s">
        <v>129</v>
      </c>
      <c r="DX79" s="12" t="s">
        <v>129</v>
      </c>
      <c r="DY79" s="12" t="s">
        <v>129</v>
      </c>
      <c r="DZ79" s="12" t="s">
        <v>129</v>
      </c>
      <c r="EA79" s="12" t="s">
        <v>129</v>
      </c>
    </row>
    <row r="80" spans="81:133" ht="14.5" x14ac:dyDescent="0.35">
      <c r="DA80" s="296"/>
      <c r="DB80" s="85" t="s">
        <v>8</v>
      </c>
      <c r="DC80" s="8">
        <v>0.34249703269703941</v>
      </c>
      <c r="DD80" s="8">
        <v>0.35303789326219431</v>
      </c>
      <c r="DE80" s="8">
        <v>0.47198254857895977</v>
      </c>
      <c r="DF80" s="8">
        <v>0.58368965357991454</v>
      </c>
      <c r="DG80" s="8">
        <v>0.78424287331953069</v>
      </c>
      <c r="DH80" s="8">
        <v>0.953118181420754</v>
      </c>
      <c r="DI80" s="8">
        <v>1.0233859436175838</v>
      </c>
      <c r="DJ80" s="8">
        <v>0.84877238789285869</v>
      </c>
      <c r="DK80" s="8">
        <v>1.4481242080934591</v>
      </c>
      <c r="DL80" s="8">
        <v>1.5579589441054462</v>
      </c>
      <c r="DM80" s="8">
        <v>1.3409911257311007</v>
      </c>
      <c r="DN80" s="8">
        <v>1.4846526629887264</v>
      </c>
      <c r="DO80" s="8">
        <v>2.7484952764193231</v>
      </c>
      <c r="DP80" s="8">
        <v>2.6641360681875614</v>
      </c>
      <c r="DQ80" s="12" t="s">
        <v>129</v>
      </c>
      <c r="DR80" s="12" t="s">
        <v>129</v>
      </c>
      <c r="DS80" s="12" t="s">
        <v>129</v>
      </c>
      <c r="DT80" s="12" t="s">
        <v>129</v>
      </c>
      <c r="DU80" s="12" t="s">
        <v>129</v>
      </c>
      <c r="DV80" s="12" t="s">
        <v>129</v>
      </c>
      <c r="DW80" s="12" t="s">
        <v>129</v>
      </c>
      <c r="DX80" s="12" t="s">
        <v>129</v>
      </c>
      <c r="DY80" s="12" t="s">
        <v>129</v>
      </c>
      <c r="DZ80" s="12" t="s">
        <v>129</v>
      </c>
      <c r="EA80" s="12" t="s">
        <v>129</v>
      </c>
    </row>
    <row r="81" spans="80:134" ht="14.5" x14ac:dyDescent="0.35">
      <c r="DA81" s="296"/>
      <c r="DB81" s="85" t="s">
        <v>6</v>
      </c>
      <c r="DC81" s="8">
        <v>-12388.935306785015</v>
      </c>
      <c r="DD81" s="8">
        <v>-12388.582268891752</v>
      </c>
      <c r="DE81" s="8">
        <v>-12388.110286343173</v>
      </c>
      <c r="DF81" s="8">
        <v>-12387.526596689593</v>
      </c>
      <c r="DG81" s="8">
        <v>-12386.742353816273</v>
      </c>
      <c r="DH81" s="8">
        <v>-12385.789235634853</v>
      </c>
      <c r="DI81" s="8">
        <v>-12384.765849691235</v>
      </c>
      <c r="DJ81" s="8">
        <v>-12383.917077303342</v>
      </c>
      <c r="DK81" s="8">
        <v>-12382.468953095249</v>
      </c>
      <c r="DL81" s="8">
        <v>-12380.910994151143</v>
      </c>
      <c r="DM81" s="8">
        <v>-12379.570003025412</v>
      </c>
      <c r="DN81" s="8">
        <v>-12378.085350362424</v>
      </c>
      <c r="DO81" s="8">
        <v>-12375.336855086005</v>
      </c>
      <c r="DP81" s="8">
        <v>-12372.672719017817</v>
      </c>
      <c r="DQ81" s="12" t="s">
        <v>129</v>
      </c>
      <c r="DR81" s="12" t="s">
        <v>129</v>
      </c>
      <c r="DS81" s="12" t="s">
        <v>129</v>
      </c>
      <c r="DT81" s="12" t="s">
        <v>129</v>
      </c>
      <c r="DU81" s="12" t="s">
        <v>129</v>
      </c>
      <c r="DV81" s="12" t="s">
        <v>129</v>
      </c>
      <c r="DW81" s="12" t="s">
        <v>129</v>
      </c>
      <c r="DX81" s="12" t="s">
        <v>129</v>
      </c>
      <c r="DY81" s="12" t="s">
        <v>129</v>
      </c>
      <c r="DZ81" s="12" t="s">
        <v>129</v>
      </c>
      <c r="EA81" s="12" t="s">
        <v>129</v>
      </c>
      <c r="EB81" s="45">
        <f>'MEEIA 2 calcs'!BW80</f>
        <v>-12372.527353923275</v>
      </c>
      <c r="EC81" s="165">
        <f>DP81-EB81</f>
        <v>-0.14536509454228508</v>
      </c>
      <c r="ED81" s="47" t="s">
        <v>131</v>
      </c>
    </row>
    <row r="82" spans="80:134" ht="14.5" x14ac:dyDescent="0.35">
      <c r="DA82" s="296"/>
      <c r="DB82" s="84" t="s">
        <v>69</v>
      </c>
      <c r="DC82" s="8">
        <v>5.2497032697039425E-2</v>
      </c>
      <c r="DD82" s="8">
        <v>0.17303789326219432</v>
      </c>
      <c r="DE82" s="8">
        <v>383.98198254857897</v>
      </c>
      <c r="DF82" s="8">
        <v>839.12368965357985</v>
      </c>
      <c r="DG82" s="8">
        <v>902.52424287331951</v>
      </c>
      <c r="DH82" s="8">
        <v>919.62311818142075</v>
      </c>
      <c r="DI82" s="8">
        <v>990.0733859436175</v>
      </c>
      <c r="DJ82" s="8">
        <v>1208.7287723878931</v>
      </c>
      <c r="DK82" s="8">
        <v>1174.6281242080936</v>
      </c>
      <c r="DL82" s="8">
        <v>1202.4879589441055</v>
      </c>
      <c r="DM82" s="8">
        <v>1052.6009911257311</v>
      </c>
      <c r="DN82" s="8">
        <v>900.66465266298871</v>
      </c>
      <c r="DO82" s="8">
        <v>1035.5784952764193</v>
      </c>
      <c r="DP82" s="8">
        <v>973.16413606818753</v>
      </c>
      <c r="DQ82" s="12" t="s">
        <v>129</v>
      </c>
      <c r="DR82" s="12" t="s">
        <v>129</v>
      </c>
      <c r="DS82" s="12" t="s">
        <v>129</v>
      </c>
      <c r="DT82" s="12" t="s">
        <v>129</v>
      </c>
      <c r="DU82" s="12" t="s">
        <v>129</v>
      </c>
      <c r="DV82" s="12" t="s">
        <v>129</v>
      </c>
      <c r="DW82" s="12" t="s">
        <v>129</v>
      </c>
      <c r="DX82" s="12" t="s">
        <v>129</v>
      </c>
      <c r="DY82" s="12" t="s">
        <v>129</v>
      </c>
      <c r="DZ82" s="12" t="s">
        <v>129</v>
      </c>
      <c r="EA82" s="12" t="s">
        <v>129</v>
      </c>
    </row>
    <row r="83" spans="80:134" ht="14.5" x14ac:dyDescent="0.35">
      <c r="DA83" s="296"/>
      <c r="DB83" s="86" t="s">
        <v>70</v>
      </c>
      <c r="DC83" s="8">
        <v>2055.3246932149332</v>
      </c>
      <c r="DD83" s="8">
        <v>2055.4977311081952</v>
      </c>
      <c r="DE83" s="8">
        <v>2439.479713656774</v>
      </c>
      <c r="DF83" s="8">
        <v>3278.6034033103538</v>
      </c>
      <c r="DG83" s="8">
        <v>4181.1276461836733</v>
      </c>
      <c r="DH83" s="8">
        <v>5100.7507643650943</v>
      </c>
      <c r="DI83" s="8">
        <v>6090.824150308712</v>
      </c>
      <c r="DJ83" s="8">
        <v>7299.5529226966046</v>
      </c>
      <c r="DK83" s="8">
        <v>8474.1810469046977</v>
      </c>
      <c r="DL83" s="8">
        <v>9676.6690058488039</v>
      </c>
      <c r="DM83" s="8">
        <v>10729.269996974535</v>
      </c>
      <c r="DN83" s="8">
        <v>11629.934649637524</v>
      </c>
      <c r="DO83" s="8">
        <v>12665.513144913943</v>
      </c>
      <c r="DP83" s="8">
        <v>13638.67728098213</v>
      </c>
      <c r="DQ83" s="12" t="s">
        <v>129</v>
      </c>
      <c r="DR83" s="12" t="s">
        <v>129</v>
      </c>
      <c r="DS83" s="12" t="s">
        <v>129</v>
      </c>
      <c r="DT83" s="12" t="s">
        <v>129</v>
      </c>
      <c r="DU83" s="12" t="s">
        <v>129</v>
      </c>
      <c r="DV83" s="12" t="s">
        <v>129</v>
      </c>
      <c r="DW83" s="12" t="s">
        <v>129</v>
      </c>
      <c r="DX83" s="12" t="s">
        <v>129</v>
      </c>
      <c r="DY83" s="12" t="s">
        <v>129</v>
      </c>
      <c r="DZ83" s="12" t="s">
        <v>129</v>
      </c>
      <c r="EA83" s="12" t="s">
        <v>129</v>
      </c>
    </row>
    <row r="84" spans="80:134" ht="14.5" x14ac:dyDescent="0.35">
      <c r="CB84" s="182"/>
      <c r="CC84" s="1"/>
      <c r="CD84" s="1"/>
      <c r="CE84" s="1"/>
      <c r="CF84" s="1"/>
      <c r="CG84" s="1"/>
      <c r="CH84" s="1"/>
      <c r="CI84" s="1"/>
      <c r="CJ84" s="1"/>
      <c r="CK84" s="1"/>
      <c r="CL84" s="1"/>
      <c r="CM84" s="1"/>
      <c r="CN84" s="1"/>
      <c r="CO84" s="1"/>
      <c r="CP84" s="1"/>
      <c r="CQ84" s="1"/>
      <c r="CR84" s="1"/>
      <c r="CS84" s="1"/>
      <c r="CT84" s="1"/>
      <c r="CU84" s="1"/>
      <c r="CV84" s="1"/>
      <c r="CW84" s="1"/>
      <c r="CX84" s="1"/>
      <c r="CY84" s="1"/>
      <c r="DA84" s="40"/>
      <c r="DB84" s="11"/>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row>
    <row r="85" spans="80:134" ht="14.5" x14ac:dyDescent="0.35">
      <c r="CB85" s="182"/>
      <c r="CC85" s="1"/>
      <c r="CD85" s="1"/>
      <c r="CE85" s="1"/>
      <c r="CF85" s="1"/>
      <c r="CG85" s="1"/>
      <c r="CH85" s="1"/>
      <c r="CI85" s="1"/>
      <c r="CJ85" s="1"/>
      <c r="CK85" s="1"/>
      <c r="CL85" s="1"/>
      <c r="CM85" s="1"/>
      <c r="CN85" s="1"/>
      <c r="CO85" s="1"/>
      <c r="CP85" s="1"/>
      <c r="CQ85" s="1"/>
      <c r="CR85" s="1"/>
      <c r="CS85" s="1"/>
      <c r="CT85" s="1"/>
      <c r="CU85" s="1"/>
      <c r="CV85" s="1"/>
      <c r="CW85" s="1"/>
      <c r="CX85" s="1"/>
      <c r="CY85" s="1"/>
      <c r="DA85" s="297" t="s">
        <v>79</v>
      </c>
      <c r="DB85" s="52"/>
      <c r="DC85" s="67"/>
      <c r="DD85" s="67"/>
      <c r="DE85" s="67"/>
      <c r="DF85" s="67"/>
      <c r="DG85" s="67"/>
      <c r="DH85" s="67"/>
      <c r="DI85" s="67"/>
      <c r="DJ85" s="67"/>
      <c r="DK85" s="67"/>
      <c r="DL85" s="67"/>
      <c r="DM85" s="67"/>
      <c r="DN85" s="67"/>
      <c r="DO85" s="67"/>
      <c r="DP85" s="67"/>
      <c r="DQ85" s="13"/>
      <c r="DR85" s="13"/>
      <c r="DS85" s="13"/>
      <c r="DT85" s="13"/>
      <c r="DU85" s="13"/>
      <c r="DV85" s="13"/>
      <c r="DW85" s="13"/>
      <c r="DX85" s="13"/>
      <c r="DY85" s="13"/>
      <c r="DZ85" s="13"/>
      <c r="EA85" s="13"/>
    </row>
    <row r="86" spans="80:134" ht="14.5" x14ac:dyDescent="0.35">
      <c r="CB86" s="182"/>
      <c r="CC86" s="1"/>
      <c r="CD86" s="1"/>
      <c r="CE86" s="1"/>
      <c r="CF86" s="1"/>
      <c r="CG86" s="1"/>
      <c r="CH86" s="1"/>
      <c r="CI86" s="1"/>
      <c r="CJ86" s="1"/>
      <c r="CK86" s="1"/>
      <c r="CL86" s="1"/>
      <c r="CM86" s="1"/>
      <c r="CN86" s="1"/>
      <c r="CO86" s="1"/>
      <c r="CP86" s="1"/>
      <c r="CQ86" s="1"/>
      <c r="CR86" s="1"/>
      <c r="CS86" s="1"/>
      <c r="CT86" s="1"/>
      <c r="CU86" s="1"/>
      <c r="CV86" s="1"/>
      <c r="CW86" s="1"/>
      <c r="CX86" s="1"/>
      <c r="CY86" s="1"/>
      <c r="DA86" s="297"/>
      <c r="DB86" s="52" t="s">
        <v>50</v>
      </c>
      <c r="DC86" s="60"/>
      <c r="DD86" s="60"/>
      <c r="DE86" s="60"/>
      <c r="DF86" s="60"/>
      <c r="DG86" s="60"/>
      <c r="DH86" s="60"/>
      <c r="DI86" s="60"/>
      <c r="DJ86" s="60"/>
      <c r="DK86" s="60"/>
      <c r="DL86" s="60"/>
      <c r="DM86" s="60"/>
      <c r="DN86" s="60"/>
      <c r="DO86" s="60"/>
      <c r="DP86" s="60"/>
      <c r="DQ86" s="211"/>
      <c r="DR86" s="211"/>
      <c r="DS86" s="211"/>
      <c r="DT86" s="211"/>
      <c r="DU86" s="211"/>
      <c r="DV86" s="211"/>
      <c r="DW86" s="211"/>
      <c r="DX86" s="211"/>
      <c r="DY86" s="211"/>
      <c r="DZ86" s="211"/>
      <c r="EA86" s="211"/>
    </row>
    <row r="87" spans="80:134" ht="14.5" x14ac:dyDescent="0.35">
      <c r="CB87" s="182"/>
      <c r="CC87" s="1"/>
      <c r="CD87" s="1"/>
      <c r="CE87" s="1"/>
      <c r="CF87" s="1"/>
      <c r="CG87" s="1"/>
      <c r="CH87" s="1"/>
      <c r="CI87" s="1"/>
      <c r="CJ87" s="1"/>
      <c r="CK87" s="1"/>
      <c r="CL87" s="1"/>
      <c r="CM87" s="1"/>
      <c r="CN87" s="1"/>
      <c r="CO87" s="1"/>
      <c r="CP87" s="1"/>
      <c r="CQ87" s="1"/>
      <c r="CR87" s="1"/>
      <c r="CS87" s="1"/>
      <c r="CT87" s="1"/>
      <c r="CU87" s="1"/>
      <c r="CV87" s="1"/>
      <c r="CW87" s="1"/>
      <c r="CX87" s="1"/>
      <c r="CY87" s="1"/>
      <c r="DA87" s="297"/>
      <c r="DB87" s="52" t="s">
        <v>45</v>
      </c>
      <c r="DC87" s="22"/>
      <c r="DD87" s="22"/>
      <c r="DE87" s="22"/>
      <c r="DF87" s="22"/>
      <c r="DG87" s="22"/>
      <c r="DH87" s="22"/>
      <c r="DI87" s="22"/>
      <c r="DJ87" s="22"/>
      <c r="DK87" s="22"/>
      <c r="DL87" s="22"/>
      <c r="DM87" s="22"/>
      <c r="DN87" s="22"/>
      <c r="DO87" s="22"/>
      <c r="DP87" s="22"/>
      <c r="DQ87" s="12"/>
      <c r="DR87" s="12"/>
      <c r="DS87" s="12"/>
      <c r="DT87" s="12"/>
      <c r="DU87" s="12"/>
      <c r="DV87" s="12"/>
      <c r="DW87" s="12"/>
      <c r="DX87" s="12"/>
      <c r="DY87" s="12"/>
      <c r="DZ87" s="12"/>
      <c r="EA87" s="12"/>
    </row>
    <row r="88" spans="80:134" ht="14.5" x14ac:dyDescent="0.35">
      <c r="CB88" s="182"/>
      <c r="CC88" s="1"/>
      <c r="CD88" s="1"/>
      <c r="CE88" s="1"/>
      <c r="CF88" s="1"/>
      <c r="CG88" s="1"/>
      <c r="CH88" s="1"/>
      <c r="CI88" s="1"/>
      <c r="CJ88" s="1"/>
      <c r="CK88" s="1"/>
      <c r="CL88" s="1"/>
      <c r="CM88" s="1"/>
      <c r="CN88" s="1"/>
      <c r="CO88" s="1"/>
      <c r="CP88" s="1"/>
      <c r="CQ88" s="1"/>
      <c r="CR88" s="1"/>
      <c r="CS88" s="1"/>
      <c r="CT88" s="1"/>
      <c r="CU88" s="1"/>
      <c r="CV88" s="1"/>
      <c r="CW88" s="1"/>
      <c r="CX88" s="1"/>
      <c r="CY88" s="1"/>
      <c r="DA88" s="297"/>
      <c r="DB88" s="52" t="s">
        <v>46</v>
      </c>
      <c r="DC88" s="8"/>
      <c r="DD88" s="8"/>
      <c r="DE88" s="8"/>
      <c r="DF88" s="8"/>
      <c r="DG88" s="8"/>
      <c r="DH88" s="8"/>
      <c r="DI88" s="8"/>
      <c r="DJ88" s="8"/>
      <c r="DK88" s="8"/>
      <c r="DL88" s="8"/>
      <c r="DM88" s="8"/>
      <c r="DN88" s="8"/>
      <c r="DO88" s="8"/>
      <c r="DP88" s="8"/>
      <c r="DQ88" s="12"/>
      <c r="DR88" s="12"/>
      <c r="DS88" s="12"/>
      <c r="DT88" s="12"/>
      <c r="DU88" s="12"/>
      <c r="DV88" s="12"/>
      <c r="DW88" s="12"/>
      <c r="DX88" s="12"/>
      <c r="DY88" s="12"/>
      <c r="DZ88" s="12"/>
      <c r="EA88" s="12"/>
    </row>
    <row r="89" spans="80:134" ht="14.5" x14ac:dyDescent="0.35">
      <c r="CB89" s="182"/>
      <c r="CC89" s="1"/>
      <c r="CD89" s="1"/>
      <c r="CE89" s="1"/>
      <c r="CF89" s="1"/>
      <c r="CG89" s="1"/>
      <c r="CH89" s="1"/>
      <c r="CI89" s="1"/>
      <c r="CJ89" s="1"/>
      <c r="CK89" s="1"/>
      <c r="CL89" s="1"/>
      <c r="CM89" s="1"/>
      <c r="CN89" s="1"/>
      <c r="CO89" s="1"/>
      <c r="CP89" s="1"/>
      <c r="CQ89" s="1"/>
      <c r="CR89" s="1"/>
      <c r="CS89" s="1"/>
      <c r="CT89" s="1"/>
      <c r="CU89" s="1"/>
      <c r="CV89" s="1"/>
      <c r="CW89" s="1"/>
      <c r="CX89" s="1"/>
      <c r="CY89" s="1"/>
      <c r="DA89" s="297"/>
      <c r="DB89" s="52" t="s">
        <v>4</v>
      </c>
      <c r="DC89" s="61"/>
      <c r="DD89" s="61"/>
      <c r="DE89" s="61"/>
      <c r="DF89" s="61"/>
      <c r="DG89" s="61"/>
      <c r="DH89" s="61"/>
      <c r="DI89" s="61"/>
      <c r="DJ89" s="61"/>
      <c r="DK89" s="61"/>
      <c r="DL89" s="61"/>
      <c r="DM89" s="61"/>
      <c r="DN89" s="61"/>
      <c r="DO89" s="61"/>
      <c r="DP89" s="61"/>
      <c r="DQ89" s="212"/>
      <c r="DR89" s="212"/>
      <c r="DS89" s="212"/>
      <c r="DT89" s="212"/>
      <c r="DU89" s="212"/>
      <c r="DV89" s="212"/>
      <c r="DW89" s="212"/>
      <c r="DX89" s="212"/>
      <c r="DY89" s="212"/>
      <c r="DZ89" s="212"/>
      <c r="EA89" s="212"/>
    </row>
    <row r="90" spans="80:134" ht="14.5" x14ac:dyDescent="0.35">
      <c r="CB90" s="182"/>
      <c r="CC90" s="1"/>
      <c r="CD90" s="1"/>
      <c r="CE90" s="1"/>
      <c r="CF90" s="1"/>
      <c r="CG90" s="1"/>
      <c r="CH90" s="1"/>
      <c r="CI90" s="1"/>
      <c r="CJ90" s="1"/>
      <c r="CK90" s="1"/>
      <c r="CL90" s="1"/>
      <c r="CM90" s="1"/>
      <c r="CN90" s="1"/>
      <c r="CO90" s="1"/>
      <c r="CP90" s="1"/>
      <c r="CQ90" s="1"/>
      <c r="CR90" s="1"/>
      <c r="CS90" s="1"/>
      <c r="CT90" s="1"/>
      <c r="CU90" s="1"/>
      <c r="CV90" s="1"/>
      <c r="CW90" s="1"/>
      <c r="CX90" s="1"/>
      <c r="CY90" s="1"/>
      <c r="DA90" s="297"/>
      <c r="DB90" s="52" t="s">
        <v>49</v>
      </c>
      <c r="DC90" s="8"/>
      <c r="DD90" s="8"/>
      <c r="DE90" s="8"/>
      <c r="DF90" s="8"/>
      <c r="DG90" s="8"/>
      <c r="DH90" s="8"/>
      <c r="DI90" s="8"/>
      <c r="DJ90" s="8"/>
      <c r="DK90" s="8"/>
      <c r="DL90" s="8"/>
      <c r="DM90" s="8"/>
      <c r="DN90" s="8"/>
      <c r="DO90" s="8"/>
      <c r="DP90" s="8"/>
      <c r="DQ90" s="12"/>
      <c r="DR90" s="12"/>
      <c r="DS90" s="12"/>
      <c r="DT90" s="12"/>
      <c r="DU90" s="12"/>
      <c r="DV90" s="12"/>
      <c r="DW90" s="12"/>
      <c r="DX90" s="12"/>
      <c r="DY90" s="12"/>
      <c r="DZ90" s="12"/>
      <c r="EA90" s="12"/>
    </row>
    <row r="91" spans="80:134" ht="14.5" x14ac:dyDescent="0.35">
      <c r="CB91" s="182"/>
      <c r="CC91" s="1"/>
      <c r="CD91" s="1"/>
      <c r="CE91" s="1"/>
      <c r="CF91" s="1"/>
      <c r="CG91" s="1"/>
      <c r="CH91" s="1"/>
      <c r="CI91" s="1"/>
      <c r="CJ91" s="1"/>
      <c r="CK91" s="1"/>
      <c r="CL91" s="1"/>
      <c r="CM91" s="1"/>
      <c r="CN91" s="1"/>
      <c r="CO91" s="1"/>
      <c r="CP91" s="1"/>
      <c r="CQ91" s="1"/>
      <c r="CR91" s="1"/>
      <c r="CS91" s="1"/>
      <c r="CT91" s="1"/>
      <c r="CU91" s="1"/>
      <c r="CV91" s="1"/>
      <c r="CW91" s="1"/>
      <c r="CX91" s="1"/>
      <c r="CY91" s="1"/>
      <c r="DA91" s="297"/>
      <c r="DB91" s="53" t="s">
        <v>6</v>
      </c>
      <c r="DC91" s="8"/>
      <c r="DD91" s="8"/>
      <c r="DE91" s="8"/>
      <c r="DF91" s="8"/>
      <c r="DG91" s="8"/>
      <c r="DH91" s="8"/>
      <c r="DI91" s="8"/>
      <c r="DJ91" s="8"/>
      <c r="DK91" s="8"/>
      <c r="DL91" s="8"/>
      <c r="DM91" s="8"/>
      <c r="DN91" s="8"/>
      <c r="DO91" s="8"/>
      <c r="DP91" s="8"/>
      <c r="DQ91" s="12"/>
      <c r="DR91" s="12"/>
      <c r="DS91" s="12"/>
      <c r="DT91" s="12"/>
      <c r="DU91" s="12"/>
      <c r="DV91" s="12"/>
      <c r="DW91" s="12"/>
      <c r="DX91" s="12"/>
      <c r="DY91" s="12"/>
      <c r="DZ91" s="12"/>
      <c r="EA91" s="12"/>
    </row>
    <row r="92" spans="80:134" ht="14.5" x14ac:dyDescent="0.35">
      <c r="CB92" s="182"/>
      <c r="CC92" s="1"/>
      <c r="CD92" s="1"/>
      <c r="CE92" s="1"/>
      <c r="CF92" s="1"/>
      <c r="CG92" s="1"/>
      <c r="CH92" s="1"/>
      <c r="CI92" s="1"/>
      <c r="CJ92" s="1"/>
      <c r="CK92" s="1"/>
      <c r="CL92" s="1"/>
      <c r="CM92" s="1"/>
      <c r="CN92" s="1"/>
      <c r="CO92" s="1"/>
      <c r="CP92" s="1"/>
      <c r="CQ92" s="1"/>
      <c r="CR92" s="1"/>
      <c r="CS92" s="1"/>
      <c r="CT92" s="1"/>
      <c r="CU92" s="1"/>
      <c r="CV92" s="1"/>
      <c r="CW92" s="1"/>
      <c r="CX92" s="1"/>
      <c r="CY92" s="1"/>
      <c r="DA92" s="297"/>
      <c r="DB92" s="70" t="s">
        <v>58</v>
      </c>
      <c r="DC92" s="8"/>
      <c r="DD92" s="8"/>
      <c r="DE92" s="8"/>
      <c r="DF92" s="8"/>
      <c r="DG92" s="8"/>
      <c r="DH92" s="8"/>
      <c r="DI92" s="8"/>
      <c r="DJ92" s="8"/>
      <c r="DK92" s="8"/>
      <c r="DL92" s="8"/>
      <c r="DM92" s="8"/>
      <c r="DN92" s="8"/>
      <c r="DO92" s="8"/>
      <c r="DP92" s="8"/>
      <c r="DQ92" s="12"/>
      <c r="DR92" s="12"/>
      <c r="DS92" s="12"/>
      <c r="DT92" s="12"/>
      <c r="DU92" s="12"/>
      <c r="DV92" s="12"/>
      <c r="DW92" s="12"/>
      <c r="DX92" s="12"/>
      <c r="DY92" s="12"/>
      <c r="DZ92" s="12"/>
      <c r="EA92" s="12"/>
    </row>
    <row r="93" spans="80:134" ht="14.5" x14ac:dyDescent="0.35">
      <c r="CB93" s="182"/>
      <c r="CC93" s="1"/>
      <c r="CD93" s="1"/>
      <c r="CE93" s="1"/>
      <c r="CF93" s="1"/>
      <c r="CG93" s="1"/>
      <c r="CH93" s="1"/>
      <c r="CI93" s="1"/>
      <c r="CJ93" s="1"/>
      <c r="CK93" s="1"/>
      <c r="CL93" s="1"/>
      <c r="CM93" s="1"/>
      <c r="CN93" s="1"/>
      <c r="CO93" s="1"/>
      <c r="CP93" s="1"/>
      <c r="CQ93" s="1"/>
      <c r="CR93" s="1"/>
      <c r="CS93" s="1"/>
      <c r="CT93" s="1"/>
      <c r="CU93" s="1"/>
      <c r="CV93" s="1"/>
      <c r="CW93" s="1"/>
      <c r="CX93" s="1"/>
      <c r="CY93" s="1"/>
      <c r="DA93" s="297"/>
      <c r="DB93" s="52" t="s">
        <v>48</v>
      </c>
      <c r="DC93" s="8"/>
      <c r="DD93" s="8"/>
      <c r="DE93" s="8"/>
      <c r="DF93" s="8"/>
      <c r="DG93" s="8"/>
      <c r="DH93" s="8"/>
      <c r="DI93" s="8"/>
      <c r="DJ93" s="8"/>
      <c r="DK93" s="8"/>
      <c r="DL93" s="8"/>
      <c r="DM93" s="8"/>
      <c r="DN93" s="8"/>
      <c r="DO93" s="8"/>
      <c r="DP93" s="8"/>
      <c r="DQ93" s="12"/>
      <c r="DR93" s="12"/>
      <c r="DS93" s="12"/>
      <c r="DT93" s="12"/>
      <c r="DU93" s="12"/>
      <c r="DV93" s="12"/>
      <c r="DW93" s="12"/>
      <c r="DX93" s="12"/>
      <c r="DY93" s="12"/>
      <c r="DZ93" s="12"/>
      <c r="EA93" s="12"/>
    </row>
    <row r="94" spans="80:134" ht="14.5" x14ac:dyDescent="0.35">
      <c r="CB94" s="182"/>
      <c r="CC94" s="1"/>
      <c r="CD94" s="1"/>
      <c r="CE94" s="1"/>
      <c r="CF94" s="1"/>
      <c r="CG94" s="1"/>
      <c r="CH94" s="1"/>
      <c r="CI94" s="1"/>
      <c r="CJ94" s="1"/>
      <c r="CK94" s="1"/>
      <c r="CL94" s="1"/>
      <c r="CM94" s="1"/>
      <c r="CN94" s="1"/>
      <c r="CO94" s="1"/>
      <c r="CP94" s="1"/>
      <c r="CQ94" s="1"/>
      <c r="CR94" s="1"/>
      <c r="CS94" s="1"/>
      <c r="CT94" s="1"/>
      <c r="CU94" s="1"/>
      <c r="CV94" s="1"/>
      <c r="CW94" s="1"/>
      <c r="CX94" s="1"/>
      <c r="CY94" s="1"/>
      <c r="DA94" s="297"/>
      <c r="DB94" s="54" t="s">
        <v>47</v>
      </c>
      <c r="DC94" s="8"/>
      <c r="DD94" s="8"/>
      <c r="DE94" s="8"/>
      <c r="DF94" s="8"/>
      <c r="DG94" s="8"/>
      <c r="DH94" s="8"/>
      <c r="DI94" s="8"/>
      <c r="DJ94" s="8"/>
      <c r="DK94" s="8"/>
      <c r="DL94" s="8"/>
      <c r="DM94" s="8"/>
      <c r="DN94" s="8"/>
      <c r="DO94" s="8"/>
      <c r="DP94" s="8"/>
      <c r="DQ94" s="12"/>
      <c r="DR94" s="12"/>
      <c r="DS94" s="12"/>
      <c r="DT94" s="12"/>
      <c r="DU94" s="12"/>
      <c r="DV94" s="12"/>
      <c r="DW94" s="12"/>
      <c r="DX94" s="12"/>
      <c r="DY94" s="12"/>
      <c r="DZ94" s="12"/>
      <c r="EA94" s="12"/>
    </row>
    <row r="95" spans="80:134" ht="14.5" x14ac:dyDescent="0.35">
      <c r="CB95" s="182"/>
      <c r="CC95" s="1"/>
      <c r="CD95" s="1"/>
      <c r="CE95" s="1"/>
      <c r="CF95" s="1"/>
      <c r="CG95" s="1"/>
      <c r="CH95" s="1"/>
      <c r="CI95" s="1"/>
      <c r="CJ95" s="1"/>
      <c r="CK95" s="1"/>
      <c r="CL95" s="1"/>
      <c r="CM95" s="1"/>
      <c r="CN95" s="1"/>
      <c r="CO95" s="1"/>
      <c r="CP95" s="1"/>
      <c r="CQ95" s="1"/>
      <c r="CR95" s="1"/>
      <c r="CS95" s="1"/>
      <c r="CT95" s="1"/>
      <c r="CU95" s="1"/>
      <c r="CV95" s="1"/>
      <c r="CW95" s="1"/>
      <c r="CX95" s="1"/>
      <c r="CY95" s="1"/>
      <c r="DA95" s="40"/>
      <c r="DB95" s="11"/>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row>
    <row r="96" spans="80:134" ht="14.5" x14ac:dyDescent="0.35">
      <c r="CB96" s="182"/>
      <c r="CC96" s="1"/>
      <c r="CD96" s="1"/>
      <c r="CE96" s="1"/>
      <c r="CF96" s="1"/>
      <c r="CG96" s="1"/>
      <c r="CH96" s="1"/>
      <c r="CI96" s="1"/>
      <c r="CJ96" s="1"/>
      <c r="CK96" s="1"/>
      <c r="CL96" s="1"/>
      <c r="CM96" s="1"/>
      <c r="CN96" s="1"/>
      <c r="CO96" s="1"/>
      <c r="CP96" s="1"/>
      <c r="CQ96" s="1"/>
      <c r="CR96" s="1"/>
      <c r="CS96" s="1"/>
      <c r="CT96" s="1"/>
      <c r="CU96" s="1"/>
      <c r="CV96" s="1"/>
      <c r="CW96" s="1"/>
      <c r="CX96" s="1"/>
      <c r="CY96" s="1"/>
      <c r="DA96" s="297" t="s">
        <v>78</v>
      </c>
      <c r="DB96" s="52"/>
      <c r="DC96" s="67"/>
      <c r="DD96" s="67"/>
      <c r="DE96" s="67"/>
      <c r="DF96" s="67"/>
      <c r="DG96" s="67"/>
      <c r="DH96" s="67"/>
      <c r="DI96" s="67"/>
      <c r="DJ96" s="67"/>
      <c r="DK96" s="68">
        <v>-19829.638093632686</v>
      </c>
      <c r="DL96" s="67"/>
      <c r="DM96" s="67"/>
      <c r="DN96" s="67"/>
      <c r="DO96" s="67"/>
      <c r="DP96" s="67"/>
      <c r="DQ96" s="67"/>
      <c r="DR96" s="67"/>
      <c r="DS96" s="67"/>
      <c r="DT96" s="67"/>
      <c r="DU96" s="67"/>
      <c r="DV96" s="67"/>
      <c r="DW96" s="67"/>
      <c r="DX96" s="67"/>
      <c r="DY96" s="67"/>
      <c r="DZ96" s="67"/>
      <c r="EA96" s="67"/>
    </row>
    <row r="97" spans="80:134" ht="14.5" x14ac:dyDescent="0.35">
      <c r="CB97" s="182"/>
      <c r="CC97" s="1"/>
      <c r="CD97" s="1"/>
      <c r="CE97" s="1"/>
      <c r="CF97" s="1"/>
      <c r="CG97" s="1"/>
      <c r="CH97" s="1"/>
      <c r="CI97" s="1"/>
      <c r="CJ97" s="1"/>
      <c r="CK97" s="1"/>
      <c r="CL97" s="1"/>
      <c r="CM97" s="1"/>
      <c r="CN97" s="1"/>
      <c r="CO97" s="1"/>
      <c r="CP97" s="1"/>
      <c r="CQ97" s="1"/>
      <c r="CR97" s="1"/>
      <c r="CS97" s="1"/>
      <c r="CT97" s="1"/>
      <c r="CU97" s="1"/>
      <c r="CV97" s="1"/>
      <c r="CW97" s="1"/>
      <c r="CX97" s="1"/>
      <c r="CY97" s="1"/>
      <c r="DA97" s="297"/>
      <c r="DB97" s="52" t="s">
        <v>72</v>
      </c>
      <c r="DC97" s="60">
        <v>1894978.5217391304</v>
      </c>
      <c r="DD97" s="60">
        <v>1894978.5217391304</v>
      </c>
      <c r="DE97" s="118">
        <v>1837060.8550724636</v>
      </c>
      <c r="DF97" s="60">
        <v>1837060.8550724636</v>
      </c>
      <c r="DG97" s="60">
        <v>1837060.8550724636</v>
      </c>
      <c r="DH97" s="60">
        <v>1837060.8550724636</v>
      </c>
      <c r="DI97" s="60">
        <v>1837060.8550724636</v>
      </c>
      <c r="DJ97" s="60">
        <v>1837060.8550724636</v>
      </c>
      <c r="DK97" s="60">
        <v>1837060.8550724636</v>
      </c>
      <c r="DL97" s="60">
        <v>1837060.8550724636</v>
      </c>
      <c r="DM97" s="60">
        <v>1837060.8550724636</v>
      </c>
      <c r="DN97" s="60">
        <v>1837060.8550724636</v>
      </c>
      <c r="DO97" s="60">
        <v>1837060.8550724636</v>
      </c>
      <c r="DP97" s="60">
        <v>-57917.666666666664</v>
      </c>
      <c r="DQ97" s="211"/>
      <c r="DR97" s="211"/>
      <c r="DS97" s="211"/>
      <c r="DT97" s="211"/>
      <c r="DU97" s="211"/>
      <c r="DV97" s="211"/>
      <c r="DW97" s="211"/>
      <c r="DX97" s="211"/>
      <c r="DY97" s="211"/>
      <c r="DZ97" s="211"/>
      <c r="EA97" s="211"/>
    </row>
    <row r="98" spans="80:134" ht="14.5" x14ac:dyDescent="0.35">
      <c r="CB98" s="182"/>
      <c r="CC98" s="1"/>
      <c r="CD98" s="1"/>
      <c r="CE98" s="1"/>
      <c r="CF98" s="1"/>
      <c r="CG98" s="1"/>
      <c r="CH98" s="1"/>
      <c r="CI98" s="1"/>
      <c r="CJ98" s="1"/>
      <c r="CK98" s="1"/>
      <c r="CL98" s="1"/>
      <c r="CM98" s="1"/>
      <c r="CN98" s="1"/>
      <c r="CO98" s="1"/>
      <c r="CP98" s="1"/>
      <c r="CQ98" s="1"/>
      <c r="CR98" s="1"/>
      <c r="CS98" s="1"/>
      <c r="CT98" s="1"/>
      <c r="CU98" s="1"/>
      <c r="CV98" s="1"/>
      <c r="CW98" s="1"/>
      <c r="CX98" s="1"/>
      <c r="CY98" s="1"/>
      <c r="DA98" s="297"/>
      <c r="DB98" s="52" t="s">
        <v>73</v>
      </c>
      <c r="DC98" s="22">
        <v>1876199.76</v>
      </c>
      <c r="DD98" s="22">
        <v>2208883.19</v>
      </c>
      <c r="DE98" s="22">
        <v>2225379.46</v>
      </c>
      <c r="DF98" s="22">
        <v>1811132.25</v>
      </c>
      <c r="DG98" s="22">
        <v>1487332.63</v>
      </c>
      <c r="DH98" s="22">
        <v>1466226.4</v>
      </c>
      <c r="DI98" s="22">
        <v>1702068.99</v>
      </c>
      <c r="DJ98" s="22">
        <v>2140875.2000000002</v>
      </c>
      <c r="DK98" s="22">
        <v>2124604.4300000002</v>
      </c>
      <c r="DL98" s="22">
        <v>2135977.81</v>
      </c>
      <c r="DM98" s="22">
        <v>1701158.29</v>
      </c>
      <c r="DN98" s="22">
        <v>1511011.77</v>
      </c>
      <c r="DO98" s="22">
        <v>1819161.98</v>
      </c>
      <c r="DP98" s="22">
        <v>2089766.47</v>
      </c>
      <c r="DQ98" s="12"/>
      <c r="DR98" s="12"/>
      <c r="DS98" s="12"/>
      <c r="DT98" s="12"/>
      <c r="DU98" s="12"/>
      <c r="DV98" s="12"/>
      <c r="DW98" s="12"/>
      <c r="DX98" s="12"/>
      <c r="DY98" s="12"/>
      <c r="DZ98" s="12"/>
      <c r="EA98" s="12"/>
    </row>
    <row r="99" spans="80:134" ht="14.5" x14ac:dyDescent="0.35">
      <c r="CB99" s="182"/>
      <c r="CC99" s="1"/>
      <c r="CD99" s="1"/>
      <c r="CE99" s="1"/>
      <c r="CF99" s="1"/>
      <c r="CG99" s="1"/>
      <c r="CH99" s="1"/>
      <c r="CI99" s="1"/>
      <c r="CJ99" s="1"/>
      <c r="CK99" s="1"/>
      <c r="CL99" s="1"/>
      <c r="CM99" s="1"/>
      <c r="CN99" s="1"/>
      <c r="CO99" s="1"/>
      <c r="CP99" s="1"/>
      <c r="CQ99" s="1"/>
      <c r="CR99" s="1"/>
      <c r="CS99" s="1"/>
      <c r="CT99" s="1"/>
      <c r="CU99" s="1"/>
      <c r="CV99" s="1"/>
      <c r="CW99" s="1"/>
      <c r="CX99" s="1"/>
      <c r="CY99" s="1"/>
      <c r="DA99" s="297"/>
      <c r="DB99" s="52" t="s">
        <v>74</v>
      </c>
      <c r="DC99" s="8">
        <v>18778.761739130365</v>
      </c>
      <c r="DD99" s="8">
        <v>-313904.66826086957</v>
      </c>
      <c r="DE99" s="8">
        <v>-388318.60492753633</v>
      </c>
      <c r="DF99" s="8">
        <v>25928.60507246363</v>
      </c>
      <c r="DG99" s="8">
        <v>349728.22507246374</v>
      </c>
      <c r="DH99" s="8">
        <v>370834.45507246372</v>
      </c>
      <c r="DI99" s="8">
        <v>134991.86507246364</v>
      </c>
      <c r="DJ99" s="8">
        <v>-303814.34492753656</v>
      </c>
      <c r="DK99" s="8">
        <v>-287543.57492753654</v>
      </c>
      <c r="DL99" s="8">
        <v>-298916.95492753643</v>
      </c>
      <c r="DM99" s="8">
        <v>135902.56507246359</v>
      </c>
      <c r="DN99" s="8">
        <v>326049.08507246361</v>
      </c>
      <c r="DO99" s="8">
        <v>17898.875072463648</v>
      </c>
      <c r="DP99" s="8">
        <v>-2147684.1366666667</v>
      </c>
      <c r="DQ99" s="12" t="s">
        <v>129</v>
      </c>
      <c r="DR99" s="12" t="s">
        <v>129</v>
      </c>
      <c r="DS99" s="12" t="s">
        <v>129</v>
      </c>
      <c r="DT99" s="12" t="s">
        <v>129</v>
      </c>
      <c r="DU99" s="12" t="s">
        <v>129</v>
      </c>
      <c r="DV99" s="12" t="s">
        <v>129</v>
      </c>
      <c r="DW99" s="12" t="s">
        <v>129</v>
      </c>
      <c r="DX99" s="12" t="s">
        <v>129</v>
      </c>
      <c r="DY99" s="12" t="s">
        <v>129</v>
      </c>
      <c r="DZ99" s="12" t="s">
        <v>129</v>
      </c>
      <c r="EA99" s="12" t="s">
        <v>129</v>
      </c>
    </row>
    <row r="100" spans="80:134" ht="14.5" x14ac:dyDescent="0.35">
      <c r="CB100" s="182"/>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DA100" s="297"/>
      <c r="DB100" s="52" t="s">
        <v>4</v>
      </c>
      <c r="DC100" s="61">
        <v>2E-3</v>
      </c>
      <c r="DD100" s="61">
        <v>2.0613900000000002E-3</v>
      </c>
      <c r="DE100" s="61">
        <v>2.3221700000000001E-3</v>
      </c>
      <c r="DF100" s="61">
        <v>2.1367399999999998E-3</v>
      </c>
      <c r="DG100" s="61">
        <v>2.2512299999999999E-3</v>
      </c>
      <c r="DH100" s="61">
        <v>2.2427200000000001E-3</v>
      </c>
      <c r="DI100" s="61">
        <v>2.01659E-3</v>
      </c>
      <c r="DJ100" s="61">
        <v>1.3954900000000001E-3</v>
      </c>
      <c r="DK100" s="61">
        <v>2.0509899999999999E-3</v>
      </c>
      <c r="DL100" s="61">
        <v>1.9323299999999999E-3</v>
      </c>
      <c r="DM100" s="61">
        <v>1.5E-3</v>
      </c>
      <c r="DN100" s="61">
        <v>1.5320900000000001E-3</v>
      </c>
      <c r="DO100" s="61">
        <v>2.6046400000000001E-3</v>
      </c>
      <c r="DP100" s="61">
        <v>2.3444999999999998E-3</v>
      </c>
      <c r="DQ100" s="212" t="s">
        <v>129</v>
      </c>
      <c r="DR100" s="212" t="s">
        <v>129</v>
      </c>
      <c r="DS100" s="212" t="s">
        <v>129</v>
      </c>
      <c r="DT100" s="212" t="s">
        <v>129</v>
      </c>
      <c r="DU100" s="212" t="s">
        <v>129</v>
      </c>
      <c r="DV100" s="212" t="s">
        <v>129</v>
      </c>
      <c r="DW100" s="212" t="s">
        <v>129</v>
      </c>
      <c r="DX100" s="212" t="s">
        <v>129</v>
      </c>
      <c r="DY100" s="212" t="s">
        <v>129</v>
      </c>
      <c r="DZ100" s="212" t="s">
        <v>129</v>
      </c>
      <c r="EA100" s="212" t="s">
        <v>129</v>
      </c>
    </row>
    <row r="101" spans="80:134" ht="14.5" x14ac:dyDescent="0.35">
      <c r="CB101" s="182"/>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DA101" s="297"/>
      <c r="DB101" s="52" t="s">
        <v>49</v>
      </c>
      <c r="DC101" s="8">
        <v>370.41227569572084</v>
      </c>
      <c r="DD101" s="8">
        <v>327.92238216942786</v>
      </c>
      <c r="DE101" s="8">
        <v>294.32512325054387</v>
      </c>
      <c r="DF101" s="8">
        <v>275.49196187759077</v>
      </c>
      <c r="DG101" s="8">
        <v>355.9148410135395</v>
      </c>
      <c r="DH101" s="8">
        <v>423.94243301973091</v>
      </c>
      <c r="DI101" s="8">
        <v>403.95348469492154</v>
      </c>
      <c r="DJ101" s="8">
        <v>244.2539112090524</v>
      </c>
      <c r="DK101" s="8">
        <v>309.88268234737495</v>
      </c>
      <c r="DL101" s="8">
        <v>243.87047343051788</v>
      </c>
      <c r="DM101" s="8">
        <v>206.32639889179208</v>
      </c>
      <c r="DN101" s="8">
        <v>252.3947960988462</v>
      </c>
      <c r="DO101" s="8">
        <v>433.02527928011182</v>
      </c>
      <c r="DP101" s="8">
        <v>-29.742569052653227</v>
      </c>
      <c r="DQ101" s="12" t="s">
        <v>129</v>
      </c>
      <c r="DR101" s="12" t="s">
        <v>129</v>
      </c>
      <c r="DS101" s="12" t="s">
        <v>129</v>
      </c>
      <c r="DT101" s="12" t="s">
        <v>129</v>
      </c>
      <c r="DU101" s="12" t="s">
        <v>129</v>
      </c>
      <c r="DV101" s="12" t="s">
        <v>129</v>
      </c>
      <c r="DW101" s="12" t="s">
        <v>129</v>
      </c>
      <c r="DX101" s="12" t="s">
        <v>129</v>
      </c>
      <c r="DY101" s="12" t="s">
        <v>129</v>
      </c>
      <c r="DZ101" s="12" t="s">
        <v>129</v>
      </c>
      <c r="EA101" s="12" t="s">
        <v>129</v>
      </c>
    </row>
    <row r="102" spans="80:134" ht="14.5" x14ac:dyDescent="0.35">
      <c r="CB102" s="182"/>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DA102" s="297"/>
      <c r="DB102" s="53" t="s">
        <v>6</v>
      </c>
      <c r="DC102" s="8">
        <v>-31180.298767368378</v>
      </c>
      <c r="DD102" s="8">
        <v>-30852.37638519895</v>
      </c>
      <c r="DE102" s="8">
        <v>-30558.051261948407</v>
      </c>
      <c r="DF102" s="8">
        <v>-30282.559300070818</v>
      </c>
      <c r="DG102" s="8">
        <v>-29926.644459057279</v>
      </c>
      <c r="DH102" s="8">
        <v>-29502.702026037547</v>
      </c>
      <c r="DI102" s="8">
        <v>-29098.748541342626</v>
      </c>
      <c r="DJ102" s="8">
        <v>-28854.494630133573</v>
      </c>
      <c r="DK102" s="8">
        <v>-28544.611947786198</v>
      </c>
      <c r="DL102" s="8">
        <v>-28300.74147435568</v>
      </c>
      <c r="DM102" s="8">
        <v>-28094.415075463887</v>
      </c>
      <c r="DN102" s="8">
        <v>-27842.020279365039</v>
      </c>
      <c r="DO102" s="8">
        <v>-27408.995000084928</v>
      </c>
      <c r="DP102" s="8">
        <v>-27438.737569137582</v>
      </c>
      <c r="DQ102" s="12" t="s">
        <v>129</v>
      </c>
      <c r="DR102" s="12" t="s">
        <v>129</v>
      </c>
      <c r="DS102" s="12" t="s">
        <v>129</v>
      </c>
      <c r="DT102" s="12" t="s">
        <v>129</v>
      </c>
      <c r="DU102" s="12" t="s">
        <v>129</v>
      </c>
      <c r="DV102" s="12" t="s">
        <v>129</v>
      </c>
      <c r="DW102" s="12" t="s">
        <v>129</v>
      </c>
      <c r="DX102" s="12" t="s">
        <v>129</v>
      </c>
      <c r="DY102" s="12" t="s">
        <v>129</v>
      </c>
      <c r="DZ102" s="12" t="s">
        <v>129</v>
      </c>
      <c r="EA102" s="12" t="s">
        <v>129</v>
      </c>
      <c r="EB102" s="45">
        <f>'MEEIA 2 calcs'!BW101</f>
        <v>-27281.524483077657</v>
      </c>
      <c r="EC102" s="165">
        <f>DP102-EB102</f>
        <v>-157.21308605992454</v>
      </c>
      <c r="ED102" s="47" t="s">
        <v>131</v>
      </c>
    </row>
    <row r="103" spans="80:134" ht="14.5" x14ac:dyDescent="0.35">
      <c r="CB103" s="182"/>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DA103" s="297"/>
      <c r="DB103" s="70" t="s">
        <v>75</v>
      </c>
      <c r="DC103" s="8">
        <v>19149.174014826087</v>
      </c>
      <c r="DD103" s="8">
        <v>-313576.74587870017</v>
      </c>
      <c r="DE103" s="8">
        <v>-388024.27980428579</v>
      </c>
      <c r="DF103" s="8">
        <v>26204.097034341219</v>
      </c>
      <c r="DG103" s="8">
        <v>350084.13991347729</v>
      </c>
      <c r="DH103" s="8">
        <v>371258.39750548347</v>
      </c>
      <c r="DI103" s="8">
        <v>135395.81855715855</v>
      </c>
      <c r="DJ103" s="8">
        <v>-303570.0910163275</v>
      </c>
      <c r="DK103" s="8">
        <v>-287233.69224518916</v>
      </c>
      <c r="DL103" s="8">
        <v>-298673.08445410593</v>
      </c>
      <c r="DM103" s="8">
        <v>136108.8914713554</v>
      </c>
      <c r="DN103" s="8">
        <v>326301.47986856248</v>
      </c>
      <c r="DO103" s="8">
        <v>18331.90035174376</v>
      </c>
      <c r="DP103" s="8">
        <v>-2147713.8792357193</v>
      </c>
      <c r="DQ103" s="12" t="s">
        <v>129</v>
      </c>
      <c r="DR103" s="12" t="s">
        <v>129</v>
      </c>
      <c r="DS103" s="12" t="s">
        <v>129</v>
      </c>
      <c r="DT103" s="12" t="s">
        <v>129</v>
      </c>
      <c r="DU103" s="12" t="s">
        <v>129</v>
      </c>
      <c r="DV103" s="12" t="s">
        <v>129</v>
      </c>
      <c r="DW103" s="12" t="s">
        <v>129</v>
      </c>
      <c r="DX103" s="12" t="s">
        <v>129</v>
      </c>
      <c r="DY103" s="12" t="s">
        <v>129</v>
      </c>
      <c r="DZ103" s="12" t="s">
        <v>129</v>
      </c>
      <c r="EA103" s="12" t="s">
        <v>129</v>
      </c>
    </row>
    <row r="104" spans="80:134" ht="14.5" x14ac:dyDescent="0.35">
      <c r="CB104" s="182"/>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DA104" s="297"/>
      <c r="DB104" s="52" t="s">
        <v>76</v>
      </c>
      <c r="DC104" s="8">
        <v>2222844.0664500208</v>
      </c>
      <c r="DD104" s="8">
        <v>1909267.3205713206</v>
      </c>
      <c r="DE104" s="8">
        <v>1521243.0407670347</v>
      </c>
      <c r="DF104" s="8">
        <v>1547447.1378013759</v>
      </c>
      <c r="DG104" s="8">
        <v>1897531.2777148532</v>
      </c>
      <c r="DH104" s="8">
        <v>2268789.6752203368</v>
      </c>
      <c r="DI104" s="8">
        <v>2404185.4937774953</v>
      </c>
      <c r="DJ104" s="8">
        <v>2100615.4027611678</v>
      </c>
      <c r="DK104" s="8">
        <v>1813381.7105159787</v>
      </c>
      <c r="DL104" s="8">
        <v>1514708.6260618728</v>
      </c>
      <c r="DM104" s="8">
        <v>1650817.5175332283</v>
      </c>
      <c r="DN104" s="8">
        <v>1977118.9974017907</v>
      </c>
      <c r="DO104" s="8">
        <v>1995450.8977535344</v>
      </c>
      <c r="DP104" s="8">
        <v>-152262.98148218496</v>
      </c>
      <c r="DQ104" s="12" t="s">
        <v>129</v>
      </c>
      <c r="DR104" s="12" t="s">
        <v>129</v>
      </c>
      <c r="DS104" s="12" t="s">
        <v>129</v>
      </c>
      <c r="DT104" s="12" t="s">
        <v>129</v>
      </c>
      <c r="DU104" s="12" t="s">
        <v>129</v>
      </c>
      <c r="DV104" s="12" t="s">
        <v>129</v>
      </c>
      <c r="DW104" s="12" t="s">
        <v>129</v>
      </c>
      <c r="DX104" s="12" t="s">
        <v>129</v>
      </c>
      <c r="DY104" s="12" t="s">
        <v>129</v>
      </c>
      <c r="DZ104" s="12" t="s">
        <v>129</v>
      </c>
      <c r="EA104" s="12" t="s">
        <v>129</v>
      </c>
    </row>
    <row r="105" spans="80:134" ht="14.5" x14ac:dyDescent="0.35">
      <c r="CB105" s="182"/>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DA105" s="297"/>
      <c r="DB105" s="54" t="s">
        <v>77</v>
      </c>
      <c r="DC105" s="8">
        <v>24267574.941232625</v>
      </c>
      <c r="DD105" s="8">
        <v>22059019.673614793</v>
      </c>
      <c r="DE105" s="8">
        <v>19833934.538738042</v>
      </c>
      <c r="DF105" s="8">
        <v>18023077.78069992</v>
      </c>
      <c r="DG105" s="8">
        <v>16536101.065540934</v>
      </c>
      <c r="DH105" s="8">
        <v>15070298.607973954</v>
      </c>
      <c r="DI105" s="8">
        <v>13368633.571458649</v>
      </c>
      <c r="DJ105" s="8">
        <v>11228002.625369858</v>
      </c>
      <c r="DK105" s="8">
        <v>9083878.4399585724</v>
      </c>
      <c r="DL105" s="8">
        <v>6948144.5004320024</v>
      </c>
      <c r="DM105" s="8">
        <v>5247192.5368308937</v>
      </c>
      <c r="DN105" s="8">
        <v>3736433.1616269927</v>
      </c>
      <c r="DO105" s="8">
        <v>1917704.2069062728</v>
      </c>
      <c r="DP105" s="8">
        <v>-172092.00566277982</v>
      </c>
      <c r="DQ105" s="12" t="s">
        <v>129</v>
      </c>
      <c r="DR105" s="12" t="s">
        <v>129</v>
      </c>
      <c r="DS105" s="12" t="s">
        <v>129</v>
      </c>
      <c r="DT105" s="12" t="s">
        <v>129</v>
      </c>
      <c r="DU105" s="12" t="s">
        <v>129</v>
      </c>
      <c r="DV105" s="12" t="s">
        <v>129</v>
      </c>
      <c r="DW105" s="12" t="s">
        <v>129</v>
      </c>
      <c r="DX105" s="12" t="s">
        <v>129</v>
      </c>
      <c r="DY105" s="12" t="s">
        <v>129</v>
      </c>
      <c r="DZ105" s="12" t="s">
        <v>129</v>
      </c>
      <c r="EA105" s="12" t="s">
        <v>129</v>
      </c>
    </row>
    <row r="106" spans="80:134" ht="15" customHeight="1" x14ac:dyDescent="0.35">
      <c r="CB106" s="182"/>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DA106" s="40"/>
      <c r="DB106" s="11"/>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row>
    <row r="107" spans="80:134" ht="15" customHeight="1" x14ac:dyDescent="0.35">
      <c r="CB107" s="182"/>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80:134" ht="15" customHeight="1" x14ac:dyDescent="0.35">
      <c r="CB108" s="182"/>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80:134" ht="15" customHeight="1" x14ac:dyDescent="0.35">
      <c r="CB109" s="182"/>
      <c r="CC109" s="1"/>
      <c r="CD109" s="1"/>
      <c r="CE109" s="1"/>
      <c r="CF109" s="1"/>
      <c r="CG109" s="1"/>
      <c r="CH109" s="1"/>
      <c r="CI109" s="1"/>
      <c r="CJ109" s="1"/>
      <c r="CK109" s="1"/>
      <c r="CL109" s="1"/>
      <c r="CM109" s="1"/>
      <c r="CN109" s="1"/>
      <c r="CO109" s="1"/>
      <c r="CP109" s="1"/>
      <c r="CQ109" s="1"/>
      <c r="CR109" s="1"/>
      <c r="CS109" s="1"/>
      <c r="CT109" s="1"/>
      <c r="CU109" s="1"/>
      <c r="CV109" s="1"/>
      <c r="CW109" s="1"/>
      <c r="CX109" s="1"/>
      <c r="CY109" s="1"/>
    </row>
    <row r="110" spans="80:134" ht="15" customHeight="1" x14ac:dyDescent="0.35">
      <c r="CB110" s="182"/>
      <c r="CC110" s="1"/>
      <c r="CD110" s="1"/>
      <c r="CE110" s="1"/>
      <c r="CF110" s="1"/>
      <c r="CG110" s="1"/>
      <c r="CH110" s="1"/>
      <c r="CI110" s="1"/>
      <c r="CJ110" s="1"/>
      <c r="CK110" s="1"/>
      <c r="CL110" s="1"/>
      <c r="CM110" s="1"/>
      <c r="CN110" s="1"/>
      <c r="CO110" s="1"/>
      <c r="CP110" s="1"/>
      <c r="CQ110" s="1"/>
      <c r="CR110" s="1"/>
      <c r="CS110" s="1"/>
      <c r="CT110" s="1"/>
      <c r="CU110" s="1"/>
      <c r="CV110" s="1"/>
      <c r="CW110" s="1"/>
      <c r="CX110" s="1"/>
      <c r="CY110" s="1"/>
    </row>
    <row r="111" spans="80:134" ht="15" customHeight="1" x14ac:dyDescent="0.35">
      <c r="CB111" s="182"/>
      <c r="CC111" s="1"/>
      <c r="CD111" s="1"/>
      <c r="CE111" s="1"/>
      <c r="CF111" s="1"/>
      <c r="CG111" s="1"/>
      <c r="CH111" s="1"/>
      <c r="CI111" s="1"/>
      <c r="CJ111" s="1"/>
      <c r="CK111" s="1"/>
      <c r="CL111" s="1"/>
      <c r="CM111" s="1"/>
      <c r="CN111" s="1"/>
      <c r="CO111" s="1"/>
      <c r="CP111" s="1"/>
      <c r="CQ111" s="1"/>
      <c r="CR111" s="1"/>
      <c r="CS111" s="1"/>
      <c r="CT111" s="1"/>
      <c r="CU111" s="1"/>
      <c r="CV111" s="1"/>
      <c r="CW111" s="1"/>
      <c r="CX111" s="1"/>
      <c r="CY111" s="1"/>
    </row>
    <row r="112" spans="80:134" ht="15" customHeight="1" x14ac:dyDescent="0.35">
      <c r="CB112" s="182"/>
      <c r="CC112" s="1"/>
      <c r="CD112" s="1"/>
      <c r="CE112" s="1"/>
      <c r="CF112" s="1"/>
      <c r="CG112" s="1"/>
      <c r="CH112" s="1"/>
      <c r="CI112" s="1"/>
      <c r="CJ112" s="1"/>
      <c r="CK112" s="1"/>
      <c r="CL112" s="1"/>
      <c r="CM112" s="1"/>
      <c r="CN112" s="1"/>
      <c r="CO112" s="1"/>
      <c r="CP112" s="1"/>
      <c r="CQ112" s="1"/>
      <c r="CR112" s="1"/>
      <c r="CS112" s="1"/>
      <c r="CT112" s="1"/>
      <c r="CU112" s="1"/>
      <c r="CV112" s="1"/>
      <c r="CW112" s="1"/>
      <c r="CX112" s="1"/>
      <c r="CY112" s="1"/>
    </row>
    <row r="113" spans="80:103" ht="15" customHeight="1" x14ac:dyDescent="0.35">
      <c r="CB113" s="182"/>
      <c r="CC113" s="1"/>
      <c r="CD113" s="1"/>
      <c r="CE113" s="1"/>
      <c r="CF113" s="1"/>
      <c r="CG113" s="1"/>
      <c r="CH113" s="1"/>
      <c r="CI113" s="1"/>
      <c r="CJ113" s="1"/>
      <c r="CK113" s="1"/>
      <c r="CL113" s="1"/>
      <c r="CM113" s="1"/>
      <c r="CN113" s="1"/>
      <c r="CO113" s="1"/>
      <c r="CP113" s="1"/>
      <c r="CQ113" s="1"/>
      <c r="CR113" s="1"/>
      <c r="CS113" s="1"/>
      <c r="CT113" s="1"/>
      <c r="CU113" s="1"/>
      <c r="CV113" s="1"/>
      <c r="CW113" s="1"/>
      <c r="CX113" s="1"/>
      <c r="CY113" s="1"/>
    </row>
    <row r="114" spans="80:103" ht="15" customHeight="1" x14ac:dyDescent="0.35">
      <c r="CB114" s="182"/>
      <c r="CC114" s="1"/>
      <c r="CD114" s="1"/>
      <c r="CE114" s="1"/>
      <c r="CF114" s="1"/>
      <c r="CG114" s="1"/>
      <c r="CH114" s="1"/>
      <c r="CI114" s="1"/>
      <c r="CJ114" s="1"/>
      <c r="CK114" s="1"/>
      <c r="CL114" s="1"/>
      <c r="CM114" s="1"/>
      <c r="CN114" s="1"/>
      <c r="CO114" s="1"/>
      <c r="CP114" s="1"/>
      <c r="CQ114" s="1"/>
      <c r="CR114" s="1"/>
      <c r="CS114" s="1"/>
      <c r="CT114" s="1"/>
      <c r="CU114" s="1"/>
      <c r="CV114" s="1"/>
      <c r="CW114" s="1"/>
      <c r="CX114" s="1"/>
      <c r="CY114" s="1"/>
    </row>
    <row r="115" spans="80:103" ht="15" customHeight="1" x14ac:dyDescent="0.35">
      <c r="CB115" s="182"/>
      <c r="CC115" s="1"/>
      <c r="CD115" s="1"/>
      <c r="CE115" s="1"/>
      <c r="CF115" s="1"/>
      <c r="CG115" s="1"/>
      <c r="CH115" s="1"/>
      <c r="CI115" s="1"/>
      <c r="CJ115" s="1"/>
      <c r="CK115" s="1"/>
      <c r="CL115" s="1"/>
      <c r="CM115" s="1"/>
      <c r="CN115" s="1"/>
      <c r="CO115" s="1"/>
      <c r="CP115" s="1"/>
      <c r="CQ115" s="1"/>
      <c r="CR115" s="1"/>
      <c r="CS115" s="1"/>
      <c r="CT115" s="1"/>
      <c r="CU115" s="1"/>
      <c r="CV115" s="1"/>
      <c r="CW115" s="1"/>
      <c r="CX115" s="1"/>
      <c r="CY115" s="1"/>
    </row>
    <row r="116" spans="80:103" ht="15" customHeight="1" x14ac:dyDescent="0.35">
      <c r="CB116" s="182"/>
      <c r="CC116" s="1"/>
      <c r="CD116" s="1"/>
      <c r="CE116" s="1"/>
      <c r="CF116" s="1"/>
      <c r="CG116" s="1"/>
      <c r="CH116" s="1"/>
      <c r="CI116" s="1"/>
      <c r="CJ116" s="1"/>
      <c r="CK116" s="1"/>
      <c r="CL116" s="1"/>
      <c r="CM116" s="1"/>
      <c r="CN116" s="1"/>
      <c r="CO116" s="1"/>
      <c r="CP116" s="1"/>
      <c r="CQ116" s="1"/>
      <c r="CR116" s="1"/>
      <c r="CS116" s="1"/>
      <c r="CT116" s="1"/>
      <c r="CU116" s="1"/>
      <c r="CV116" s="1"/>
      <c r="CW116" s="1"/>
      <c r="CX116" s="1"/>
      <c r="CY116" s="1"/>
    </row>
    <row r="117" spans="80:103" ht="15" customHeight="1" x14ac:dyDescent="0.35">
      <c r="CB117" s="182"/>
      <c r="CC117" s="1"/>
      <c r="CD117" s="1"/>
      <c r="CE117" s="1"/>
      <c r="CF117" s="1"/>
      <c r="CG117" s="1"/>
      <c r="CH117" s="1"/>
      <c r="CI117" s="1"/>
      <c r="CJ117" s="1"/>
      <c r="CK117" s="1"/>
      <c r="CL117" s="1"/>
      <c r="CM117" s="1"/>
      <c r="CN117" s="1"/>
      <c r="CO117" s="1"/>
      <c r="CP117" s="1"/>
      <c r="CQ117" s="1"/>
      <c r="CR117" s="1"/>
      <c r="CS117" s="1"/>
      <c r="CT117" s="1"/>
      <c r="CU117" s="1"/>
      <c r="CV117" s="1"/>
      <c r="CW117" s="1"/>
      <c r="CX117" s="1"/>
      <c r="CY117" s="1"/>
    </row>
    <row r="118" spans="80:103" ht="15" customHeight="1" x14ac:dyDescent="0.35">
      <c r="CB118" s="182"/>
      <c r="CC118" s="1"/>
      <c r="CD118" s="1"/>
      <c r="CE118" s="1"/>
      <c r="CF118" s="1"/>
      <c r="CG118" s="1"/>
      <c r="CH118" s="1"/>
      <c r="CI118" s="1"/>
      <c r="CJ118" s="1"/>
      <c r="CK118" s="1"/>
      <c r="CL118" s="1"/>
      <c r="CM118" s="1"/>
      <c r="CN118" s="1"/>
      <c r="CO118" s="1"/>
      <c r="CP118" s="1"/>
      <c r="CQ118" s="1"/>
      <c r="CR118" s="1"/>
      <c r="CS118" s="1"/>
      <c r="CT118" s="1"/>
      <c r="CU118" s="1"/>
      <c r="CV118" s="1"/>
      <c r="CW118" s="1"/>
      <c r="CX118" s="1"/>
      <c r="CY118" s="1"/>
    </row>
    <row r="119" spans="80:103" ht="15" customHeight="1" x14ac:dyDescent="0.35">
      <c r="CB119" s="182"/>
      <c r="CC119" s="1"/>
      <c r="CD119" s="1"/>
      <c r="CE119" s="1"/>
      <c r="CF119" s="1"/>
      <c r="CG119" s="1"/>
      <c r="CH119" s="1"/>
      <c r="CI119" s="1"/>
      <c r="CJ119" s="1"/>
      <c r="CK119" s="1"/>
      <c r="CL119" s="1"/>
      <c r="CM119" s="1"/>
      <c r="CN119" s="1"/>
      <c r="CO119" s="1"/>
      <c r="CP119" s="1"/>
      <c r="CQ119" s="1"/>
      <c r="CR119" s="1"/>
      <c r="CS119" s="1"/>
      <c r="CT119" s="1"/>
      <c r="CU119" s="1"/>
      <c r="CV119" s="1"/>
      <c r="CW119" s="1"/>
      <c r="CX119" s="1"/>
      <c r="CY119" s="1"/>
    </row>
    <row r="120" spans="80:103" ht="15" customHeight="1" x14ac:dyDescent="0.35">
      <c r="CB120" s="182"/>
      <c r="CC120" s="1"/>
      <c r="CD120" s="1"/>
      <c r="CE120" s="1"/>
      <c r="CF120" s="1"/>
      <c r="CG120" s="1"/>
      <c r="CH120" s="1"/>
      <c r="CI120" s="1"/>
      <c r="CJ120" s="1"/>
      <c r="CK120" s="1"/>
      <c r="CL120" s="1"/>
      <c r="CM120" s="1"/>
      <c r="CN120" s="1"/>
      <c r="CO120" s="1"/>
      <c r="CP120" s="1"/>
      <c r="CQ120" s="1"/>
      <c r="CR120" s="1"/>
      <c r="CS120" s="1"/>
      <c r="CT120" s="1"/>
      <c r="CU120" s="1"/>
      <c r="CV120" s="1"/>
      <c r="CW120" s="1"/>
      <c r="CX120" s="1"/>
      <c r="CY120" s="1"/>
    </row>
    <row r="121" spans="80:103" ht="15" customHeight="1" x14ac:dyDescent="0.35">
      <c r="CB121" s="182"/>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80:103" ht="15" customHeight="1" x14ac:dyDescent="0.35">
      <c r="CB122" s="182"/>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80:103" ht="15" customHeight="1" x14ac:dyDescent="0.35">
      <c r="CB123" s="182"/>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80:103" ht="15" customHeight="1" x14ac:dyDescent="0.35">
      <c r="CB124" s="182"/>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80:103" ht="15" customHeight="1" x14ac:dyDescent="0.35">
      <c r="CB125" s="182"/>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80:103" ht="15" customHeight="1" x14ac:dyDescent="0.35">
      <c r="CB126" s="182"/>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80:103" ht="15" customHeight="1" x14ac:dyDescent="0.35">
      <c r="CB127" s="182"/>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80:103" ht="15" customHeight="1" x14ac:dyDescent="0.35">
      <c r="CB128" s="182"/>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80:103" ht="15" customHeight="1" x14ac:dyDescent="0.35">
      <c r="CB129" s="182"/>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80:103" ht="15" customHeight="1" x14ac:dyDescent="0.35">
      <c r="CB130" s="182"/>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80:103" ht="15" customHeight="1" x14ac:dyDescent="0.35">
      <c r="CB131" s="182"/>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80:103" ht="15" customHeight="1" x14ac:dyDescent="0.35">
      <c r="CB132" s="182"/>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80:103" ht="15" customHeight="1" x14ac:dyDescent="0.35">
      <c r="CB133" s="182"/>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80:103" ht="15" customHeight="1" x14ac:dyDescent="0.35">
      <c r="CB134" s="182"/>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80:103" ht="15" customHeight="1" x14ac:dyDescent="0.35">
      <c r="CB135" s="182"/>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80:103" ht="15" customHeight="1" x14ac:dyDescent="0.35">
      <c r="CB136" s="182"/>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80:103" ht="15" customHeight="1" x14ac:dyDescent="0.35">
      <c r="CB137" s="182"/>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80:103" ht="15" customHeight="1" x14ac:dyDescent="0.35">
      <c r="CB138" s="182"/>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80:103" ht="15" customHeight="1" x14ac:dyDescent="0.35">
      <c r="CB139" s="182"/>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80:103" ht="15" customHeight="1" x14ac:dyDescent="0.35">
      <c r="CB140" s="182"/>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80:103" ht="15" customHeight="1" x14ac:dyDescent="0.35">
      <c r="CB141" s="182"/>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80:103" ht="15" customHeight="1" x14ac:dyDescent="0.35">
      <c r="CB142" s="182"/>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80:103" ht="15" customHeight="1" x14ac:dyDescent="0.35">
      <c r="CB143" s="182"/>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80:103" ht="15" customHeight="1" x14ac:dyDescent="0.35">
      <c r="CB144" s="182"/>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80:103" ht="15" customHeight="1" x14ac:dyDescent="0.35">
      <c r="CB145" s="182"/>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80:103" ht="15" customHeight="1" x14ac:dyDescent="0.35">
      <c r="CB146" s="182"/>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80:103" ht="15" customHeight="1" x14ac:dyDescent="0.35">
      <c r="CB147" s="182"/>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80:103" ht="15" customHeight="1" x14ac:dyDescent="0.35">
      <c r="CB148" s="182"/>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80:103" ht="15" customHeight="1" x14ac:dyDescent="0.35">
      <c r="CB149" s="182"/>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80:103" ht="15" customHeight="1" x14ac:dyDescent="0.35">
      <c r="CB150" s="182"/>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80:103" ht="15" customHeight="1" x14ac:dyDescent="0.35">
      <c r="CB151" s="182"/>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80:103" ht="15" customHeight="1" x14ac:dyDescent="0.35">
      <c r="CB152" s="182"/>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80:103" ht="15" customHeight="1" x14ac:dyDescent="0.35">
      <c r="CB153" s="182"/>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80:103" ht="15" customHeight="1" x14ac:dyDescent="0.35">
      <c r="CB154" s="182"/>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80:103" ht="15" customHeight="1" x14ac:dyDescent="0.35">
      <c r="CB155" s="182"/>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80:103" ht="15" customHeight="1" x14ac:dyDescent="0.35">
      <c r="CB156" s="182"/>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80:103" ht="15" customHeight="1" x14ac:dyDescent="0.35">
      <c r="CB157" s="182"/>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80:103" ht="15" customHeight="1" x14ac:dyDescent="0.35">
      <c r="CB158" s="182"/>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80:103" ht="15" customHeight="1" x14ac:dyDescent="0.35">
      <c r="CB159" s="182"/>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80:103" ht="15" customHeight="1" x14ac:dyDescent="0.35">
      <c r="CB160" s="182"/>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80:103" ht="15" customHeight="1" x14ac:dyDescent="0.35">
      <c r="CB161" s="182"/>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80:103" ht="15" customHeight="1" x14ac:dyDescent="0.35">
      <c r="CB162" s="182"/>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80:103" ht="15" customHeight="1" x14ac:dyDescent="0.35">
      <c r="CB163" s="182"/>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80:103" ht="15" customHeight="1" x14ac:dyDescent="0.35">
      <c r="CB164" s="182"/>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80:103" ht="15" customHeight="1" x14ac:dyDescent="0.35">
      <c r="CB165" s="182"/>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80:103" ht="15" customHeight="1" x14ac:dyDescent="0.35">
      <c r="CB166" s="182"/>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80:103" ht="15" customHeight="1" x14ac:dyDescent="0.35">
      <c r="CB167" s="182"/>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80:103" ht="15" customHeight="1" x14ac:dyDescent="0.35">
      <c r="CB168" s="182"/>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80:103" ht="15" customHeight="1" x14ac:dyDescent="0.35">
      <c r="CB169" s="182"/>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80:103" ht="15" hidden="1" customHeight="1" x14ac:dyDescent="0.35">
      <c r="CB170" s="182"/>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80:103" ht="15" hidden="1" customHeight="1" x14ac:dyDescent="0.35">
      <c r="CB171" s="182"/>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80:103" ht="15" hidden="1" customHeight="1" x14ac:dyDescent="0.35">
      <c r="CB172" s="182"/>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80:103" ht="15" hidden="1" customHeight="1" x14ac:dyDescent="0.35">
      <c r="CB173" s="182"/>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80:103" ht="15" hidden="1" customHeight="1" x14ac:dyDescent="0.35">
      <c r="CB174" s="182"/>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80:103" ht="15" hidden="1" customHeight="1" x14ac:dyDescent="0.35">
      <c r="CB175" s="182"/>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80:103" ht="15" hidden="1" customHeight="1" x14ac:dyDescent="0.35">
      <c r="CB176" s="182"/>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80:103" ht="15" hidden="1" customHeight="1" x14ac:dyDescent="0.35">
      <c r="CB177" s="182"/>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80:103" ht="15" hidden="1" customHeight="1" x14ac:dyDescent="0.35">
      <c r="CB178" s="182"/>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80:103" ht="15" hidden="1" customHeight="1" x14ac:dyDescent="0.35">
      <c r="CB179" s="182"/>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80:103" ht="15" hidden="1" customHeight="1" x14ac:dyDescent="0.35">
      <c r="CB180" s="182"/>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80:103" ht="15" hidden="1" customHeight="1" x14ac:dyDescent="0.35">
      <c r="CB181" s="182"/>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80:103" ht="15" hidden="1" customHeight="1" x14ac:dyDescent="0.35">
      <c r="CB182" s="182"/>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80:103" ht="15" hidden="1" customHeight="1" x14ac:dyDescent="0.35">
      <c r="CB183" s="182"/>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80:103" ht="15" hidden="1" customHeight="1" x14ac:dyDescent="0.35">
      <c r="CB184" s="182"/>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80:103" ht="15" hidden="1" customHeight="1" x14ac:dyDescent="0.35">
      <c r="CB185" s="182"/>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80:103" ht="15" hidden="1" customHeight="1" x14ac:dyDescent="0.35">
      <c r="CB186" s="182"/>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80:103" ht="15" hidden="1" customHeight="1" x14ac:dyDescent="0.35">
      <c r="CB187" s="182"/>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80:103" ht="15" hidden="1" customHeight="1" x14ac:dyDescent="0.35">
      <c r="CB188" s="182"/>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sheetData>
  <mergeCells count="25">
    <mergeCell ref="A6:A14"/>
    <mergeCell ref="AW5:AW13"/>
    <mergeCell ref="CC4:CC13"/>
    <mergeCell ref="CN4:CN13"/>
    <mergeCell ref="CC15:CC23"/>
    <mergeCell ref="CN15:CN23"/>
    <mergeCell ref="CC45:CC53"/>
    <mergeCell ref="CN45:CN53"/>
    <mergeCell ref="CC55:CC63"/>
    <mergeCell ref="CN55:CN63"/>
    <mergeCell ref="A30:A39"/>
    <mergeCell ref="CC25:CC33"/>
    <mergeCell ref="CN25:CN33"/>
    <mergeCell ref="CC35:CC43"/>
    <mergeCell ref="CN35:CN43"/>
    <mergeCell ref="DA6:DA14"/>
    <mergeCell ref="DA16:DA25"/>
    <mergeCell ref="DA27:DA35"/>
    <mergeCell ref="DA37:DA45"/>
    <mergeCell ref="DA47:DA55"/>
    <mergeCell ref="DA57:DA65"/>
    <mergeCell ref="DA67:DA75"/>
    <mergeCell ref="DA77:DA83"/>
    <mergeCell ref="DA85:DA94"/>
    <mergeCell ref="DA96:DA105"/>
  </mergeCells>
  <printOptions headings="1"/>
  <pageMargins left="0.2" right="0.2" top="0.5" bottom="0.5" header="0.3" footer="0.3"/>
  <pageSetup orientation="portrait" cellComments="asDisplayed" r:id="rId1"/>
  <headerFooter>
    <oddHeader>&amp;C&amp;A</oddHeader>
    <oddFooter>&amp;RSchedule JNG-D3</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CW73"/>
  <sheetViews>
    <sheetView zoomScaleNormal="100" workbookViewId="0">
      <pane xSplit="1" ySplit="3" topLeftCell="CI4" activePane="bottomRight" state="frozen"/>
      <selection activeCell="AL26" sqref="AL26"/>
      <selection pane="topRight" activeCell="AL26" sqref="AL26"/>
      <selection pane="bottomLeft" activeCell="AL26" sqref="AL26"/>
      <selection pane="bottomRight" activeCell="CV19" sqref="CV19"/>
    </sheetView>
  </sheetViews>
  <sheetFormatPr defaultRowHeight="14.5" x14ac:dyDescent="0.35"/>
  <cols>
    <col min="1" max="1" width="39.1796875" customWidth="1"/>
    <col min="2" max="3" width="11" customWidth="1"/>
    <col min="4" max="4" width="16" customWidth="1"/>
    <col min="5" max="18" width="14.1796875" customWidth="1"/>
    <col min="19" max="19" width="15" bestFit="1" customWidth="1"/>
    <col min="20" max="20" width="14.1796875" customWidth="1"/>
    <col min="21" max="21" width="15" customWidth="1"/>
    <col min="22" max="37" width="15.26953125" bestFit="1" customWidth="1"/>
    <col min="38" max="38" width="15" bestFit="1" customWidth="1"/>
    <col min="39" max="52" width="15.26953125" bestFit="1" customWidth="1"/>
    <col min="53" max="98" width="16" bestFit="1" customWidth="1"/>
  </cols>
  <sheetData>
    <row r="1" spans="1:101" x14ac:dyDescent="0.35">
      <c r="A1" s="33" t="s">
        <v>30</v>
      </c>
    </row>
    <row r="2" spans="1:101" x14ac:dyDescent="0.35">
      <c r="A2" s="25"/>
    </row>
    <row r="3" spans="1:101" x14ac:dyDescent="0.35">
      <c r="B3" s="10">
        <v>42370</v>
      </c>
      <c r="C3" s="10">
        <v>42401</v>
      </c>
      <c r="D3" s="10">
        <v>42430</v>
      </c>
      <c r="E3" s="10">
        <v>42461</v>
      </c>
      <c r="F3" s="10">
        <v>42491</v>
      </c>
      <c r="G3" s="10">
        <v>42522</v>
      </c>
      <c r="H3" s="10">
        <v>42552</v>
      </c>
      <c r="I3" s="10">
        <v>42583</v>
      </c>
      <c r="J3" s="10">
        <v>42614</v>
      </c>
      <c r="K3" s="10">
        <v>42644</v>
      </c>
      <c r="L3" s="10">
        <v>42675</v>
      </c>
      <c r="M3" s="10">
        <v>42705</v>
      </c>
      <c r="N3" s="10">
        <v>42736</v>
      </c>
      <c r="O3" s="10">
        <v>42767</v>
      </c>
      <c r="P3" s="10">
        <v>42795</v>
      </c>
      <c r="Q3" s="10">
        <v>42826</v>
      </c>
      <c r="R3" s="10">
        <v>42856</v>
      </c>
      <c r="S3" s="10">
        <v>42887</v>
      </c>
      <c r="T3" s="10">
        <v>42917</v>
      </c>
      <c r="U3" s="10">
        <v>42948</v>
      </c>
      <c r="V3" s="10">
        <v>42979</v>
      </c>
      <c r="W3" s="10">
        <v>43009</v>
      </c>
      <c r="X3" s="10">
        <v>43040</v>
      </c>
      <c r="Y3" s="10">
        <v>43070</v>
      </c>
      <c r="Z3" s="10">
        <v>43101</v>
      </c>
      <c r="AA3" s="10">
        <v>43132</v>
      </c>
      <c r="AB3" s="10">
        <v>43160</v>
      </c>
      <c r="AC3" s="10">
        <v>43191</v>
      </c>
      <c r="AD3" s="10">
        <v>43221</v>
      </c>
      <c r="AE3" s="10">
        <v>43252</v>
      </c>
      <c r="AF3" s="10">
        <v>43282</v>
      </c>
      <c r="AG3" s="10">
        <v>43313</v>
      </c>
      <c r="AH3" s="10">
        <v>43344</v>
      </c>
      <c r="AI3" s="10">
        <v>43374</v>
      </c>
      <c r="AJ3" s="10">
        <v>43405</v>
      </c>
      <c r="AK3" s="10">
        <v>43435</v>
      </c>
      <c r="AL3" s="10">
        <v>43466</v>
      </c>
      <c r="AM3" s="10">
        <v>43497</v>
      </c>
      <c r="AN3" s="10">
        <v>43525</v>
      </c>
      <c r="AO3" s="10">
        <v>43556</v>
      </c>
      <c r="AP3" s="10">
        <v>43586</v>
      </c>
      <c r="AQ3" s="10">
        <v>43617</v>
      </c>
      <c r="AR3" s="10">
        <v>43647</v>
      </c>
      <c r="AS3" s="10">
        <v>43678</v>
      </c>
      <c r="AT3" s="10">
        <v>43709</v>
      </c>
      <c r="AU3" s="10">
        <v>43739</v>
      </c>
      <c r="AV3" s="10">
        <v>43770</v>
      </c>
      <c r="AW3" s="10">
        <v>43800</v>
      </c>
      <c r="AX3" s="10">
        <v>43831</v>
      </c>
      <c r="AY3" s="10">
        <v>43862</v>
      </c>
      <c r="AZ3" s="10">
        <v>43891</v>
      </c>
      <c r="BA3" s="10">
        <v>43922</v>
      </c>
      <c r="BB3" s="10">
        <v>43952</v>
      </c>
      <c r="BC3" s="10">
        <v>43983</v>
      </c>
      <c r="BD3" s="10">
        <v>44013</v>
      </c>
      <c r="BE3" s="10">
        <v>44044</v>
      </c>
      <c r="BF3" s="10">
        <v>44075</v>
      </c>
      <c r="BG3" s="10">
        <v>44105</v>
      </c>
      <c r="BH3" s="10">
        <v>44136</v>
      </c>
      <c r="BI3" s="10">
        <v>44166</v>
      </c>
      <c r="BJ3" s="10">
        <v>44197</v>
      </c>
      <c r="BK3" s="10">
        <v>44228</v>
      </c>
      <c r="BL3" s="10">
        <v>44256</v>
      </c>
      <c r="BM3" s="10">
        <v>44287</v>
      </c>
      <c r="BN3" s="10">
        <v>44317</v>
      </c>
      <c r="BO3" s="10">
        <v>44348</v>
      </c>
      <c r="BP3" s="10">
        <v>44378</v>
      </c>
      <c r="BQ3" s="10">
        <v>44409</v>
      </c>
      <c r="BR3" s="10">
        <v>44440</v>
      </c>
      <c r="BS3" s="10">
        <v>44470</v>
      </c>
      <c r="BT3" s="10">
        <v>44501</v>
      </c>
      <c r="BU3" s="10">
        <v>44531</v>
      </c>
      <c r="BV3" s="10">
        <v>44562</v>
      </c>
      <c r="BW3" s="10">
        <v>44593</v>
      </c>
      <c r="BX3" s="10">
        <v>44621</v>
      </c>
      <c r="BY3" s="10">
        <v>44652</v>
      </c>
      <c r="BZ3" s="10">
        <v>44682</v>
      </c>
      <c r="CA3" s="10">
        <v>44713</v>
      </c>
      <c r="CB3" s="10">
        <v>44743</v>
      </c>
      <c r="CC3" s="10">
        <v>44774</v>
      </c>
      <c r="CD3" s="10">
        <v>44805</v>
      </c>
      <c r="CE3" s="10">
        <v>44835</v>
      </c>
      <c r="CF3" s="10">
        <v>44866</v>
      </c>
      <c r="CG3" s="10">
        <v>44896</v>
      </c>
      <c r="CH3" s="10">
        <v>44927</v>
      </c>
      <c r="CI3" s="10">
        <v>44958</v>
      </c>
      <c r="CJ3" s="10">
        <v>44986</v>
      </c>
      <c r="CK3" s="10">
        <v>45017</v>
      </c>
      <c r="CL3" s="10">
        <v>45047</v>
      </c>
      <c r="CM3" s="10">
        <v>45078</v>
      </c>
      <c r="CN3" s="10">
        <v>45108</v>
      </c>
      <c r="CO3" s="10">
        <v>45139</v>
      </c>
      <c r="CP3" s="10">
        <v>45170</v>
      </c>
      <c r="CQ3" s="10">
        <v>45200</v>
      </c>
      <c r="CR3" s="10">
        <v>45231</v>
      </c>
      <c r="CS3" s="10">
        <v>45261</v>
      </c>
      <c r="CT3" s="10">
        <v>45292</v>
      </c>
    </row>
    <row r="4" spans="1:101" x14ac:dyDescent="0.35">
      <c r="A4" s="36" t="s">
        <v>38</v>
      </c>
      <c r="B4" s="32"/>
      <c r="C4" s="32"/>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row>
    <row r="5" spans="1:101" x14ac:dyDescent="0.35">
      <c r="A5" t="s">
        <v>33</v>
      </c>
      <c r="B5" s="37"/>
      <c r="C5" s="37"/>
      <c r="D5" s="41">
        <v>0</v>
      </c>
      <c r="E5" s="41">
        <v>1328.78</v>
      </c>
      <c r="F5" s="41">
        <v>10855.31</v>
      </c>
      <c r="G5" s="41">
        <v>131208.19</v>
      </c>
      <c r="H5" s="41">
        <v>387288.84</v>
      </c>
      <c r="I5" s="41">
        <v>759760.94</v>
      </c>
      <c r="J5" s="41">
        <v>1430369.44</v>
      </c>
      <c r="K5" s="41">
        <v>1550921.07</v>
      </c>
      <c r="L5" s="41">
        <v>1735396.69</v>
      </c>
      <c r="M5" s="41">
        <v>2037094.64</v>
      </c>
      <c r="N5" s="41">
        <v>2364452.61</v>
      </c>
      <c r="O5" s="41">
        <v>2681724.66</v>
      </c>
      <c r="P5" s="41">
        <v>2987072.85</v>
      </c>
      <c r="Q5" s="41">
        <v>3184865.01</v>
      </c>
      <c r="R5" s="41">
        <v>3385529.7699999996</v>
      </c>
      <c r="S5" s="41">
        <v>4264552</v>
      </c>
      <c r="T5" s="41">
        <v>5547156.3399999999</v>
      </c>
      <c r="U5" s="41">
        <v>6946190.2599999998</v>
      </c>
      <c r="V5" s="41">
        <v>7850232.6099999994</v>
      </c>
      <c r="W5" s="42">
        <v>8126747.0099999998</v>
      </c>
      <c r="X5" s="42">
        <v>8499539.6099999994</v>
      </c>
      <c r="Y5" s="42">
        <v>9058824.6600000001</v>
      </c>
      <c r="Z5" s="42">
        <v>9650198.3699999992</v>
      </c>
      <c r="AA5" s="42">
        <v>10151034.449999999</v>
      </c>
      <c r="AB5" s="42">
        <v>10613841.620000001</v>
      </c>
      <c r="AC5" s="42">
        <v>10869441.710000001</v>
      </c>
      <c r="AD5" s="42">
        <v>11350949.390000001</v>
      </c>
      <c r="AE5" s="42">
        <v>13348695.730000002</v>
      </c>
      <c r="AF5" s="42">
        <v>16063513.910000002</v>
      </c>
      <c r="AG5" s="42">
        <v>18680994.800000004</v>
      </c>
      <c r="AH5" s="42">
        <v>20236402.510000005</v>
      </c>
      <c r="AI5" s="42">
        <v>20777772.98</v>
      </c>
      <c r="AJ5" s="42">
        <v>21274714.609999999</v>
      </c>
      <c r="AK5" s="42">
        <v>21954224.789999999</v>
      </c>
      <c r="AL5" s="42">
        <v>22632751.569999997</v>
      </c>
      <c r="AM5" s="42">
        <v>23234453.34</v>
      </c>
      <c r="AN5" s="42">
        <v>23939498.760000002</v>
      </c>
      <c r="AO5" s="42">
        <v>24497192.960000001</v>
      </c>
      <c r="AP5" s="42">
        <v>24846329.540000003</v>
      </c>
      <c r="AQ5" s="42">
        <v>27513104.980000004</v>
      </c>
      <c r="AR5" s="42">
        <v>30526797.800000001</v>
      </c>
      <c r="AS5" s="42">
        <v>33776773.060000002</v>
      </c>
      <c r="AT5" s="42">
        <v>35595655.670000002</v>
      </c>
      <c r="AU5" s="42">
        <f>36043069.48+0</f>
        <v>36043069.479999997</v>
      </c>
      <c r="AV5" s="42">
        <f>36595561+0</f>
        <v>36595561</v>
      </c>
      <c r="AW5" s="42">
        <f>37286780.96+0</f>
        <v>37286780.960000001</v>
      </c>
      <c r="AX5" s="42">
        <f>37986377.11+0</f>
        <v>37986377.109999999</v>
      </c>
      <c r="AY5" s="42">
        <f>0+36858732.18</f>
        <v>36858732.18</v>
      </c>
      <c r="AZ5" s="42">
        <f>0+37334684.61</f>
        <v>37334684.609999999</v>
      </c>
      <c r="BA5" s="42">
        <f t="shared" ref="BA5:BF5" si="0">37334684.61+0</f>
        <v>37334684.609999999</v>
      </c>
      <c r="BB5" s="42">
        <f t="shared" si="0"/>
        <v>37334684.609999999</v>
      </c>
      <c r="BC5" s="42">
        <f t="shared" si="0"/>
        <v>37334684.609999999</v>
      </c>
      <c r="BD5" s="42">
        <f t="shared" si="0"/>
        <v>37334684.609999999</v>
      </c>
      <c r="BE5" s="42">
        <f t="shared" si="0"/>
        <v>37334684.609999999</v>
      </c>
      <c r="BF5" s="42">
        <f t="shared" si="0"/>
        <v>37334684.609999999</v>
      </c>
      <c r="BG5" s="42">
        <f t="shared" ref="BG5:BM5" si="1">37334684.61+0</f>
        <v>37334684.609999999</v>
      </c>
      <c r="BH5" s="42">
        <f t="shared" si="1"/>
        <v>37334684.609999999</v>
      </c>
      <c r="BI5" s="42">
        <f t="shared" si="1"/>
        <v>37334684.609999999</v>
      </c>
      <c r="BJ5" s="42">
        <f t="shared" si="1"/>
        <v>37334684.609999999</v>
      </c>
      <c r="BK5" s="42">
        <f t="shared" si="1"/>
        <v>37334684.609999999</v>
      </c>
      <c r="BL5" s="42">
        <f t="shared" si="1"/>
        <v>37334684.609999999</v>
      </c>
      <c r="BM5" s="42">
        <f t="shared" si="1"/>
        <v>37334684.609999999</v>
      </c>
      <c r="BN5" s="42">
        <f t="shared" ref="BN5:BR5" si="2">37334684.61+0</f>
        <v>37334684.609999999</v>
      </c>
      <c r="BO5" s="42">
        <f t="shared" si="2"/>
        <v>37334684.609999999</v>
      </c>
      <c r="BP5" s="42">
        <f t="shared" si="2"/>
        <v>37334684.609999999</v>
      </c>
      <c r="BQ5" s="42">
        <f t="shared" si="2"/>
        <v>37334684.609999999</v>
      </c>
      <c r="BR5" s="42">
        <f t="shared" si="2"/>
        <v>37334684.609999999</v>
      </c>
      <c r="BS5" s="42">
        <f t="shared" ref="BS5:BW5" si="3">37334684.61+0</f>
        <v>37334684.609999999</v>
      </c>
      <c r="BT5" s="42">
        <f t="shared" si="3"/>
        <v>37334684.609999999</v>
      </c>
      <c r="BU5" s="42">
        <f t="shared" si="3"/>
        <v>37334684.609999999</v>
      </c>
      <c r="BV5" s="42">
        <f t="shared" si="3"/>
        <v>37334684.609999999</v>
      </c>
      <c r="BW5" s="42">
        <f t="shared" si="3"/>
        <v>37334684.609999999</v>
      </c>
      <c r="BX5" s="42">
        <f t="shared" ref="BX5:CQ5" si="4">37334684.61+0</f>
        <v>37334684.609999999</v>
      </c>
      <c r="BY5" s="42">
        <f t="shared" si="4"/>
        <v>37334684.609999999</v>
      </c>
      <c r="BZ5" s="42">
        <f t="shared" si="4"/>
        <v>37334684.609999999</v>
      </c>
      <c r="CA5" s="42">
        <f t="shared" si="4"/>
        <v>37334684.609999999</v>
      </c>
      <c r="CB5" s="42">
        <f t="shared" si="4"/>
        <v>37334684.609999999</v>
      </c>
      <c r="CC5" s="42">
        <f t="shared" si="4"/>
        <v>37334684.609999999</v>
      </c>
      <c r="CD5" s="42">
        <f t="shared" si="4"/>
        <v>37334684.609999999</v>
      </c>
      <c r="CE5" s="42">
        <f t="shared" si="4"/>
        <v>37334684.609999999</v>
      </c>
      <c r="CF5" s="42">
        <f t="shared" si="4"/>
        <v>37334684.609999999</v>
      </c>
      <c r="CG5" s="42">
        <f t="shared" si="4"/>
        <v>37334684.609999999</v>
      </c>
      <c r="CH5" s="42">
        <f t="shared" si="4"/>
        <v>37334684.609999999</v>
      </c>
      <c r="CI5" s="42">
        <f t="shared" si="4"/>
        <v>37334684.609999999</v>
      </c>
      <c r="CJ5" s="42">
        <f t="shared" si="4"/>
        <v>37334684.609999999</v>
      </c>
      <c r="CK5" s="42">
        <f t="shared" si="4"/>
        <v>37334684.609999999</v>
      </c>
      <c r="CL5" s="42">
        <f t="shared" si="4"/>
        <v>37334684.609999999</v>
      </c>
      <c r="CM5" s="42">
        <f t="shared" si="4"/>
        <v>37334684.609999999</v>
      </c>
      <c r="CN5" s="42">
        <f t="shared" si="4"/>
        <v>37334684.609999999</v>
      </c>
      <c r="CO5" s="42">
        <f t="shared" si="4"/>
        <v>37334684.609999999</v>
      </c>
      <c r="CP5" s="42">
        <f t="shared" si="4"/>
        <v>37334684.609999999</v>
      </c>
      <c r="CQ5" s="42">
        <f t="shared" si="4"/>
        <v>37334684.609999999</v>
      </c>
      <c r="CR5" s="271">
        <f>CQ5+CR14</f>
        <v>37334684.609999999</v>
      </c>
      <c r="CS5" s="271">
        <f t="shared" ref="CS5:CT5" si="5">CR5+CS14</f>
        <v>37334684.609999999</v>
      </c>
      <c r="CT5" s="271">
        <f t="shared" si="5"/>
        <v>37334684.609999999</v>
      </c>
    </row>
    <row r="6" spans="1:101" x14ac:dyDescent="0.35">
      <c r="A6" t="s">
        <v>34</v>
      </c>
      <c r="B6" s="37"/>
      <c r="C6" s="37"/>
      <c r="D6" s="41">
        <v>0</v>
      </c>
      <c r="E6" s="41">
        <v>0</v>
      </c>
      <c r="F6" s="41">
        <v>0</v>
      </c>
      <c r="G6" s="41">
        <v>4167.9399999999996</v>
      </c>
      <c r="H6" s="41">
        <v>17525.88</v>
      </c>
      <c r="I6" s="41">
        <v>31980.06</v>
      </c>
      <c r="J6" s="41">
        <v>54300.31</v>
      </c>
      <c r="K6" s="41">
        <v>77885.14</v>
      </c>
      <c r="L6" s="41">
        <v>105438.65</v>
      </c>
      <c r="M6" s="41">
        <v>142311.95000000001</v>
      </c>
      <c r="N6" s="41">
        <v>189359.05000000002</v>
      </c>
      <c r="O6" s="41">
        <v>231701.2</v>
      </c>
      <c r="P6" s="41">
        <v>283963.62</v>
      </c>
      <c r="Q6" s="41">
        <v>308673.44</v>
      </c>
      <c r="R6" s="41">
        <v>357395.51</v>
      </c>
      <c r="S6" s="41">
        <v>446610.88</v>
      </c>
      <c r="T6" s="41">
        <v>585542.78</v>
      </c>
      <c r="U6" s="41">
        <v>716001.10999999987</v>
      </c>
      <c r="V6" s="41">
        <v>865623.52</v>
      </c>
      <c r="W6" s="42">
        <v>981465.67</v>
      </c>
      <c r="X6" s="42">
        <v>1068238.3799999999</v>
      </c>
      <c r="Y6" s="42">
        <v>1193729.2599999998</v>
      </c>
      <c r="Z6" s="42">
        <v>1341747.9499999997</v>
      </c>
      <c r="AA6" s="42">
        <v>1469438.1399999997</v>
      </c>
      <c r="AB6" s="42">
        <v>1628844.4099999997</v>
      </c>
      <c r="AC6" s="42">
        <v>1811879.49</v>
      </c>
      <c r="AD6" s="42">
        <v>2069719.65</v>
      </c>
      <c r="AE6" s="42">
        <v>2457404.2800000003</v>
      </c>
      <c r="AF6" s="42">
        <v>2966091.15</v>
      </c>
      <c r="AG6" s="42">
        <v>3413766.9499999997</v>
      </c>
      <c r="AH6" s="42">
        <v>3901789.65</v>
      </c>
      <c r="AI6" s="42">
        <v>4245964.8900000006</v>
      </c>
      <c r="AJ6" s="42">
        <v>4556973.95</v>
      </c>
      <c r="AK6" s="42">
        <v>4900967.08</v>
      </c>
      <c r="AL6" s="42">
        <v>5271737.41</v>
      </c>
      <c r="AM6" s="42">
        <v>5581907.2999999998</v>
      </c>
      <c r="AN6" s="42">
        <v>6001660.4600000009</v>
      </c>
      <c r="AO6" s="42">
        <v>6425471.5500000007</v>
      </c>
      <c r="AP6" s="42">
        <v>6844402.4900000002</v>
      </c>
      <c r="AQ6" s="42">
        <v>7540501.0500000007</v>
      </c>
      <c r="AR6" s="42">
        <v>8428918.1699999999</v>
      </c>
      <c r="AS6" s="42">
        <v>9148140.2100000009</v>
      </c>
      <c r="AT6" s="42">
        <v>9900811.9400000013</v>
      </c>
      <c r="AU6" s="42">
        <f>10403257.47+14619.86</f>
        <v>10417877.33</v>
      </c>
      <c r="AV6" s="42">
        <f>17933.11+10840302.54</f>
        <v>10858235.649999999</v>
      </c>
      <c r="AW6" s="42">
        <f>11209069.54+21421.12</f>
        <v>11230490.659999998</v>
      </c>
      <c r="AX6" s="42">
        <f>11649860.33+25097.33</f>
        <v>11674957.66</v>
      </c>
      <c r="AY6" s="42">
        <f>27924.85+11990356.64</f>
        <v>12018281.49</v>
      </c>
      <c r="AZ6" s="42">
        <f>31132.53+12369648.49</f>
        <v>12400781.02</v>
      </c>
      <c r="BA6" s="42">
        <f t="shared" ref="BA6:BF6" si="6">12369648.49+31132.53</f>
        <v>12400781.02</v>
      </c>
      <c r="BB6" s="42">
        <f t="shared" si="6"/>
        <v>12400781.02</v>
      </c>
      <c r="BC6" s="42">
        <f t="shared" si="6"/>
        <v>12400781.02</v>
      </c>
      <c r="BD6" s="42">
        <f t="shared" si="6"/>
        <v>12400781.02</v>
      </c>
      <c r="BE6" s="42">
        <f t="shared" si="6"/>
        <v>12400781.02</v>
      </c>
      <c r="BF6" s="42">
        <f t="shared" si="6"/>
        <v>12400781.02</v>
      </c>
      <c r="BG6" s="42">
        <f>12369648.49+31132.53</f>
        <v>12400781.02</v>
      </c>
      <c r="BH6" s="42">
        <f>12369648.49+31132.53</f>
        <v>12400781.02</v>
      </c>
      <c r="BI6" s="42">
        <f>12369648.49+31132.53</f>
        <v>12400781.02</v>
      </c>
      <c r="BJ6" s="42">
        <f>12369648.49+31132.53</f>
        <v>12400781.02</v>
      </c>
      <c r="BK6" s="42">
        <f>12369648.49+31388.17</f>
        <v>12401036.66</v>
      </c>
      <c r="BL6" s="42">
        <f>12369648.49+31980.51</f>
        <v>12401629</v>
      </c>
      <c r="BM6" s="42">
        <f>12369648.49+32612.92</f>
        <v>12402261.41</v>
      </c>
      <c r="BN6" s="42">
        <f>12369648.49+33505.45</f>
        <v>12403153.939999999</v>
      </c>
      <c r="BO6" s="42">
        <f>12369648.49+35463.84</f>
        <v>12405112.33</v>
      </c>
      <c r="BP6" s="42">
        <f>12369648.49+38039.83</f>
        <v>12407688.32</v>
      </c>
      <c r="BQ6" s="42">
        <f>12369648.49+40941.42</f>
        <v>12410589.91</v>
      </c>
      <c r="BR6" s="42">
        <f>12369648.49+43196.63</f>
        <v>12412845.120000001</v>
      </c>
      <c r="BS6" s="42">
        <f>12369648.49+44397.68</f>
        <v>12414046.17</v>
      </c>
      <c r="BT6" s="42">
        <f>12369648.49+45390.72</f>
        <v>12415039.210000001</v>
      </c>
      <c r="BU6" s="42">
        <f>12369648.49+46413.43</f>
        <v>12416061.92</v>
      </c>
      <c r="BV6" s="42">
        <f>12369648.49+47474.53</f>
        <v>12417123.02</v>
      </c>
      <c r="BW6" s="42">
        <f t="shared" ref="BW6:CQ6" si="7">12369648.49+48293.18</f>
        <v>12417941.67</v>
      </c>
      <c r="BX6" s="42">
        <f t="shared" si="7"/>
        <v>12417941.67</v>
      </c>
      <c r="BY6" s="42">
        <f t="shared" si="7"/>
        <v>12417941.67</v>
      </c>
      <c r="BZ6" s="42">
        <f t="shared" si="7"/>
        <v>12417941.67</v>
      </c>
      <c r="CA6" s="42">
        <f t="shared" si="7"/>
        <v>12417941.67</v>
      </c>
      <c r="CB6" s="42">
        <f t="shared" si="7"/>
        <v>12417941.67</v>
      </c>
      <c r="CC6" s="42">
        <f t="shared" si="7"/>
        <v>12417941.67</v>
      </c>
      <c r="CD6" s="42">
        <f t="shared" si="7"/>
        <v>12417941.67</v>
      </c>
      <c r="CE6" s="42">
        <f t="shared" si="7"/>
        <v>12417941.67</v>
      </c>
      <c r="CF6" s="42">
        <f t="shared" si="7"/>
        <v>12417941.67</v>
      </c>
      <c r="CG6" s="42">
        <f t="shared" si="7"/>
        <v>12417941.67</v>
      </c>
      <c r="CH6" s="42">
        <f t="shared" si="7"/>
        <v>12417941.67</v>
      </c>
      <c r="CI6" s="42">
        <f t="shared" si="7"/>
        <v>12417941.67</v>
      </c>
      <c r="CJ6" s="42">
        <f t="shared" si="7"/>
        <v>12417941.67</v>
      </c>
      <c r="CK6" s="42">
        <f t="shared" si="7"/>
        <v>12417941.67</v>
      </c>
      <c r="CL6" s="42">
        <f t="shared" si="7"/>
        <v>12417941.67</v>
      </c>
      <c r="CM6" s="42">
        <f t="shared" si="7"/>
        <v>12417941.67</v>
      </c>
      <c r="CN6" s="42">
        <f t="shared" si="7"/>
        <v>12417941.67</v>
      </c>
      <c r="CO6" s="42">
        <f t="shared" si="7"/>
        <v>12417941.67</v>
      </c>
      <c r="CP6" s="42">
        <f t="shared" si="7"/>
        <v>12417941.67</v>
      </c>
      <c r="CQ6" s="42">
        <f t="shared" si="7"/>
        <v>12417941.67</v>
      </c>
      <c r="CR6" s="271">
        <f t="shared" ref="CR6:CT10" si="8">CQ6+CR15</f>
        <v>12417941.67</v>
      </c>
      <c r="CS6" s="271">
        <f t="shared" si="8"/>
        <v>12417941.67</v>
      </c>
      <c r="CT6" s="271">
        <f t="shared" si="8"/>
        <v>12417941.67</v>
      </c>
    </row>
    <row r="7" spans="1:101" x14ac:dyDescent="0.35">
      <c r="A7" t="s">
        <v>35</v>
      </c>
      <c r="B7" s="37"/>
      <c r="C7" s="37"/>
      <c r="D7" s="41">
        <v>0</v>
      </c>
      <c r="E7" s="41">
        <v>0</v>
      </c>
      <c r="F7" s="41">
        <v>0</v>
      </c>
      <c r="G7" s="41">
        <v>6853.38</v>
      </c>
      <c r="H7" s="41">
        <v>31346.880000000001</v>
      </c>
      <c r="I7" s="41">
        <v>64756.57</v>
      </c>
      <c r="J7" s="41">
        <v>121217.18</v>
      </c>
      <c r="K7" s="41">
        <v>169574.21</v>
      </c>
      <c r="L7" s="41">
        <v>225474</v>
      </c>
      <c r="M7" s="41">
        <v>301020.03000000003</v>
      </c>
      <c r="N7" s="41">
        <v>398372.26</v>
      </c>
      <c r="O7" s="41">
        <v>489934.36</v>
      </c>
      <c r="P7" s="41">
        <v>604498.14</v>
      </c>
      <c r="Q7" s="41">
        <v>665653.74</v>
      </c>
      <c r="R7" s="41">
        <v>767859.38</v>
      </c>
      <c r="S7" s="41">
        <v>989490.46</v>
      </c>
      <c r="T7" s="41">
        <v>1321696.51</v>
      </c>
      <c r="U7" s="41">
        <v>1640841.6600000001</v>
      </c>
      <c r="V7" s="41">
        <v>1992842.86</v>
      </c>
      <c r="W7" s="42">
        <v>2223572.41</v>
      </c>
      <c r="X7" s="42">
        <v>2462963.7799999998</v>
      </c>
      <c r="Y7" s="42">
        <v>2729745.36</v>
      </c>
      <c r="Z7" s="42">
        <v>3041850.56</v>
      </c>
      <c r="AA7" s="42">
        <v>3313329.05</v>
      </c>
      <c r="AB7" s="42">
        <v>3632789.6599999997</v>
      </c>
      <c r="AC7" s="42">
        <v>3967218.2799999993</v>
      </c>
      <c r="AD7" s="42">
        <v>4417212.879999999</v>
      </c>
      <c r="AE7" s="42">
        <v>5288524.1399999987</v>
      </c>
      <c r="AF7" s="42">
        <v>6465914.9300000006</v>
      </c>
      <c r="AG7" s="42">
        <v>7475631.5000000009</v>
      </c>
      <c r="AH7" s="42">
        <v>8491958.2899999991</v>
      </c>
      <c r="AI7" s="42">
        <v>9047137.040000001</v>
      </c>
      <c r="AJ7" s="42">
        <v>9551899.1300000008</v>
      </c>
      <c r="AK7" s="42">
        <v>10140818.360000001</v>
      </c>
      <c r="AL7" s="42">
        <v>10806286.970000001</v>
      </c>
      <c r="AM7" s="42">
        <v>11385718.91</v>
      </c>
      <c r="AN7" s="42">
        <v>12157855.650000002</v>
      </c>
      <c r="AO7" s="42">
        <v>12903645.290000003</v>
      </c>
      <c r="AP7" s="42">
        <v>13617957.34</v>
      </c>
      <c r="AQ7" s="42">
        <v>15284047.689999999</v>
      </c>
      <c r="AR7" s="42">
        <v>17381958.23</v>
      </c>
      <c r="AS7" s="42">
        <v>19154184.34</v>
      </c>
      <c r="AT7" s="42">
        <v>20774799.379999999</v>
      </c>
      <c r="AU7" s="42">
        <f>21466264.93+141399.01</f>
        <v>21607663.940000001</v>
      </c>
      <c r="AV7" s="42">
        <f>154940.01+22162809.44</f>
        <v>22317749.450000003</v>
      </c>
      <c r="AW7" s="42">
        <f>22915276.66+171269.94</f>
        <v>23086546.600000001</v>
      </c>
      <c r="AX7" s="42">
        <f>23704212.35+189482.57</f>
        <v>23893694.920000002</v>
      </c>
      <c r="AY7" s="42">
        <f>205033.54+24339777.35</f>
        <v>24544810.890000001</v>
      </c>
      <c r="AZ7" s="42">
        <f>221566.4+25027821.97</f>
        <v>25249388.369999997</v>
      </c>
      <c r="BA7" s="42">
        <f>25027821.97+223852.71</f>
        <v>25251674.68</v>
      </c>
      <c r="BB7" s="42">
        <f>25027821.97+226513.58</f>
        <v>25254335.549999997</v>
      </c>
      <c r="BC7" s="42">
        <f>25027821.97+238736.89</f>
        <v>25266558.859999999</v>
      </c>
      <c r="BD7" s="42">
        <f>25027821.97+261590.07</f>
        <v>25289412.039999999</v>
      </c>
      <c r="BE7" s="42">
        <f>25027821.97+282130.34</f>
        <v>25309952.309999999</v>
      </c>
      <c r="BF7" s="42">
        <f>25027821.97+297152.55</f>
        <v>25324974.52</v>
      </c>
      <c r="BG7" s="42">
        <f>25027821.97+303863.64</f>
        <v>25331685.609999999</v>
      </c>
      <c r="BH7" s="42">
        <f>25027821.97+310566.48</f>
        <v>25338388.449999999</v>
      </c>
      <c r="BI7" s="42">
        <f>25027821.97+318693.52</f>
        <v>25346515.489999998</v>
      </c>
      <c r="BJ7" s="42">
        <f>25027821.97+327022.82</f>
        <v>25354844.789999999</v>
      </c>
      <c r="BK7" s="42">
        <f>25027821.97+335823.09</f>
        <v>25363645.059999999</v>
      </c>
      <c r="BL7" s="42">
        <f>25027821.97+346156.16</f>
        <v>25373978.129999999</v>
      </c>
      <c r="BM7" s="42">
        <f>25027821.97+354916.17</f>
        <v>25382738.140000001</v>
      </c>
      <c r="BN7" s="42">
        <f>25027821.97+365961.08</f>
        <v>25393783.049999997</v>
      </c>
      <c r="BO7" s="42">
        <f>25027821.97+397868.39</f>
        <v>25425690.359999999</v>
      </c>
      <c r="BP7" s="42">
        <f>25027821.97+438814.57</f>
        <v>25466636.539999999</v>
      </c>
      <c r="BQ7" s="42">
        <f>25027821.97+475224.93</f>
        <v>25503046.899999999</v>
      </c>
      <c r="BR7" s="42">
        <f>25027821.97+497543.33</f>
        <v>25525365.299999997</v>
      </c>
      <c r="BS7" s="42">
        <f>25027821.97+506487.62</f>
        <v>25534309.59</v>
      </c>
      <c r="BT7" s="42">
        <f>25027821.97+515800.27</f>
        <v>25543622.239999998</v>
      </c>
      <c r="BU7" s="42">
        <f>25027821.97+527551.99</f>
        <v>25555373.959999997</v>
      </c>
      <c r="BV7" s="42">
        <f>25027821.97+539557.3</f>
        <v>25567379.27</v>
      </c>
      <c r="BW7" s="42">
        <f t="shared" ref="BW7:CQ7" si="9">25027821.97+549683.83</f>
        <v>25577505.799999997</v>
      </c>
      <c r="BX7" s="42">
        <f t="shared" si="9"/>
        <v>25577505.799999997</v>
      </c>
      <c r="BY7" s="42">
        <f t="shared" si="9"/>
        <v>25577505.799999997</v>
      </c>
      <c r="BZ7" s="42">
        <f t="shared" si="9"/>
        <v>25577505.799999997</v>
      </c>
      <c r="CA7" s="42">
        <f t="shared" si="9"/>
        <v>25577505.799999997</v>
      </c>
      <c r="CB7" s="42">
        <f t="shared" si="9"/>
        <v>25577505.799999997</v>
      </c>
      <c r="CC7" s="42">
        <f t="shared" si="9"/>
        <v>25577505.799999997</v>
      </c>
      <c r="CD7" s="42">
        <f t="shared" si="9"/>
        <v>25577505.799999997</v>
      </c>
      <c r="CE7" s="42">
        <f t="shared" si="9"/>
        <v>25577505.799999997</v>
      </c>
      <c r="CF7" s="42">
        <f t="shared" si="9"/>
        <v>25577505.799999997</v>
      </c>
      <c r="CG7" s="42">
        <f t="shared" si="9"/>
        <v>25577505.799999997</v>
      </c>
      <c r="CH7" s="42">
        <f t="shared" si="9"/>
        <v>25577505.799999997</v>
      </c>
      <c r="CI7" s="42">
        <f t="shared" si="9"/>
        <v>25577505.799999997</v>
      </c>
      <c r="CJ7" s="42">
        <f t="shared" si="9"/>
        <v>25577505.799999997</v>
      </c>
      <c r="CK7" s="42">
        <f t="shared" si="9"/>
        <v>25577505.799999997</v>
      </c>
      <c r="CL7" s="42">
        <f t="shared" si="9"/>
        <v>25577505.799999997</v>
      </c>
      <c r="CM7" s="42">
        <f t="shared" si="9"/>
        <v>25577505.799999997</v>
      </c>
      <c r="CN7" s="42">
        <f t="shared" si="9"/>
        <v>25577505.799999997</v>
      </c>
      <c r="CO7" s="42">
        <f t="shared" si="9"/>
        <v>25577505.799999997</v>
      </c>
      <c r="CP7" s="42">
        <f t="shared" si="9"/>
        <v>25577505.799999997</v>
      </c>
      <c r="CQ7" s="42">
        <f t="shared" si="9"/>
        <v>25577505.799999997</v>
      </c>
      <c r="CR7" s="271">
        <f t="shared" si="8"/>
        <v>25577505.799999997</v>
      </c>
      <c r="CS7" s="271">
        <f t="shared" si="8"/>
        <v>25577505.799999997</v>
      </c>
      <c r="CT7" s="271">
        <f t="shared" si="8"/>
        <v>25577505.799999997</v>
      </c>
    </row>
    <row r="8" spans="1:101" x14ac:dyDescent="0.35">
      <c r="A8" t="s">
        <v>36</v>
      </c>
      <c r="B8" s="37"/>
      <c r="C8" s="37"/>
      <c r="D8" s="41">
        <v>0</v>
      </c>
      <c r="E8" s="41">
        <v>0</v>
      </c>
      <c r="F8" s="41">
        <v>0</v>
      </c>
      <c r="G8" s="41">
        <v>526.23</v>
      </c>
      <c r="H8" s="41">
        <v>2233.4699999999998</v>
      </c>
      <c r="I8" s="41">
        <v>4262.4399999999996</v>
      </c>
      <c r="J8" s="41">
        <v>8761.7000000000007</v>
      </c>
      <c r="K8" s="41">
        <v>13045.74</v>
      </c>
      <c r="L8" s="41">
        <v>20273.66</v>
      </c>
      <c r="M8" s="41">
        <v>37982.83</v>
      </c>
      <c r="N8" s="41">
        <v>65485.26</v>
      </c>
      <c r="O8" s="41">
        <v>89352.91</v>
      </c>
      <c r="P8" s="41">
        <v>118408.26</v>
      </c>
      <c r="Q8" s="41">
        <v>129165.95000000001</v>
      </c>
      <c r="R8" s="41">
        <v>156969.91999999998</v>
      </c>
      <c r="S8" s="41">
        <v>283536.74</v>
      </c>
      <c r="T8" s="41">
        <v>459226.48</v>
      </c>
      <c r="U8" s="41">
        <v>674409.64</v>
      </c>
      <c r="V8" s="41">
        <v>877196.58000000007</v>
      </c>
      <c r="W8" s="42">
        <v>977284.15000000014</v>
      </c>
      <c r="X8" s="42">
        <v>1073543.23</v>
      </c>
      <c r="Y8" s="42">
        <v>1185708.23</v>
      </c>
      <c r="Z8" s="42">
        <v>1314546.6499999999</v>
      </c>
      <c r="AA8" s="42">
        <v>1427651.01</v>
      </c>
      <c r="AB8" s="42">
        <v>1557090.47</v>
      </c>
      <c r="AC8" s="42">
        <v>1686737.0899999999</v>
      </c>
      <c r="AD8" s="42">
        <v>1863356.25</v>
      </c>
      <c r="AE8" s="42">
        <v>2279448.1</v>
      </c>
      <c r="AF8" s="42">
        <v>2814330.83</v>
      </c>
      <c r="AG8" s="42">
        <v>3291326.8600000003</v>
      </c>
      <c r="AH8" s="42">
        <v>3697906.36</v>
      </c>
      <c r="AI8" s="42">
        <v>3900717.4</v>
      </c>
      <c r="AJ8" s="42">
        <v>4087079.7399999998</v>
      </c>
      <c r="AK8" s="42">
        <v>4305525.0999999996</v>
      </c>
      <c r="AL8" s="42">
        <v>4552393.01</v>
      </c>
      <c r="AM8" s="42">
        <v>4768797.74</v>
      </c>
      <c r="AN8" s="42">
        <v>5069031.21</v>
      </c>
      <c r="AO8" s="42">
        <v>5347376.22</v>
      </c>
      <c r="AP8" s="42">
        <v>5635365.4399999995</v>
      </c>
      <c r="AQ8" s="42">
        <v>6411912.9499999993</v>
      </c>
      <c r="AR8" s="42">
        <v>7373784.9299999997</v>
      </c>
      <c r="AS8" s="42">
        <v>8233706.0199999996</v>
      </c>
      <c r="AT8" s="42">
        <v>8908132.5299999993</v>
      </c>
      <c r="AU8" s="42">
        <f>9176465.3+47940.65</f>
        <v>9224405.9500000011</v>
      </c>
      <c r="AV8" s="42">
        <f>52071.47+9446777.6</f>
        <v>9498849.0700000003</v>
      </c>
      <c r="AW8" s="42">
        <f>9709021.01+56434.82</f>
        <v>9765455.8300000001</v>
      </c>
      <c r="AX8" s="42">
        <f>10002128.12+61120.41</f>
        <v>10063248.529999999</v>
      </c>
      <c r="AY8" s="42">
        <f>64854.68+10245268.37</f>
        <v>10310123.049999999</v>
      </c>
      <c r="AZ8" s="42">
        <f>69029.51+10511883.99</f>
        <v>10580913.5</v>
      </c>
      <c r="BA8" s="42">
        <f>10511883.99+69029.51</f>
        <v>10580913.5</v>
      </c>
      <c r="BB8" s="42">
        <f>10511883.99+69029.51</f>
        <v>10580913.5</v>
      </c>
      <c r="BC8" s="42">
        <f>10511883.99+69029.51</f>
        <v>10580913.5</v>
      </c>
      <c r="BD8" s="42">
        <f>10511883.99+69029.51</f>
        <v>10580913.5</v>
      </c>
      <c r="BE8" s="42">
        <f>10511883.99+85843.09</f>
        <v>10597727.08</v>
      </c>
      <c r="BF8" s="42">
        <f>10511883.99+105230.49</f>
        <v>10617114.48</v>
      </c>
      <c r="BG8" s="42">
        <f>10511883.99+112015.56</f>
        <v>10623899.550000001</v>
      </c>
      <c r="BH8" s="42">
        <f>10511883.99+118182.79</f>
        <v>10630066.779999999</v>
      </c>
      <c r="BI8" s="42">
        <f>10511883.99+127769.78</f>
        <v>10639653.77</v>
      </c>
      <c r="BJ8" s="42">
        <f>10511883.99+140267.36</f>
        <v>10652151.35</v>
      </c>
      <c r="BK8" s="42">
        <f>10511883.99+150310.67</f>
        <v>10662194.66</v>
      </c>
      <c r="BL8" s="42">
        <f>10511883.99+160806.72</f>
        <v>10672690.710000001</v>
      </c>
      <c r="BM8" s="42">
        <f>10511883.99+170582.68</f>
        <v>10682466.67</v>
      </c>
      <c r="BN8" s="42">
        <f>10511883.99+184110.33</f>
        <v>10695994.32</v>
      </c>
      <c r="BO8" s="42">
        <f>10511883.99+220605.18</f>
        <v>10732489.17</v>
      </c>
      <c r="BP8" s="42">
        <f>10511883.99+268285.15</f>
        <v>10780169.140000001</v>
      </c>
      <c r="BQ8" s="42">
        <f>10511883.99+313573.59</f>
        <v>10825457.58</v>
      </c>
      <c r="BR8" s="42">
        <f>10511883.99+343059.99</f>
        <v>10854943.98</v>
      </c>
      <c r="BS8" s="42">
        <f>10511883.99+354893.28</f>
        <v>10866777.27</v>
      </c>
      <c r="BT8" s="42">
        <f>10511883.99+365267.86</f>
        <v>10877151.85</v>
      </c>
      <c r="BU8" s="42">
        <f>10511883.99+377325.31</f>
        <v>10889209.300000001</v>
      </c>
      <c r="BV8" s="42">
        <f>10511883.99+390150.1</f>
        <v>10902034.09</v>
      </c>
      <c r="BW8" s="42">
        <f t="shared" ref="BW8:CQ8" si="10">10511883.99+400480.28</f>
        <v>10912364.27</v>
      </c>
      <c r="BX8" s="42">
        <f t="shared" si="10"/>
        <v>10912364.27</v>
      </c>
      <c r="BY8" s="42">
        <f t="shared" si="10"/>
        <v>10912364.27</v>
      </c>
      <c r="BZ8" s="42">
        <f t="shared" si="10"/>
        <v>10912364.27</v>
      </c>
      <c r="CA8" s="42">
        <f t="shared" si="10"/>
        <v>10912364.27</v>
      </c>
      <c r="CB8" s="42">
        <f t="shared" si="10"/>
        <v>10912364.27</v>
      </c>
      <c r="CC8" s="42">
        <f t="shared" si="10"/>
        <v>10912364.27</v>
      </c>
      <c r="CD8" s="42">
        <f t="shared" si="10"/>
        <v>10912364.27</v>
      </c>
      <c r="CE8" s="42">
        <f t="shared" si="10"/>
        <v>10912364.27</v>
      </c>
      <c r="CF8" s="42">
        <f t="shared" si="10"/>
        <v>10912364.27</v>
      </c>
      <c r="CG8" s="42">
        <f t="shared" si="10"/>
        <v>10912364.27</v>
      </c>
      <c r="CH8" s="42">
        <f t="shared" si="10"/>
        <v>10912364.27</v>
      </c>
      <c r="CI8" s="42">
        <f t="shared" si="10"/>
        <v>10912364.27</v>
      </c>
      <c r="CJ8" s="42">
        <f t="shared" si="10"/>
        <v>10912364.27</v>
      </c>
      <c r="CK8" s="42">
        <f t="shared" si="10"/>
        <v>10912364.27</v>
      </c>
      <c r="CL8" s="42">
        <f t="shared" si="10"/>
        <v>10912364.27</v>
      </c>
      <c r="CM8" s="42">
        <f t="shared" si="10"/>
        <v>10912364.27</v>
      </c>
      <c r="CN8" s="42">
        <f t="shared" si="10"/>
        <v>10912364.27</v>
      </c>
      <c r="CO8" s="42">
        <f t="shared" si="10"/>
        <v>10912364.27</v>
      </c>
      <c r="CP8" s="42">
        <f t="shared" si="10"/>
        <v>10912364.27</v>
      </c>
      <c r="CQ8" s="42">
        <f t="shared" si="10"/>
        <v>10912364.27</v>
      </c>
      <c r="CR8" s="271">
        <f t="shared" si="8"/>
        <v>10912364.27</v>
      </c>
      <c r="CS8" s="271">
        <f t="shared" si="8"/>
        <v>10912364.27</v>
      </c>
      <c r="CT8" s="271">
        <f t="shared" si="8"/>
        <v>10912364.27</v>
      </c>
    </row>
    <row r="9" spans="1:101" x14ac:dyDescent="0.35">
      <c r="A9" t="s">
        <v>37</v>
      </c>
      <c r="B9" s="37"/>
      <c r="C9" s="37"/>
      <c r="D9" s="41">
        <v>0</v>
      </c>
      <c r="E9" s="41">
        <v>0</v>
      </c>
      <c r="F9" s="41">
        <v>0</v>
      </c>
      <c r="G9" s="41">
        <v>0</v>
      </c>
      <c r="H9" s="41">
        <v>360.22</v>
      </c>
      <c r="I9" s="41">
        <v>1610.72</v>
      </c>
      <c r="J9" s="41">
        <v>3708.44</v>
      </c>
      <c r="K9" s="41">
        <v>5556.58</v>
      </c>
      <c r="L9" s="41">
        <v>7842.59</v>
      </c>
      <c r="M9" s="41">
        <v>10918.86</v>
      </c>
      <c r="N9" s="41">
        <v>16615.46</v>
      </c>
      <c r="O9" s="41">
        <v>22758.07</v>
      </c>
      <c r="P9" s="41">
        <v>31593.03</v>
      </c>
      <c r="Q9" s="41">
        <v>39281.5</v>
      </c>
      <c r="R9" s="41">
        <v>50126.66</v>
      </c>
      <c r="S9" s="41">
        <v>70160.39</v>
      </c>
      <c r="T9" s="41">
        <v>99498.43</v>
      </c>
      <c r="U9" s="41">
        <v>125723.48999999999</v>
      </c>
      <c r="V9" s="41">
        <v>151515.57</v>
      </c>
      <c r="W9" s="42">
        <v>170427.22</v>
      </c>
      <c r="X9" s="42">
        <v>188562.65</v>
      </c>
      <c r="Y9" s="42">
        <v>208655.59</v>
      </c>
      <c r="Z9" s="42">
        <v>231472.88999999998</v>
      </c>
      <c r="AA9" s="42">
        <v>251997.65999999997</v>
      </c>
      <c r="AB9" s="42">
        <v>274863.21999999997</v>
      </c>
      <c r="AC9" s="42">
        <v>298818.81999999995</v>
      </c>
      <c r="AD9" s="42">
        <v>331875.56999999995</v>
      </c>
      <c r="AE9" s="42">
        <v>404071.67999999993</v>
      </c>
      <c r="AF9" s="42">
        <v>500160.08999999997</v>
      </c>
      <c r="AG9" s="42">
        <v>581014.66999999993</v>
      </c>
      <c r="AH9" s="42">
        <v>646771.12999999989</v>
      </c>
      <c r="AI9" s="42">
        <v>682335.71999999986</v>
      </c>
      <c r="AJ9" s="42">
        <v>715657.68999999983</v>
      </c>
      <c r="AK9" s="42">
        <v>756057.14999999979</v>
      </c>
      <c r="AL9" s="42">
        <v>803044.9099999998</v>
      </c>
      <c r="AM9" s="42">
        <v>847067.0299999998</v>
      </c>
      <c r="AN9" s="42">
        <v>906643.35999999987</v>
      </c>
      <c r="AO9" s="42">
        <v>960281.54999999981</v>
      </c>
      <c r="AP9" s="42">
        <v>1023538.6499999997</v>
      </c>
      <c r="AQ9" s="42">
        <v>1212863.4699999997</v>
      </c>
      <c r="AR9" s="42">
        <v>1467669.6399999997</v>
      </c>
      <c r="AS9" s="42">
        <v>1693254.0199999996</v>
      </c>
      <c r="AT9" s="42">
        <v>1837329.1699999995</v>
      </c>
      <c r="AU9" s="42">
        <f>1898561.58+190.94</f>
        <v>1898752.52</v>
      </c>
      <c r="AV9" s="42">
        <f>495.42+1951906.31</f>
        <v>1952401.73</v>
      </c>
      <c r="AW9" s="42">
        <f>2005628.02+817.44</f>
        <v>2006445.46</v>
      </c>
      <c r="AX9" s="42">
        <f>2064005.66+1163.45</f>
        <v>2065169.1099999999</v>
      </c>
      <c r="AY9" s="42">
        <f>1454.53+2116249.21</f>
        <v>2117703.7399999998</v>
      </c>
      <c r="AZ9" s="42">
        <f>1758.71+2169137.42</f>
        <v>2170896.13</v>
      </c>
      <c r="BA9" s="42">
        <f t="shared" ref="BA9:BF9" si="11">2169137.42+1758.71</f>
        <v>2170896.13</v>
      </c>
      <c r="BB9" s="42">
        <f t="shared" si="11"/>
        <v>2170896.13</v>
      </c>
      <c r="BC9" s="42">
        <f t="shared" si="11"/>
        <v>2170896.13</v>
      </c>
      <c r="BD9" s="42">
        <f t="shared" si="11"/>
        <v>2170896.13</v>
      </c>
      <c r="BE9" s="42">
        <f t="shared" si="11"/>
        <v>2170896.13</v>
      </c>
      <c r="BF9" s="42">
        <f t="shared" si="11"/>
        <v>2170896.13</v>
      </c>
      <c r="BG9" s="42">
        <f t="shared" ref="BG9:BL9" si="12">2169137.42+1758.71</f>
        <v>2170896.13</v>
      </c>
      <c r="BH9" s="42">
        <f t="shared" si="12"/>
        <v>2170896.13</v>
      </c>
      <c r="BI9" s="42">
        <f t="shared" si="12"/>
        <v>2170896.13</v>
      </c>
      <c r="BJ9" s="42">
        <f t="shared" si="12"/>
        <v>2170896.13</v>
      </c>
      <c r="BK9" s="42">
        <f t="shared" si="12"/>
        <v>2170896.13</v>
      </c>
      <c r="BL9" s="42">
        <f t="shared" si="12"/>
        <v>2170896.13</v>
      </c>
      <c r="BM9" s="42">
        <f>2169137.42+1758.71</f>
        <v>2170896.13</v>
      </c>
      <c r="BN9" s="42">
        <f>2169137.42+1758.71</f>
        <v>2170896.13</v>
      </c>
      <c r="BO9" s="42">
        <f>2169137.42+1758.71</f>
        <v>2170896.13</v>
      </c>
      <c r="BP9" s="42">
        <f>2169137.42+1758.71</f>
        <v>2170896.13</v>
      </c>
      <c r="BQ9" s="42">
        <f>2169137.42+1657.56</f>
        <v>2170794.98</v>
      </c>
      <c r="BR9" s="42">
        <f>2169137.42+1549.4</f>
        <v>2170686.8199999998</v>
      </c>
      <c r="BS9" s="42">
        <f>2169137.42+1481.88</f>
        <v>2170619.2999999998</v>
      </c>
      <c r="BT9" s="42">
        <f>2169137.42+1427.69</f>
        <v>2170565.11</v>
      </c>
      <c r="BU9" s="42">
        <f>2169137.42+1371.11</f>
        <v>2170508.5299999998</v>
      </c>
      <c r="BV9" s="42">
        <f>2169137.42+1309.93</f>
        <v>2170447.35</v>
      </c>
      <c r="BW9" s="42">
        <f t="shared" ref="BW9:CQ9" si="13">2169137.42+1258.46</f>
        <v>2170395.88</v>
      </c>
      <c r="BX9" s="42">
        <f t="shared" si="13"/>
        <v>2170395.88</v>
      </c>
      <c r="BY9" s="42">
        <f t="shared" si="13"/>
        <v>2170395.88</v>
      </c>
      <c r="BZ9" s="42">
        <f t="shared" si="13"/>
        <v>2170395.88</v>
      </c>
      <c r="CA9" s="42">
        <f t="shared" si="13"/>
        <v>2170395.88</v>
      </c>
      <c r="CB9" s="42">
        <f t="shared" si="13"/>
        <v>2170395.88</v>
      </c>
      <c r="CC9" s="42">
        <f t="shared" si="13"/>
        <v>2170395.88</v>
      </c>
      <c r="CD9" s="42">
        <f t="shared" si="13"/>
        <v>2170395.88</v>
      </c>
      <c r="CE9" s="42">
        <f t="shared" si="13"/>
        <v>2170395.88</v>
      </c>
      <c r="CF9" s="42">
        <f t="shared" si="13"/>
        <v>2170395.88</v>
      </c>
      <c r="CG9" s="42">
        <f t="shared" si="13"/>
        <v>2170395.88</v>
      </c>
      <c r="CH9" s="42">
        <f t="shared" si="13"/>
        <v>2170395.88</v>
      </c>
      <c r="CI9" s="42">
        <f t="shared" si="13"/>
        <v>2170395.88</v>
      </c>
      <c r="CJ9" s="42">
        <f t="shared" si="13"/>
        <v>2170395.88</v>
      </c>
      <c r="CK9" s="42">
        <f t="shared" si="13"/>
        <v>2170395.88</v>
      </c>
      <c r="CL9" s="42">
        <f t="shared" si="13"/>
        <v>2170395.88</v>
      </c>
      <c r="CM9" s="42">
        <f t="shared" si="13"/>
        <v>2170395.88</v>
      </c>
      <c r="CN9" s="42">
        <f t="shared" si="13"/>
        <v>2170395.88</v>
      </c>
      <c r="CO9" s="42">
        <f t="shared" si="13"/>
        <v>2170395.88</v>
      </c>
      <c r="CP9" s="42">
        <f t="shared" si="13"/>
        <v>2170395.88</v>
      </c>
      <c r="CQ9" s="42">
        <f t="shared" si="13"/>
        <v>2170395.88</v>
      </c>
      <c r="CR9" s="271">
        <f t="shared" si="8"/>
        <v>2170395.88</v>
      </c>
      <c r="CS9" s="271">
        <f t="shared" si="8"/>
        <v>2170395.88</v>
      </c>
      <c r="CT9" s="271">
        <f t="shared" si="8"/>
        <v>2170395.88</v>
      </c>
    </row>
    <row r="10" spans="1:101" x14ac:dyDescent="0.35">
      <c r="A10" t="s">
        <v>29</v>
      </c>
      <c r="B10" s="37"/>
      <c r="C10" s="37"/>
      <c r="D10" s="41">
        <v>0</v>
      </c>
      <c r="E10" s="41">
        <v>0</v>
      </c>
      <c r="F10" s="41">
        <v>0</v>
      </c>
      <c r="G10" s="41">
        <v>0</v>
      </c>
      <c r="H10" s="41">
        <v>0</v>
      </c>
      <c r="I10" s="41">
        <v>1938.36</v>
      </c>
      <c r="J10" s="41">
        <v>4471.67</v>
      </c>
      <c r="K10" s="41">
        <v>5196.7299999999996</v>
      </c>
      <c r="L10" s="41">
        <v>6862.23</v>
      </c>
      <c r="M10" s="41">
        <v>10267.16</v>
      </c>
      <c r="N10" s="41">
        <v>14971.71</v>
      </c>
      <c r="O10" s="41">
        <v>19986.64</v>
      </c>
      <c r="P10" s="41">
        <v>24761.3</v>
      </c>
      <c r="Q10" s="41">
        <v>35353.409999999996</v>
      </c>
      <c r="R10" s="41">
        <v>37586.060000000005</v>
      </c>
      <c r="S10" s="41">
        <v>49965.19000000001</v>
      </c>
      <c r="T10" s="41">
        <f>S10</f>
        <v>49965.19000000001</v>
      </c>
      <c r="U10" s="41">
        <v>79271.760000000009</v>
      </c>
      <c r="V10" s="41">
        <v>98032.219999999987</v>
      </c>
      <c r="W10" s="42">
        <v>106584.77999999998</v>
      </c>
      <c r="X10" s="42">
        <v>118285.69999999998</v>
      </c>
      <c r="Y10" s="42">
        <v>131572.22999999998</v>
      </c>
      <c r="Z10" s="42">
        <v>161846.31999999998</v>
      </c>
      <c r="AA10" s="42">
        <v>190951.01</v>
      </c>
      <c r="AB10" s="42">
        <v>213429.63</v>
      </c>
      <c r="AC10" s="42">
        <v>246557.09999999998</v>
      </c>
      <c r="AD10" s="42">
        <v>271769.84999999998</v>
      </c>
      <c r="AE10" s="42">
        <v>331308.89999999997</v>
      </c>
      <c r="AF10" s="42">
        <v>412191.51</v>
      </c>
      <c r="AG10" s="42">
        <v>493335.19</v>
      </c>
      <c r="AH10" s="42">
        <v>559581.99</v>
      </c>
      <c r="AI10" s="42">
        <v>595007.44000000006</v>
      </c>
      <c r="AJ10" s="42">
        <v>634031.60000000009</v>
      </c>
      <c r="AK10" s="42">
        <v>682284.17</v>
      </c>
      <c r="AL10" s="42">
        <v>734097.55</v>
      </c>
      <c r="AM10" s="42">
        <v>781994.41999999993</v>
      </c>
      <c r="AN10" s="42">
        <v>837841.06999999983</v>
      </c>
      <c r="AO10" s="42">
        <v>888476.94</v>
      </c>
      <c r="AP10" s="42">
        <v>942837.01</v>
      </c>
      <c r="AQ10" s="42">
        <v>1071794.97</v>
      </c>
      <c r="AR10" s="42">
        <v>1230408.1299999999</v>
      </c>
      <c r="AS10" s="42">
        <v>1372751.47</v>
      </c>
      <c r="AT10" s="42">
        <v>1487367.92</v>
      </c>
      <c r="AU10" s="111">
        <f>1535636.39+0</f>
        <v>1535636.39</v>
      </c>
      <c r="AV10" s="42">
        <f>0+1583004.44</f>
        <v>1583004.44</v>
      </c>
      <c r="AW10" s="42">
        <f>1658816.51+0</f>
        <v>1658816.51</v>
      </c>
      <c r="AX10" s="42">
        <f>1720936.64+0</f>
        <v>1720936.64</v>
      </c>
      <c r="AY10" s="42">
        <f>0+1772288.01</f>
        <v>1772288.01</v>
      </c>
      <c r="AZ10" s="42">
        <f>0+1825448.58</f>
        <v>1825448.58</v>
      </c>
      <c r="BA10" s="42">
        <f>1825448.58+0</f>
        <v>1825448.58</v>
      </c>
      <c r="BB10" s="42">
        <f t="shared" ref="BB10:BG10" si="14">1822821.1+0</f>
        <v>1822821.1</v>
      </c>
      <c r="BC10" s="42">
        <f t="shared" si="14"/>
        <v>1822821.1</v>
      </c>
      <c r="BD10" s="42">
        <f t="shared" si="14"/>
        <v>1822821.1</v>
      </c>
      <c r="BE10" s="42">
        <f t="shared" si="14"/>
        <v>1822821.1</v>
      </c>
      <c r="BF10" s="42">
        <f t="shared" si="14"/>
        <v>1822821.1</v>
      </c>
      <c r="BG10" s="42">
        <f t="shared" si="14"/>
        <v>1822821.1</v>
      </c>
      <c r="BH10" s="42">
        <f t="shared" ref="BH10:BM10" si="15">1822821.1+0</f>
        <v>1822821.1</v>
      </c>
      <c r="BI10" s="42">
        <f t="shared" si="15"/>
        <v>1822821.1</v>
      </c>
      <c r="BJ10" s="42">
        <f t="shared" si="15"/>
        <v>1822821.1</v>
      </c>
      <c r="BK10" s="42">
        <f t="shared" si="15"/>
        <v>1822821.1</v>
      </c>
      <c r="BL10" s="42">
        <f t="shared" si="15"/>
        <v>1822821.1</v>
      </c>
      <c r="BM10" s="42">
        <f t="shared" si="15"/>
        <v>1822821.1</v>
      </c>
      <c r="BN10" s="42">
        <f t="shared" ref="BN10:BR10" si="16">1822821.1+0</f>
        <v>1822821.1</v>
      </c>
      <c r="BO10" s="42">
        <f t="shared" si="16"/>
        <v>1822821.1</v>
      </c>
      <c r="BP10" s="42">
        <f t="shared" si="16"/>
        <v>1822821.1</v>
      </c>
      <c r="BQ10" s="42">
        <f t="shared" si="16"/>
        <v>1822821.1</v>
      </c>
      <c r="BR10" s="42">
        <f t="shared" si="16"/>
        <v>1822821.1</v>
      </c>
      <c r="BS10" s="42">
        <f t="shared" ref="BS10:BW10" si="17">1822821.1+0</f>
        <v>1822821.1</v>
      </c>
      <c r="BT10" s="42">
        <f t="shared" si="17"/>
        <v>1822821.1</v>
      </c>
      <c r="BU10" s="42">
        <f t="shared" si="17"/>
        <v>1822821.1</v>
      </c>
      <c r="BV10" s="42">
        <f t="shared" si="17"/>
        <v>1822821.1</v>
      </c>
      <c r="BW10" s="42">
        <f t="shared" si="17"/>
        <v>1822821.1</v>
      </c>
      <c r="BX10" s="42">
        <f t="shared" ref="BX10:CQ10" si="18">1822821.1+0</f>
        <v>1822821.1</v>
      </c>
      <c r="BY10" s="42">
        <f t="shared" si="18"/>
        <v>1822821.1</v>
      </c>
      <c r="BZ10" s="42">
        <f t="shared" si="18"/>
        <v>1822821.1</v>
      </c>
      <c r="CA10" s="42">
        <f t="shared" si="18"/>
        <v>1822821.1</v>
      </c>
      <c r="CB10" s="42">
        <f t="shared" si="18"/>
        <v>1822821.1</v>
      </c>
      <c r="CC10" s="42">
        <f t="shared" si="18"/>
        <v>1822821.1</v>
      </c>
      <c r="CD10" s="42">
        <f t="shared" si="18"/>
        <v>1822821.1</v>
      </c>
      <c r="CE10" s="42">
        <f t="shared" si="18"/>
        <v>1822821.1</v>
      </c>
      <c r="CF10" s="42">
        <f t="shared" si="18"/>
        <v>1822821.1</v>
      </c>
      <c r="CG10" s="42">
        <f t="shared" si="18"/>
        <v>1822821.1</v>
      </c>
      <c r="CH10" s="42">
        <f t="shared" si="18"/>
        <v>1822821.1</v>
      </c>
      <c r="CI10" s="42">
        <f t="shared" si="18"/>
        <v>1822821.1</v>
      </c>
      <c r="CJ10" s="42">
        <f t="shared" si="18"/>
        <v>1822821.1</v>
      </c>
      <c r="CK10" s="42">
        <f t="shared" si="18"/>
        <v>1822821.1</v>
      </c>
      <c r="CL10" s="42">
        <f t="shared" si="18"/>
        <v>1822821.1</v>
      </c>
      <c r="CM10" s="42">
        <f t="shared" si="18"/>
        <v>1822821.1</v>
      </c>
      <c r="CN10" s="42">
        <f t="shared" si="18"/>
        <v>1822821.1</v>
      </c>
      <c r="CO10" s="42">
        <f t="shared" si="18"/>
        <v>1822821.1</v>
      </c>
      <c r="CP10" s="42">
        <f t="shared" si="18"/>
        <v>1822821.1</v>
      </c>
      <c r="CQ10" s="42">
        <f t="shared" si="18"/>
        <v>1822821.1</v>
      </c>
      <c r="CR10" s="271">
        <f t="shared" si="8"/>
        <v>1822821.1</v>
      </c>
      <c r="CS10" s="271">
        <f t="shared" si="8"/>
        <v>1822821.1</v>
      </c>
      <c r="CT10" s="271">
        <f t="shared" si="8"/>
        <v>1822821.1</v>
      </c>
    </row>
    <row r="11" spans="1:101" x14ac:dyDescent="0.35">
      <c r="A11" s="33" t="s">
        <v>31</v>
      </c>
      <c r="B11" s="31"/>
      <c r="C11" s="31"/>
      <c r="D11" s="44">
        <f>SUM(D5:D10)</f>
        <v>0</v>
      </c>
      <c r="E11" s="44">
        <f t="shared" ref="E11:AW11" si="19">SUM(E5:E10)</f>
        <v>1328.78</v>
      </c>
      <c r="F11" s="44">
        <f t="shared" si="19"/>
        <v>10855.31</v>
      </c>
      <c r="G11" s="44">
        <f t="shared" si="19"/>
        <v>142755.74000000002</v>
      </c>
      <c r="H11" s="44">
        <f t="shared" si="19"/>
        <v>438755.29</v>
      </c>
      <c r="I11" s="44">
        <f t="shared" si="19"/>
        <v>864309.08999999985</v>
      </c>
      <c r="J11" s="44">
        <f t="shared" si="19"/>
        <v>1622828.7399999998</v>
      </c>
      <c r="K11" s="44">
        <f t="shared" si="19"/>
        <v>1822179.47</v>
      </c>
      <c r="L11" s="44">
        <f t="shared" si="19"/>
        <v>2101287.8199999998</v>
      </c>
      <c r="M11" s="44">
        <f t="shared" si="19"/>
        <v>2539595.4700000002</v>
      </c>
      <c r="N11" s="44">
        <f t="shared" si="19"/>
        <v>3049256.3499999996</v>
      </c>
      <c r="O11" s="44">
        <f t="shared" si="19"/>
        <v>3535457.8400000003</v>
      </c>
      <c r="P11" s="44">
        <f t="shared" si="19"/>
        <v>4050297.1999999997</v>
      </c>
      <c r="Q11" s="44">
        <f t="shared" si="19"/>
        <v>4362993.05</v>
      </c>
      <c r="R11" s="44">
        <f t="shared" si="19"/>
        <v>4755467.2999999989</v>
      </c>
      <c r="S11" s="44">
        <f t="shared" si="19"/>
        <v>6104315.6600000001</v>
      </c>
      <c r="T11" s="44">
        <f t="shared" si="19"/>
        <v>8063085.7299999995</v>
      </c>
      <c r="U11" s="44">
        <f t="shared" si="19"/>
        <v>10182437.92</v>
      </c>
      <c r="V11" s="44">
        <f t="shared" si="19"/>
        <v>11835443.359999999</v>
      </c>
      <c r="W11" s="44">
        <f t="shared" si="19"/>
        <v>12586081.24</v>
      </c>
      <c r="X11" s="44">
        <f t="shared" si="19"/>
        <v>13411133.349999998</v>
      </c>
      <c r="Y11" s="44">
        <f t="shared" si="19"/>
        <v>14508235.33</v>
      </c>
      <c r="Z11" s="44">
        <f t="shared" si="19"/>
        <v>15741662.74</v>
      </c>
      <c r="AA11" s="44">
        <f t="shared" si="19"/>
        <v>16804401.32</v>
      </c>
      <c r="AB11" s="44">
        <f t="shared" si="19"/>
        <v>17920859.009999998</v>
      </c>
      <c r="AC11" s="44">
        <f t="shared" si="19"/>
        <v>18880652.490000002</v>
      </c>
      <c r="AD11" s="44">
        <f t="shared" si="19"/>
        <v>20304883.590000004</v>
      </c>
      <c r="AE11" s="44">
        <f t="shared" si="19"/>
        <v>24109452.829999998</v>
      </c>
      <c r="AF11" s="44">
        <f t="shared" si="19"/>
        <v>29222202.420000002</v>
      </c>
      <c r="AG11" s="44">
        <f t="shared" si="19"/>
        <v>33936069.969999999</v>
      </c>
      <c r="AH11" s="44">
        <f t="shared" si="19"/>
        <v>37534409.930000007</v>
      </c>
      <c r="AI11" s="44">
        <f t="shared" si="19"/>
        <v>39248935.469999999</v>
      </c>
      <c r="AJ11" s="44">
        <f t="shared" si="19"/>
        <v>40820356.719999999</v>
      </c>
      <c r="AK11" s="44">
        <f t="shared" si="19"/>
        <v>42739876.649999999</v>
      </c>
      <c r="AL11" s="44">
        <f t="shared" si="19"/>
        <v>44800311.419999987</v>
      </c>
      <c r="AM11" s="44">
        <f t="shared" si="19"/>
        <v>46599938.740000002</v>
      </c>
      <c r="AN11" s="44">
        <f t="shared" si="19"/>
        <v>48912530.510000005</v>
      </c>
      <c r="AO11" s="44">
        <f t="shared" si="19"/>
        <v>51022444.509999998</v>
      </c>
      <c r="AP11" s="44">
        <f t="shared" si="19"/>
        <v>52910430.469999999</v>
      </c>
      <c r="AQ11" s="44">
        <f t="shared" si="19"/>
        <v>59034225.109999999</v>
      </c>
      <c r="AR11" s="44">
        <f t="shared" si="19"/>
        <v>66409536.900000006</v>
      </c>
      <c r="AS11" s="44">
        <f t="shared" si="19"/>
        <v>73378809.11999999</v>
      </c>
      <c r="AT11" s="44">
        <f t="shared" si="19"/>
        <v>78504096.609999999</v>
      </c>
      <c r="AU11" s="44">
        <f t="shared" si="19"/>
        <v>80727405.609999999</v>
      </c>
      <c r="AV11" s="44">
        <f t="shared" si="19"/>
        <v>82805801.339999989</v>
      </c>
      <c r="AW11" s="44">
        <f t="shared" si="19"/>
        <v>85034536.019999996</v>
      </c>
      <c r="AX11" s="44">
        <f t="shared" ref="AX11:AY11" si="20">SUM(AX5:AX10)</f>
        <v>87404383.969999999</v>
      </c>
      <c r="AY11" s="44">
        <f t="shared" si="20"/>
        <v>87621939.359999999</v>
      </c>
      <c r="AZ11" s="44">
        <f t="shared" ref="AZ11:BA11" si="21">SUM(AZ5:AZ10)</f>
        <v>89562112.209999993</v>
      </c>
      <c r="BA11" s="44">
        <f t="shared" si="21"/>
        <v>89564398.519999996</v>
      </c>
      <c r="BB11" s="44">
        <f t="shared" ref="BB11:BC11" si="22">SUM(BB5:BB10)</f>
        <v>89564431.909999982</v>
      </c>
      <c r="BC11" s="44">
        <f t="shared" si="22"/>
        <v>89576655.219999984</v>
      </c>
      <c r="BD11" s="44">
        <f t="shared" ref="BD11:BE11" si="23">SUM(BD5:BD10)</f>
        <v>89599508.399999976</v>
      </c>
      <c r="BE11" s="44">
        <f t="shared" si="23"/>
        <v>89636862.249999985</v>
      </c>
      <c r="BF11" s="44">
        <f t="shared" ref="BF11:BG11" si="24">SUM(BF5:BF10)</f>
        <v>89671271.859999985</v>
      </c>
      <c r="BG11" s="44">
        <f t="shared" si="24"/>
        <v>89684768.019999981</v>
      </c>
      <c r="BH11" s="44">
        <f t="shared" ref="BH11:BI11" si="25">SUM(BH5:BH10)</f>
        <v>89697638.089999989</v>
      </c>
      <c r="BI11" s="44">
        <f t="shared" si="25"/>
        <v>89715352.119999975</v>
      </c>
      <c r="BJ11" s="44">
        <f t="shared" ref="BJ11:BK11" si="26">SUM(BJ5:BJ10)</f>
        <v>89736178.99999997</v>
      </c>
      <c r="BK11" s="44">
        <f t="shared" si="26"/>
        <v>89755278.219999984</v>
      </c>
      <c r="BL11" s="44">
        <f t="shared" ref="BL11:BM11" si="27">SUM(BL5:BL10)</f>
        <v>89776699.679999977</v>
      </c>
      <c r="BM11" s="44">
        <f t="shared" si="27"/>
        <v>89795868.059999987</v>
      </c>
      <c r="BN11" s="44">
        <f t="shared" ref="BN11:BO11" si="28">SUM(BN5:BN10)</f>
        <v>89821333.149999976</v>
      </c>
      <c r="BO11" s="44">
        <f t="shared" si="28"/>
        <v>89891693.699999988</v>
      </c>
      <c r="BP11" s="44">
        <f t="shared" ref="BP11:BQ11" si="29">SUM(BP5:BP10)</f>
        <v>89982895.839999989</v>
      </c>
      <c r="BQ11" s="44">
        <f t="shared" si="29"/>
        <v>90067395.079999983</v>
      </c>
      <c r="BR11" s="44">
        <f t="shared" ref="BR11:BS11" si="30">SUM(BR5:BR10)</f>
        <v>90121346.929999992</v>
      </c>
      <c r="BS11" s="44">
        <f t="shared" si="30"/>
        <v>90143258.039999992</v>
      </c>
      <c r="BT11" s="44">
        <f t="shared" ref="BT11:BU11" si="31">SUM(BT5:BT10)</f>
        <v>90163884.11999999</v>
      </c>
      <c r="BU11" s="44">
        <f t="shared" si="31"/>
        <v>90188659.419999987</v>
      </c>
      <c r="BV11" s="44">
        <f t="shared" ref="BV11:BW11" si="32">SUM(BV5:BV10)</f>
        <v>90214489.439999983</v>
      </c>
      <c r="BW11" s="44">
        <f t="shared" si="32"/>
        <v>90235713.329999983</v>
      </c>
      <c r="BX11" s="44">
        <f t="shared" ref="BX11:BY11" si="33">SUM(BX5:BX10)</f>
        <v>90235713.329999983</v>
      </c>
      <c r="BY11" s="44">
        <f t="shared" si="33"/>
        <v>90235713.329999983</v>
      </c>
      <c r="BZ11" s="44">
        <f t="shared" ref="BZ11:CA11" si="34">SUM(BZ5:BZ10)</f>
        <v>90235713.329999983</v>
      </c>
      <c r="CA11" s="44">
        <f t="shared" si="34"/>
        <v>90235713.329999983</v>
      </c>
      <c r="CB11" s="44">
        <f t="shared" ref="CB11:CC11" si="35">SUM(CB5:CB10)</f>
        <v>90235713.329999983</v>
      </c>
      <c r="CC11" s="44">
        <f t="shared" si="35"/>
        <v>90235713.329999983</v>
      </c>
      <c r="CD11" s="44">
        <f t="shared" ref="CD11:CE11" si="36">SUM(CD5:CD10)</f>
        <v>90235713.329999983</v>
      </c>
      <c r="CE11" s="44">
        <f t="shared" si="36"/>
        <v>90235713.329999983</v>
      </c>
      <c r="CF11" s="44">
        <f t="shared" ref="CF11:CG11" si="37">SUM(CF5:CF10)</f>
        <v>90235713.329999983</v>
      </c>
      <c r="CG11" s="44">
        <f t="shared" si="37"/>
        <v>90235713.329999983</v>
      </c>
      <c r="CH11" s="44">
        <f t="shared" ref="CH11:CI11" si="38">SUM(CH5:CH10)</f>
        <v>90235713.329999983</v>
      </c>
      <c r="CI11" s="44">
        <f t="shared" si="38"/>
        <v>90235713.329999983</v>
      </c>
      <c r="CJ11" s="44">
        <f t="shared" ref="CJ11:CK11" si="39">SUM(CJ5:CJ10)</f>
        <v>90235713.329999983</v>
      </c>
      <c r="CK11" s="44">
        <f t="shared" si="39"/>
        <v>90235713.329999983</v>
      </c>
      <c r="CL11" s="44">
        <f t="shared" ref="CL11:CM11" si="40">SUM(CL5:CL10)</f>
        <v>90235713.329999983</v>
      </c>
      <c r="CM11" s="44">
        <f t="shared" si="40"/>
        <v>90235713.329999983</v>
      </c>
      <c r="CN11" s="44">
        <f t="shared" ref="CN11:CO11" si="41">SUM(CN5:CN10)</f>
        <v>90235713.329999983</v>
      </c>
      <c r="CO11" s="44">
        <f t="shared" si="41"/>
        <v>90235713.329999983</v>
      </c>
      <c r="CP11" s="44">
        <f t="shared" ref="CP11:CQ11" si="42">SUM(CP5:CP10)</f>
        <v>90235713.329999983</v>
      </c>
      <c r="CQ11" s="44">
        <f t="shared" si="42"/>
        <v>90235713.329999983</v>
      </c>
      <c r="CR11" s="44">
        <f t="shared" ref="CR11:CT11" si="43">SUM(CR5:CR10)</f>
        <v>90235713.329999983</v>
      </c>
      <c r="CS11" s="44">
        <f t="shared" si="43"/>
        <v>90235713.329999983</v>
      </c>
      <c r="CT11" s="44">
        <f t="shared" si="43"/>
        <v>90235713.329999983</v>
      </c>
    </row>
    <row r="12" spans="1:101" x14ac:dyDescent="0.35">
      <c r="B12" s="37"/>
      <c r="C12" s="37"/>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row>
    <row r="13" spans="1:101" x14ac:dyDescent="0.35">
      <c r="A13" s="36" t="s">
        <v>39</v>
      </c>
      <c r="B13" s="37"/>
      <c r="C13" s="37"/>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294"/>
      <c r="CS13" s="294"/>
      <c r="CT13" s="294"/>
      <c r="CU13" s="218"/>
      <c r="CV13" s="218"/>
      <c r="CW13" s="218"/>
    </row>
    <row r="14" spans="1:101" x14ac:dyDescent="0.35">
      <c r="A14" s="38" t="s">
        <v>33</v>
      </c>
      <c r="B14" s="37"/>
      <c r="C14" s="37"/>
      <c r="D14" s="45">
        <f>D5-C5</f>
        <v>0</v>
      </c>
      <c r="E14" s="45">
        <f>IF(E5="","",E5-D5)</f>
        <v>1328.78</v>
      </c>
      <c r="F14" s="45">
        <f>IF(F5="","",F5-E5)</f>
        <v>9526.5299999999988</v>
      </c>
      <c r="G14" s="45">
        <f t="shared" ref="F14:AY19" si="44">IF(G5="","",G5-F5)</f>
        <v>120352.88</v>
      </c>
      <c r="H14" s="45">
        <f t="shared" si="44"/>
        <v>256080.65000000002</v>
      </c>
      <c r="I14" s="45">
        <f t="shared" si="44"/>
        <v>372472.09999999992</v>
      </c>
      <c r="J14" s="45">
        <f t="shared" si="44"/>
        <v>670608.5</v>
      </c>
      <c r="K14" s="45">
        <f t="shared" si="44"/>
        <v>120551.63000000012</v>
      </c>
      <c r="L14" s="45">
        <f t="shared" si="44"/>
        <v>184475.61999999988</v>
      </c>
      <c r="M14" s="45">
        <f t="shared" si="44"/>
        <v>301697.94999999995</v>
      </c>
      <c r="N14" s="45">
        <f t="shared" si="44"/>
        <v>327357.96999999997</v>
      </c>
      <c r="O14" s="45">
        <f t="shared" si="44"/>
        <v>317272.05000000028</v>
      </c>
      <c r="P14" s="45">
        <f t="shared" si="44"/>
        <v>305348.18999999994</v>
      </c>
      <c r="Q14" s="45">
        <f t="shared" si="44"/>
        <v>197792.15999999968</v>
      </c>
      <c r="R14" s="45">
        <f t="shared" si="44"/>
        <v>200664.75999999978</v>
      </c>
      <c r="S14" s="45">
        <f t="shared" si="44"/>
        <v>879022.23000000045</v>
      </c>
      <c r="T14" s="45">
        <f t="shared" si="44"/>
        <v>1282604.3399999999</v>
      </c>
      <c r="U14" s="45">
        <f t="shared" si="44"/>
        <v>1399033.92</v>
      </c>
      <c r="V14" s="45">
        <f t="shared" si="44"/>
        <v>904042.34999999963</v>
      </c>
      <c r="W14" s="45">
        <f t="shared" si="44"/>
        <v>276514.40000000037</v>
      </c>
      <c r="X14" s="45">
        <f>IF(X5="","",X5-W5)</f>
        <v>372792.59999999963</v>
      </c>
      <c r="Y14" s="45">
        <f t="shared" si="44"/>
        <v>559285.05000000075</v>
      </c>
      <c r="Z14" s="45">
        <f t="shared" si="44"/>
        <v>591373.70999999903</v>
      </c>
      <c r="AA14" s="45">
        <f t="shared" si="44"/>
        <v>500836.08000000007</v>
      </c>
      <c r="AB14" s="45">
        <f t="shared" si="44"/>
        <v>462807.17000000179</v>
      </c>
      <c r="AC14" s="45">
        <f t="shared" si="44"/>
        <v>255600.08999999985</v>
      </c>
      <c r="AD14" s="45">
        <f t="shared" si="44"/>
        <v>481507.6799999997</v>
      </c>
      <c r="AE14" s="45">
        <f t="shared" si="44"/>
        <v>1997746.3400000017</v>
      </c>
      <c r="AF14" s="45">
        <f t="shared" si="44"/>
        <v>2714818.1799999997</v>
      </c>
      <c r="AG14" s="45">
        <f t="shared" si="44"/>
        <v>2617480.8900000025</v>
      </c>
      <c r="AH14" s="45">
        <f t="shared" si="44"/>
        <v>1555407.7100000009</v>
      </c>
      <c r="AI14" s="45">
        <f t="shared" si="44"/>
        <v>541370.46999999508</v>
      </c>
      <c r="AJ14" s="45">
        <f t="shared" si="44"/>
        <v>496941.62999999896</v>
      </c>
      <c r="AK14" s="45">
        <f t="shared" si="44"/>
        <v>679510.1799999997</v>
      </c>
      <c r="AL14" s="45">
        <f t="shared" si="44"/>
        <v>678526.77999999747</v>
      </c>
      <c r="AM14" s="45">
        <f t="shared" si="44"/>
        <v>601701.77000000328</v>
      </c>
      <c r="AN14" s="45">
        <f t="shared" si="44"/>
        <v>705045.42000000179</v>
      </c>
      <c r="AO14" s="45">
        <f t="shared" si="44"/>
        <v>557694.19999999925</v>
      </c>
      <c r="AP14" s="45">
        <f t="shared" si="44"/>
        <v>349136.58000000194</v>
      </c>
      <c r="AQ14" s="45">
        <f t="shared" si="44"/>
        <v>2666775.4400000013</v>
      </c>
      <c r="AR14" s="45">
        <f t="shared" si="44"/>
        <v>3013692.8199999966</v>
      </c>
      <c r="AS14" s="45">
        <f t="shared" si="44"/>
        <v>3249975.2600000016</v>
      </c>
      <c r="AT14" s="45">
        <f t="shared" si="44"/>
        <v>1818882.6099999994</v>
      </c>
      <c r="AU14" s="45">
        <f t="shared" si="44"/>
        <v>447413.80999999493</v>
      </c>
      <c r="AV14" s="45">
        <f>IF(AV5="","",AV5-AU5)</f>
        <v>552491.52000000328</v>
      </c>
      <c r="AW14" s="45">
        <f t="shared" si="44"/>
        <v>691219.96000000089</v>
      </c>
      <c r="AX14" s="45">
        <f t="shared" si="44"/>
        <v>699596.14999999851</v>
      </c>
      <c r="AY14" s="45">
        <f t="shared" si="44"/>
        <v>-1127644.9299999997</v>
      </c>
      <c r="AZ14" s="45">
        <f t="shared" ref="AZ14:CQ17" si="45">IF(AZ5="","",AZ5-AY5)</f>
        <v>475952.4299999997</v>
      </c>
      <c r="BA14" s="45">
        <f t="shared" ref="BA14:CQ14" si="46">IF(BA5="","",BA5-AZ5)</f>
        <v>0</v>
      </c>
      <c r="BB14" s="45">
        <f t="shared" si="46"/>
        <v>0</v>
      </c>
      <c r="BC14" s="45">
        <f t="shared" si="46"/>
        <v>0</v>
      </c>
      <c r="BD14" s="45">
        <f t="shared" si="46"/>
        <v>0</v>
      </c>
      <c r="BE14" s="45">
        <f t="shared" si="46"/>
        <v>0</v>
      </c>
      <c r="BF14" s="45">
        <f t="shared" si="46"/>
        <v>0</v>
      </c>
      <c r="BG14" s="45">
        <f t="shared" si="46"/>
        <v>0</v>
      </c>
      <c r="BH14" s="45">
        <f t="shared" si="46"/>
        <v>0</v>
      </c>
      <c r="BI14" s="45">
        <f t="shared" si="46"/>
        <v>0</v>
      </c>
      <c r="BJ14" s="45">
        <f t="shared" si="46"/>
        <v>0</v>
      </c>
      <c r="BK14" s="45">
        <f t="shared" si="46"/>
        <v>0</v>
      </c>
      <c r="BL14" s="45">
        <f t="shared" si="46"/>
        <v>0</v>
      </c>
      <c r="BM14" s="45">
        <f t="shared" si="46"/>
        <v>0</v>
      </c>
      <c r="BN14" s="45">
        <f t="shared" si="46"/>
        <v>0</v>
      </c>
      <c r="BO14" s="45">
        <f t="shared" si="46"/>
        <v>0</v>
      </c>
      <c r="BP14" s="45">
        <f t="shared" si="46"/>
        <v>0</v>
      </c>
      <c r="BQ14" s="45">
        <f t="shared" si="46"/>
        <v>0</v>
      </c>
      <c r="BR14" s="45">
        <f t="shared" si="46"/>
        <v>0</v>
      </c>
      <c r="BS14" s="45">
        <f t="shared" si="46"/>
        <v>0</v>
      </c>
      <c r="BT14" s="45">
        <f t="shared" si="46"/>
        <v>0</v>
      </c>
      <c r="BU14" s="45">
        <f t="shared" si="46"/>
        <v>0</v>
      </c>
      <c r="BV14" s="45">
        <f t="shared" si="46"/>
        <v>0</v>
      </c>
      <c r="BW14" s="45">
        <f t="shared" si="46"/>
        <v>0</v>
      </c>
      <c r="BX14" s="45">
        <f t="shared" si="46"/>
        <v>0</v>
      </c>
      <c r="BY14" s="45">
        <f t="shared" si="46"/>
        <v>0</v>
      </c>
      <c r="BZ14" s="45">
        <f t="shared" si="46"/>
        <v>0</v>
      </c>
      <c r="CA14" s="45">
        <f t="shared" si="46"/>
        <v>0</v>
      </c>
      <c r="CB14" s="45">
        <f t="shared" si="46"/>
        <v>0</v>
      </c>
      <c r="CC14" s="45">
        <f t="shared" si="46"/>
        <v>0</v>
      </c>
      <c r="CD14" s="45">
        <f t="shared" si="46"/>
        <v>0</v>
      </c>
      <c r="CE14" s="45">
        <f t="shared" si="46"/>
        <v>0</v>
      </c>
      <c r="CF14" s="45">
        <f t="shared" si="46"/>
        <v>0</v>
      </c>
      <c r="CG14" s="45">
        <f t="shared" si="46"/>
        <v>0</v>
      </c>
      <c r="CH14" s="45">
        <f t="shared" si="46"/>
        <v>0</v>
      </c>
      <c r="CI14" s="45">
        <f t="shared" si="46"/>
        <v>0</v>
      </c>
      <c r="CJ14" s="45">
        <f t="shared" si="46"/>
        <v>0</v>
      </c>
      <c r="CK14" s="45">
        <f t="shared" si="46"/>
        <v>0</v>
      </c>
      <c r="CL14" s="45">
        <f t="shared" si="46"/>
        <v>0</v>
      </c>
      <c r="CM14" s="45">
        <f t="shared" si="46"/>
        <v>0</v>
      </c>
      <c r="CN14" s="45">
        <f t="shared" si="46"/>
        <v>0</v>
      </c>
      <c r="CO14" s="45">
        <f t="shared" si="46"/>
        <v>0</v>
      </c>
      <c r="CP14" s="45">
        <f t="shared" si="46"/>
        <v>0</v>
      </c>
      <c r="CQ14" s="45">
        <f t="shared" si="46"/>
        <v>0</v>
      </c>
      <c r="CR14" s="272">
        <v>0</v>
      </c>
      <c r="CS14" s="272">
        <v>0</v>
      </c>
      <c r="CT14" s="272">
        <v>0</v>
      </c>
    </row>
    <row r="15" spans="1:101" x14ac:dyDescent="0.35">
      <c r="A15" s="38" t="s">
        <v>34</v>
      </c>
      <c r="B15" s="37"/>
      <c r="C15" s="37"/>
      <c r="D15" s="45">
        <f t="shared" ref="D15:D19" si="47">D6-C6</f>
        <v>0</v>
      </c>
      <c r="E15" s="45">
        <f t="shared" ref="E15:T19" si="48">IF(E6="","",E6-D6)</f>
        <v>0</v>
      </c>
      <c r="F15" s="45">
        <f t="shared" si="48"/>
        <v>0</v>
      </c>
      <c r="G15" s="45">
        <f t="shared" si="48"/>
        <v>4167.9399999999996</v>
      </c>
      <c r="H15" s="45">
        <f t="shared" si="48"/>
        <v>13357.940000000002</v>
      </c>
      <c r="I15" s="45">
        <f t="shared" si="48"/>
        <v>14454.18</v>
      </c>
      <c r="J15" s="45">
        <f t="shared" si="48"/>
        <v>22320.249999999996</v>
      </c>
      <c r="K15" s="45">
        <f t="shared" si="48"/>
        <v>23584.83</v>
      </c>
      <c r="L15" s="45">
        <f t="shared" si="48"/>
        <v>27553.509999999995</v>
      </c>
      <c r="M15" s="45">
        <f t="shared" si="48"/>
        <v>36873.300000000017</v>
      </c>
      <c r="N15" s="45">
        <f t="shared" si="48"/>
        <v>47047.100000000006</v>
      </c>
      <c r="O15" s="45">
        <f t="shared" si="48"/>
        <v>42342.149999999994</v>
      </c>
      <c r="P15" s="45">
        <f t="shared" si="48"/>
        <v>52262.419999999984</v>
      </c>
      <c r="Q15" s="45">
        <f t="shared" si="48"/>
        <v>24709.820000000007</v>
      </c>
      <c r="R15" s="45">
        <f t="shared" si="48"/>
        <v>48722.070000000007</v>
      </c>
      <c r="S15" s="45">
        <f t="shared" si="48"/>
        <v>89215.37</v>
      </c>
      <c r="T15" s="45">
        <f t="shared" si="48"/>
        <v>138931.90000000002</v>
      </c>
      <c r="U15" s="45">
        <f t="shared" si="44"/>
        <v>130458.32999999984</v>
      </c>
      <c r="V15" s="45">
        <f t="shared" si="44"/>
        <v>149622.41000000015</v>
      </c>
      <c r="W15" s="45">
        <f t="shared" si="44"/>
        <v>115842.15000000002</v>
      </c>
      <c r="X15" s="45">
        <f t="shared" si="44"/>
        <v>86772.709999999846</v>
      </c>
      <c r="Y15" s="45">
        <f t="shared" si="44"/>
        <v>125490.87999999989</v>
      </c>
      <c r="Z15" s="45">
        <f t="shared" si="44"/>
        <v>148018.68999999994</v>
      </c>
      <c r="AA15" s="45">
        <f t="shared" si="44"/>
        <v>127690.18999999994</v>
      </c>
      <c r="AB15" s="45">
        <f t="shared" si="44"/>
        <v>159406.27000000002</v>
      </c>
      <c r="AC15" s="45">
        <f t="shared" si="44"/>
        <v>183035.08000000031</v>
      </c>
      <c r="AD15" s="45">
        <f t="shared" si="44"/>
        <v>257840.15999999992</v>
      </c>
      <c r="AE15" s="45">
        <f t="shared" si="44"/>
        <v>387684.63000000035</v>
      </c>
      <c r="AF15" s="45">
        <f t="shared" si="44"/>
        <v>508686.86999999965</v>
      </c>
      <c r="AG15" s="45">
        <f t="shared" si="44"/>
        <v>447675.79999999981</v>
      </c>
      <c r="AH15" s="45">
        <f t="shared" si="44"/>
        <v>488022.70000000019</v>
      </c>
      <c r="AI15" s="45">
        <f t="shared" si="44"/>
        <v>344175.24000000069</v>
      </c>
      <c r="AJ15" s="45">
        <f t="shared" si="44"/>
        <v>311009.05999999959</v>
      </c>
      <c r="AK15" s="45">
        <f t="shared" si="44"/>
        <v>343993.12999999989</v>
      </c>
      <c r="AL15" s="45">
        <f t="shared" si="44"/>
        <v>370770.33000000007</v>
      </c>
      <c r="AM15" s="45">
        <f t="shared" si="44"/>
        <v>310169.88999999966</v>
      </c>
      <c r="AN15" s="45">
        <f t="shared" si="44"/>
        <v>419753.16000000108</v>
      </c>
      <c r="AO15" s="45">
        <f t="shared" si="44"/>
        <v>423811.08999999985</v>
      </c>
      <c r="AP15" s="45">
        <f t="shared" si="44"/>
        <v>418930.93999999948</v>
      </c>
      <c r="AQ15" s="45">
        <f t="shared" si="44"/>
        <v>696098.56000000052</v>
      </c>
      <c r="AR15" s="45">
        <f t="shared" si="44"/>
        <v>888417.11999999918</v>
      </c>
      <c r="AS15" s="45">
        <f t="shared" si="44"/>
        <v>719222.04000000097</v>
      </c>
      <c r="AT15" s="45">
        <f t="shared" si="44"/>
        <v>752671.73000000045</v>
      </c>
      <c r="AU15" s="45">
        <f t="shared" si="44"/>
        <v>517065.38999999873</v>
      </c>
      <c r="AV15" s="45">
        <f t="shared" si="44"/>
        <v>440358.31999999844</v>
      </c>
      <c r="AW15" s="45">
        <f t="shared" si="44"/>
        <v>372255.00999999978</v>
      </c>
      <c r="AX15" s="45">
        <f t="shared" si="44"/>
        <v>444467.00000000186</v>
      </c>
      <c r="AY15" s="45">
        <f t="shared" si="44"/>
        <v>343323.83000000007</v>
      </c>
      <c r="AZ15" s="45">
        <f t="shared" si="45"/>
        <v>382499.52999999933</v>
      </c>
      <c r="BA15" s="45">
        <f t="shared" si="45"/>
        <v>0</v>
      </c>
      <c r="BB15" s="45">
        <f t="shared" si="45"/>
        <v>0</v>
      </c>
      <c r="BC15" s="45">
        <f t="shared" si="45"/>
        <v>0</v>
      </c>
      <c r="BD15" s="45">
        <f t="shared" si="45"/>
        <v>0</v>
      </c>
      <c r="BE15" s="45">
        <f t="shared" si="45"/>
        <v>0</v>
      </c>
      <c r="BF15" s="45">
        <f t="shared" si="45"/>
        <v>0</v>
      </c>
      <c r="BG15" s="45">
        <f t="shared" si="45"/>
        <v>0</v>
      </c>
      <c r="BH15" s="45">
        <f t="shared" si="45"/>
        <v>0</v>
      </c>
      <c r="BI15" s="45">
        <f t="shared" si="45"/>
        <v>0</v>
      </c>
      <c r="BJ15" s="45">
        <f t="shared" si="45"/>
        <v>0</v>
      </c>
      <c r="BK15" s="45">
        <f t="shared" si="45"/>
        <v>255.64000000059605</v>
      </c>
      <c r="BL15" s="45">
        <f t="shared" si="45"/>
        <v>592.33999999985099</v>
      </c>
      <c r="BM15" s="45">
        <f t="shared" si="45"/>
        <v>632.41000000014901</v>
      </c>
      <c r="BN15" s="45">
        <f t="shared" si="45"/>
        <v>892.52999999932945</v>
      </c>
      <c r="BO15" s="45">
        <f t="shared" si="45"/>
        <v>1958.390000000596</v>
      </c>
      <c r="BP15" s="45">
        <f t="shared" si="45"/>
        <v>2575.9900000002235</v>
      </c>
      <c r="BQ15" s="45">
        <f t="shared" si="45"/>
        <v>2901.589999999851</v>
      </c>
      <c r="BR15" s="45">
        <f t="shared" si="45"/>
        <v>2255.2100000008941</v>
      </c>
      <c r="BS15" s="45">
        <f t="shared" si="45"/>
        <v>1201.0499999988824</v>
      </c>
      <c r="BT15" s="45">
        <f t="shared" si="45"/>
        <v>993.04000000096858</v>
      </c>
      <c r="BU15" s="45">
        <f t="shared" si="45"/>
        <v>1022.7099999990314</v>
      </c>
      <c r="BV15" s="45">
        <f t="shared" si="45"/>
        <v>1061.0999999996275</v>
      </c>
      <c r="BW15" s="45">
        <f t="shared" si="45"/>
        <v>818.65000000037253</v>
      </c>
      <c r="BX15" s="45">
        <f t="shared" si="45"/>
        <v>0</v>
      </c>
      <c r="BY15" s="45">
        <f t="shared" si="45"/>
        <v>0</v>
      </c>
      <c r="BZ15" s="45">
        <f t="shared" si="45"/>
        <v>0</v>
      </c>
      <c r="CA15" s="45">
        <f t="shared" si="45"/>
        <v>0</v>
      </c>
      <c r="CB15" s="45">
        <f t="shared" si="45"/>
        <v>0</v>
      </c>
      <c r="CC15" s="45">
        <f t="shared" si="45"/>
        <v>0</v>
      </c>
      <c r="CD15" s="45">
        <f t="shared" si="45"/>
        <v>0</v>
      </c>
      <c r="CE15" s="45">
        <f t="shared" si="45"/>
        <v>0</v>
      </c>
      <c r="CF15" s="45">
        <f t="shared" si="45"/>
        <v>0</v>
      </c>
      <c r="CG15" s="45">
        <f t="shared" si="45"/>
        <v>0</v>
      </c>
      <c r="CH15" s="45">
        <f t="shared" si="45"/>
        <v>0</v>
      </c>
      <c r="CI15" s="45">
        <f t="shared" si="45"/>
        <v>0</v>
      </c>
      <c r="CJ15" s="45">
        <f t="shared" si="45"/>
        <v>0</v>
      </c>
      <c r="CK15" s="45">
        <f t="shared" si="45"/>
        <v>0</v>
      </c>
      <c r="CL15" s="45">
        <f t="shared" si="45"/>
        <v>0</v>
      </c>
      <c r="CM15" s="45">
        <f t="shared" si="45"/>
        <v>0</v>
      </c>
      <c r="CN15" s="45">
        <f t="shared" si="45"/>
        <v>0</v>
      </c>
      <c r="CO15" s="45">
        <f t="shared" si="45"/>
        <v>0</v>
      </c>
      <c r="CP15" s="45">
        <f t="shared" si="45"/>
        <v>0</v>
      </c>
      <c r="CQ15" s="45">
        <f t="shared" si="45"/>
        <v>0</v>
      </c>
      <c r="CR15" s="272">
        <v>0</v>
      </c>
      <c r="CS15" s="272">
        <v>0</v>
      </c>
      <c r="CT15" s="272">
        <v>0</v>
      </c>
    </row>
    <row r="16" spans="1:101" x14ac:dyDescent="0.35">
      <c r="A16" s="38" t="s">
        <v>35</v>
      </c>
      <c r="B16" s="37"/>
      <c r="C16" s="37"/>
      <c r="D16" s="45">
        <f t="shared" si="47"/>
        <v>0</v>
      </c>
      <c r="E16" s="45">
        <f t="shared" si="48"/>
        <v>0</v>
      </c>
      <c r="F16" s="45">
        <f t="shared" si="44"/>
        <v>0</v>
      </c>
      <c r="G16" s="45">
        <f t="shared" si="44"/>
        <v>6853.38</v>
      </c>
      <c r="H16" s="45">
        <f t="shared" si="44"/>
        <v>24493.5</v>
      </c>
      <c r="I16" s="45">
        <f t="shared" si="44"/>
        <v>33409.69</v>
      </c>
      <c r="J16" s="45">
        <f t="shared" si="44"/>
        <v>56460.609999999993</v>
      </c>
      <c r="K16" s="45">
        <f t="shared" si="44"/>
        <v>48357.03</v>
      </c>
      <c r="L16" s="45">
        <f t="shared" si="44"/>
        <v>55899.790000000008</v>
      </c>
      <c r="M16" s="45">
        <f t="shared" si="44"/>
        <v>75546.030000000028</v>
      </c>
      <c r="N16" s="45">
        <f t="shared" si="44"/>
        <v>97352.229999999981</v>
      </c>
      <c r="O16" s="45">
        <f t="shared" si="44"/>
        <v>91562.099999999977</v>
      </c>
      <c r="P16" s="45">
        <f t="shared" si="44"/>
        <v>114563.78000000003</v>
      </c>
      <c r="Q16" s="45">
        <f t="shared" si="44"/>
        <v>61155.599999999977</v>
      </c>
      <c r="R16" s="45">
        <f t="shared" si="44"/>
        <v>102205.64000000001</v>
      </c>
      <c r="S16" s="45">
        <f t="shared" si="44"/>
        <v>221631.07999999996</v>
      </c>
      <c r="T16" s="45">
        <f t="shared" si="44"/>
        <v>332206.05000000005</v>
      </c>
      <c r="U16" s="45">
        <f t="shared" si="44"/>
        <v>319145.15000000014</v>
      </c>
      <c r="V16" s="45">
        <f t="shared" si="44"/>
        <v>352001.19999999995</v>
      </c>
      <c r="W16" s="45">
        <f t="shared" si="44"/>
        <v>230729.55000000005</v>
      </c>
      <c r="X16" s="45">
        <f t="shared" si="44"/>
        <v>239391.36999999965</v>
      </c>
      <c r="Y16" s="45">
        <f t="shared" si="44"/>
        <v>266781.58000000007</v>
      </c>
      <c r="Z16" s="45">
        <f t="shared" si="44"/>
        <v>312105.20000000019</v>
      </c>
      <c r="AA16" s="45">
        <f t="shared" si="44"/>
        <v>271478.48999999976</v>
      </c>
      <c r="AB16" s="45">
        <f t="shared" si="44"/>
        <v>319460.60999999987</v>
      </c>
      <c r="AC16" s="45">
        <f t="shared" si="44"/>
        <v>334428.61999999965</v>
      </c>
      <c r="AD16" s="45">
        <f t="shared" si="44"/>
        <v>449994.59999999963</v>
      </c>
      <c r="AE16" s="45">
        <f t="shared" si="44"/>
        <v>871311.25999999978</v>
      </c>
      <c r="AF16" s="45">
        <f t="shared" si="44"/>
        <v>1177390.7900000019</v>
      </c>
      <c r="AG16" s="45">
        <f t="shared" si="44"/>
        <v>1009716.5700000003</v>
      </c>
      <c r="AH16" s="45">
        <f t="shared" si="44"/>
        <v>1016326.7899999982</v>
      </c>
      <c r="AI16" s="45">
        <f t="shared" si="44"/>
        <v>555178.75000000186</v>
      </c>
      <c r="AJ16" s="45">
        <f t="shared" si="44"/>
        <v>504762.08999999985</v>
      </c>
      <c r="AK16" s="45">
        <f t="shared" si="44"/>
        <v>588919.23000000045</v>
      </c>
      <c r="AL16" s="45">
        <f t="shared" si="44"/>
        <v>665468.6099999994</v>
      </c>
      <c r="AM16" s="45">
        <f t="shared" si="44"/>
        <v>579431.93999999948</v>
      </c>
      <c r="AN16" s="45">
        <f t="shared" si="44"/>
        <v>772136.74000000209</v>
      </c>
      <c r="AO16" s="45">
        <f t="shared" si="44"/>
        <v>745789.6400000006</v>
      </c>
      <c r="AP16" s="45">
        <f t="shared" si="44"/>
        <v>714312.04999999702</v>
      </c>
      <c r="AQ16" s="45">
        <f t="shared" si="44"/>
        <v>1666090.3499999996</v>
      </c>
      <c r="AR16" s="45">
        <f t="shared" si="44"/>
        <v>2097910.540000001</v>
      </c>
      <c r="AS16" s="45">
        <f t="shared" si="44"/>
        <v>1772226.1099999994</v>
      </c>
      <c r="AT16" s="45">
        <f t="shared" si="44"/>
        <v>1620615.0399999991</v>
      </c>
      <c r="AU16" s="45">
        <f t="shared" si="44"/>
        <v>832864.56000000238</v>
      </c>
      <c r="AV16" s="45">
        <f t="shared" si="44"/>
        <v>710085.51000000164</v>
      </c>
      <c r="AW16" s="45">
        <f t="shared" si="44"/>
        <v>768797.14999999851</v>
      </c>
      <c r="AX16" s="45">
        <f t="shared" si="44"/>
        <v>807148.3200000003</v>
      </c>
      <c r="AY16" s="45">
        <f t="shared" si="44"/>
        <v>651115.96999999881</v>
      </c>
      <c r="AZ16" s="45">
        <f t="shared" si="45"/>
        <v>704577.47999999672</v>
      </c>
      <c r="BA16" s="45">
        <f t="shared" ref="BA16:CQ16" si="49">IF(BA7="","",BA7-AZ7)</f>
        <v>2286.3100000023842</v>
      </c>
      <c r="BB16" s="45">
        <f t="shared" si="49"/>
        <v>2660.8699999973178</v>
      </c>
      <c r="BC16" s="45">
        <f t="shared" si="49"/>
        <v>12223.310000002384</v>
      </c>
      <c r="BD16" s="45">
        <f t="shared" si="49"/>
        <v>22853.179999999702</v>
      </c>
      <c r="BE16" s="45">
        <f t="shared" si="49"/>
        <v>20540.269999999553</v>
      </c>
      <c r="BF16" s="45">
        <f t="shared" si="49"/>
        <v>15022.210000000894</v>
      </c>
      <c r="BG16" s="45">
        <f t="shared" si="49"/>
        <v>6711.089999999851</v>
      </c>
      <c r="BH16" s="45">
        <f t="shared" si="49"/>
        <v>6702.839999999851</v>
      </c>
      <c r="BI16" s="45">
        <f t="shared" si="49"/>
        <v>8127.0399999991059</v>
      </c>
      <c r="BJ16" s="45">
        <f t="shared" si="49"/>
        <v>8329.3000000007451</v>
      </c>
      <c r="BK16" s="45">
        <f t="shared" si="49"/>
        <v>8800.269999999553</v>
      </c>
      <c r="BL16" s="45">
        <f t="shared" si="49"/>
        <v>10333.070000000298</v>
      </c>
      <c r="BM16" s="45">
        <f t="shared" si="49"/>
        <v>8760.0100000016391</v>
      </c>
      <c r="BN16" s="45">
        <f t="shared" si="49"/>
        <v>11044.909999996424</v>
      </c>
      <c r="BO16" s="45">
        <f t="shared" si="49"/>
        <v>31907.310000002384</v>
      </c>
      <c r="BP16" s="45">
        <f t="shared" si="49"/>
        <v>40946.179999999702</v>
      </c>
      <c r="BQ16" s="45">
        <f t="shared" si="49"/>
        <v>36410.359999999404</v>
      </c>
      <c r="BR16" s="45">
        <f t="shared" si="49"/>
        <v>22318.39999999851</v>
      </c>
      <c r="BS16" s="45">
        <f t="shared" si="49"/>
        <v>8944.2900000028312</v>
      </c>
      <c r="BT16" s="45">
        <f t="shared" si="49"/>
        <v>9312.6499999985099</v>
      </c>
      <c r="BU16" s="45">
        <f t="shared" si="49"/>
        <v>11751.719999998808</v>
      </c>
      <c r="BV16" s="45">
        <f t="shared" si="49"/>
        <v>12005.310000002384</v>
      </c>
      <c r="BW16" s="45">
        <f t="shared" si="49"/>
        <v>10126.529999997467</v>
      </c>
      <c r="BX16" s="45">
        <f t="shared" si="49"/>
        <v>0</v>
      </c>
      <c r="BY16" s="45">
        <f t="shared" si="49"/>
        <v>0</v>
      </c>
      <c r="BZ16" s="45">
        <f t="shared" si="49"/>
        <v>0</v>
      </c>
      <c r="CA16" s="45">
        <f t="shared" si="49"/>
        <v>0</v>
      </c>
      <c r="CB16" s="45">
        <f t="shared" si="49"/>
        <v>0</v>
      </c>
      <c r="CC16" s="45">
        <f t="shared" si="49"/>
        <v>0</v>
      </c>
      <c r="CD16" s="45">
        <f t="shared" si="49"/>
        <v>0</v>
      </c>
      <c r="CE16" s="45">
        <f t="shared" si="49"/>
        <v>0</v>
      </c>
      <c r="CF16" s="45">
        <f t="shared" si="49"/>
        <v>0</v>
      </c>
      <c r="CG16" s="45">
        <f t="shared" si="49"/>
        <v>0</v>
      </c>
      <c r="CH16" s="45">
        <f t="shared" si="49"/>
        <v>0</v>
      </c>
      <c r="CI16" s="45">
        <f t="shared" si="49"/>
        <v>0</v>
      </c>
      <c r="CJ16" s="45">
        <f t="shared" si="49"/>
        <v>0</v>
      </c>
      <c r="CK16" s="45">
        <f t="shared" si="49"/>
        <v>0</v>
      </c>
      <c r="CL16" s="45">
        <f t="shared" si="49"/>
        <v>0</v>
      </c>
      <c r="CM16" s="45">
        <f t="shared" si="49"/>
        <v>0</v>
      </c>
      <c r="CN16" s="45">
        <f t="shared" si="49"/>
        <v>0</v>
      </c>
      <c r="CO16" s="45">
        <f t="shared" si="49"/>
        <v>0</v>
      </c>
      <c r="CP16" s="45">
        <f t="shared" si="49"/>
        <v>0</v>
      </c>
      <c r="CQ16" s="45">
        <f t="shared" si="49"/>
        <v>0</v>
      </c>
      <c r="CR16" s="272">
        <v>0</v>
      </c>
      <c r="CS16" s="272">
        <v>0</v>
      </c>
      <c r="CT16" s="272">
        <v>0</v>
      </c>
    </row>
    <row r="17" spans="1:98" x14ac:dyDescent="0.35">
      <c r="A17" s="38" t="s">
        <v>36</v>
      </c>
      <c r="B17" s="37"/>
      <c r="C17" s="37"/>
      <c r="D17" s="45">
        <f t="shared" si="47"/>
        <v>0</v>
      </c>
      <c r="E17" s="45">
        <f t="shared" si="48"/>
        <v>0</v>
      </c>
      <c r="F17" s="45">
        <f t="shared" si="44"/>
        <v>0</v>
      </c>
      <c r="G17" s="45">
        <f t="shared" si="44"/>
        <v>526.23</v>
      </c>
      <c r="H17" s="45">
        <f t="shared" si="44"/>
        <v>1707.2399999999998</v>
      </c>
      <c r="I17" s="45">
        <f t="shared" si="44"/>
        <v>2028.9699999999998</v>
      </c>
      <c r="J17" s="45">
        <f t="shared" si="44"/>
        <v>4499.2600000000011</v>
      </c>
      <c r="K17" s="45">
        <f t="shared" si="44"/>
        <v>4284.0399999999991</v>
      </c>
      <c r="L17" s="45">
        <f t="shared" si="44"/>
        <v>7227.92</v>
      </c>
      <c r="M17" s="45">
        <f t="shared" si="44"/>
        <v>17709.170000000002</v>
      </c>
      <c r="N17" s="45">
        <f t="shared" si="44"/>
        <v>27502.43</v>
      </c>
      <c r="O17" s="45">
        <f t="shared" si="44"/>
        <v>23867.65</v>
      </c>
      <c r="P17" s="45">
        <f t="shared" si="44"/>
        <v>29055.349999999991</v>
      </c>
      <c r="Q17" s="45">
        <f t="shared" si="44"/>
        <v>10757.690000000017</v>
      </c>
      <c r="R17" s="45">
        <f t="shared" si="44"/>
        <v>27803.969999999972</v>
      </c>
      <c r="S17" s="45">
        <f t="shared" si="44"/>
        <v>126566.82</v>
      </c>
      <c r="T17" s="45">
        <f t="shared" si="44"/>
        <v>175689.74</v>
      </c>
      <c r="U17" s="45">
        <f t="shared" si="44"/>
        <v>215183.16000000003</v>
      </c>
      <c r="V17" s="45">
        <f t="shared" si="44"/>
        <v>202786.94000000006</v>
      </c>
      <c r="W17" s="45">
        <f t="shared" si="44"/>
        <v>100087.57000000007</v>
      </c>
      <c r="X17" s="45">
        <f t="shared" si="44"/>
        <v>96259.079999999842</v>
      </c>
      <c r="Y17" s="45">
        <f t="shared" si="44"/>
        <v>112165</v>
      </c>
      <c r="Z17" s="45">
        <f t="shared" si="44"/>
        <v>128838.41999999993</v>
      </c>
      <c r="AA17" s="45">
        <f t="shared" si="44"/>
        <v>113104.3600000001</v>
      </c>
      <c r="AB17" s="45">
        <f t="shared" si="44"/>
        <v>129439.45999999996</v>
      </c>
      <c r="AC17" s="45">
        <f t="shared" si="44"/>
        <v>129646.61999999988</v>
      </c>
      <c r="AD17" s="45">
        <f t="shared" si="44"/>
        <v>176619.16000000015</v>
      </c>
      <c r="AE17" s="45">
        <f t="shared" si="44"/>
        <v>416091.85000000009</v>
      </c>
      <c r="AF17" s="45">
        <f t="shared" si="44"/>
        <v>534882.73</v>
      </c>
      <c r="AG17" s="45">
        <f t="shared" si="44"/>
        <v>476996.03000000026</v>
      </c>
      <c r="AH17" s="45">
        <f t="shared" si="44"/>
        <v>406579.49999999953</v>
      </c>
      <c r="AI17" s="45">
        <f t="shared" si="44"/>
        <v>202811.04000000004</v>
      </c>
      <c r="AJ17" s="45">
        <f t="shared" si="44"/>
        <v>186362.33999999985</v>
      </c>
      <c r="AK17" s="45">
        <f t="shared" si="44"/>
        <v>218445.35999999987</v>
      </c>
      <c r="AL17" s="45">
        <f t="shared" si="44"/>
        <v>246867.91000000015</v>
      </c>
      <c r="AM17" s="45">
        <f t="shared" si="44"/>
        <v>216404.73000000045</v>
      </c>
      <c r="AN17" s="45">
        <f t="shared" si="44"/>
        <v>300233.46999999974</v>
      </c>
      <c r="AO17" s="45">
        <f t="shared" si="44"/>
        <v>278345.00999999978</v>
      </c>
      <c r="AP17" s="45">
        <f t="shared" si="44"/>
        <v>287989.21999999974</v>
      </c>
      <c r="AQ17" s="45">
        <f t="shared" si="44"/>
        <v>776547.50999999978</v>
      </c>
      <c r="AR17" s="45">
        <f t="shared" si="44"/>
        <v>961871.98000000045</v>
      </c>
      <c r="AS17" s="45">
        <f t="shared" si="44"/>
        <v>859921.08999999985</v>
      </c>
      <c r="AT17" s="45">
        <f t="shared" si="44"/>
        <v>674426.50999999978</v>
      </c>
      <c r="AU17" s="45">
        <f t="shared" si="44"/>
        <v>316273.42000000179</v>
      </c>
      <c r="AV17" s="45">
        <f t="shared" si="44"/>
        <v>274443.11999999918</v>
      </c>
      <c r="AW17" s="45">
        <f t="shared" si="44"/>
        <v>266606.75999999978</v>
      </c>
      <c r="AX17" s="45">
        <f t="shared" si="44"/>
        <v>297792.69999999925</v>
      </c>
      <c r="AY17" s="45">
        <f t="shared" si="44"/>
        <v>246874.51999999955</v>
      </c>
      <c r="AZ17" s="45">
        <f t="shared" si="45"/>
        <v>270790.45000000112</v>
      </c>
      <c r="BA17" s="45">
        <f t="shared" si="45"/>
        <v>0</v>
      </c>
      <c r="BB17" s="45">
        <f t="shared" si="45"/>
        <v>0</v>
      </c>
      <c r="BC17" s="45">
        <f t="shared" si="45"/>
        <v>0</v>
      </c>
      <c r="BD17" s="45">
        <f t="shared" si="45"/>
        <v>0</v>
      </c>
      <c r="BE17" s="45">
        <f t="shared" si="45"/>
        <v>16813.580000000075</v>
      </c>
      <c r="BF17" s="45">
        <f t="shared" si="45"/>
        <v>19387.400000000373</v>
      </c>
      <c r="BG17" s="45">
        <f t="shared" si="45"/>
        <v>6785.070000000298</v>
      </c>
      <c r="BH17" s="45">
        <f t="shared" si="45"/>
        <v>6167.2299999985844</v>
      </c>
      <c r="BI17" s="45">
        <f t="shared" si="45"/>
        <v>9586.9900000002235</v>
      </c>
      <c r="BJ17" s="45">
        <f t="shared" si="45"/>
        <v>12497.580000000075</v>
      </c>
      <c r="BK17" s="45">
        <f t="shared" si="45"/>
        <v>10043.310000000522</v>
      </c>
      <c r="BL17" s="45">
        <f t="shared" si="45"/>
        <v>10496.050000000745</v>
      </c>
      <c r="BM17" s="45">
        <f t="shared" si="45"/>
        <v>9775.9599999990314</v>
      </c>
      <c r="BN17" s="45">
        <f t="shared" si="45"/>
        <v>13527.650000000373</v>
      </c>
      <c r="BO17" s="45">
        <f t="shared" si="45"/>
        <v>36494.849999999627</v>
      </c>
      <c r="BP17" s="45">
        <f t="shared" si="45"/>
        <v>47679.970000000671</v>
      </c>
      <c r="BQ17" s="45">
        <f t="shared" si="45"/>
        <v>45288.439999999478</v>
      </c>
      <c r="BR17" s="45">
        <f t="shared" si="45"/>
        <v>29486.400000000373</v>
      </c>
      <c r="BS17" s="45">
        <f t="shared" si="45"/>
        <v>11833.289999999106</v>
      </c>
      <c r="BT17" s="45">
        <f t="shared" si="45"/>
        <v>10374.580000000075</v>
      </c>
      <c r="BU17" s="45">
        <f t="shared" si="45"/>
        <v>12057.450000001118</v>
      </c>
      <c r="BV17" s="45">
        <f t="shared" si="45"/>
        <v>12824.789999999106</v>
      </c>
      <c r="BW17" s="45">
        <f t="shared" si="45"/>
        <v>10330.179999999702</v>
      </c>
      <c r="BX17" s="45">
        <f t="shared" si="45"/>
        <v>0</v>
      </c>
      <c r="BY17" s="45">
        <f t="shared" si="45"/>
        <v>0</v>
      </c>
      <c r="BZ17" s="45">
        <f t="shared" si="45"/>
        <v>0</v>
      </c>
      <c r="CA17" s="45">
        <f t="shared" si="45"/>
        <v>0</v>
      </c>
      <c r="CB17" s="45">
        <f t="shared" si="45"/>
        <v>0</v>
      </c>
      <c r="CC17" s="45">
        <f t="shared" si="45"/>
        <v>0</v>
      </c>
      <c r="CD17" s="45">
        <f t="shared" si="45"/>
        <v>0</v>
      </c>
      <c r="CE17" s="45">
        <f t="shared" si="45"/>
        <v>0</v>
      </c>
      <c r="CF17" s="45">
        <f t="shared" si="45"/>
        <v>0</v>
      </c>
      <c r="CG17" s="45">
        <f t="shared" si="45"/>
        <v>0</v>
      </c>
      <c r="CH17" s="45">
        <f t="shared" si="45"/>
        <v>0</v>
      </c>
      <c r="CI17" s="45">
        <f t="shared" si="45"/>
        <v>0</v>
      </c>
      <c r="CJ17" s="45">
        <f t="shared" si="45"/>
        <v>0</v>
      </c>
      <c r="CK17" s="45">
        <f t="shared" si="45"/>
        <v>0</v>
      </c>
      <c r="CL17" s="45">
        <f t="shared" si="45"/>
        <v>0</v>
      </c>
      <c r="CM17" s="45">
        <f t="shared" si="45"/>
        <v>0</v>
      </c>
      <c r="CN17" s="45">
        <f t="shared" si="45"/>
        <v>0</v>
      </c>
      <c r="CO17" s="45">
        <f t="shared" si="45"/>
        <v>0</v>
      </c>
      <c r="CP17" s="45">
        <f t="shared" si="45"/>
        <v>0</v>
      </c>
      <c r="CQ17" s="45">
        <f t="shared" si="45"/>
        <v>0</v>
      </c>
      <c r="CR17" s="272">
        <v>0</v>
      </c>
      <c r="CS17" s="272">
        <v>0</v>
      </c>
      <c r="CT17" s="272">
        <v>0</v>
      </c>
    </row>
    <row r="18" spans="1:98" x14ac:dyDescent="0.35">
      <c r="A18" s="38" t="s">
        <v>37</v>
      </c>
      <c r="B18" s="37"/>
      <c r="C18" s="37"/>
      <c r="D18" s="45">
        <f t="shared" si="47"/>
        <v>0</v>
      </c>
      <c r="E18" s="45">
        <f t="shared" si="48"/>
        <v>0</v>
      </c>
      <c r="F18" s="45">
        <f t="shared" si="44"/>
        <v>0</v>
      </c>
      <c r="G18" s="45">
        <f t="shared" si="44"/>
        <v>0</v>
      </c>
      <c r="H18" s="45">
        <f t="shared" si="44"/>
        <v>360.22</v>
      </c>
      <c r="I18" s="45">
        <f t="shared" si="44"/>
        <v>1250.5</v>
      </c>
      <c r="J18" s="45">
        <f t="shared" si="44"/>
        <v>2097.7200000000003</v>
      </c>
      <c r="K18" s="45">
        <f t="shared" si="44"/>
        <v>1848.1399999999999</v>
      </c>
      <c r="L18" s="45">
        <f t="shared" si="44"/>
        <v>2286.0100000000002</v>
      </c>
      <c r="M18" s="45">
        <f t="shared" si="44"/>
        <v>3076.2700000000004</v>
      </c>
      <c r="N18" s="45">
        <f t="shared" si="44"/>
        <v>5696.5999999999985</v>
      </c>
      <c r="O18" s="45">
        <f t="shared" si="44"/>
        <v>6142.6100000000006</v>
      </c>
      <c r="P18" s="45">
        <f t="shared" si="44"/>
        <v>8834.9599999999991</v>
      </c>
      <c r="Q18" s="45">
        <f t="shared" si="44"/>
        <v>7688.4700000000012</v>
      </c>
      <c r="R18" s="45">
        <f t="shared" si="44"/>
        <v>10845.160000000003</v>
      </c>
      <c r="S18" s="45">
        <f t="shared" si="44"/>
        <v>20033.729999999996</v>
      </c>
      <c r="T18" s="45">
        <f t="shared" si="44"/>
        <v>29338.039999999994</v>
      </c>
      <c r="U18" s="45">
        <f t="shared" si="44"/>
        <v>26225.059999999998</v>
      </c>
      <c r="V18" s="45">
        <f t="shared" si="44"/>
        <v>25792.080000000016</v>
      </c>
      <c r="W18" s="45">
        <f t="shared" si="44"/>
        <v>18911.649999999994</v>
      </c>
      <c r="X18" s="45">
        <f t="shared" si="44"/>
        <v>18135.429999999993</v>
      </c>
      <c r="Y18" s="45">
        <f t="shared" si="44"/>
        <v>20092.940000000002</v>
      </c>
      <c r="Z18" s="45">
        <f t="shared" si="44"/>
        <v>22817.299999999988</v>
      </c>
      <c r="AA18" s="45">
        <f t="shared" si="44"/>
        <v>20524.76999999999</v>
      </c>
      <c r="AB18" s="45">
        <f t="shared" si="44"/>
        <v>22865.559999999998</v>
      </c>
      <c r="AC18" s="45">
        <f t="shared" si="44"/>
        <v>23955.599999999977</v>
      </c>
      <c r="AD18" s="45">
        <f t="shared" si="44"/>
        <v>33056.75</v>
      </c>
      <c r="AE18" s="45">
        <f t="shared" si="44"/>
        <v>72196.109999999986</v>
      </c>
      <c r="AF18" s="45">
        <f t="shared" si="44"/>
        <v>96088.410000000033</v>
      </c>
      <c r="AG18" s="45">
        <f t="shared" si="44"/>
        <v>80854.579999999958</v>
      </c>
      <c r="AH18" s="45">
        <f t="shared" si="44"/>
        <v>65756.459999999963</v>
      </c>
      <c r="AI18" s="45">
        <f t="shared" si="44"/>
        <v>35564.589999999967</v>
      </c>
      <c r="AJ18" s="45">
        <f t="shared" si="44"/>
        <v>33321.969999999972</v>
      </c>
      <c r="AK18" s="45">
        <f t="shared" si="44"/>
        <v>40399.459999999963</v>
      </c>
      <c r="AL18" s="45">
        <f t="shared" si="44"/>
        <v>46987.760000000009</v>
      </c>
      <c r="AM18" s="45">
        <f t="shared" si="44"/>
        <v>44022.119999999995</v>
      </c>
      <c r="AN18" s="45">
        <f t="shared" si="44"/>
        <v>59576.330000000075</v>
      </c>
      <c r="AO18" s="45">
        <f t="shared" si="44"/>
        <v>53638.189999999944</v>
      </c>
      <c r="AP18" s="45">
        <f t="shared" si="44"/>
        <v>63257.09999999986</v>
      </c>
      <c r="AQ18" s="45">
        <f t="shared" si="44"/>
        <v>189324.82000000007</v>
      </c>
      <c r="AR18" s="45">
        <f t="shared" si="44"/>
        <v>254806.16999999993</v>
      </c>
      <c r="AS18" s="45">
        <f t="shared" si="44"/>
        <v>225584.37999999989</v>
      </c>
      <c r="AT18" s="45">
        <f t="shared" si="44"/>
        <v>144075.14999999991</v>
      </c>
      <c r="AU18" s="45">
        <f t="shared" si="44"/>
        <v>61423.350000000559</v>
      </c>
      <c r="AV18" s="45">
        <f t="shared" si="44"/>
        <v>53649.209999999963</v>
      </c>
      <c r="AW18" s="45">
        <f t="shared" si="44"/>
        <v>54043.729999999981</v>
      </c>
      <c r="AX18" s="45">
        <f t="shared" si="44"/>
        <v>58723.649999999907</v>
      </c>
      <c r="AY18" s="45">
        <f t="shared" ref="AY18:CQ19" si="50">IF(AY9="","",AY9-AX9)</f>
        <v>52534.629999999888</v>
      </c>
      <c r="AZ18" s="45">
        <f t="shared" si="50"/>
        <v>53192.39000000013</v>
      </c>
      <c r="BA18" s="45">
        <f t="shared" si="50"/>
        <v>0</v>
      </c>
      <c r="BB18" s="45">
        <f t="shared" si="50"/>
        <v>0</v>
      </c>
      <c r="BC18" s="45">
        <f t="shared" si="50"/>
        <v>0</v>
      </c>
      <c r="BD18" s="45">
        <f t="shared" si="50"/>
        <v>0</v>
      </c>
      <c r="BE18" s="45">
        <f t="shared" si="50"/>
        <v>0</v>
      </c>
      <c r="BF18" s="45">
        <f t="shared" si="50"/>
        <v>0</v>
      </c>
      <c r="BG18" s="45">
        <f t="shared" si="50"/>
        <v>0</v>
      </c>
      <c r="BH18" s="45">
        <f t="shared" si="50"/>
        <v>0</v>
      </c>
      <c r="BI18" s="45">
        <f t="shared" si="50"/>
        <v>0</v>
      </c>
      <c r="BJ18" s="45">
        <f t="shared" si="50"/>
        <v>0</v>
      </c>
      <c r="BK18" s="45">
        <f t="shared" si="50"/>
        <v>0</v>
      </c>
      <c r="BL18" s="45">
        <f t="shared" si="50"/>
        <v>0</v>
      </c>
      <c r="BM18" s="45">
        <f t="shared" si="50"/>
        <v>0</v>
      </c>
      <c r="BN18" s="45">
        <f t="shared" si="50"/>
        <v>0</v>
      </c>
      <c r="BO18" s="45">
        <f t="shared" si="50"/>
        <v>0</v>
      </c>
      <c r="BP18" s="45">
        <f t="shared" si="50"/>
        <v>0</v>
      </c>
      <c r="BQ18" s="45">
        <f t="shared" si="50"/>
        <v>-101.14999999990687</v>
      </c>
      <c r="BR18" s="45">
        <f t="shared" si="50"/>
        <v>-108.16000000014901</v>
      </c>
      <c r="BS18" s="45">
        <f t="shared" si="50"/>
        <v>-67.520000000018626</v>
      </c>
      <c r="BT18" s="45">
        <f t="shared" si="50"/>
        <v>-54.189999999944121</v>
      </c>
      <c r="BU18" s="45">
        <f t="shared" si="50"/>
        <v>-56.580000000074506</v>
      </c>
      <c r="BV18" s="45">
        <f t="shared" si="50"/>
        <v>-61.179999999701977</v>
      </c>
      <c r="BW18" s="45">
        <f t="shared" si="50"/>
        <v>-51.470000000204891</v>
      </c>
      <c r="BX18" s="45">
        <f t="shared" si="50"/>
        <v>0</v>
      </c>
      <c r="BY18" s="45">
        <f t="shared" si="50"/>
        <v>0</v>
      </c>
      <c r="BZ18" s="45">
        <f t="shared" si="50"/>
        <v>0</v>
      </c>
      <c r="CA18" s="45">
        <f t="shared" si="50"/>
        <v>0</v>
      </c>
      <c r="CB18" s="45">
        <f t="shared" si="50"/>
        <v>0</v>
      </c>
      <c r="CC18" s="45">
        <f t="shared" si="50"/>
        <v>0</v>
      </c>
      <c r="CD18" s="45">
        <f t="shared" si="50"/>
        <v>0</v>
      </c>
      <c r="CE18" s="45">
        <f t="shared" si="50"/>
        <v>0</v>
      </c>
      <c r="CF18" s="45">
        <f t="shared" si="50"/>
        <v>0</v>
      </c>
      <c r="CG18" s="45">
        <f t="shared" si="50"/>
        <v>0</v>
      </c>
      <c r="CH18" s="45">
        <f t="shared" si="50"/>
        <v>0</v>
      </c>
      <c r="CI18" s="45">
        <f t="shared" si="50"/>
        <v>0</v>
      </c>
      <c r="CJ18" s="45">
        <f t="shared" si="50"/>
        <v>0</v>
      </c>
      <c r="CK18" s="45">
        <f t="shared" si="50"/>
        <v>0</v>
      </c>
      <c r="CL18" s="45">
        <f t="shared" si="50"/>
        <v>0</v>
      </c>
      <c r="CM18" s="45">
        <f t="shared" si="50"/>
        <v>0</v>
      </c>
      <c r="CN18" s="45">
        <f t="shared" si="50"/>
        <v>0</v>
      </c>
      <c r="CO18" s="45">
        <f t="shared" si="50"/>
        <v>0</v>
      </c>
      <c r="CP18" s="45">
        <f t="shared" si="50"/>
        <v>0</v>
      </c>
      <c r="CQ18" s="45">
        <f t="shared" si="50"/>
        <v>0</v>
      </c>
      <c r="CR18" s="272">
        <v>0</v>
      </c>
      <c r="CS18" s="272">
        <v>0</v>
      </c>
      <c r="CT18" s="272">
        <v>0</v>
      </c>
    </row>
    <row r="19" spans="1:98" x14ac:dyDescent="0.35">
      <c r="A19" s="38" t="s">
        <v>29</v>
      </c>
      <c r="B19" s="37"/>
      <c r="C19" s="37"/>
      <c r="D19" s="45">
        <f t="shared" si="47"/>
        <v>0</v>
      </c>
      <c r="E19" s="45">
        <f t="shared" si="48"/>
        <v>0</v>
      </c>
      <c r="F19" s="45">
        <f t="shared" si="44"/>
        <v>0</v>
      </c>
      <c r="G19" s="45">
        <f t="shared" si="44"/>
        <v>0</v>
      </c>
      <c r="H19" s="45">
        <f t="shared" si="44"/>
        <v>0</v>
      </c>
      <c r="I19" s="45">
        <f t="shared" si="44"/>
        <v>1938.36</v>
      </c>
      <c r="J19" s="45">
        <f t="shared" si="44"/>
        <v>2533.3100000000004</v>
      </c>
      <c r="K19" s="45">
        <f t="shared" si="44"/>
        <v>725.05999999999949</v>
      </c>
      <c r="L19" s="45">
        <f t="shared" si="44"/>
        <v>1665.5</v>
      </c>
      <c r="M19" s="45">
        <f t="shared" si="44"/>
        <v>3404.9300000000003</v>
      </c>
      <c r="N19" s="45">
        <f t="shared" si="44"/>
        <v>4704.5499999999993</v>
      </c>
      <c r="O19" s="45">
        <f t="shared" si="44"/>
        <v>5014.93</v>
      </c>
      <c r="P19" s="45">
        <f t="shared" si="44"/>
        <v>4774.66</v>
      </c>
      <c r="Q19" s="45">
        <f t="shared" si="44"/>
        <v>10592.109999999997</v>
      </c>
      <c r="R19" s="45">
        <f t="shared" si="44"/>
        <v>2232.6500000000087</v>
      </c>
      <c r="S19" s="45">
        <f t="shared" si="44"/>
        <v>12379.130000000005</v>
      </c>
      <c r="T19" s="45">
        <f t="shared" si="44"/>
        <v>0</v>
      </c>
      <c r="U19" s="45">
        <f t="shared" si="44"/>
        <v>29306.57</v>
      </c>
      <c r="V19" s="45">
        <f t="shared" si="44"/>
        <v>18760.459999999977</v>
      </c>
      <c r="W19" s="45">
        <f t="shared" si="44"/>
        <v>8552.5599999999977</v>
      </c>
      <c r="X19" s="45">
        <f t="shared" si="44"/>
        <v>11700.919999999998</v>
      </c>
      <c r="Y19" s="45">
        <f t="shared" si="44"/>
        <v>13286.529999999999</v>
      </c>
      <c r="Z19" s="45">
        <f t="shared" si="44"/>
        <v>30274.089999999997</v>
      </c>
      <c r="AA19" s="45">
        <f t="shared" si="44"/>
        <v>29104.690000000031</v>
      </c>
      <c r="AB19" s="45">
        <f t="shared" si="44"/>
        <v>22478.619999999995</v>
      </c>
      <c r="AC19" s="45">
        <f t="shared" si="44"/>
        <v>33127.469999999972</v>
      </c>
      <c r="AD19" s="45">
        <f t="shared" si="44"/>
        <v>25212.75</v>
      </c>
      <c r="AE19" s="45">
        <f t="shared" si="44"/>
        <v>59539.049999999988</v>
      </c>
      <c r="AF19" s="45">
        <f t="shared" si="44"/>
        <v>80882.610000000044</v>
      </c>
      <c r="AG19" s="45">
        <f t="shared" si="44"/>
        <v>81143.679999999993</v>
      </c>
      <c r="AH19" s="45">
        <f t="shared" si="44"/>
        <v>66246.799999999988</v>
      </c>
      <c r="AI19" s="45">
        <f t="shared" si="44"/>
        <v>35425.45000000007</v>
      </c>
      <c r="AJ19" s="45">
        <f t="shared" si="44"/>
        <v>39024.160000000033</v>
      </c>
      <c r="AK19" s="45">
        <f t="shared" si="44"/>
        <v>48252.569999999949</v>
      </c>
      <c r="AL19" s="45">
        <f t="shared" si="44"/>
        <v>51813.380000000005</v>
      </c>
      <c r="AM19" s="45">
        <f t="shared" si="44"/>
        <v>47896.869999999879</v>
      </c>
      <c r="AN19" s="45">
        <f t="shared" si="44"/>
        <v>55846.649999999907</v>
      </c>
      <c r="AO19" s="45">
        <f t="shared" si="44"/>
        <v>50635.870000000112</v>
      </c>
      <c r="AP19" s="45">
        <f t="shared" si="44"/>
        <v>54360.070000000065</v>
      </c>
      <c r="AQ19" s="45">
        <f t="shared" si="44"/>
        <v>128957.95999999996</v>
      </c>
      <c r="AR19" s="45">
        <f t="shared" si="44"/>
        <v>158613.15999999992</v>
      </c>
      <c r="AS19" s="45">
        <f t="shared" si="44"/>
        <v>142343.34000000008</v>
      </c>
      <c r="AT19" s="45">
        <f t="shared" si="44"/>
        <v>114616.44999999995</v>
      </c>
      <c r="AU19" s="45">
        <f t="shared" si="44"/>
        <v>48268.469999999972</v>
      </c>
      <c r="AV19" s="45">
        <f>IF(AV10="","",AV10-AU10)</f>
        <v>47368.050000000047</v>
      </c>
      <c r="AW19" s="45">
        <f t="shared" si="44"/>
        <v>75812.070000000065</v>
      </c>
      <c r="AX19" s="45">
        <f t="shared" si="44"/>
        <v>62120.129999999888</v>
      </c>
      <c r="AY19" s="45">
        <f t="shared" si="50"/>
        <v>51351.370000000112</v>
      </c>
      <c r="AZ19" s="45">
        <f t="shared" si="50"/>
        <v>53160.570000000065</v>
      </c>
      <c r="BA19" s="45">
        <f t="shared" si="50"/>
        <v>0</v>
      </c>
      <c r="BB19" s="45">
        <f t="shared" si="50"/>
        <v>-2627.4799999999814</v>
      </c>
      <c r="BC19" s="45">
        <f t="shared" si="50"/>
        <v>0</v>
      </c>
      <c r="BD19" s="45">
        <f t="shared" si="50"/>
        <v>0</v>
      </c>
      <c r="BE19" s="45">
        <f t="shared" si="50"/>
        <v>0</v>
      </c>
      <c r="BF19" s="45">
        <f t="shared" si="50"/>
        <v>0</v>
      </c>
      <c r="BG19" s="45">
        <f t="shared" si="50"/>
        <v>0</v>
      </c>
      <c r="BH19" s="45">
        <f t="shared" si="50"/>
        <v>0</v>
      </c>
      <c r="BI19" s="45">
        <f t="shared" si="50"/>
        <v>0</v>
      </c>
      <c r="BJ19" s="45">
        <f t="shared" si="50"/>
        <v>0</v>
      </c>
      <c r="BK19" s="45">
        <f t="shared" si="50"/>
        <v>0</v>
      </c>
      <c r="BL19" s="45">
        <f t="shared" si="50"/>
        <v>0</v>
      </c>
      <c r="BM19" s="45">
        <f t="shared" si="50"/>
        <v>0</v>
      </c>
      <c r="BN19" s="45">
        <f t="shared" si="50"/>
        <v>0</v>
      </c>
      <c r="BO19" s="45">
        <f t="shared" si="50"/>
        <v>0</v>
      </c>
      <c r="BP19" s="45">
        <f t="shared" si="50"/>
        <v>0</v>
      </c>
      <c r="BQ19" s="45">
        <f t="shared" si="50"/>
        <v>0</v>
      </c>
      <c r="BR19" s="45">
        <f t="shared" si="50"/>
        <v>0</v>
      </c>
      <c r="BS19" s="45">
        <f t="shared" si="50"/>
        <v>0</v>
      </c>
      <c r="BT19" s="45">
        <f t="shared" si="50"/>
        <v>0</v>
      </c>
      <c r="BU19" s="45">
        <f t="shared" si="50"/>
        <v>0</v>
      </c>
      <c r="BV19" s="45">
        <f t="shared" si="50"/>
        <v>0</v>
      </c>
      <c r="BW19" s="45">
        <f t="shared" si="50"/>
        <v>0</v>
      </c>
      <c r="BX19" s="45">
        <f t="shared" si="50"/>
        <v>0</v>
      </c>
      <c r="BY19" s="45">
        <f t="shared" si="50"/>
        <v>0</v>
      </c>
      <c r="BZ19" s="45">
        <f t="shared" si="50"/>
        <v>0</v>
      </c>
      <c r="CA19" s="45">
        <f t="shared" si="50"/>
        <v>0</v>
      </c>
      <c r="CB19" s="45">
        <f t="shared" si="50"/>
        <v>0</v>
      </c>
      <c r="CC19" s="45">
        <f t="shared" si="50"/>
        <v>0</v>
      </c>
      <c r="CD19" s="45">
        <f t="shared" si="50"/>
        <v>0</v>
      </c>
      <c r="CE19" s="45">
        <f t="shared" si="50"/>
        <v>0</v>
      </c>
      <c r="CF19" s="45">
        <f t="shared" si="50"/>
        <v>0</v>
      </c>
      <c r="CG19" s="45">
        <f t="shared" si="50"/>
        <v>0</v>
      </c>
      <c r="CH19" s="45">
        <f t="shared" si="50"/>
        <v>0</v>
      </c>
      <c r="CI19" s="45">
        <f t="shared" si="50"/>
        <v>0</v>
      </c>
      <c r="CJ19" s="45">
        <f t="shared" si="50"/>
        <v>0</v>
      </c>
      <c r="CK19" s="45">
        <f t="shared" si="50"/>
        <v>0</v>
      </c>
      <c r="CL19" s="45">
        <f t="shared" si="50"/>
        <v>0</v>
      </c>
      <c r="CM19" s="45">
        <f t="shared" si="50"/>
        <v>0</v>
      </c>
      <c r="CN19" s="45">
        <f t="shared" si="50"/>
        <v>0</v>
      </c>
      <c r="CO19" s="45">
        <f t="shared" si="50"/>
        <v>0</v>
      </c>
      <c r="CP19" s="45">
        <f t="shared" si="50"/>
        <v>0</v>
      </c>
      <c r="CQ19" s="45">
        <f t="shared" si="50"/>
        <v>0</v>
      </c>
      <c r="CR19" s="272">
        <v>0</v>
      </c>
      <c r="CS19" s="272">
        <v>0</v>
      </c>
      <c r="CT19" s="272">
        <v>0</v>
      </c>
    </row>
    <row r="20" spans="1:98" x14ac:dyDescent="0.35">
      <c r="A20" s="35" t="s">
        <v>31</v>
      </c>
      <c r="B20" s="37"/>
      <c r="C20" s="37"/>
      <c r="D20" s="44">
        <f>SUM(D14:D19)</f>
        <v>0</v>
      </c>
      <c r="E20" s="44">
        <f t="shared" ref="E20:AW20" si="51">SUM(E14:E19)</f>
        <v>1328.78</v>
      </c>
      <c r="F20" s="44">
        <f t="shared" si="51"/>
        <v>9526.5299999999988</v>
      </c>
      <c r="G20" s="44">
        <f t="shared" si="51"/>
        <v>131900.43000000002</v>
      </c>
      <c r="H20" s="44">
        <f t="shared" si="51"/>
        <v>295999.55</v>
      </c>
      <c r="I20" s="44">
        <f t="shared" si="51"/>
        <v>425553.79999999987</v>
      </c>
      <c r="J20" s="44">
        <f t="shared" si="51"/>
        <v>758519.65</v>
      </c>
      <c r="K20" s="44">
        <f t="shared" si="51"/>
        <v>199350.73000000016</v>
      </c>
      <c r="L20" s="44">
        <f t="shared" si="51"/>
        <v>279108.34999999992</v>
      </c>
      <c r="M20" s="44">
        <f t="shared" si="51"/>
        <v>438307.65</v>
      </c>
      <c r="N20" s="44">
        <f t="shared" si="51"/>
        <v>509660.87999999989</v>
      </c>
      <c r="O20" s="44">
        <f t="shared" si="51"/>
        <v>486201.49000000028</v>
      </c>
      <c r="P20" s="44">
        <f t="shared" si="51"/>
        <v>514839.35999999993</v>
      </c>
      <c r="Q20" s="44">
        <f t="shared" si="51"/>
        <v>312695.84999999963</v>
      </c>
      <c r="R20" s="44">
        <f t="shared" si="51"/>
        <v>392474.24999999977</v>
      </c>
      <c r="S20" s="44">
        <f t="shared" si="51"/>
        <v>1348848.3600000003</v>
      </c>
      <c r="T20" s="44">
        <f t="shared" si="51"/>
        <v>1958770.0699999998</v>
      </c>
      <c r="U20" s="44">
        <f t="shared" si="51"/>
        <v>2119352.19</v>
      </c>
      <c r="V20" s="44">
        <f t="shared" si="51"/>
        <v>1653005.44</v>
      </c>
      <c r="W20" s="44">
        <f t="shared" si="51"/>
        <v>750637.88000000059</v>
      </c>
      <c r="X20" s="44">
        <f t="shared" si="51"/>
        <v>825052.10999999905</v>
      </c>
      <c r="Y20" s="44">
        <f t="shared" si="51"/>
        <v>1097101.9800000007</v>
      </c>
      <c r="Z20" s="44">
        <f t="shared" si="51"/>
        <v>1233427.4099999992</v>
      </c>
      <c r="AA20" s="44">
        <f t="shared" si="51"/>
        <v>1062738.5799999998</v>
      </c>
      <c r="AB20" s="44">
        <f t="shared" si="51"/>
        <v>1116457.6900000018</v>
      </c>
      <c r="AC20" s="44">
        <f t="shared" si="51"/>
        <v>959793.47999999963</v>
      </c>
      <c r="AD20" s="44">
        <f t="shared" si="51"/>
        <v>1424231.0999999994</v>
      </c>
      <c r="AE20" s="44">
        <f t="shared" si="51"/>
        <v>3804569.2400000016</v>
      </c>
      <c r="AF20" s="44">
        <f t="shared" si="51"/>
        <v>5112749.5900000026</v>
      </c>
      <c r="AG20" s="44">
        <f t="shared" si="51"/>
        <v>4713867.5500000026</v>
      </c>
      <c r="AH20" s="44">
        <f t="shared" si="51"/>
        <v>3598339.9599999986</v>
      </c>
      <c r="AI20" s="44">
        <f t="shared" si="51"/>
        <v>1714525.5399999977</v>
      </c>
      <c r="AJ20" s="44">
        <f t="shared" si="51"/>
        <v>1571421.2499999981</v>
      </c>
      <c r="AK20" s="44">
        <f t="shared" si="51"/>
        <v>1919519.9299999997</v>
      </c>
      <c r="AL20" s="44">
        <f t="shared" si="51"/>
        <v>2060434.7699999972</v>
      </c>
      <c r="AM20" s="44">
        <f t="shared" si="51"/>
        <v>1799627.3200000029</v>
      </c>
      <c r="AN20" s="44">
        <f t="shared" si="51"/>
        <v>2312591.7700000047</v>
      </c>
      <c r="AO20" s="44">
        <f t="shared" si="51"/>
        <v>2109913.9999999995</v>
      </c>
      <c r="AP20" s="44">
        <f t="shared" si="51"/>
        <v>1887985.9599999981</v>
      </c>
      <c r="AQ20" s="44">
        <f t="shared" si="51"/>
        <v>6123794.6400000015</v>
      </c>
      <c r="AR20" s="44">
        <f t="shared" si="51"/>
        <v>7375311.7899999972</v>
      </c>
      <c r="AS20" s="44">
        <f t="shared" si="51"/>
        <v>6969272.2200000016</v>
      </c>
      <c r="AT20" s="44">
        <f t="shared" si="51"/>
        <v>5125287.4899999993</v>
      </c>
      <c r="AU20" s="44">
        <f t="shared" si="51"/>
        <v>2223308.9999999981</v>
      </c>
      <c r="AV20" s="44">
        <f t="shared" si="51"/>
        <v>2078395.7300000025</v>
      </c>
      <c r="AW20" s="44">
        <f t="shared" si="51"/>
        <v>2228734.6799999988</v>
      </c>
      <c r="AX20" s="44">
        <f t="shared" ref="AX20:AY20" si="52">SUM(AX14:AX19)</f>
        <v>2369847.9499999997</v>
      </c>
      <c r="AY20" s="44">
        <f t="shared" si="52"/>
        <v>217555.38999999873</v>
      </c>
      <c r="AZ20" s="44">
        <f t="shared" ref="AZ20:BA20" si="53">SUM(AZ14:AZ19)</f>
        <v>1940172.8499999971</v>
      </c>
      <c r="BA20" s="44">
        <f t="shared" si="53"/>
        <v>2286.3100000023842</v>
      </c>
      <c r="BB20" s="44">
        <f t="shared" ref="BB20:BC20" si="54">SUM(BB14:BB19)</f>
        <v>33.389999997336417</v>
      </c>
      <c r="BC20" s="44">
        <f t="shared" si="54"/>
        <v>12223.310000002384</v>
      </c>
      <c r="BD20" s="44">
        <f t="shared" ref="BD20:BE20" si="55">SUM(BD14:BD19)</f>
        <v>22853.179999999702</v>
      </c>
      <c r="BE20" s="44">
        <f t="shared" si="55"/>
        <v>37353.849999999627</v>
      </c>
      <c r="BF20" s="44">
        <f t="shared" ref="BF20:BG20" si="56">SUM(BF14:BF19)</f>
        <v>34409.610000001267</v>
      </c>
      <c r="BG20" s="44">
        <f t="shared" si="56"/>
        <v>13496.160000000149</v>
      </c>
      <c r="BH20" s="44">
        <f t="shared" ref="BH20:BI20" si="57">SUM(BH14:BH19)</f>
        <v>12870.069999998435</v>
      </c>
      <c r="BI20" s="44">
        <f t="shared" si="57"/>
        <v>17714.029999999329</v>
      </c>
      <c r="BJ20" s="44">
        <f t="shared" ref="BJ20:BK20" si="58">SUM(BJ14:BJ19)</f>
        <v>20826.88000000082</v>
      </c>
      <c r="BK20" s="44">
        <f t="shared" si="58"/>
        <v>19099.220000000671</v>
      </c>
      <c r="BL20" s="44">
        <f t="shared" ref="BL20:BM20" si="59">SUM(BL14:BL19)</f>
        <v>21421.460000000894</v>
      </c>
      <c r="BM20" s="44">
        <f t="shared" si="59"/>
        <v>19168.38000000082</v>
      </c>
      <c r="BN20" s="44">
        <f t="shared" ref="BN20:BO20" si="60">SUM(BN14:BN19)</f>
        <v>25465.089999996126</v>
      </c>
      <c r="BO20" s="44">
        <f t="shared" si="60"/>
        <v>70360.550000002608</v>
      </c>
      <c r="BP20" s="44">
        <f t="shared" ref="BP20:BQ20" si="61">SUM(BP14:BP19)</f>
        <v>91202.140000000596</v>
      </c>
      <c r="BQ20" s="44">
        <f t="shared" si="61"/>
        <v>84499.239999998827</v>
      </c>
      <c r="BR20" s="44">
        <f t="shared" ref="BR20:BS20" si="62">SUM(BR14:BR19)</f>
        <v>53951.849999999627</v>
      </c>
      <c r="BS20" s="44">
        <f t="shared" si="62"/>
        <v>21911.110000000801</v>
      </c>
      <c r="BT20" s="44">
        <f t="shared" ref="BT20:BU20" si="63">SUM(BT14:BT19)</f>
        <v>20626.079999999609</v>
      </c>
      <c r="BU20" s="44">
        <f t="shared" si="63"/>
        <v>24775.299999998882</v>
      </c>
      <c r="BV20" s="44">
        <f t="shared" ref="BV20:BW20" si="64">SUM(BV14:BV19)</f>
        <v>25830.020000001416</v>
      </c>
      <c r="BW20" s="44">
        <f t="shared" si="64"/>
        <v>21223.889999997336</v>
      </c>
      <c r="BX20" s="44">
        <f t="shared" ref="BX20:BY20" si="65">SUM(BX14:BX19)</f>
        <v>0</v>
      </c>
      <c r="BY20" s="44">
        <f t="shared" si="65"/>
        <v>0</v>
      </c>
      <c r="BZ20" s="44">
        <f t="shared" ref="BZ20:CA20" si="66">SUM(BZ14:BZ19)</f>
        <v>0</v>
      </c>
      <c r="CA20" s="44">
        <f t="shared" si="66"/>
        <v>0</v>
      </c>
      <c r="CB20" s="44">
        <f t="shared" ref="CB20:CC20" si="67">SUM(CB14:CB19)</f>
        <v>0</v>
      </c>
      <c r="CC20" s="44">
        <f t="shared" si="67"/>
        <v>0</v>
      </c>
      <c r="CD20" s="44">
        <f t="shared" ref="CD20:CE20" si="68">SUM(CD14:CD19)</f>
        <v>0</v>
      </c>
      <c r="CE20" s="44">
        <f t="shared" si="68"/>
        <v>0</v>
      </c>
      <c r="CF20" s="44">
        <f t="shared" ref="CF20:CG20" si="69">SUM(CF14:CF19)</f>
        <v>0</v>
      </c>
      <c r="CG20" s="44">
        <f t="shared" si="69"/>
        <v>0</v>
      </c>
      <c r="CH20" s="44">
        <f t="shared" ref="CH20:CI20" si="70">SUM(CH14:CH19)</f>
        <v>0</v>
      </c>
      <c r="CI20" s="44">
        <f t="shared" si="70"/>
        <v>0</v>
      </c>
      <c r="CJ20" s="44">
        <f t="shared" ref="CJ20:CK20" si="71">SUM(CJ14:CJ19)</f>
        <v>0</v>
      </c>
      <c r="CK20" s="44">
        <f t="shared" si="71"/>
        <v>0</v>
      </c>
      <c r="CL20" s="44">
        <f t="shared" ref="CL20:CM20" si="72">SUM(CL14:CL19)</f>
        <v>0</v>
      </c>
      <c r="CM20" s="44">
        <f t="shared" si="72"/>
        <v>0</v>
      </c>
      <c r="CN20" s="44">
        <f t="shared" ref="CN20:CO20" si="73">SUM(CN14:CN19)</f>
        <v>0</v>
      </c>
      <c r="CO20" s="44">
        <f t="shared" si="73"/>
        <v>0</v>
      </c>
      <c r="CP20" s="44">
        <f t="shared" ref="CP20:CQ20" si="74">SUM(CP14:CP19)</f>
        <v>0</v>
      </c>
      <c r="CQ20" s="44">
        <f t="shared" si="74"/>
        <v>0</v>
      </c>
      <c r="CR20" s="44">
        <f t="shared" ref="CR20:CT20" si="75">SUM(CR14:CR19)</f>
        <v>0</v>
      </c>
      <c r="CS20" s="44">
        <f t="shared" si="75"/>
        <v>0</v>
      </c>
      <c r="CT20" s="44">
        <f t="shared" si="75"/>
        <v>0</v>
      </c>
    </row>
    <row r="21" spans="1:98" x14ac:dyDescent="0.35">
      <c r="A21" s="35"/>
      <c r="B21" s="37"/>
      <c r="C21" s="37"/>
    </row>
    <row r="22" spans="1:98" x14ac:dyDescent="0.35">
      <c r="A22" s="27" t="s">
        <v>32</v>
      </c>
      <c r="B22" s="37"/>
      <c r="C22" s="37"/>
      <c r="CR22" s="273" t="s">
        <v>142</v>
      </c>
      <c r="CS22" s="284"/>
    </row>
    <row r="23" spans="1:98" x14ac:dyDescent="0.35">
      <c r="A23" t="s">
        <v>33</v>
      </c>
      <c r="B23" s="37"/>
      <c r="C23" s="37"/>
      <c r="D23" s="43">
        <v>993615280</v>
      </c>
      <c r="E23" s="43">
        <v>799965556</v>
      </c>
      <c r="F23" s="43">
        <v>694347365</v>
      </c>
      <c r="G23" s="43">
        <v>1033880199</v>
      </c>
      <c r="H23" s="43">
        <v>1389519683</v>
      </c>
      <c r="I23" s="43">
        <v>1393717014</v>
      </c>
      <c r="J23" s="43">
        <v>1260356462</v>
      </c>
      <c r="K23" s="43">
        <v>898752689</v>
      </c>
      <c r="L23" s="43">
        <v>737254549</v>
      </c>
      <c r="M23" s="43">
        <v>1139687162</v>
      </c>
      <c r="N23" s="43">
        <v>1486587515</v>
      </c>
      <c r="O23" s="43">
        <v>1118519560</v>
      </c>
      <c r="P23" s="43">
        <v>900425374</v>
      </c>
      <c r="Q23" s="43">
        <v>785388980</v>
      </c>
      <c r="R23" s="43">
        <v>745552820</v>
      </c>
      <c r="S23" s="43">
        <v>999249366</v>
      </c>
      <c r="T23" s="43">
        <v>1328710328</v>
      </c>
      <c r="U23" s="43">
        <v>1345571317</v>
      </c>
      <c r="V23" s="43">
        <v>1065182267</v>
      </c>
      <c r="W23" s="43">
        <v>935823271</v>
      </c>
      <c r="X23" s="43">
        <v>821487370</v>
      </c>
      <c r="Y23" s="43">
        <v>1061048123</v>
      </c>
      <c r="Z23" s="43">
        <v>1655009463</v>
      </c>
      <c r="AA23" s="43">
        <v>1329247401</v>
      </c>
      <c r="AB23" s="43">
        <v>1071720684</v>
      </c>
      <c r="AC23" s="43">
        <v>1035354332</v>
      </c>
      <c r="AD23" s="43">
        <v>838111932</v>
      </c>
      <c r="AE23" s="43">
        <v>1238437606</v>
      </c>
      <c r="AF23" s="43">
        <v>1451979984</v>
      </c>
      <c r="AG23" s="43">
        <v>1300666274</v>
      </c>
      <c r="AH23" s="43">
        <v>1250635703</v>
      </c>
      <c r="AI23" s="43">
        <v>971081766</v>
      </c>
      <c r="AJ23" s="43">
        <v>906818656</v>
      </c>
      <c r="AK23" s="43">
        <v>1263779046</v>
      </c>
      <c r="AL23" s="43">
        <v>1395672993</v>
      </c>
      <c r="AM23" s="43">
        <v>1407530571</v>
      </c>
      <c r="AN23" s="43">
        <v>1268128455</v>
      </c>
      <c r="AO23" s="43">
        <v>872933544</v>
      </c>
      <c r="AP23" s="43">
        <v>738196558</v>
      </c>
      <c r="AQ23" s="43">
        <v>978975302</v>
      </c>
      <c r="AR23" s="43">
        <v>1243909773</v>
      </c>
      <c r="AS23" s="43">
        <v>1310015315</v>
      </c>
      <c r="AT23" s="43">
        <v>1208033233</v>
      </c>
      <c r="AU23" s="109">
        <v>993546162</v>
      </c>
      <c r="AV23" s="43">
        <v>897156231</v>
      </c>
      <c r="AW23" s="43">
        <v>1208147189</v>
      </c>
      <c r="AX23" s="43">
        <v>1334184680</v>
      </c>
      <c r="AY23" s="43">
        <v>1302694951</v>
      </c>
      <c r="AZ23" s="43">
        <v>1123586700</v>
      </c>
      <c r="BA23" s="43">
        <v>886578697</v>
      </c>
      <c r="BB23" s="43">
        <v>790098101</v>
      </c>
      <c r="BC23" s="43">
        <v>1041013964</v>
      </c>
      <c r="BD23" s="43">
        <v>1397050553</v>
      </c>
      <c r="BE23" s="43">
        <v>1310723723</v>
      </c>
      <c r="BF23" s="43">
        <v>1275164339</v>
      </c>
      <c r="BG23" s="43">
        <v>800796996</v>
      </c>
      <c r="BH23" s="43">
        <v>856955103</v>
      </c>
      <c r="BI23" s="43">
        <v>1137867523</v>
      </c>
      <c r="BJ23" s="43">
        <v>1482496943</v>
      </c>
      <c r="BK23" s="43">
        <v>1507047480</v>
      </c>
      <c r="BL23" s="43">
        <v>1193201650</v>
      </c>
      <c r="BM23" s="43">
        <v>803567941</v>
      </c>
      <c r="BN23" s="43">
        <v>753161249</v>
      </c>
      <c r="BO23" s="43">
        <v>1061485022</v>
      </c>
      <c r="BP23" s="43">
        <v>1299384453</v>
      </c>
      <c r="BQ23" s="43">
        <v>1325635096</v>
      </c>
      <c r="BR23" s="43">
        <v>1302322503</v>
      </c>
      <c r="BS23" s="43">
        <v>902367562</v>
      </c>
      <c r="BT23" s="43">
        <v>849229853</v>
      </c>
      <c r="BU23" s="43">
        <v>1063566547</v>
      </c>
      <c r="BV23" s="43">
        <v>1372451320</v>
      </c>
      <c r="BW23" s="43">
        <v>1445914846</v>
      </c>
      <c r="BX23" s="43">
        <v>1156058653</v>
      </c>
      <c r="BY23" s="43">
        <v>900363528</v>
      </c>
      <c r="BZ23" s="43">
        <v>837159184</v>
      </c>
      <c r="CA23" s="43">
        <v>1060197293</v>
      </c>
      <c r="CB23" s="43">
        <v>1457350528</v>
      </c>
      <c r="CC23" s="43">
        <v>1390553772</v>
      </c>
      <c r="CD23" s="43">
        <v>1159635260</v>
      </c>
      <c r="CE23" s="43">
        <v>837049627</v>
      </c>
      <c r="CF23" s="43">
        <v>795371527</v>
      </c>
      <c r="CG23" s="43">
        <v>1056098740.4689</v>
      </c>
      <c r="CH23" s="43">
        <v>1465026007</v>
      </c>
      <c r="CI23" s="43">
        <v>1251994199</v>
      </c>
      <c r="CJ23" s="43">
        <v>1034539781</v>
      </c>
      <c r="CK23" s="43">
        <v>890081676</v>
      </c>
      <c r="CL23" s="43">
        <v>758154085</v>
      </c>
      <c r="CM23" s="43">
        <v>977251664</v>
      </c>
      <c r="CN23" s="43">
        <v>1278057997</v>
      </c>
      <c r="CO23" s="43">
        <v>1318572650</v>
      </c>
      <c r="CP23" s="43">
        <v>1220075915</v>
      </c>
      <c r="CQ23" s="43">
        <v>887307993</v>
      </c>
      <c r="CR23" s="270">
        <f>'[2]PPC.1, PCR.2F, EO.3'!B27</f>
        <v>821237675.48673487</v>
      </c>
      <c r="CS23" s="270">
        <f>'[2]PPC.1, PCR.2F, EO.3'!C27</f>
        <v>1125258260.7915118</v>
      </c>
      <c r="CT23" s="270">
        <f>'[2]PPC.1, PCR.2F, EO.3'!D27</f>
        <v>1476521883.9358521</v>
      </c>
    </row>
    <row r="24" spans="1:98" x14ac:dyDescent="0.35">
      <c r="A24" t="s">
        <v>34</v>
      </c>
      <c r="B24" s="37"/>
      <c r="C24" s="37"/>
      <c r="D24" s="43">
        <v>260227273</v>
      </c>
      <c r="E24" s="43">
        <v>236480663</v>
      </c>
      <c r="F24" s="43">
        <v>226604577</v>
      </c>
      <c r="G24" s="43">
        <v>276800633</v>
      </c>
      <c r="H24" s="43">
        <v>328433342</v>
      </c>
      <c r="I24" s="43">
        <v>327996744</v>
      </c>
      <c r="J24" s="43">
        <v>315410170</v>
      </c>
      <c r="K24" s="43">
        <v>268275261</v>
      </c>
      <c r="L24" s="43">
        <v>238400191</v>
      </c>
      <c r="M24" s="43">
        <v>276639061</v>
      </c>
      <c r="N24" s="43">
        <v>331623730</v>
      </c>
      <c r="O24" s="43">
        <v>274620464</v>
      </c>
      <c r="P24" s="43">
        <v>244043467</v>
      </c>
      <c r="Q24" s="43">
        <v>230986921</v>
      </c>
      <c r="R24" s="43">
        <v>228484392</v>
      </c>
      <c r="S24" s="43">
        <v>271547337</v>
      </c>
      <c r="T24" s="43">
        <v>314773105</v>
      </c>
      <c r="U24" s="43">
        <v>317794583</v>
      </c>
      <c r="V24" s="43">
        <v>284270101</v>
      </c>
      <c r="W24" s="43">
        <v>269129889</v>
      </c>
      <c r="X24" s="43">
        <v>240618906</v>
      </c>
      <c r="Y24" s="43">
        <v>265688240</v>
      </c>
      <c r="Z24" s="43">
        <v>350848362</v>
      </c>
      <c r="AA24" s="43">
        <v>304988610</v>
      </c>
      <c r="AB24" s="43">
        <v>267166722</v>
      </c>
      <c r="AC24" s="43">
        <v>263421812</v>
      </c>
      <c r="AD24" s="43">
        <v>238338730</v>
      </c>
      <c r="AE24" s="43">
        <v>299991891</v>
      </c>
      <c r="AF24" s="43">
        <v>330814291</v>
      </c>
      <c r="AG24" s="43">
        <v>309298324</v>
      </c>
      <c r="AH24" s="43">
        <v>303923884</v>
      </c>
      <c r="AI24" s="43">
        <v>267631865</v>
      </c>
      <c r="AJ24" s="43">
        <v>241319654</v>
      </c>
      <c r="AK24" s="43">
        <v>291652347</v>
      </c>
      <c r="AL24" s="43">
        <v>307968093</v>
      </c>
      <c r="AM24" s="43">
        <v>308068267</v>
      </c>
      <c r="AN24" s="43">
        <v>290178959</v>
      </c>
      <c r="AO24" s="43">
        <v>235096003</v>
      </c>
      <c r="AP24" s="43">
        <v>221772499</v>
      </c>
      <c r="AQ24" s="43">
        <v>258735845</v>
      </c>
      <c r="AR24" s="43">
        <v>295975497</v>
      </c>
      <c r="AS24" s="43">
        <v>304175879</v>
      </c>
      <c r="AT24" s="43">
        <v>293549572</v>
      </c>
      <c r="AU24" s="109">
        <v>264736629</v>
      </c>
      <c r="AV24" s="43">
        <v>237145043</v>
      </c>
      <c r="AW24" s="43">
        <v>278572550</v>
      </c>
      <c r="AX24" s="43">
        <v>297050898</v>
      </c>
      <c r="AY24" s="43">
        <v>290934660</v>
      </c>
      <c r="AZ24" s="43">
        <v>265078600</v>
      </c>
      <c r="BA24" s="43">
        <v>203506574</v>
      </c>
      <c r="BB24" s="43">
        <v>184563246</v>
      </c>
      <c r="BC24" s="43">
        <v>231230759</v>
      </c>
      <c r="BD24" s="43">
        <v>288425422</v>
      </c>
      <c r="BE24" s="43">
        <v>281389691</v>
      </c>
      <c r="BF24" s="43">
        <v>269111017</v>
      </c>
      <c r="BG24" s="43">
        <v>218212399</v>
      </c>
      <c r="BH24" s="43">
        <v>218068919</v>
      </c>
      <c r="BI24" s="43">
        <v>251883126</v>
      </c>
      <c r="BJ24" s="43">
        <v>300425840</v>
      </c>
      <c r="BK24" s="43">
        <v>303577891</v>
      </c>
      <c r="BL24" s="43">
        <v>265359424</v>
      </c>
      <c r="BM24" s="43">
        <v>211100441</v>
      </c>
      <c r="BN24" s="43">
        <v>205986967</v>
      </c>
      <c r="BO24" s="43">
        <v>264522271</v>
      </c>
      <c r="BP24" s="43">
        <v>291815734</v>
      </c>
      <c r="BQ24" s="43">
        <v>291413887</v>
      </c>
      <c r="BR24" s="43">
        <v>294374400</v>
      </c>
      <c r="BS24" s="43">
        <v>245524134</v>
      </c>
      <c r="BT24" s="43">
        <v>219607166</v>
      </c>
      <c r="BU24" s="43">
        <v>250466096</v>
      </c>
      <c r="BV24" s="43">
        <v>295383726</v>
      </c>
      <c r="BW24" s="43">
        <v>301077290</v>
      </c>
      <c r="BX24" s="43">
        <v>261058604</v>
      </c>
      <c r="BY24" s="43">
        <v>230949228</v>
      </c>
      <c r="BZ24" s="43">
        <v>223998788</v>
      </c>
      <c r="CA24" s="43">
        <v>260692423</v>
      </c>
      <c r="CB24" s="43">
        <v>312328749</v>
      </c>
      <c r="CC24" s="43">
        <v>305346654</v>
      </c>
      <c r="CD24" s="43">
        <v>279929276</v>
      </c>
      <c r="CE24" s="43">
        <v>230143220</v>
      </c>
      <c r="CF24" s="43">
        <v>219390300</v>
      </c>
      <c r="CG24" s="43">
        <v>274277285</v>
      </c>
      <c r="CH24" s="43">
        <v>313843493</v>
      </c>
      <c r="CI24" s="43">
        <v>275065920</v>
      </c>
      <c r="CJ24" s="43">
        <v>246366200</v>
      </c>
      <c r="CK24" s="43">
        <v>226379912</v>
      </c>
      <c r="CL24" s="43">
        <v>209000108</v>
      </c>
      <c r="CM24" s="43">
        <v>251344146</v>
      </c>
      <c r="CN24" s="43">
        <v>291402974</v>
      </c>
      <c r="CO24" s="43">
        <v>297748759</v>
      </c>
      <c r="CP24" s="43">
        <v>290701055</v>
      </c>
      <c r="CQ24" s="43">
        <v>244186013</v>
      </c>
      <c r="CR24" s="270">
        <f>'[2]PPC.1, PCR.2F, EO.3'!B28</f>
        <v>224394164.95312458</v>
      </c>
      <c r="CS24" s="270">
        <f>'[2]PPC.1, PCR.2F, EO.3'!C28</f>
        <v>263413475.34842947</v>
      </c>
      <c r="CT24" s="270">
        <f>'[2]PPC.1, PCR.2F, EO.3'!D28</f>
        <v>307004998.80382639</v>
      </c>
    </row>
    <row r="25" spans="1:98" x14ac:dyDescent="0.35">
      <c r="A25" t="s">
        <v>35</v>
      </c>
      <c r="B25" s="37"/>
      <c r="C25" s="37"/>
      <c r="D25" s="43">
        <v>596370095</v>
      </c>
      <c r="E25" s="43">
        <v>585567373</v>
      </c>
      <c r="F25" s="43">
        <v>584363020</v>
      </c>
      <c r="G25" s="43">
        <v>661650596</v>
      </c>
      <c r="H25" s="43">
        <v>744450846</v>
      </c>
      <c r="I25" s="43">
        <v>746230356</v>
      </c>
      <c r="J25" s="43">
        <v>749176357</v>
      </c>
      <c r="K25" s="43">
        <v>659221190</v>
      </c>
      <c r="L25" s="43">
        <v>600231827</v>
      </c>
      <c r="M25" s="43">
        <v>624953134</v>
      </c>
      <c r="N25" s="43">
        <v>693030252</v>
      </c>
      <c r="O25" s="43">
        <v>607344097</v>
      </c>
      <c r="P25" s="43">
        <v>572358448</v>
      </c>
      <c r="Q25" s="43">
        <v>562854773</v>
      </c>
      <c r="R25" s="43">
        <v>578075204</v>
      </c>
      <c r="S25" s="43">
        <v>655641906</v>
      </c>
      <c r="T25" s="43">
        <v>714056556</v>
      </c>
      <c r="U25" s="43">
        <v>727381902</v>
      </c>
      <c r="V25" s="43">
        <v>685704779</v>
      </c>
      <c r="W25" s="43">
        <v>658415575</v>
      </c>
      <c r="X25" s="43">
        <v>591258230</v>
      </c>
      <c r="Y25" s="43">
        <v>617045102</v>
      </c>
      <c r="Z25" s="43">
        <v>713223360</v>
      </c>
      <c r="AA25" s="43">
        <v>637748229</v>
      </c>
      <c r="AB25" s="43">
        <v>591995322</v>
      </c>
      <c r="AC25" s="43">
        <v>597309651</v>
      </c>
      <c r="AD25" s="43">
        <v>591787732</v>
      </c>
      <c r="AE25" s="43">
        <v>706111391</v>
      </c>
      <c r="AF25" s="43">
        <v>750019857</v>
      </c>
      <c r="AG25" s="43">
        <v>709167976</v>
      </c>
      <c r="AH25" s="43">
        <v>721543630</v>
      </c>
      <c r="AI25" s="43">
        <v>655717182</v>
      </c>
      <c r="AJ25" s="43">
        <v>583325592</v>
      </c>
      <c r="AK25" s="43">
        <v>635010680</v>
      </c>
      <c r="AL25" s="43">
        <v>645753087</v>
      </c>
      <c r="AM25" s="43">
        <v>624256369</v>
      </c>
      <c r="AN25" s="43">
        <v>599641261</v>
      </c>
      <c r="AO25" s="43">
        <v>546450417</v>
      </c>
      <c r="AP25" s="43">
        <v>548775486</v>
      </c>
      <c r="AQ25" s="43">
        <v>609609142</v>
      </c>
      <c r="AR25" s="43">
        <v>656813642</v>
      </c>
      <c r="AS25" s="43">
        <v>671886437</v>
      </c>
      <c r="AT25" s="43">
        <v>678219627</v>
      </c>
      <c r="AU25" s="109">
        <v>622550219</v>
      </c>
      <c r="AV25" s="43">
        <v>549600433</v>
      </c>
      <c r="AW25" s="43">
        <v>596432225</v>
      </c>
      <c r="AX25" s="43">
        <v>616923082</v>
      </c>
      <c r="AY25" s="43">
        <v>599527620</v>
      </c>
      <c r="AZ25" s="43">
        <v>566693954</v>
      </c>
      <c r="BA25" s="43">
        <v>483801855</v>
      </c>
      <c r="BB25" s="43">
        <v>451939609</v>
      </c>
      <c r="BC25" s="43">
        <v>534583835</v>
      </c>
      <c r="BD25" s="43">
        <v>624356693</v>
      </c>
      <c r="BE25" s="43">
        <v>621885740</v>
      </c>
      <c r="BF25" s="43">
        <v>619148163</v>
      </c>
      <c r="BG25" s="43">
        <v>528448107.69999999</v>
      </c>
      <c r="BH25" s="43">
        <v>514648084</v>
      </c>
      <c r="BI25" s="43">
        <v>553120787</v>
      </c>
      <c r="BJ25" s="43">
        <v>592823385</v>
      </c>
      <c r="BK25" s="43">
        <v>585712392</v>
      </c>
      <c r="BL25" s="43">
        <v>543642088</v>
      </c>
      <c r="BM25" s="43">
        <v>483262229</v>
      </c>
      <c r="BN25" s="43">
        <v>492375125.19999999</v>
      </c>
      <c r="BO25" s="43">
        <v>586671915</v>
      </c>
      <c r="BP25" s="43">
        <v>641235470</v>
      </c>
      <c r="BQ25" s="43">
        <v>634777638</v>
      </c>
      <c r="BR25" s="43">
        <v>647017474</v>
      </c>
      <c r="BS25" s="43">
        <v>568724491</v>
      </c>
      <c r="BT25" s="43">
        <v>505304455</v>
      </c>
      <c r="BU25" s="43">
        <v>555282313.60000002</v>
      </c>
      <c r="BV25" s="43">
        <v>590675076</v>
      </c>
      <c r="BW25" s="43">
        <v>582248455</v>
      </c>
      <c r="BX25" s="43">
        <v>534070902</v>
      </c>
      <c r="BY25" s="43">
        <v>506459043</v>
      </c>
      <c r="BZ25" s="43">
        <v>516003997</v>
      </c>
      <c r="CA25" s="43">
        <v>579943536</v>
      </c>
      <c r="CB25" s="43">
        <v>650768443</v>
      </c>
      <c r="CC25" s="43">
        <v>645110540</v>
      </c>
      <c r="CD25" s="43">
        <v>617464584</v>
      </c>
      <c r="CE25" s="43">
        <v>530232061</v>
      </c>
      <c r="CF25" s="43">
        <v>516180366</v>
      </c>
      <c r="CG25" s="43">
        <v>573339069</v>
      </c>
      <c r="CH25" s="43">
        <v>603008465</v>
      </c>
      <c r="CI25" s="43">
        <v>535848689</v>
      </c>
      <c r="CJ25" s="43">
        <v>513226736</v>
      </c>
      <c r="CK25" s="43">
        <v>490211820</v>
      </c>
      <c r="CL25" s="43">
        <v>487205076</v>
      </c>
      <c r="CM25" s="43">
        <v>550130655</v>
      </c>
      <c r="CN25" s="43">
        <v>592309179</v>
      </c>
      <c r="CO25" s="43">
        <v>613854730</v>
      </c>
      <c r="CP25" s="43">
        <v>614247424</v>
      </c>
      <c r="CQ25" s="43">
        <v>540155873</v>
      </c>
      <c r="CR25" s="270">
        <f>'[2]PPC.1, PCR.2F, EO.3'!B29</f>
        <v>505275520.80296195</v>
      </c>
      <c r="CS25" s="270">
        <f>'[2]PPC.1, PCR.2F, EO.3'!C29</f>
        <v>543131543.47985172</v>
      </c>
      <c r="CT25" s="270">
        <f>'[2]PPC.1, PCR.2F, EO.3'!D29</f>
        <v>605219290.5250392</v>
      </c>
    </row>
    <row r="26" spans="1:98" x14ac:dyDescent="0.35">
      <c r="A26" t="s">
        <v>36</v>
      </c>
      <c r="B26" s="37"/>
      <c r="C26" s="37"/>
      <c r="D26" s="43">
        <v>247441789</v>
      </c>
      <c r="E26" s="43">
        <v>263524459</v>
      </c>
      <c r="F26" s="43">
        <v>273810149</v>
      </c>
      <c r="G26" s="43">
        <v>281099842</v>
      </c>
      <c r="H26" s="43">
        <v>312186695</v>
      </c>
      <c r="I26" s="43">
        <v>304162315</v>
      </c>
      <c r="J26" s="43">
        <v>330143172</v>
      </c>
      <c r="K26" s="43">
        <v>280092260</v>
      </c>
      <c r="L26" s="43">
        <v>268855946</v>
      </c>
      <c r="M26" s="43">
        <v>269553572</v>
      </c>
      <c r="N26" s="43">
        <v>287482958</v>
      </c>
      <c r="O26" s="43">
        <v>284042474</v>
      </c>
      <c r="P26" s="43">
        <v>243773343</v>
      </c>
      <c r="Q26" s="43">
        <v>262317859</v>
      </c>
      <c r="R26" s="43">
        <v>265729533</v>
      </c>
      <c r="S26" s="43">
        <v>305383990</v>
      </c>
      <c r="T26" s="43">
        <v>299141306</v>
      </c>
      <c r="U26" s="43">
        <v>315582091</v>
      </c>
      <c r="V26" s="43">
        <v>303646750</v>
      </c>
      <c r="W26" s="43">
        <v>297206861</v>
      </c>
      <c r="X26" s="43">
        <v>267769856</v>
      </c>
      <c r="Y26" s="43">
        <v>280403761</v>
      </c>
      <c r="Z26" s="43">
        <v>308993823</v>
      </c>
      <c r="AA26" s="43">
        <v>274104685</v>
      </c>
      <c r="AB26" s="43">
        <v>272372147</v>
      </c>
      <c r="AC26" s="43">
        <v>251417733</v>
      </c>
      <c r="AD26" s="43">
        <v>289575324</v>
      </c>
      <c r="AE26" s="43">
        <v>314032531</v>
      </c>
      <c r="AF26" s="43">
        <v>325203026</v>
      </c>
      <c r="AG26" s="43">
        <v>319660753</v>
      </c>
      <c r="AH26" s="43">
        <v>311095874</v>
      </c>
      <c r="AI26" s="43">
        <v>289535965</v>
      </c>
      <c r="AJ26" s="43">
        <v>271491896</v>
      </c>
      <c r="AK26" s="43">
        <v>291933586</v>
      </c>
      <c r="AL26" s="43">
        <v>252980562</v>
      </c>
      <c r="AM26" s="43">
        <v>248710812</v>
      </c>
      <c r="AN26" s="43">
        <v>242499726</v>
      </c>
      <c r="AO26" s="43">
        <v>232539680</v>
      </c>
      <c r="AP26" s="43">
        <v>229224298</v>
      </c>
      <c r="AQ26" s="43">
        <v>266349220</v>
      </c>
      <c r="AR26" s="43">
        <v>267674678</v>
      </c>
      <c r="AS26" s="43">
        <v>281003685</v>
      </c>
      <c r="AT26" s="43">
        <v>279302255</v>
      </c>
      <c r="AU26" s="109">
        <v>258807768</v>
      </c>
      <c r="AV26" s="43">
        <v>239334214</v>
      </c>
      <c r="AW26" s="43">
        <v>241025466</v>
      </c>
      <c r="AX26" s="43">
        <v>247898204</v>
      </c>
      <c r="AY26" s="43">
        <v>255420215</v>
      </c>
      <c r="AZ26" s="43">
        <v>225135566</v>
      </c>
      <c r="BA26" s="43">
        <v>219961316</v>
      </c>
      <c r="BB26" s="43">
        <v>207074154</v>
      </c>
      <c r="BC26" s="43">
        <v>241165089</v>
      </c>
      <c r="BD26" s="43">
        <v>253833450</v>
      </c>
      <c r="BE26" s="43">
        <v>266058831</v>
      </c>
      <c r="BF26" s="43">
        <v>266126792</v>
      </c>
      <c r="BG26" s="43">
        <v>236673642.40000001</v>
      </c>
      <c r="BH26" s="43">
        <v>234876378</v>
      </c>
      <c r="BI26" s="43">
        <v>245759481</v>
      </c>
      <c r="BJ26" s="43">
        <v>241302585</v>
      </c>
      <c r="BK26" s="43">
        <v>254211213</v>
      </c>
      <c r="BL26" s="43">
        <v>216207694</v>
      </c>
      <c r="BM26" s="43">
        <v>214809052</v>
      </c>
      <c r="BN26" s="43">
        <v>221576502.5</v>
      </c>
      <c r="BO26" s="43">
        <v>232417188</v>
      </c>
      <c r="BP26" s="43">
        <v>286577542</v>
      </c>
      <c r="BQ26" s="43">
        <v>263115351</v>
      </c>
      <c r="BR26" s="43">
        <v>266455046</v>
      </c>
      <c r="BS26" s="43">
        <v>230080105</v>
      </c>
      <c r="BT26" s="43">
        <v>200697530</v>
      </c>
      <c r="BU26" s="43">
        <v>269908616.5</v>
      </c>
      <c r="BV26" s="43">
        <v>254759231</v>
      </c>
      <c r="BW26" s="43">
        <v>236605471</v>
      </c>
      <c r="BX26" s="43">
        <v>220600472</v>
      </c>
      <c r="BY26" s="43">
        <v>227017145</v>
      </c>
      <c r="BZ26" s="43">
        <v>225997805</v>
      </c>
      <c r="CA26" s="43">
        <v>251076328</v>
      </c>
      <c r="CB26" s="43">
        <v>267504084</v>
      </c>
      <c r="CC26" s="43">
        <v>272015339</v>
      </c>
      <c r="CD26" s="43">
        <v>258297228</v>
      </c>
      <c r="CE26" s="43">
        <v>229178636</v>
      </c>
      <c r="CF26" s="43">
        <v>231438770</v>
      </c>
      <c r="CG26" s="43">
        <v>241377872</v>
      </c>
      <c r="CH26" s="43">
        <v>231408894</v>
      </c>
      <c r="CI26" s="43">
        <v>221649717</v>
      </c>
      <c r="CJ26" s="43">
        <v>205003755</v>
      </c>
      <c r="CK26" s="43">
        <v>219436038</v>
      </c>
      <c r="CL26" s="43">
        <v>219271209</v>
      </c>
      <c r="CM26" s="43">
        <v>232550715</v>
      </c>
      <c r="CN26" s="43">
        <v>235130742</v>
      </c>
      <c r="CO26" s="43">
        <v>262292552</v>
      </c>
      <c r="CP26" s="43">
        <v>254203699</v>
      </c>
      <c r="CQ26" s="43">
        <v>220702925</v>
      </c>
      <c r="CR26" s="270">
        <f>'[2]PPC.1, PCR.2F, EO.3'!B30</f>
        <v>219685972.16051269</v>
      </c>
      <c r="CS26" s="270">
        <f>'[2]PPC.1, PCR.2F, EO.3'!C30</f>
        <v>227640372.91921699</v>
      </c>
      <c r="CT26" s="270">
        <f>'[2]PPC.1, PCR.2F, EO.3'!D30</f>
        <v>238794941.36095244</v>
      </c>
    </row>
    <row r="27" spans="1:98" x14ac:dyDescent="0.35">
      <c r="A27" t="s">
        <v>37</v>
      </c>
      <c r="B27" s="37"/>
      <c r="C27" s="37"/>
      <c r="D27" s="43">
        <v>127273740</v>
      </c>
      <c r="E27" s="43">
        <v>133415922</v>
      </c>
      <c r="F27" s="43">
        <v>133920097</v>
      </c>
      <c r="G27" s="43">
        <v>151320401</v>
      </c>
      <c r="H27" s="43">
        <v>158812387</v>
      </c>
      <c r="I27" s="43">
        <v>160367769</v>
      </c>
      <c r="J27" s="43">
        <v>176194341</v>
      </c>
      <c r="K27" s="43">
        <v>154604539</v>
      </c>
      <c r="L27" s="43">
        <v>142536252</v>
      </c>
      <c r="M27" s="43">
        <v>134004611</v>
      </c>
      <c r="N27" s="43">
        <v>132646039</v>
      </c>
      <c r="O27" s="43">
        <v>136324918</v>
      </c>
      <c r="P27" s="43">
        <v>118000396</v>
      </c>
      <c r="Q27" s="43">
        <v>130771713</v>
      </c>
      <c r="R27" s="43">
        <v>133006544</v>
      </c>
      <c r="S27" s="43">
        <v>158813593</v>
      </c>
      <c r="T27" s="43">
        <v>150211763</v>
      </c>
      <c r="U27" s="43">
        <v>166478792</v>
      </c>
      <c r="V27" s="43">
        <v>158634223</v>
      </c>
      <c r="W27" s="43">
        <v>151247524</v>
      </c>
      <c r="X27" s="43">
        <v>147830606</v>
      </c>
      <c r="Y27" s="43">
        <v>132139915</v>
      </c>
      <c r="Z27" s="43">
        <v>134787267</v>
      </c>
      <c r="AA27" s="43">
        <v>125603697</v>
      </c>
      <c r="AB27" s="43">
        <v>125857767</v>
      </c>
      <c r="AC27" s="43">
        <v>119174583</v>
      </c>
      <c r="AD27" s="43">
        <v>136766539</v>
      </c>
      <c r="AE27" s="43">
        <v>151258088</v>
      </c>
      <c r="AF27" s="43">
        <v>155948179</v>
      </c>
      <c r="AG27" s="43">
        <v>160224923</v>
      </c>
      <c r="AH27" s="43">
        <v>150480926</v>
      </c>
      <c r="AI27" s="43">
        <v>148580162</v>
      </c>
      <c r="AJ27" s="43">
        <v>139627995</v>
      </c>
      <c r="AK27" s="43">
        <v>135972391</v>
      </c>
      <c r="AL27" s="43">
        <v>101960146</v>
      </c>
      <c r="AM27" s="43">
        <v>96075286</v>
      </c>
      <c r="AN27" s="43">
        <v>99309923</v>
      </c>
      <c r="AO27" s="43">
        <v>98876748</v>
      </c>
      <c r="AP27" s="43">
        <v>96480454</v>
      </c>
      <c r="AQ27" s="43">
        <v>121526151</v>
      </c>
      <c r="AR27" s="43">
        <v>113123855</v>
      </c>
      <c r="AS27" s="43">
        <v>125262874</v>
      </c>
      <c r="AT27" s="43">
        <v>126945040</v>
      </c>
      <c r="AU27" s="109">
        <v>119752379</v>
      </c>
      <c r="AV27" s="43">
        <v>106348532</v>
      </c>
      <c r="AW27" s="43">
        <v>100067076</v>
      </c>
      <c r="AX27" s="43">
        <v>105899561</v>
      </c>
      <c r="AY27" s="43">
        <v>111203176</v>
      </c>
      <c r="AZ27" s="43">
        <v>86704807</v>
      </c>
      <c r="BA27" s="43">
        <v>92097434</v>
      </c>
      <c r="BB27" s="43">
        <v>93506334</v>
      </c>
      <c r="BC27" s="43">
        <v>92139707</v>
      </c>
      <c r="BD27" s="43">
        <v>105110654</v>
      </c>
      <c r="BE27" s="43">
        <v>108265948</v>
      </c>
      <c r="BF27" s="43">
        <v>109806573</v>
      </c>
      <c r="BG27" s="43">
        <v>96724322.099999994</v>
      </c>
      <c r="BH27" s="43">
        <v>94866307</v>
      </c>
      <c r="BI27" s="43">
        <v>96874394</v>
      </c>
      <c r="BJ27" s="43">
        <v>84244327</v>
      </c>
      <c r="BK27" s="43">
        <v>112346620</v>
      </c>
      <c r="BL27" s="43">
        <v>50801494</v>
      </c>
      <c r="BM27" s="43">
        <v>85186767</v>
      </c>
      <c r="BN27" s="43">
        <v>94290468.700000003</v>
      </c>
      <c r="BO27" s="43">
        <v>96665030</v>
      </c>
      <c r="BP27" s="43">
        <v>111403127</v>
      </c>
      <c r="BQ27" s="43">
        <v>106051211</v>
      </c>
      <c r="BR27" s="43">
        <v>114673513</v>
      </c>
      <c r="BS27" s="43">
        <v>105106440</v>
      </c>
      <c r="BT27" s="43">
        <v>69778498</v>
      </c>
      <c r="BU27" s="43">
        <v>120928612.40000001</v>
      </c>
      <c r="BV27" s="43">
        <v>91160220</v>
      </c>
      <c r="BW27" s="43">
        <v>84926008</v>
      </c>
      <c r="BX27" s="43">
        <v>81012090</v>
      </c>
      <c r="BY27" s="43">
        <v>85726323</v>
      </c>
      <c r="BZ27" s="43">
        <v>71350428</v>
      </c>
      <c r="CA27" s="43">
        <v>86976917</v>
      </c>
      <c r="CB27" s="43">
        <v>99783323</v>
      </c>
      <c r="CC27" s="43">
        <v>98663196</v>
      </c>
      <c r="CD27" s="43">
        <v>102858299</v>
      </c>
      <c r="CE27" s="43">
        <v>88364839</v>
      </c>
      <c r="CF27" s="43">
        <v>88263402</v>
      </c>
      <c r="CG27" s="43">
        <v>86648705</v>
      </c>
      <c r="CH27" s="43">
        <v>77135409</v>
      </c>
      <c r="CI27" s="43">
        <v>74737407</v>
      </c>
      <c r="CJ27" s="43">
        <v>64517924</v>
      </c>
      <c r="CK27" s="43">
        <v>64659611</v>
      </c>
      <c r="CL27" s="43">
        <v>67634326</v>
      </c>
      <c r="CM27" s="43">
        <v>81350810</v>
      </c>
      <c r="CN27" s="43">
        <v>76194105</v>
      </c>
      <c r="CO27" s="43">
        <v>87357832</v>
      </c>
      <c r="CP27" s="43">
        <v>95274398</v>
      </c>
      <c r="CQ27" s="43">
        <v>96078281</v>
      </c>
      <c r="CR27" s="270">
        <f>'[2]PPC.1, PCR.2F, EO.3'!B31</f>
        <v>76392987.673354506</v>
      </c>
      <c r="CS27" s="270">
        <f>'[2]PPC.1, PCR.2F, EO.3'!C31</f>
        <v>74820761.110952988</v>
      </c>
      <c r="CT27" s="270">
        <f>'[2]PPC.1, PCR.2F, EO.3'!D31</f>
        <v>77644240.925621405</v>
      </c>
    </row>
    <row r="28" spans="1:98" x14ac:dyDescent="0.35">
      <c r="A28" s="33" t="s">
        <v>31</v>
      </c>
      <c r="B28" s="31"/>
      <c r="C28" s="31"/>
      <c r="D28" s="34">
        <f>SUM(D23:D27)</f>
        <v>2224928177</v>
      </c>
      <c r="E28" s="34">
        <f t="shared" ref="E28:AW28" si="76">SUM(E23:E27)</f>
        <v>2018953973</v>
      </c>
      <c r="F28" s="34">
        <f t="shared" si="76"/>
        <v>1913045208</v>
      </c>
      <c r="G28" s="34">
        <f t="shared" si="76"/>
        <v>2404751671</v>
      </c>
      <c r="H28" s="34">
        <f t="shared" si="76"/>
        <v>2933402953</v>
      </c>
      <c r="I28" s="34">
        <f t="shared" si="76"/>
        <v>2932474198</v>
      </c>
      <c r="J28" s="34">
        <f t="shared" si="76"/>
        <v>2831280502</v>
      </c>
      <c r="K28" s="34">
        <f t="shared" si="76"/>
        <v>2260945939</v>
      </c>
      <c r="L28" s="34">
        <f t="shared" si="76"/>
        <v>1987278765</v>
      </c>
      <c r="M28" s="34">
        <f t="shared" si="76"/>
        <v>2444837540</v>
      </c>
      <c r="N28" s="34">
        <f t="shared" si="76"/>
        <v>2931370494</v>
      </c>
      <c r="O28" s="34">
        <f t="shared" si="76"/>
        <v>2420851513</v>
      </c>
      <c r="P28" s="34">
        <f t="shared" si="76"/>
        <v>2078601028</v>
      </c>
      <c r="Q28" s="34">
        <f t="shared" si="76"/>
        <v>1972320246</v>
      </c>
      <c r="R28" s="34">
        <f t="shared" si="76"/>
        <v>1950848493</v>
      </c>
      <c r="S28" s="34">
        <f t="shared" si="76"/>
        <v>2390636192</v>
      </c>
      <c r="T28" s="34">
        <f t="shared" si="76"/>
        <v>2806893058</v>
      </c>
      <c r="U28" s="34">
        <f t="shared" si="76"/>
        <v>2872808685</v>
      </c>
      <c r="V28" s="34">
        <f t="shared" si="76"/>
        <v>2497438120</v>
      </c>
      <c r="W28" s="34">
        <f t="shared" si="76"/>
        <v>2311823120</v>
      </c>
      <c r="X28" s="34">
        <f t="shared" si="76"/>
        <v>2068964968</v>
      </c>
      <c r="Y28" s="34">
        <f t="shared" si="76"/>
        <v>2356325141</v>
      </c>
      <c r="Z28" s="34">
        <f t="shared" si="76"/>
        <v>3162862275</v>
      </c>
      <c r="AA28" s="34">
        <f t="shared" si="76"/>
        <v>2671692622</v>
      </c>
      <c r="AB28" s="34">
        <f t="shared" si="76"/>
        <v>2329112642</v>
      </c>
      <c r="AC28" s="34">
        <f t="shared" si="76"/>
        <v>2266678111</v>
      </c>
      <c r="AD28" s="34">
        <f t="shared" si="76"/>
        <v>2094580257</v>
      </c>
      <c r="AE28" s="34">
        <f t="shared" si="76"/>
        <v>2709831507</v>
      </c>
      <c r="AF28" s="34">
        <f t="shared" si="76"/>
        <v>3013965337</v>
      </c>
      <c r="AG28" s="34">
        <f t="shared" si="76"/>
        <v>2799018250</v>
      </c>
      <c r="AH28" s="34">
        <f t="shared" si="76"/>
        <v>2737680017</v>
      </c>
      <c r="AI28" s="34">
        <f t="shared" si="76"/>
        <v>2332546940</v>
      </c>
      <c r="AJ28" s="34">
        <f t="shared" si="76"/>
        <v>2142583793</v>
      </c>
      <c r="AK28" s="34">
        <f t="shared" si="76"/>
        <v>2618348050</v>
      </c>
      <c r="AL28" s="34">
        <f t="shared" si="76"/>
        <v>2704334881</v>
      </c>
      <c r="AM28" s="34">
        <f t="shared" si="76"/>
        <v>2684641305</v>
      </c>
      <c r="AN28" s="34">
        <f t="shared" si="76"/>
        <v>2499758324</v>
      </c>
      <c r="AO28" s="34">
        <f t="shared" si="76"/>
        <v>1985896392</v>
      </c>
      <c r="AP28" s="34">
        <f t="shared" si="76"/>
        <v>1834449295</v>
      </c>
      <c r="AQ28" s="34">
        <f t="shared" si="76"/>
        <v>2235195660</v>
      </c>
      <c r="AR28" s="34">
        <f t="shared" si="76"/>
        <v>2577497445</v>
      </c>
      <c r="AS28" s="34">
        <f t="shared" si="76"/>
        <v>2692344190</v>
      </c>
      <c r="AT28" s="34">
        <f t="shared" si="76"/>
        <v>2586049727</v>
      </c>
      <c r="AU28" s="34">
        <f t="shared" si="76"/>
        <v>2259393157</v>
      </c>
      <c r="AV28" s="34">
        <f t="shared" si="76"/>
        <v>2029584453</v>
      </c>
      <c r="AW28" s="34">
        <f t="shared" si="76"/>
        <v>2424244506</v>
      </c>
      <c r="AX28" s="34">
        <f t="shared" ref="AX28:AY28" si="77">SUM(AX23:AX27)</f>
        <v>2601956425</v>
      </c>
      <c r="AY28" s="34">
        <f t="shared" si="77"/>
        <v>2559780622</v>
      </c>
      <c r="AZ28" s="34">
        <f t="shared" ref="AZ28:BA28" si="78">SUM(AZ23:AZ27)</f>
        <v>2267199627</v>
      </c>
      <c r="BA28" s="34">
        <f t="shared" si="78"/>
        <v>1885945876</v>
      </c>
      <c r="BB28" s="34">
        <f t="shared" ref="BB28:BC28" si="79">SUM(BB23:BB27)</f>
        <v>1727181444</v>
      </c>
      <c r="BC28" s="34">
        <f t="shared" si="79"/>
        <v>2140133354</v>
      </c>
      <c r="BD28" s="34">
        <f t="shared" ref="BD28:BE28" si="80">SUM(BD23:BD27)</f>
        <v>2668776772</v>
      </c>
      <c r="BE28" s="34">
        <f t="shared" si="80"/>
        <v>2588323933</v>
      </c>
      <c r="BF28" s="34">
        <f t="shared" ref="BF28:BG28" si="81">SUM(BF23:BF27)</f>
        <v>2539356884</v>
      </c>
      <c r="BG28" s="34">
        <f t="shared" si="81"/>
        <v>1880855467.2</v>
      </c>
      <c r="BH28" s="34">
        <f t="shared" ref="BH28:BI28" si="82">SUM(BH23:BH27)</f>
        <v>1919414791</v>
      </c>
      <c r="BI28" s="34">
        <f t="shared" si="82"/>
        <v>2285505311</v>
      </c>
      <c r="BJ28" s="34">
        <f t="shared" ref="BJ28:BK28" si="83">SUM(BJ23:BJ27)</f>
        <v>2701293080</v>
      </c>
      <c r="BK28" s="34">
        <f t="shared" si="83"/>
        <v>2762895596</v>
      </c>
      <c r="BL28" s="34">
        <f t="shared" ref="BL28:BM28" si="84">SUM(BL23:BL27)</f>
        <v>2269212350</v>
      </c>
      <c r="BM28" s="34">
        <f t="shared" si="84"/>
        <v>1797926430</v>
      </c>
      <c r="BN28" s="34">
        <f t="shared" ref="BN28:BO28" si="85">SUM(BN23:BN27)</f>
        <v>1767390312.4000001</v>
      </c>
      <c r="BO28" s="34">
        <f t="shared" si="85"/>
        <v>2241761426</v>
      </c>
      <c r="BP28" s="34">
        <f t="shared" ref="BP28:BQ28" si="86">SUM(BP23:BP27)</f>
        <v>2630416326</v>
      </c>
      <c r="BQ28" s="34">
        <f t="shared" si="86"/>
        <v>2620993183</v>
      </c>
      <c r="BR28" s="34">
        <f t="shared" ref="BR28:BS28" si="87">SUM(BR23:BR27)</f>
        <v>2624842936</v>
      </c>
      <c r="BS28" s="34">
        <f t="shared" si="87"/>
        <v>2051802732</v>
      </c>
      <c r="BT28" s="34">
        <f t="shared" ref="BT28:BU28" si="88">SUM(BT23:BT27)</f>
        <v>1844617502</v>
      </c>
      <c r="BU28" s="34">
        <f t="shared" si="88"/>
        <v>2260152185.5</v>
      </c>
      <c r="BV28" s="34">
        <f t="shared" ref="BV28:BW28" si="89">SUM(BV23:BV27)</f>
        <v>2604429573</v>
      </c>
      <c r="BW28" s="34">
        <f t="shared" si="89"/>
        <v>2650772070</v>
      </c>
      <c r="BX28" s="34">
        <f t="shared" ref="BX28:BY28" si="90">SUM(BX23:BX27)</f>
        <v>2252800721</v>
      </c>
      <c r="BY28" s="34">
        <f t="shared" si="90"/>
        <v>1950515267</v>
      </c>
      <c r="BZ28" s="34">
        <f t="shared" ref="BZ28:CA28" si="91">SUM(BZ23:BZ27)</f>
        <v>1874510202</v>
      </c>
      <c r="CA28" s="34">
        <f t="shared" si="91"/>
        <v>2238886497</v>
      </c>
      <c r="CB28" s="34">
        <f t="shared" ref="CB28:CC28" si="92">SUM(CB23:CB27)</f>
        <v>2787735127</v>
      </c>
      <c r="CC28" s="34">
        <f t="shared" si="92"/>
        <v>2711689501</v>
      </c>
      <c r="CD28" s="34">
        <f t="shared" ref="CD28:CE28" si="93">SUM(CD23:CD27)</f>
        <v>2418184647</v>
      </c>
      <c r="CE28" s="34">
        <f t="shared" si="93"/>
        <v>1914968383</v>
      </c>
      <c r="CF28" s="34">
        <f t="shared" ref="CF28:CG28" si="94">SUM(CF23:CF27)</f>
        <v>1850644365</v>
      </c>
      <c r="CG28" s="34">
        <f t="shared" si="94"/>
        <v>2231741671.4688997</v>
      </c>
      <c r="CH28" s="34">
        <f t="shared" ref="CH28:CI28" si="95">SUM(CH23:CH27)</f>
        <v>2690422268</v>
      </c>
      <c r="CI28" s="34">
        <f t="shared" si="95"/>
        <v>2359295932</v>
      </c>
      <c r="CJ28" s="34">
        <f t="shared" ref="CJ28:CK28" si="96">SUM(CJ23:CJ27)</f>
        <v>2063654396</v>
      </c>
      <c r="CK28" s="34">
        <f t="shared" si="96"/>
        <v>1890769057</v>
      </c>
      <c r="CL28" s="34">
        <f t="shared" ref="CL28:CM28" si="97">SUM(CL23:CL27)</f>
        <v>1741264804</v>
      </c>
      <c r="CM28" s="34">
        <f t="shared" si="97"/>
        <v>2092627990</v>
      </c>
      <c r="CN28" s="34">
        <f t="shared" ref="CN28:CO28" si="98">SUM(CN23:CN27)</f>
        <v>2473094997</v>
      </c>
      <c r="CO28" s="34">
        <f t="shared" si="98"/>
        <v>2579826523</v>
      </c>
      <c r="CP28" s="34">
        <f t="shared" ref="CP28:CQ28" si="99">SUM(CP23:CP27)</f>
        <v>2474502491</v>
      </c>
      <c r="CQ28" s="34">
        <f t="shared" si="99"/>
        <v>1988431085</v>
      </c>
      <c r="CR28" s="34">
        <f t="shared" ref="CR28:CT28" si="100">SUM(CR23:CR27)</f>
        <v>1846986321.0766883</v>
      </c>
      <c r="CS28" s="34">
        <f t="shared" si="100"/>
        <v>2234264413.6499629</v>
      </c>
      <c r="CT28" s="34">
        <f t="shared" si="100"/>
        <v>2705185355.5512915</v>
      </c>
    </row>
    <row r="29" spans="1:98" x14ac:dyDescent="0.35">
      <c r="B29" s="37"/>
      <c r="C29" s="37"/>
    </row>
    <row r="30" spans="1:98" x14ac:dyDescent="0.35">
      <c r="A30" s="27" t="s">
        <v>40</v>
      </c>
      <c r="B30" s="37"/>
      <c r="C30" s="37"/>
    </row>
    <row r="31" spans="1:98" x14ac:dyDescent="0.35">
      <c r="A31" t="s">
        <v>33</v>
      </c>
      <c r="B31" s="37"/>
      <c r="C31" s="37"/>
      <c r="D31" s="275">
        <f>D14+(D$19*(D23/D$28))</f>
        <v>0</v>
      </c>
      <c r="E31" s="275">
        <f>IF(E14="","",E14+(E$19*(E23/E$28)))</f>
        <v>1328.78</v>
      </c>
      <c r="F31" s="275">
        <f t="shared" ref="E31:F35" si="101">IF(F14="","",F14+(F$19*(F23/F$28)))</f>
        <v>9526.5299999999988</v>
      </c>
      <c r="G31" s="275">
        <f t="shared" ref="G31:AW31" si="102">IF(G14="","",G14+(G$19*(G23/G$28)))</f>
        <v>120352.88</v>
      </c>
      <c r="H31" s="275">
        <f t="shared" si="102"/>
        <v>256080.65000000002</v>
      </c>
      <c r="I31" s="275">
        <f t="shared" si="102"/>
        <v>373393.34435846674</v>
      </c>
      <c r="J31" s="275">
        <f t="shared" si="102"/>
        <v>671736.21363575384</v>
      </c>
      <c r="K31" s="275">
        <f t="shared" si="102"/>
        <v>120839.84990541483</v>
      </c>
      <c r="L31" s="275">
        <f t="shared" si="102"/>
        <v>185093.49881649271</v>
      </c>
      <c r="M31" s="275">
        <f t="shared" si="102"/>
        <v>303285.19452852954</v>
      </c>
      <c r="N31" s="275">
        <f t="shared" si="102"/>
        <v>329743.7910035231</v>
      </c>
      <c r="O31" s="275">
        <f t="shared" si="102"/>
        <v>319589.12614734296</v>
      </c>
      <c r="P31" s="275">
        <f t="shared" si="102"/>
        <v>307416.51622437377</v>
      </c>
      <c r="Q31" s="275">
        <f>IF(Q14="","",Q14+(Q$19*(Q23/Q$28)))</f>
        <v>202009.99758789604</v>
      </c>
      <c r="R31" s="275">
        <f t="shared" si="102"/>
        <v>201518.00847600689</v>
      </c>
      <c r="S31" s="275">
        <f t="shared" si="102"/>
        <v>884196.51701427973</v>
      </c>
      <c r="T31" s="275">
        <f t="shared" si="102"/>
        <v>1282604.3399999999</v>
      </c>
      <c r="U31" s="275">
        <f t="shared" si="102"/>
        <v>1412760.5841518985</v>
      </c>
      <c r="V31" s="275">
        <f t="shared" si="102"/>
        <v>912043.87330211163</v>
      </c>
      <c r="W31" s="275">
        <f t="shared" si="102"/>
        <v>279976.46619588812</v>
      </c>
      <c r="X31" s="275">
        <f t="shared" si="102"/>
        <v>377438.47759872582</v>
      </c>
      <c r="Y31" s="275">
        <f t="shared" si="102"/>
        <v>565267.94576951256</v>
      </c>
      <c r="Z31" s="275">
        <f t="shared" si="102"/>
        <v>607215.02747681318</v>
      </c>
      <c r="AA31" s="275">
        <f t="shared" si="102"/>
        <v>515316.53827609093</v>
      </c>
      <c r="AB31" s="275">
        <f t="shared" si="102"/>
        <v>473150.50916160172</v>
      </c>
      <c r="AC31" s="275">
        <f t="shared" si="102"/>
        <v>270731.77958850004</v>
      </c>
      <c r="AD31" s="275">
        <f t="shared" si="102"/>
        <v>491596.14834248205</v>
      </c>
      <c r="AE31" s="275">
        <f t="shared" si="102"/>
        <v>2024956.6659391024</v>
      </c>
      <c r="AF31" s="275">
        <f t="shared" si="102"/>
        <v>2753783.435947692</v>
      </c>
      <c r="AG31" s="275">
        <f t="shared" si="102"/>
        <v>2655187.2707727067</v>
      </c>
      <c r="AH31" s="275">
        <f t="shared" si="102"/>
        <v>1585670.784126644</v>
      </c>
      <c r="AI31" s="275">
        <f t="shared" si="102"/>
        <v>556118.7299202627</v>
      </c>
      <c r="AJ31" s="275">
        <f t="shared" si="102"/>
        <v>513458.06050710165</v>
      </c>
      <c r="AK31" s="275">
        <f t="shared" si="102"/>
        <v>702799.89768350183</v>
      </c>
      <c r="AL31" s="275">
        <f t="shared" si="102"/>
        <v>705267.00941836974</v>
      </c>
      <c r="AM31" s="275">
        <f t="shared" si="102"/>
        <v>626813.61963691877</v>
      </c>
      <c r="AN31" s="275">
        <f t="shared" si="102"/>
        <v>733376.44916449382</v>
      </c>
      <c r="AO31" s="275">
        <f t="shared" si="102"/>
        <v>579952.0325992658</v>
      </c>
      <c r="AP31" s="275">
        <f>IF(AP14="","",AP14+(AP$19*(AP23/AP$28)))</f>
        <v>371011.49182013981</v>
      </c>
      <c r="AQ31" s="275">
        <f t="shared" si="102"/>
        <v>2723256.6958003566</v>
      </c>
      <c r="AR31" s="275">
        <f t="shared" si="102"/>
        <v>3090240.1159956334</v>
      </c>
      <c r="AS31" s="275">
        <f t="shared" si="102"/>
        <v>3319235.3330920129</v>
      </c>
      <c r="AT31" s="275">
        <f t="shared" si="102"/>
        <v>1872423.9163418177</v>
      </c>
      <c r="AU31" s="275">
        <f t="shared" si="102"/>
        <v>468639.40013933519</v>
      </c>
      <c r="AV31" s="275">
        <f t="shared" si="102"/>
        <v>573430.06293424976</v>
      </c>
      <c r="AW31" s="275">
        <f t="shared" si="102"/>
        <v>729001.68500178226</v>
      </c>
      <c r="AX31" s="275">
        <f t="shared" ref="AX31:BC31" si="103">IF(AX14="","",AX14+(AX$19*(AX23/AX$28)))</f>
        <v>731448.99925192562</v>
      </c>
      <c r="AY31" s="275">
        <f t="shared" si="103"/>
        <v>-1101511.7645830091</v>
      </c>
      <c r="AZ31" s="275">
        <f t="shared" si="103"/>
        <v>502297.9307248104</v>
      </c>
      <c r="BA31" s="275">
        <f t="shared" si="103"/>
        <v>0</v>
      </c>
      <c r="BB31" s="275">
        <f t="shared" si="103"/>
        <v>-1201.9391278357582</v>
      </c>
      <c r="BC31" s="275">
        <f t="shared" si="103"/>
        <v>0</v>
      </c>
      <c r="BD31" s="275">
        <f t="shared" ref="BD31:BE31" si="104">IF(BD14="","",BD14+(BD$19*(BD23/BD$28)))</f>
        <v>0</v>
      </c>
      <c r="BE31" s="275">
        <f t="shared" si="104"/>
        <v>0</v>
      </c>
      <c r="BF31" s="275">
        <f t="shared" ref="BF31:BG31" si="105">IF(BF14="","",BF14+(BF$19*(BF23/BF$28)))</f>
        <v>0</v>
      </c>
      <c r="BG31" s="275">
        <f t="shared" si="105"/>
        <v>0</v>
      </c>
      <c r="BH31" s="275">
        <f t="shared" ref="BH31:BI31" si="106">IF(BH14="","",BH14+(BH$19*(BH23/BH$28)))</f>
        <v>0</v>
      </c>
      <c r="BI31" s="275">
        <f t="shared" si="106"/>
        <v>0</v>
      </c>
      <c r="BJ31" s="275">
        <f t="shared" ref="BJ31:BK31" si="107">IF(BJ14="","",BJ14+(BJ$19*(BJ23/BJ$28)))</f>
        <v>0</v>
      </c>
      <c r="BK31" s="275">
        <f t="shared" si="107"/>
        <v>0</v>
      </c>
      <c r="BL31" s="275">
        <f t="shared" ref="BL31:BM31" si="108">IF(BL14="","",BL14+(BL$19*(BL23/BL$28)))</f>
        <v>0</v>
      </c>
      <c r="BM31" s="275">
        <f t="shared" si="108"/>
        <v>0</v>
      </c>
      <c r="BN31" s="275">
        <f t="shared" ref="BN31:BO31" si="109">IF(BN14="","",BN14+(BN$19*(BN23/BN$28)))</f>
        <v>0</v>
      </c>
      <c r="BO31" s="275">
        <f t="shared" si="109"/>
        <v>0</v>
      </c>
      <c r="BP31" s="275">
        <f t="shared" ref="BP31:BQ31" si="110">IF(BP14="","",BP14+(BP$19*(BP23/BP$28)))</f>
        <v>0</v>
      </c>
      <c r="BQ31" s="275">
        <f t="shared" si="110"/>
        <v>0</v>
      </c>
      <c r="BR31" s="275">
        <f t="shared" ref="BR31:BS31" si="111">IF(BR14="","",BR14+(BR$19*(BR23/BR$28)))</f>
        <v>0</v>
      </c>
      <c r="BS31" s="275">
        <f t="shared" si="111"/>
        <v>0</v>
      </c>
      <c r="BT31" s="275">
        <f t="shared" ref="BT31:BU31" si="112">IF(BT14="","",BT14+(BT$19*(BT23/BT$28)))</f>
        <v>0</v>
      </c>
      <c r="BU31" s="275">
        <f t="shared" si="112"/>
        <v>0</v>
      </c>
      <c r="BV31" s="275">
        <f t="shared" ref="BV31:BW31" si="113">IF(BV14="","",BV14+(BV$19*(BV23/BV$28)))</f>
        <v>0</v>
      </c>
      <c r="BW31" s="275">
        <f t="shared" si="113"/>
        <v>0</v>
      </c>
      <c r="BX31" s="275">
        <f t="shared" ref="BX31:BY31" si="114">IF(BX14="","",BX14+(BX$19*(BX23/BX$28)))</f>
        <v>0</v>
      </c>
      <c r="BY31" s="275">
        <f t="shared" si="114"/>
        <v>0</v>
      </c>
      <c r="BZ31" s="275">
        <f t="shared" ref="BZ31:CA31" si="115">IF(BZ14="","",BZ14+(BZ$19*(BZ23/BZ$28)))</f>
        <v>0</v>
      </c>
      <c r="CA31" s="275">
        <f t="shared" si="115"/>
        <v>0</v>
      </c>
      <c r="CB31" s="275">
        <f t="shared" ref="CB31:CC31" si="116">IF(CB14="","",CB14+(CB$19*(CB23/CB$28)))</f>
        <v>0</v>
      </c>
      <c r="CC31" s="275">
        <f t="shared" si="116"/>
        <v>0</v>
      </c>
      <c r="CD31" s="275">
        <f t="shared" ref="CD31:CE31" si="117">IF(CD14="","",CD14+(CD$19*(CD23/CD$28)))</f>
        <v>0</v>
      </c>
      <c r="CE31" s="275">
        <f t="shared" si="117"/>
        <v>0</v>
      </c>
      <c r="CF31" s="275">
        <f t="shared" ref="CF31:CG31" si="118">IF(CF14="","",CF14+(CF$19*(CF23/CF$28)))</f>
        <v>0</v>
      </c>
      <c r="CG31" s="275">
        <f t="shared" si="118"/>
        <v>0</v>
      </c>
      <c r="CH31" s="275">
        <f t="shared" ref="CH31:CI31" si="119">IF(CH14="","",CH14+(CH$19*(CH23/CH$28)))</f>
        <v>0</v>
      </c>
      <c r="CI31" s="275">
        <f t="shared" si="119"/>
        <v>0</v>
      </c>
      <c r="CJ31" s="275">
        <f t="shared" ref="CJ31:CK31" si="120">IF(CJ14="","",CJ14+(CJ$19*(CJ23/CJ$28)))</f>
        <v>0</v>
      </c>
      <c r="CK31" s="275">
        <f t="shared" si="120"/>
        <v>0</v>
      </c>
      <c r="CL31" s="275">
        <f t="shared" ref="CL31:CM31" si="121">IF(CL14="","",CL14+(CL$19*(CL23/CL$28)))</f>
        <v>0</v>
      </c>
      <c r="CM31" s="275">
        <f t="shared" si="121"/>
        <v>0</v>
      </c>
      <c r="CN31" s="275">
        <f t="shared" ref="CN31:CO31" si="122">IF(CN14="","",CN14+(CN$19*(CN23/CN$28)))</f>
        <v>0</v>
      </c>
      <c r="CO31" s="275">
        <f t="shared" si="122"/>
        <v>0</v>
      </c>
      <c r="CP31" s="275">
        <f t="shared" ref="CP31:CQ31" si="123">IF(CP14="","",CP14+(CP$19*(CP23/CP$28)))</f>
        <v>0</v>
      </c>
      <c r="CQ31" s="275">
        <f t="shared" si="123"/>
        <v>0</v>
      </c>
      <c r="CR31" s="274">
        <f t="shared" ref="CR31:CT31" si="124">IF(CR14="","",CR14+(CR$19*(CR23/CR$28)))</f>
        <v>0</v>
      </c>
      <c r="CS31" s="274">
        <f t="shared" si="124"/>
        <v>0</v>
      </c>
      <c r="CT31" s="274">
        <f t="shared" si="124"/>
        <v>0</v>
      </c>
    </row>
    <row r="32" spans="1:98" x14ac:dyDescent="0.35">
      <c r="A32" t="s">
        <v>34</v>
      </c>
      <c r="B32" s="37"/>
      <c r="C32" s="37"/>
      <c r="D32" s="275">
        <f>D15+(D$19*(D24/D$28))</f>
        <v>0</v>
      </c>
      <c r="E32" s="275">
        <f t="shared" si="101"/>
        <v>0</v>
      </c>
      <c r="F32" s="275">
        <f t="shared" si="101"/>
        <v>0</v>
      </c>
      <c r="G32" s="275">
        <f t="shared" ref="G32:AW32" si="125">IF(G15="","",G15+(G$19*(G24/G$28)))</f>
        <v>4167.9399999999996</v>
      </c>
      <c r="H32" s="275">
        <f t="shared" si="125"/>
        <v>13357.940000000002</v>
      </c>
      <c r="I32" s="275">
        <f t="shared" si="125"/>
        <v>14670.985238775314</v>
      </c>
      <c r="J32" s="275">
        <f t="shared" si="125"/>
        <v>22602.465674921033</v>
      </c>
      <c r="K32" s="275">
        <f t="shared" si="125"/>
        <v>23670.862866768453</v>
      </c>
      <c r="L32" s="275">
        <f t="shared" si="125"/>
        <v>27753.308601536653</v>
      </c>
      <c r="M32" s="275">
        <f t="shared" si="125"/>
        <v>37258.575758638253</v>
      </c>
      <c r="N32" s="275">
        <f t="shared" si="125"/>
        <v>47579.322188278435</v>
      </c>
      <c r="O32" s="275">
        <f t="shared" si="125"/>
        <v>42911.041729266297</v>
      </c>
      <c r="P32" s="275">
        <f t="shared" si="125"/>
        <v>52823.001162257649</v>
      </c>
      <c r="Q32" s="275">
        <f t="shared" si="125"/>
        <v>25950.307634173645</v>
      </c>
      <c r="R32" s="275">
        <f t="shared" si="125"/>
        <v>48983.559131334005</v>
      </c>
      <c r="S32" s="275">
        <f t="shared" si="125"/>
        <v>90621.489340586311</v>
      </c>
      <c r="T32" s="275">
        <f t="shared" si="125"/>
        <v>138931.90000000002</v>
      </c>
      <c r="U32" s="275">
        <f t="shared" si="125"/>
        <v>133700.2685394297</v>
      </c>
      <c r="V32" s="275">
        <f t="shared" si="125"/>
        <v>151757.81340251025</v>
      </c>
      <c r="W32" s="275">
        <f t="shared" si="125"/>
        <v>116837.79257470783</v>
      </c>
      <c r="X32" s="275">
        <f t="shared" si="125"/>
        <v>88133.517269885691</v>
      </c>
      <c r="Y32" s="275">
        <f t="shared" si="125"/>
        <v>126989.00719390194</v>
      </c>
      <c r="Z32" s="275">
        <f t="shared" si="125"/>
        <v>151376.91870679389</v>
      </c>
      <c r="AA32" s="275">
        <f t="shared" si="125"/>
        <v>131012.65264951537</v>
      </c>
      <c r="AB32" s="275">
        <f t="shared" si="125"/>
        <v>161984.73662810036</v>
      </c>
      <c r="AC32" s="275">
        <f t="shared" si="125"/>
        <v>186884.98622710272</v>
      </c>
      <c r="AD32" s="275">
        <f t="shared" si="125"/>
        <v>260709.07600105793</v>
      </c>
      <c r="AE32" s="275">
        <f t="shared" si="125"/>
        <v>394275.90039880731</v>
      </c>
      <c r="AF32" s="275">
        <f t="shared" si="125"/>
        <v>517564.58433629415</v>
      </c>
      <c r="AG32" s="275">
        <f t="shared" si="125"/>
        <v>456642.37398614379</v>
      </c>
      <c r="AH32" s="275">
        <f t="shared" si="125"/>
        <v>495377.09665466635</v>
      </c>
      <c r="AI32" s="275">
        <f t="shared" si="125"/>
        <v>348239.88671273278</v>
      </c>
      <c r="AJ32" s="275">
        <f t="shared" si="125"/>
        <v>315404.35918017995</v>
      </c>
      <c r="AK32" s="275">
        <f t="shared" si="125"/>
        <v>349367.88347835495</v>
      </c>
      <c r="AL32" s="275">
        <f t="shared" si="125"/>
        <v>376670.80776353204</v>
      </c>
      <c r="AM32" s="275">
        <f t="shared" si="125"/>
        <v>315666.15712072933</v>
      </c>
      <c r="AN32" s="275">
        <f t="shared" si="125"/>
        <v>426235.9958025862</v>
      </c>
      <c r="AO32" s="275">
        <f t="shared" si="125"/>
        <v>429805.50677490461</v>
      </c>
      <c r="AP32" s="275">
        <f t="shared" si="125"/>
        <v>425502.70439957909</v>
      </c>
      <c r="AQ32" s="275">
        <f t="shared" si="125"/>
        <v>711026.13316380861</v>
      </c>
      <c r="AR32" s="275">
        <f t="shared" si="125"/>
        <v>906630.75933951</v>
      </c>
      <c r="AS32" s="275">
        <f t="shared" si="125"/>
        <v>735303.71734464087</v>
      </c>
      <c r="AT32" s="275">
        <f t="shared" si="125"/>
        <v>765682.15647802898</v>
      </c>
      <c r="AU32" s="275">
        <f t="shared" si="125"/>
        <v>522721.08210263157</v>
      </c>
      <c r="AV32" s="275">
        <f t="shared" si="125"/>
        <v>445892.99890309712</v>
      </c>
      <c r="AW32" s="275">
        <f t="shared" si="125"/>
        <v>380966.65670412086</v>
      </c>
      <c r="AX32" s="275">
        <f t="shared" ref="AX32:AY32" si="126">IF(AX15="","",AX15+(AX$19*(AX24/AX$28)))</f>
        <v>451558.90985025105</v>
      </c>
      <c r="AY32" s="275">
        <f t="shared" si="126"/>
        <v>349160.22599545511</v>
      </c>
      <c r="AZ32" s="275">
        <f t="shared" ref="AZ32:BA32" si="127">IF(AZ15="","",AZ15+(AZ$19*(AZ24/AZ$28)))</f>
        <v>388715.00802980497</v>
      </c>
      <c r="BA32" s="275">
        <f t="shared" si="127"/>
        <v>0</v>
      </c>
      <c r="BB32" s="275">
        <f t="shared" ref="BB32:BC32" si="128">IF(BB15="","",BB15+(BB$19*(BB24/BB$28)))</f>
        <v>-280.76739666505853</v>
      </c>
      <c r="BC32" s="275">
        <f t="shared" si="128"/>
        <v>0</v>
      </c>
      <c r="BD32" s="275">
        <f t="shared" ref="BD32:BE32" si="129">IF(BD15="","",BD15+(BD$19*(BD24/BD$28)))</f>
        <v>0</v>
      </c>
      <c r="BE32" s="275">
        <f t="shared" si="129"/>
        <v>0</v>
      </c>
      <c r="BF32" s="275">
        <f t="shared" ref="BF32:BG32" si="130">IF(BF15="","",BF15+(BF$19*(BF24/BF$28)))</f>
        <v>0</v>
      </c>
      <c r="BG32" s="275">
        <f t="shared" si="130"/>
        <v>0</v>
      </c>
      <c r="BH32" s="275">
        <f t="shared" ref="BH32:BI32" si="131">IF(BH15="","",BH15+(BH$19*(BH24/BH$28)))</f>
        <v>0</v>
      </c>
      <c r="BI32" s="275">
        <f t="shared" si="131"/>
        <v>0</v>
      </c>
      <c r="BJ32" s="275">
        <f t="shared" ref="BJ32:BK32" si="132">IF(BJ15="","",BJ15+(BJ$19*(BJ24/BJ$28)))</f>
        <v>0</v>
      </c>
      <c r="BK32" s="275">
        <f t="shared" si="132"/>
        <v>255.64000000059605</v>
      </c>
      <c r="BL32" s="275">
        <f t="shared" ref="BL32:BM32" si="133">IF(BL15="","",BL15+(BL$19*(BL24/BL$28)))</f>
        <v>592.33999999985099</v>
      </c>
      <c r="BM32" s="275">
        <f t="shared" si="133"/>
        <v>632.41000000014901</v>
      </c>
      <c r="BN32" s="275">
        <f t="shared" ref="BN32:BO32" si="134">IF(BN15="","",BN15+(BN$19*(BN24/BN$28)))</f>
        <v>892.52999999932945</v>
      </c>
      <c r="BO32" s="275">
        <f t="shared" si="134"/>
        <v>1958.390000000596</v>
      </c>
      <c r="BP32" s="275">
        <f t="shared" ref="BP32:BQ32" si="135">IF(BP15="","",BP15+(BP$19*(BP24/BP$28)))</f>
        <v>2575.9900000002235</v>
      </c>
      <c r="BQ32" s="275">
        <f t="shared" si="135"/>
        <v>2901.589999999851</v>
      </c>
      <c r="BR32" s="275">
        <f t="shared" ref="BR32:BS32" si="136">IF(BR15="","",BR15+(BR$19*(BR24/BR$28)))</f>
        <v>2255.2100000008941</v>
      </c>
      <c r="BS32" s="275">
        <f t="shared" si="136"/>
        <v>1201.0499999988824</v>
      </c>
      <c r="BT32" s="275">
        <f t="shared" ref="BT32:BU32" si="137">IF(BT15="","",BT15+(BT$19*(BT24/BT$28)))</f>
        <v>993.04000000096858</v>
      </c>
      <c r="BU32" s="275">
        <f t="shared" si="137"/>
        <v>1022.7099999990314</v>
      </c>
      <c r="BV32" s="275">
        <f t="shared" ref="BV32:BW32" si="138">IF(BV15="","",BV15+(BV$19*(BV24/BV$28)))</f>
        <v>1061.0999999996275</v>
      </c>
      <c r="BW32" s="275">
        <f t="shared" si="138"/>
        <v>818.65000000037253</v>
      </c>
      <c r="BX32" s="275">
        <f t="shared" ref="BX32:BY32" si="139">IF(BX15="","",BX15+(BX$19*(BX24/BX$28)))</f>
        <v>0</v>
      </c>
      <c r="BY32" s="275">
        <f t="shared" si="139"/>
        <v>0</v>
      </c>
      <c r="BZ32" s="275">
        <f t="shared" ref="BZ32:CA32" si="140">IF(BZ15="","",BZ15+(BZ$19*(BZ24/BZ$28)))</f>
        <v>0</v>
      </c>
      <c r="CA32" s="275">
        <f t="shared" si="140"/>
        <v>0</v>
      </c>
      <c r="CB32" s="275">
        <f t="shared" ref="CB32:CC32" si="141">IF(CB15="","",CB15+(CB$19*(CB24/CB$28)))</f>
        <v>0</v>
      </c>
      <c r="CC32" s="275">
        <f t="shared" si="141"/>
        <v>0</v>
      </c>
      <c r="CD32" s="275">
        <f t="shared" ref="CD32:CE32" si="142">IF(CD15="","",CD15+(CD$19*(CD24/CD$28)))</f>
        <v>0</v>
      </c>
      <c r="CE32" s="275">
        <f t="shared" si="142"/>
        <v>0</v>
      </c>
      <c r="CF32" s="275">
        <f t="shared" ref="CF32:CG32" si="143">IF(CF15="","",CF15+(CF$19*(CF24/CF$28)))</f>
        <v>0</v>
      </c>
      <c r="CG32" s="275">
        <f t="shared" si="143"/>
        <v>0</v>
      </c>
      <c r="CH32" s="275">
        <f t="shared" ref="CH32:CI32" si="144">IF(CH15="","",CH15+(CH$19*(CH24/CH$28)))</f>
        <v>0</v>
      </c>
      <c r="CI32" s="275">
        <f t="shared" si="144"/>
        <v>0</v>
      </c>
      <c r="CJ32" s="275">
        <f t="shared" ref="CJ32:CK32" si="145">IF(CJ15="","",CJ15+(CJ$19*(CJ24/CJ$28)))</f>
        <v>0</v>
      </c>
      <c r="CK32" s="275">
        <f t="shared" si="145"/>
        <v>0</v>
      </c>
      <c r="CL32" s="275">
        <f t="shared" ref="CL32:CM32" si="146">IF(CL15="","",CL15+(CL$19*(CL24/CL$28)))</f>
        <v>0</v>
      </c>
      <c r="CM32" s="275">
        <f t="shared" si="146"/>
        <v>0</v>
      </c>
      <c r="CN32" s="275">
        <f t="shared" ref="CN32:CO32" si="147">IF(CN15="","",CN15+(CN$19*(CN24/CN$28)))</f>
        <v>0</v>
      </c>
      <c r="CO32" s="275">
        <f t="shared" si="147"/>
        <v>0</v>
      </c>
      <c r="CP32" s="275">
        <f t="shared" ref="CP32:CQ32" si="148">IF(CP15="","",CP15+(CP$19*(CP24/CP$28)))</f>
        <v>0</v>
      </c>
      <c r="CQ32" s="275">
        <f t="shared" si="148"/>
        <v>0</v>
      </c>
      <c r="CR32" s="274">
        <f t="shared" ref="CR32:CT32" si="149">IF(CR15="","",CR15+(CR$19*(CR24/CR$28)))</f>
        <v>0</v>
      </c>
      <c r="CS32" s="274">
        <f t="shared" si="149"/>
        <v>0</v>
      </c>
      <c r="CT32" s="274">
        <f t="shared" si="149"/>
        <v>0</v>
      </c>
    </row>
    <row r="33" spans="1:98" x14ac:dyDescent="0.35">
      <c r="A33" t="s">
        <v>35</v>
      </c>
      <c r="B33" s="37"/>
      <c r="C33" s="37"/>
      <c r="D33" s="275">
        <f>D16+(D$19*(D25/D$28))</f>
        <v>0</v>
      </c>
      <c r="E33" s="275">
        <f t="shared" si="101"/>
        <v>0</v>
      </c>
      <c r="F33" s="275">
        <f t="shared" si="101"/>
        <v>0</v>
      </c>
      <c r="G33" s="275">
        <f t="shared" ref="G33:AW33" si="150">IF(G16="","",G16+(G$19*(G25/G$28)))</f>
        <v>6853.38</v>
      </c>
      <c r="H33" s="275">
        <f t="shared" si="150"/>
        <v>24493.5</v>
      </c>
      <c r="I33" s="275">
        <f t="shared" si="150"/>
        <v>33902.946879751129</v>
      </c>
      <c r="J33" s="275">
        <f t="shared" si="150"/>
        <v>57130.941306139037</v>
      </c>
      <c r="K33" s="275">
        <f t="shared" si="150"/>
        <v>48568.434840680449</v>
      </c>
      <c r="L33" s="275">
        <f t="shared" si="150"/>
        <v>56402.832716238408</v>
      </c>
      <c r="M33" s="275">
        <f t="shared" si="150"/>
        <v>76416.403445979842</v>
      </c>
      <c r="N33" s="275">
        <f t="shared" si="150"/>
        <v>98464.472713338357</v>
      </c>
      <c r="O33" s="275">
        <f t="shared" si="150"/>
        <v>92820.247439449406</v>
      </c>
      <c r="P33" s="275">
        <f t="shared" si="150"/>
        <v>115878.51859125202</v>
      </c>
      <c r="Q33" s="275">
        <f t="shared" si="150"/>
        <v>64178.344243350926</v>
      </c>
      <c r="R33" s="275">
        <f t="shared" si="150"/>
        <v>102867.21859456625</v>
      </c>
      <c r="S33" s="275">
        <f t="shared" si="150"/>
        <v>225026.10782354834</v>
      </c>
      <c r="T33" s="275">
        <f t="shared" si="150"/>
        <v>332206.05000000005</v>
      </c>
      <c r="U33" s="275">
        <f t="shared" si="150"/>
        <v>326565.43828407576</v>
      </c>
      <c r="V33" s="275">
        <f t="shared" si="150"/>
        <v>357152.1332604558</v>
      </c>
      <c r="W33" s="275">
        <f t="shared" si="150"/>
        <v>233165.34998028661</v>
      </c>
      <c r="X33" s="275">
        <f t="shared" si="150"/>
        <v>242735.19909115109</v>
      </c>
      <c r="Y33" s="275">
        <f t="shared" si="150"/>
        <v>270260.8911173091</v>
      </c>
      <c r="Z33" s="275">
        <f t="shared" si="150"/>
        <v>318931.98735694966</v>
      </c>
      <c r="AA33" s="275">
        <f t="shared" si="150"/>
        <v>278425.9450890508</v>
      </c>
      <c r="AB33" s="275">
        <f t="shared" si="150"/>
        <v>325174.04680208978</v>
      </c>
      <c r="AC33" s="275">
        <f t="shared" si="150"/>
        <v>343158.29248776339</v>
      </c>
      <c r="AD33" s="275">
        <f t="shared" si="150"/>
        <v>457118.03014316031</v>
      </c>
      <c r="AE33" s="275">
        <f t="shared" si="150"/>
        <v>886825.58305134752</v>
      </c>
      <c r="AF33" s="275">
        <f t="shared" si="150"/>
        <v>1197518.2821251666</v>
      </c>
      <c r="AG33" s="275">
        <f t="shared" si="150"/>
        <v>1030275.3853313371</v>
      </c>
      <c r="AH33" s="275">
        <f t="shared" si="150"/>
        <v>1033786.813176945</v>
      </c>
      <c r="AI33" s="275">
        <f t="shared" si="150"/>
        <v>565137.42472021224</v>
      </c>
      <c r="AJ33" s="275">
        <f t="shared" si="150"/>
        <v>515386.54786655982</v>
      </c>
      <c r="AK33" s="275">
        <f t="shared" si="150"/>
        <v>600621.60749234632</v>
      </c>
      <c r="AL33" s="275">
        <f t="shared" si="150"/>
        <v>677840.83886779845</v>
      </c>
      <c r="AM33" s="275">
        <f t="shared" si="150"/>
        <v>590569.34077565547</v>
      </c>
      <c r="AN33" s="275">
        <f t="shared" si="150"/>
        <v>785533.21729427099</v>
      </c>
      <c r="AO33" s="275">
        <f t="shared" si="150"/>
        <v>759722.89069128735</v>
      </c>
      <c r="AP33" s="275">
        <f t="shared" si="150"/>
        <v>730573.86433008127</v>
      </c>
      <c r="AQ33" s="275">
        <f t="shared" si="150"/>
        <v>1701261.2984572235</v>
      </c>
      <c r="AR33" s="275">
        <f t="shared" si="150"/>
        <v>2138329.3142225798</v>
      </c>
      <c r="AS33" s="275">
        <f t="shared" si="150"/>
        <v>1807748.5219926799</v>
      </c>
      <c r="AT33" s="275">
        <f t="shared" si="150"/>
        <v>1650674.4488178033</v>
      </c>
      <c r="AU33" s="275">
        <f t="shared" si="150"/>
        <v>846164.39074269368</v>
      </c>
      <c r="AV33" s="275">
        <f t="shared" si="150"/>
        <v>722912.52035272913</v>
      </c>
      <c r="AW33" s="275">
        <f t="shared" si="150"/>
        <v>787449.04813982907</v>
      </c>
      <c r="AX33" s="275">
        <f t="shared" ref="AX33:AY33" si="151">IF(AX16="","",AX16+(AX$19*(AX25/AX$28)))</f>
        <v>821876.98404895363</v>
      </c>
      <c r="AY33" s="275">
        <f t="shared" si="151"/>
        <v>663143.00246334542</v>
      </c>
      <c r="AZ33" s="275">
        <f t="shared" ref="AZ33" si="152">IF(AZ16="","",AZ16+(AZ$19*(AZ25/AZ$28)))</f>
        <v>717865.1381538827</v>
      </c>
      <c r="BA33" s="275">
        <f t="shared" ref="BA33:BF33" si="153">IF(BA16="","",BA16+(BA$19*(BA25/BA$28)))</f>
        <v>2286.3100000023842</v>
      </c>
      <c r="BB33" s="275">
        <f t="shared" si="153"/>
        <v>1973.3555017490889</v>
      </c>
      <c r="BC33" s="275">
        <f t="shared" si="153"/>
        <v>12223.310000002384</v>
      </c>
      <c r="BD33" s="275">
        <f t="shared" si="153"/>
        <v>22853.179999999702</v>
      </c>
      <c r="BE33" s="275">
        <f t="shared" si="153"/>
        <v>20540.269999999553</v>
      </c>
      <c r="BF33" s="275">
        <f t="shared" si="153"/>
        <v>15022.210000000894</v>
      </c>
      <c r="BG33" s="275">
        <f t="shared" ref="BG33:BH33" si="154">IF(BG16="","",BG16+(BG$19*(BG25/BG$28)))</f>
        <v>6711.089999999851</v>
      </c>
      <c r="BH33" s="275">
        <f t="shared" si="154"/>
        <v>6702.839999999851</v>
      </c>
      <c r="BI33" s="275">
        <f t="shared" ref="BI33:BJ33" si="155">IF(BI16="","",BI16+(BI$19*(BI25/BI$28)))</f>
        <v>8127.0399999991059</v>
      </c>
      <c r="BJ33" s="275">
        <f t="shared" si="155"/>
        <v>8329.3000000007451</v>
      </c>
      <c r="BK33" s="275">
        <f t="shared" ref="BK33:BL33" si="156">IF(BK16="","",BK16+(BK$19*(BK25/BK$28)))</f>
        <v>8800.269999999553</v>
      </c>
      <c r="BL33" s="275">
        <f t="shared" si="156"/>
        <v>10333.070000000298</v>
      </c>
      <c r="BM33" s="275">
        <f t="shared" ref="BM33:BN33" si="157">IF(BM16="","",BM16+(BM$19*(BM25/BM$28)))</f>
        <v>8760.0100000016391</v>
      </c>
      <c r="BN33" s="275">
        <f t="shared" si="157"/>
        <v>11044.909999996424</v>
      </c>
      <c r="BO33" s="275">
        <f t="shared" ref="BO33:BP33" si="158">IF(BO16="","",BO16+(BO$19*(BO25/BO$28)))</f>
        <v>31907.310000002384</v>
      </c>
      <c r="BP33" s="275">
        <f t="shared" si="158"/>
        <v>40946.179999999702</v>
      </c>
      <c r="BQ33" s="275">
        <f t="shared" ref="BQ33:BR33" si="159">IF(BQ16="","",BQ16+(BQ$19*(BQ25/BQ$28)))</f>
        <v>36410.359999999404</v>
      </c>
      <c r="BR33" s="275">
        <f t="shared" si="159"/>
        <v>22318.39999999851</v>
      </c>
      <c r="BS33" s="275">
        <f t="shared" ref="BS33:BT33" si="160">IF(BS16="","",BS16+(BS$19*(BS25/BS$28)))</f>
        <v>8944.2900000028312</v>
      </c>
      <c r="BT33" s="275">
        <f t="shared" si="160"/>
        <v>9312.6499999985099</v>
      </c>
      <c r="BU33" s="275">
        <f t="shared" ref="BU33:BV33" si="161">IF(BU16="","",BU16+(BU$19*(BU25/BU$28)))</f>
        <v>11751.719999998808</v>
      </c>
      <c r="BV33" s="275">
        <f t="shared" si="161"/>
        <v>12005.310000002384</v>
      </c>
      <c r="BW33" s="275">
        <f t="shared" ref="BW33:BX33" si="162">IF(BW16="","",BW16+(BW$19*(BW25/BW$28)))</f>
        <v>10126.529999997467</v>
      </c>
      <c r="BX33" s="275">
        <f t="shared" si="162"/>
        <v>0</v>
      </c>
      <c r="BY33" s="275">
        <f t="shared" ref="BY33:BZ33" si="163">IF(BY16="","",BY16+(BY$19*(BY25/BY$28)))</f>
        <v>0</v>
      </c>
      <c r="BZ33" s="275">
        <f t="shared" si="163"/>
        <v>0</v>
      </c>
      <c r="CA33" s="275">
        <f t="shared" ref="CA33:CB33" si="164">IF(CA16="","",CA16+(CA$19*(CA25/CA$28)))</f>
        <v>0</v>
      </c>
      <c r="CB33" s="275">
        <f t="shared" si="164"/>
        <v>0</v>
      </c>
      <c r="CC33" s="275">
        <f t="shared" ref="CC33:CD33" si="165">IF(CC16="","",CC16+(CC$19*(CC25/CC$28)))</f>
        <v>0</v>
      </c>
      <c r="CD33" s="275">
        <f t="shared" si="165"/>
        <v>0</v>
      </c>
      <c r="CE33" s="275">
        <f t="shared" ref="CE33:CF33" si="166">IF(CE16="","",CE16+(CE$19*(CE25/CE$28)))</f>
        <v>0</v>
      </c>
      <c r="CF33" s="275">
        <f t="shared" si="166"/>
        <v>0</v>
      </c>
      <c r="CG33" s="275">
        <f t="shared" ref="CG33:CH33" si="167">IF(CG16="","",CG16+(CG$19*(CG25/CG$28)))</f>
        <v>0</v>
      </c>
      <c r="CH33" s="275">
        <f t="shared" si="167"/>
        <v>0</v>
      </c>
      <c r="CI33" s="275">
        <f t="shared" ref="CI33:CJ33" si="168">IF(CI16="","",CI16+(CI$19*(CI25/CI$28)))</f>
        <v>0</v>
      </c>
      <c r="CJ33" s="275">
        <f t="shared" si="168"/>
        <v>0</v>
      </c>
      <c r="CK33" s="275">
        <f t="shared" ref="CK33:CL33" si="169">IF(CK16="","",CK16+(CK$19*(CK25/CK$28)))</f>
        <v>0</v>
      </c>
      <c r="CL33" s="275">
        <f t="shared" si="169"/>
        <v>0</v>
      </c>
      <c r="CM33" s="275">
        <f t="shared" ref="CM33:CN33" si="170">IF(CM16="","",CM16+(CM$19*(CM25/CM$28)))</f>
        <v>0</v>
      </c>
      <c r="CN33" s="275">
        <f t="shared" si="170"/>
        <v>0</v>
      </c>
      <c r="CO33" s="275">
        <f t="shared" ref="CO33:CP33" si="171">IF(CO16="","",CO16+(CO$19*(CO25/CO$28)))</f>
        <v>0</v>
      </c>
      <c r="CP33" s="275">
        <f t="shared" si="171"/>
        <v>0</v>
      </c>
      <c r="CQ33" s="275">
        <f t="shared" ref="CQ33:CT33" si="172">IF(CQ16="","",CQ16+(CQ$19*(CQ25/CQ$28)))</f>
        <v>0</v>
      </c>
      <c r="CR33" s="274">
        <f t="shared" si="172"/>
        <v>0</v>
      </c>
      <c r="CS33" s="274">
        <f t="shared" si="172"/>
        <v>0</v>
      </c>
      <c r="CT33" s="274">
        <f t="shared" si="172"/>
        <v>0</v>
      </c>
    </row>
    <row r="34" spans="1:98" x14ac:dyDescent="0.35">
      <c r="A34" t="s">
        <v>36</v>
      </c>
      <c r="B34" s="37"/>
      <c r="C34" s="37"/>
      <c r="D34" s="275">
        <f>D17+(D$19*(D26/D$28))</f>
        <v>0</v>
      </c>
      <c r="E34" s="275">
        <f t="shared" si="101"/>
        <v>0</v>
      </c>
      <c r="F34" s="275">
        <f t="shared" si="101"/>
        <v>0</v>
      </c>
      <c r="G34" s="275">
        <f t="shared" ref="G34:AW34" si="173">IF(G17="","",G17+(G$19*(G26/G$28)))</f>
        <v>526.23</v>
      </c>
      <c r="H34" s="275">
        <f t="shared" si="173"/>
        <v>1707.2399999999998</v>
      </c>
      <c r="I34" s="275">
        <f t="shared" si="173"/>
        <v>2230.0207254609436</v>
      </c>
      <c r="J34" s="275">
        <f t="shared" si="173"/>
        <v>4794.6581417484167</v>
      </c>
      <c r="K34" s="275">
        <f t="shared" si="173"/>
        <v>4373.862445788076</v>
      </c>
      <c r="L34" s="275">
        <f t="shared" si="173"/>
        <v>7453.242982336099</v>
      </c>
      <c r="M34" s="275">
        <f t="shared" si="173"/>
        <v>18084.577784318448</v>
      </c>
      <c r="N34" s="275">
        <f t="shared" si="173"/>
        <v>27963.810761260709</v>
      </c>
      <c r="O34" s="275">
        <f t="shared" si="173"/>
        <v>24456.059952649921</v>
      </c>
      <c r="P34" s="275">
        <f t="shared" si="173"/>
        <v>29615.310672687767</v>
      </c>
      <c r="Q34" s="275">
        <f t="shared" si="173"/>
        <v>12166.436689655247</v>
      </c>
      <c r="R34" s="275">
        <f t="shared" si="173"/>
        <v>28108.084360485296</v>
      </c>
      <c r="S34" s="275">
        <f t="shared" si="173"/>
        <v>128148.15141495112</v>
      </c>
      <c r="T34" s="275">
        <f t="shared" si="173"/>
        <v>175689.74</v>
      </c>
      <c r="U34" s="275">
        <f t="shared" si="173"/>
        <v>218402.52810095585</v>
      </c>
      <c r="V34" s="275">
        <f t="shared" si="173"/>
        <v>205067.89849978662</v>
      </c>
      <c r="W34" s="275">
        <f t="shared" si="173"/>
        <v>101187.08297273742</v>
      </c>
      <c r="X34" s="275">
        <f t="shared" si="173"/>
        <v>97773.438006020719</v>
      </c>
      <c r="Y34" s="275">
        <f t="shared" si="173"/>
        <v>113746.10309897989</v>
      </c>
      <c r="Z34" s="275">
        <f t="shared" si="173"/>
        <v>131796.02801249109</v>
      </c>
      <c r="AA34" s="275">
        <f t="shared" si="173"/>
        <v>116090.38160247794</v>
      </c>
      <c r="AB34" s="275">
        <f t="shared" si="173"/>
        <v>132068.16497570253</v>
      </c>
      <c r="AC34" s="275">
        <f t="shared" si="173"/>
        <v>133321.08677453059</v>
      </c>
      <c r="AD34" s="275">
        <f t="shared" si="173"/>
        <v>180104.81791441111</v>
      </c>
      <c r="AE34" s="275">
        <f t="shared" si="173"/>
        <v>422991.61425343697</v>
      </c>
      <c r="AF34" s="275">
        <f t="shared" si="173"/>
        <v>543609.86073367961</v>
      </c>
      <c r="AG34" s="275">
        <f t="shared" si="173"/>
        <v>486263.01132460969</v>
      </c>
      <c r="AH34" s="275">
        <f t="shared" si="173"/>
        <v>414107.44556621916</v>
      </c>
      <c r="AI34" s="275">
        <f t="shared" si="173"/>
        <v>207208.35422995902</v>
      </c>
      <c r="AJ34" s="275">
        <f t="shared" si="173"/>
        <v>191307.18426831797</v>
      </c>
      <c r="AK34" s="275">
        <f t="shared" si="173"/>
        <v>223825.29632810416</v>
      </c>
      <c r="AL34" s="275">
        <f t="shared" si="173"/>
        <v>251714.86075436554</v>
      </c>
      <c r="AM34" s="275">
        <f t="shared" si="173"/>
        <v>220841.99668727524</v>
      </c>
      <c r="AN34" s="275">
        <f t="shared" si="173"/>
        <v>305651.11265488941</v>
      </c>
      <c r="AO34" s="275">
        <f t="shared" si="173"/>
        <v>284274.24631552736</v>
      </c>
      <c r="AP34" s="275">
        <f t="shared" si="173"/>
        <v>294781.80288519792</v>
      </c>
      <c r="AQ34" s="275">
        <f t="shared" si="173"/>
        <v>791914.33120203775</v>
      </c>
      <c r="AR34" s="275">
        <f t="shared" si="173"/>
        <v>978344.05317777325</v>
      </c>
      <c r="AS34" s="275">
        <f t="shared" si="173"/>
        <v>874777.66117086785</v>
      </c>
      <c r="AT34" s="275">
        <f t="shared" si="173"/>
        <v>686805.48036969628</v>
      </c>
      <c r="AU34" s="275">
        <f t="shared" si="173"/>
        <v>321802.45107933023</v>
      </c>
      <c r="AV34" s="275">
        <f t="shared" si="173"/>
        <v>280028.89151037188</v>
      </c>
      <c r="AW34" s="275">
        <f t="shared" si="173"/>
        <v>274144.21732121875</v>
      </c>
      <c r="AX34" s="275">
        <f t="shared" ref="AX34:AY34" si="174">IF(AX17="","",AX17+(AX$19*(AX26/AX$28)))</f>
        <v>303711.11912158254</v>
      </c>
      <c r="AY34" s="275">
        <f t="shared" si="174"/>
        <v>251998.46611210689</v>
      </c>
      <c r="AZ34" s="275">
        <f t="shared" ref="AZ34:BA34" si="175">IF(AZ17="","",AZ17+(AZ$19*(AZ26/AZ$28)))</f>
        <v>276069.3565741299</v>
      </c>
      <c r="BA34" s="275">
        <f t="shared" si="175"/>
        <v>0</v>
      </c>
      <c r="BB34" s="275">
        <f t="shared" ref="BB34:BC34" si="176">IF(BB17="","",BB17+(BB$19*(BB26/BB$28)))</f>
        <v>-315.01218360235936</v>
      </c>
      <c r="BC34" s="275">
        <f t="shared" si="176"/>
        <v>0</v>
      </c>
      <c r="BD34" s="275">
        <f t="shared" ref="BD34:BE34" si="177">IF(BD17="","",BD17+(BD$19*(BD26/BD$28)))</f>
        <v>0</v>
      </c>
      <c r="BE34" s="275">
        <f t="shared" si="177"/>
        <v>16813.580000000075</v>
      </c>
      <c r="BF34" s="275">
        <f t="shared" ref="BF34:BG34" si="178">IF(BF17="","",BF17+(BF$19*(BF26/BF$28)))</f>
        <v>19387.400000000373</v>
      </c>
      <c r="BG34" s="275">
        <f t="shared" si="178"/>
        <v>6785.070000000298</v>
      </c>
      <c r="BH34" s="275">
        <f t="shared" ref="BH34:BI34" si="179">IF(BH17="","",BH17+(BH$19*(BH26/BH$28)))</f>
        <v>6167.2299999985844</v>
      </c>
      <c r="BI34" s="275">
        <f t="shared" si="179"/>
        <v>9586.9900000002235</v>
      </c>
      <c r="BJ34" s="275">
        <f t="shared" ref="BJ34:BK34" si="180">IF(BJ17="","",BJ17+(BJ$19*(BJ26/BJ$28)))</f>
        <v>12497.580000000075</v>
      </c>
      <c r="BK34" s="275">
        <f t="shared" si="180"/>
        <v>10043.310000000522</v>
      </c>
      <c r="BL34" s="275">
        <f t="shared" ref="BL34:BM34" si="181">IF(BL17="","",BL17+(BL$19*(BL26/BL$28)))</f>
        <v>10496.050000000745</v>
      </c>
      <c r="BM34" s="275">
        <f t="shared" si="181"/>
        <v>9775.9599999990314</v>
      </c>
      <c r="BN34" s="275">
        <f t="shared" ref="BN34:BO34" si="182">IF(BN17="","",BN17+(BN$19*(BN26/BN$28)))</f>
        <v>13527.650000000373</v>
      </c>
      <c r="BO34" s="275">
        <f t="shared" si="182"/>
        <v>36494.849999999627</v>
      </c>
      <c r="BP34" s="275">
        <f t="shared" ref="BP34:BQ34" si="183">IF(BP17="","",BP17+(BP$19*(BP26/BP$28)))</f>
        <v>47679.970000000671</v>
      </c>
      <c r="BQ34" s="275">
        <f t="shared" si="183"/>
        <v>45288.439999999478</v>
      </c>
      <c r="BR34" s="275">
        <f t="shared" ref="BR34:BS34" si="184">IF(BR17="","",BR17+(BR$19*(BR26/BR$28)))</f>
        <v>29486.400000000373</v>
      </c>
      <c r="BS34" s="275">
        <f t="shared" si="184"/>
        <v>11833.289999999106</v>
      </c>
      <c r="BT34" s="275">
        <f t="shared" ref="BT34:BU34" si="185">IF(BT17="","",BT17+(BT$19*(BT26/BT$28)))</f>
        <v>10374.580000000075</v>
      </c>
      <c r="BU34" s="275">
        <f t="shared" si="185"/>
        <v>12057.450000001118</v>
      </c>
      <c r="BV34" s="275">
        <f t="shared" ref="BV34:BW34" si="186">IF(BV17="","",BV17+(BV$19*(BV26/BV$28)))</f>
        <v>12824.789999999106</v>
      </c>
      <c r="BW34" s="275">
        <f t="shared" si="186"/>
        <v>10330.179999999702</v>
      </c>
      <c r="BX34" s="275">
        <f t="shared" ref="BX34:BY34" si="187">IF(BX17="","",BX17+(BX$19*(BX26/BX$28)))</f>
        <v>0</v>
      </c>
      <c r="BY34" s="275">
        <f t="shared" si="187"/>
        <v>0</v>
      </c>
      <c r="BZ34" s="275">
        <f t="shared" ref="BZ34:CA34" si="188">IF(BZ17="","",BZ17+(BZ$19*(BZ26/BZ$28)))</f>
        <v>0</v>
      </c>
      <c r="CA34" s="275">
        <f t="shared" si="188"/>
        <v>0</v>
      </c>
      <c r="CB34" s="275">
        <f t="shared" ref="CB34:CC34" si="189">IF(CB17="","",CB17+(CB$19*(CB26/CB$28)))</f>
        <v>0</v>
      </c>
      <c r="CC34" s="275">
        <f t="shared" si="189"/>
        <v>0</v>
      </c>
      <c r="CD34" s="275">
        <f t="shared" ref="CD34:CE34" si="190">IF(CD17="","",CD17+(CD$19*(CD26/CD$28)))</f>
        <v>0</v>
      </c>
      <c r="CE34" s="275">
        <f t="shared" si="190"/>
        <v>0</v>
      </c>
      <c r="CF34" s="275">
        <f t="shared" ref="CF34:CG34" si="191">IF(CF17="","",CF17+(CF$19*(CF26/CF$28)))</f>
        <v>0</v>
      </c>
      <c r="CG34" s="275">
        <f t="shared" si="191"/>
        <v>0</v>
      </c>
      <c r="CH34" s="275">
        <f t="shared" ref="CH34:CI34" si="192">IF(CH17="","",CH17+(CH$19*(CH26/CH$28)))</f>
        <v>0</v>
      </c>
      <c r="CI34" s="275">
        <f t="shared" si="192"/>
        <v>0</v>
      </c>
      <c r="CJ34" s="275">
        <f t="shared" ref="CJ34:CK34" si="193">IF(CJ17="","",CJ17+(CJ$19*(CJ26/CJ$28)))</f>
        <v>0</v>
      </c>
      <c r="CK34" s="275">
        <f t="shared" si="193"/>
        <v>0</v>
      </c>
      <c r="CL34" s="275">
        <f t="shared" ref="CL34:CM34" si="194">IF(CL17="","",CL17+(CL$19*(CL26/CL$28)))</f>
        <v>0</v>
      </c>
      <c r="CM34" s="275">
        <f t="shared" si="194"/>
        <v>0</v>
      </c>
      <c r="CN34" s="275">
        <f t="shared" ref="CN34:CO34" si="195">IF(CN17="","",CN17+(CN$19*(CN26/CN$28)))</f>
        <v>0</v>
      </c>
      <c r="CO34" s="275">
        <f t="shared" si="195"/>
        <v>0</v>
      </c>
      <c r="CP34" s="275">
        <f t="shared" ref="CP34:CQ34" si="196">IF(CP17="","",CP17+(CP$19*(CP26/CP$28)))</f>
        <v>0</v>
      </c>
      <c r="CQ34" s="275">
        <f t="shared" si="196"/>
        <v>0</v>
      </c>
      <c r="CR34" s="274">
        <f t="shared" ref="CR34:CT34" si="197">IF(CR17="","",CR17+(CR$19*(CR26/CR$28)))</f>
        <v>0</v>
      </c>
      <c r="CS34" s="274">
        <f t="shared" si="197"/>
        <v>0</v>
      </c>
      <c r="CT34" s="274">
        <f t="shared" si="197"/>
        <v>0</v>
      </c>
    </row>
    <row r="35" spans="1:98" x14ac:dyDescent="0.35">
      <c r="A35" t="s">
        <v>37</v>
      </c>
      <c r="B35" s="37"/>
      <c r="C35" s="37"/>
      <c r="D35" s="275">
        <f>D18+(D$19*(D27/D$28))</f>
        <v>0</v>
      </c>
      <c r="E35" s="275">
        <f t="shared" si="101"/>
        <v>0</v>
      </c>
      <c r="F35" s="275">
        <f t="shared" si="101"/>
        <v>0</v>
      </c>
      <c r="G35" s="275">
        <f t="shared" ref="G35:AW35" si="198">IF(G18="","",G18+(G$19*(G27/G$28)))</f>
        <v>0</v>
      </c>
      <c r="H35" s="275">
        <f t="shared" si="198"/>
        <v>360.22</v>
      </c>
      <c r="I35" s="275">
        <f t="shared" si="198"/>
        <v>1356.5027975457876</v>
      </c>
      <c r="J35" s="275">
        <f t="shared" si="198"/>
        <v>2255.3712414377201</v>
      </c>
      <c r="K35" s="275">
        <f t="shared" si="198"/>
        <v>1897.7199413483188</v>
      </c>
      <c r="L35" s="275">
        <f t="shared" si="198"/>
        <v>2405.4668833960245</v>
      </c>
      <c r="M35" s="275">
        <f t="shared" si="198"/>
        <v>3262.8984825339485</v>
      </c>
      <c r="N35" s="275">
        <f t="shared" si="198"/>
        <v>5909.4833335993335</v>
      </c>
      <c r="O35" s="275">
        <f t="shared" si="198"/>
        <v>6425.014731291647</v>
      </c>
      <c r="P35" s="275">
        <f t="shared" si="198"/>
        <v>9106.0133494287093</v>
      </c>
      <c r="Q35" s="275">
        <f t="shared" si="198"/>
        <v>8390.7638449238184</v>
      </c>
      <c r="R35" s="275">
        <f t="shared" si="198"/>
        <v>10997.379437607351</v>
      </c>
      <c r="S35" s="275">
        <f t="shared" si="198"/>
        <v>20856.094406634937</v>
      </c>
      <c r="T35" s="275">
        <f t="shared" si="198"/>
        <v>29338.039999999994</v>
      </c>
      <c r="U35" s="275">
        <f t="shared" si="198"/>
        <v>27923.370923640025</v>
      </c>
      <c r="V35" s="275">
        <f t="shared" si="198"/>
        <v>26983.721535135461</v>
      </c>
      <c r="W35" s="275">
        <f t="shared" si="198"/>
        <v>19471.188276380515</v>
      </c>
      <c r="X35" s="275">
        <f t="shared" si="198"/>
        <v>18971.478034215677</v>
      </c>
      <c r="Y35" s="275">
        <f t="shared" si="198"/>
        <v>20838.032820297231</v>
      </c>
      <c r="Z35" s="275">
        <f t="shared" si="198"/>
        <v>24107.448446951264</v>
      </c>
      <c r="AA35" s="275">
        <f t="shared" si="198"/>
        <v>21893.062382864882</v>
      </c>
      <c r="AB35" s="275">
        <f t="shared" si="198"/>
        <v>24080.232432507251</v>
      </c>
      <c r="AC35" s="275">
        <f t="shared" si="198"/>
        <v>25697.334922102909</v>
      </c>
      <c r="AD35" s="275">
        <f t="shared" si="198"/>
        <v>34703.027598888038</v>
      </c>
      <c r="AE35" s="275">
        <f t="shared" si="198"/>
        <v>75519.476357307751</v>
      </c>
      <c r="AF35" s="275">
        <f t="shared" si="198"/>
        <v>100273.42685716876</v>
      </c>
      <c r="AG35" s="275">
        <f t="shared" si="198"/>
        <v>85499.508585205374</v>
      </c>
      <c r="AH35" s="275">
        <f t="shared" si="198"/>
        <v>69397.820475524379</v>
      </c>
      <c r="AI35" s="275">
        <f t="shared" si="198"/>
        <v>37821.144416831085</v>
      </c>
      <c r="AJ35" s="275">
        <f t="shared" si="198"/>
        <v>35865.098177838852</v>
      </c>
      <c r="AK35" s="275">
        <f t="shared" si="198"/>
        <v>42905.24501769265</v>
      </c>
      <c r="AL35" s="275">
        <f t="shared" si="198"/>
        <v>48941.253195931422</v>
      </c>
      <c r="AM35" s="275">
        <f t="shared" si="198"/>
        <v>45736.205779424003</v>
      </c>
      <c r="AN35" s="275">
        <f t="shared" si="198"/>
        <v>61794.995083764363</v>
      </c>
      <c r="AO35" s="275">
        <f t="shared" si="198"/>
        <v>56159.323619014431</v>
      </c>
      <c r="AP35" s="275">
        <f t="shared" si="198"/>
        <v>66116.096564999927</v>
      </c>
      <c r="AQ35" s="275">
        <f t="shared" si="198"/>
        <v>196336.18137657503</v>
      </c>
      <c r="AR35" s="275">
        <f t="shared" si="198"/>
        <v>261767.5472645007</v>
      </c>
      <c r="AS35" s="275">
        <f t="shared" si="198"/>
        <v>232206.9863998002</v>
      </c>
      <c r="AT35" s="275">
        <f t="shared" si="198"/>
        <v>149701.48799265211</v>
      </c>
      <c r="AU35" s="275">
        <f t="shared" si="198"/>
        <v>63981.67593600769</v>
      </c>
      <c r="AV35" s="275">
        <f t="shared" si="198"/>
        <v>56131.256299554763</v>
      </c>
      <c r="AW35" s="275">
        <f t="shared" si="198"/>
        <v>57173.072833048078</v>
      </c>
      <c r="AX35" s="275">
        <f t="shared" ref="AX35:AY35" si="199">IF(AX18="","",AX18+(AX$19*(AX27/AX$28)))</f>
        <v>61251.937727286851</v>
      </c>
      <c r="AY35" s="275">
        <f t="shared" si="199"/>
        <v>54765.460012100484</v>
      </c>
      <c r="AZ35" s="275">
        <f t="shared" ref="AZ35:BA35" si="200">IF(AZ18="","",AZ18+(AZ$19*(AZ27/AZ$28)))</f>
        <v>55225.416517369085</v>
      </c>
      <c r="BA35" s="275">
        <f t="shared" si="200"/>
        <v>0</v>
      </c>
      <c r="BB35" s="275">
        <f t="shared" ref="BB35:BC35" si="201">IF(BB18="","",BB18+(BB$19*(BB27/BB$28)))</f>
        <v>-142.24679364857641</v>
      </c>
      <c r="BC35" s="275">
        <f t="shared" si="201"/>
        <v>0</v>
      </c>
      <c r="BD35" s="275">
        <f t="shared" ref="BD35:BE35" si="202">IF(BD18="","",BD18+(BD$19*(BD27/BD$28)))</f>
        <v>0</v>
      </c>
      <c r="BE35" s="275">
        <f t="shared" si="202"/>
        <v>0</v>
      </c>
      <c r="BF35" s="275">
        <f t="shared" ref="BF35:BG35" si="203">IF(BF18="","",BF18+(BF$19*(BF27/BF$28)))</f>
        <v>0</v>
      </c>
      <c r="BG35" s="275">
        <f t="shared" si="203"/>
        <v>0</v>
      </c>
      <c r="BH35" s="275">
        <f t="shared" ref="BH35:BI35" si="204">IF(BH18="","",BH18+(BH$19*(BH27/BH$28)))</f>
        <v>0</v>
      </c>
      <c r="BI35" s="275">
        <f t="shared" si="204"/>
        <v>0</v>
      </c>
      <c r="BJ35" s="275">
        <f t="shared" ref="BJ35:BK35" si="205">IF(BJ18="","",BJ18+(BJ$19*(BJ27/BJ$28)))</f>
        <v>0</v>
      </c>
      <c r="BK35" s="275">
        <f t="shared" si="205"/>
        <v>0</v>
      </c>
      <c r="BL35" s="275">
        <f t="shared" ref="BL35:BM35" si="206">IF(BL18="","",BL18+(BL$19*(BL27/BL$28)))</f>
        <v>0</v>
      </c>
      <c r="BM35" s="275">
        <f t="shared" si="206"/>
        <v>0</v>
      </c>
      <c r="BN35" s="275">
        <f t="shared" ref="BN35:BS35" si="207">IF(BN18="","",BN18+(BN$19*(BN27/BN$28)))</f>
        <v>0</v>
      </c>
      <c r="BO35" s="275">
        <f t="shared" si="207"/>
        <v>0</v>
      </c>
      <c r="BP35" s="275">
        <f t="shared" si="207"/>
        <v>0</v>
      </c>
      <c r="BQ35" s="275">
        <f t="shared" si="207"/>
        <v>-101.14999999990687</v>
      </c>
      <c r="BR35" s="275">
        <f t="shared" si="207"/>
        <v>-108.16000000014901</v>
      </c>
      <c r="BS35" s="275">
        <f t="shared" si="207"/>
        <v>-67.520000000018626</v>
      </c>
      <c r="BT35" s="275">
        <f t="shared" ref="BT35:BU35" si="208">IF(BT18="","",BT18+(BT$19*(BT27/BT$28)))</f>
        <v>-54.189999999944121</v>
      </c>
      <c r="BU35" s="275">
        <f t="shared" si="208"/>
        <v>-56.580000000074506</v>
      </c>
      <c r="BV35" s="275">
        <f t="shared" ref="BV35:BW35" si="209">IF(BV18="","",BV18+(BV$19*(BV27/BV$28)))</f>
        <v>-61.179999999701977</v>
      </c>
      <c r="BW35" s="275">
        <f t="shared" si="209"/>
        <v>-51.470000000204891</v>
      </c>
      <c r="BX35" s="275">
        <f t="shared" ref="BX35:BY35" si="210">IF(BX18="","",BX18+(BX$19*(BX27/BX$28)))</f>
        <v>0</v>
      </c>
      <c r="BY35" s="275">
        <f t="shared" si="210"/>
        <v>0</v>
      </c>
      <c r="BZ35" s="275">
        <f t="shared" ref="BZ35:CA35" si="211">IF(BZ18="","",BZ18+(BZ$19*(BZ27/BZ$28)))</f>
        <v>0</v>
      </c>
      <c r="CA35" s="275">
        <f t="shared" si="211"/>
        <v>0</v>
      </c>
      <c r="CB35" s="275">
        <f t="shared" ref="CB35:CC35" si="212">IF(CB18="","",CB18+(CB$19*(CB27/CB$28)))</f>
        <v>0</v>
      </c>
      <c r="CC35" s="275">
        <f t="shared" si="212"/>
        <v>0</v>
      </c>
      <c r="CD35" s="275">
        <f t="shared" ref="CD35:CE35" si="213">IF(CD18="","",CD18+(CD$19*(CD27/CD$28)))</f>
        <v>0</v>
      </c>
      <c r="CE35" s="275">
        <f t="shared" si="213"/>
        <v>0</v>
      </c>
      <c r="CF35" s="275">
        <f t="shared" ref="CF35:CG35" si="214">IF(CF18="","",CF18+(CF$19*(CF27/CF$28)))</f>
        <v>0</v>
      </c>
      <c r="CG35" s="275">
        <f t="shared" si="214"/>
        <v>0</v>
      </c>
      <c r="CH35" s="275">
        <f t="shared" ref="CH35:CI35" si="215">IF(CH18="","",CH18+(CH$19*(CH27/CH$28)))</f>
        <v>0</v>
      </c>
      <c r="CI35" s="275">
        <f t="shared" si="215"/>
        <v>0</v>
      </c>
      <c r="CJ35" s="275">
        <f t="shared" ref="CJ35:CK35" si="216">IF(CJ18="","",CJ18+(CJ$19*(CJ27/CJ$28)))</f>
        <v>0</v>
      </c>
      <c r="CK35" s="275">
        <f t="shared" si="216"/>
        <v>0</v>
      </c>
      <c r="CL35" s="275">
        <f t="shared" ref="CL35:CM35" si="217">IF(CL18="","",CL18+(CL$19*(CL27/CL$28)))</f>
        <v>0</v>
      </c>
      <c r="CM35" s="275">
        <f t="shared" si="217"/>
        <v>0</v>
      </c>
      <c r="CN35" s="275">
        <f t="shared" ref="CN35:CO35" si="218">IF(CN18="","",CN18+(CN$19*(CN27/CN$28)))</f>
        <v>0</v>
      </c>
      <c r="CO35" s="275">
        <f t="shared" si="218"/>
        <v>0</v>
      </c>
      <c r="CP35" s="275">
        <f t="shared" ref="CP35:CQ35" si="219">IF(CP18="","",CP18+(CP$19*(CP27/CP$28)))</f>
        <v>0</v>
      </c>
      <c r="CQ35" s="275">
        <f t="shared" si="219"/>
        <v>0</v>
      </c>
      <c r="CR35" s="274">
        <f t="shared" ref="CR35:CT35" si="220">IF(CR18="","",CR18+(CR$19*(CR27/CR$28)))</f>
        <v>0</v>
      </c>
      <c r="CS35" s="274">
        <f t="shared" si="220"/>
        <v>0</v>
      </c>
      <c r="CT35" s="274">
        <f t="shared" si="220"/>
        <v>0</v>
      </c>
    </row>
    <row r="36" spans="1:98" x14ac:dyDescent="0.35">
      <c r="A36" s="33" t="s">
        <v>31</v>
      </c>
      <c r="B36" s="31"/>
      <c r="C36" s="31"/>
      <c r="D36" s="44">
        <f>SUM(D31:D35)</f>
        <v>0</v>
      </c>
      <c r="E36" s="44">
        <f t="shared" ref="E36:AW36" si="221">SUM(E31:E35)</f>
        <v>1328.78</v>
      </c>
      <c r="F36" s="44">
        <f t="shared" si="221"/>
        <v>9526.5299999999988</v>
      </c>
      <c r="G36" s="44">
        <f t="shared" si="221"/>
        <v>131900.43000000002</v>
      </c>
      <c r="H36" s="44">
        <f t="shared" si="221"/>
        <v>295999.55</v>
      </c>
      <c r="I36" s="44">
        <f t="shared" si="221"/>
        <v>425553.79999999993</v>
      </c>
      <c r="J36" s="44">
        <f t="shared" si="221"/>
        <v>758519.65</v>
      </c>
      <c r="K36" s="44">
        <f t="shared" si="221"/>
        <v>199350.73000000016</v>
      </c>
      <c r="L36" s="44">
        <f t="shared" si="221"/>
        <v>279108.34999999986</v>
      </c>
      <c r="M36" s="44">
        <f t="shared" si="221"/>
        <v>438307.65000000008</v>
      </c>
      <c r="N36" s="44">
        <f t="shared" si="221"/>
        <v>509660.87999999995</v>
      </c>
      <c r="O36" s="44">
        <f t="shared" si="221"/>
        <v>486201.49000000022</v>
      </c>
      <c r="P36" s="44">
        <f t="shared" si="221"/>
        <v>514839.35999999993</v>
      </c>
      <c r="Q36" s="44">
        <f t="shared" si="221"/>
        <v>312695.84999999963</v>
      </c>
      <c r="R36" s="44">
        <f t="shared" si="221"/>
        <v>392474.24999999983</v>
      </c>
      <c r="S36" s="44">
        <f t="shared" si="221"/>
        <v>1348848.3600000006</v>
      </c>
      <c r="T36" s="44">
        <f t="shared" si="221"/>
        <v>1958770.0699999998</v>
      </c>
      <c r="U36" s="44">
        <f t="shared" si="221"/>
        <v>2119352.19</v>
      </c>
      <c r="V36" s="44">
        <f t="shared" si="221"/>
        <v>1653005.4399999997</v>
      </c>
      <c r="W36" s="44">
        <f t="shared" si="221"/>
        <v>750637.88000000047</v>
      </c>
      <c r="X36" s="44">
        <f t="shared" si="221"/>
        <v>825052.10999999894</v>
      </c>
      <c r="Y36" s="44">
        <f t="shared" si="221"/>
        <v>1097101.9800000007</v>
      </c>
      <c r="Z36" s="44">
        <f t="shared" si="221"/>
        <v>1233427.4099999992</v>
      </c>
      <c r="AA36" s="44">
        <f t="shared" si="221"/>
        <v>1062738.58</v>
      </c>
      <c r="AB36" s="44">
        <f t="shared" si="221"/>
        <v>1116457.6900000016</v>
      </c>
      <c r="AC36" s="44">
        <f t="shared" si="221"/>
        <v>959793.47999999963</v>
      </c>
      <c r="AD36" s="44">
        <f t="shared" si="221"/>
        <v>1424231.0999999996</v>
      </c>
      <c r="AE36" s="44">
        <f t="shared" si="221"/>
        <v>3804569.2400000021</v>
      </c>
      <c r="AF36" s="44">
        <f t="shared" si="221"/>
        <v>5112749.5900000017</v>
      </c>
      <c r="AG36" s="44">
        <f t="shared" si="221"/>
        <v>4713867.5500000026</v>
      </c>
      <c r="AH36" s="44">
        <f t="shared" si="221"/>
        <v>3598339.959999999</v>
      </c>
      <c r="AI36" s="44">
        <f t="shared" si="221"/>
        <v>1714525.5399999977</v>
      </c>
      <c r="AJ36" s="44">
        <f t="shared" si="221"/>
        <v>1571421.2499999981</v>
      </c>
      <c r="AK36" s="44">
        <f t="shared" si="221"/>
        <v>1919519.93</v>
      </c>
      <c r="AL36" s="44">
        <f t="shared" si="221"/>
        <v>2060434.7699999972</v>
      </c>
      <c r="AM36" s="44">
        <f t="shared" si="221"/>
        <v>1799627.3200000026</v>
      </c>
      <c r="AN36" s="44">
        <f t="shared" si="221"/>
        <v>2312591.7700000047</v>
      </c>
      <c r="AO36" s="44">
        <f t="shared" si="221"/>
        <v>2109913.9999999995</v>
      </c>
      <c r="AP36" s="44">
        <f t="shared" si="221"/>
        <v>1887985.9599999983</v>
      </c>
      <c r="AQ36" s="44">
        <f t="shared" si="221"/>
        <v>6123794.6400000006</v>
      </c>
      <c r="AR36" s="44">
        <f t="shared" si="221"/>
        <v>7375311.7899999972</v>
      </c>
      <c r="AS36" s="44">
        <f t="shared" si="221"/>
        <v>6969272.2200000025</v>
      </c>
      <c r="AT36" s="44">
        <f t="shared" si="221"/>
        <v>5125287.4899999984</v>
      </c>
      <c r="AU36" s="44">
        <f t="shared" si="221"/>
        <v>2223308.9999999986</v>
      </c>
      <c r="AV36" s="44">
        <f t="shared" si="221"/>
        <v>2078395.7300000025</v>
      </c>
      <c r="AW36" s="44">
        <f t="shared" si="221"/>
        <v>2228734.6799999992</v>
      </c>
      <c r="AX36" s="44">
        <f t="shared" ref="AX36:AY36" si="222">SUM(AX31:AX35)</f>
        <v>2369847.9500000002</v>
      </c>
      <c r="AY36" s="44">
        <f t="shared" si="222"/>
        <v>217555.38999999891</v>
      </c>
      <c r="AZ36" s="44">
        <f t="shared" ref="AZ36:BA36" si="223">SUM(AZ31:AZ35)</f>
        <v>1940172.8499999968</v>
      </c>
      <c r="BA36" s="44">
        <f t="shared" si="223"/>
        <v>2286.3100000023842</v>
      </c>
      <c r="BB36" s="44">
        <f t="shared" ref="BB36:BC36" si="224">SUM(BB31:BB35)</f>
        <v>33.38999999733656</v>
      </c>
      <c r="BC36" s="44">
        <f t="shared" si="224"/>
        <v>12223.310000002384</v>
      </c>
      <c r="BD36" s="44">
        <f t="shared" ref="BD36:BE36" si="225">SUM(BD31:BD35)</f>
        <v>22853.179999999702</v>
      </c>
      <c r="BE36" s="44">
        <f t="shared" si="225"/>
        <v>37353.849999999627</v>
      </c>
      <c r="BF36" s="44">
        <f t="shared" ref="BF36:BG36" si="226">SUM(BF31:BF35)</f>
        <v>34409.610000001267</v>
      </c>
      <c r="BG36" s="44">
        <f t="shared" si="226"/>
        <v>13496.160000000149</v>
      </c>
      <c r="BH36" s="44">
        <f t="shared" ref="BH36:BI36" si="227">SUM(BH31:BH35)</f>
        <v>12870.069999998435</v>
      </c>
      <c r="BI36" s="44">
        <f t="shared" si="227"/>
        <v>17714.029999999329</v>
      </c>
      <c r="BJ36" s="44">
        <f t="shared" ref="BJ36:BK36" si="228">SUM(BJ31:BJ35)</f>
        <v>20826.88000000082</v>
      </c>
      <c r="BK36" s="44">
        <f t="shared" si="228"/>
        <v>19099.220000000671</v>
      </c>
      <c r="BL36" s="44">
        <f t="shared" ref="BL36:BM36" si="229">SUM(BL31:BL35)</f>
        <v>21421.460000000894</v>
      </c>
      <c r="BM36" s="44">
        <f t="shared" si="229"/>
        <v>19168.38000000082</v>
      </c>
      <c r="BN36" s="44">
        <f t="shared" ref="BN36:BO36" si="230">SUM(BN31:BN35)</f>
        <v>25465.089999996126</v>
      </c>
      <c r="BO36" s="44">
        <f t="shared" si="230"/>
        <v>70360.550000002608</v>
      </c>
      <c r="BP36" s="44">
        <f t="shared" ref="BP36:BQ36" si="231">SUM(BP31:BP35)</f>
        <v>91202.140000000596</v>
      </c>
      <c r="BQ36" s="44">
        <f t="shared" si="231"/>
        <v>84499.239999998827</v>
      </c>
      <c r="BR36" s="44">
        <f t="shared" ref="BR36:BS36" si="232">SUM(BR31:BR35)</f>
        <v>53951.849999999627</v>
      </c>
      <c r="BS36" s="44">
        <f t="shared" si="232"/>
        <v>21911.110000000801</v>
      </c>
      <c r="BT36" s="44">
        <f t="shared" ref="BT36:BU36" si="233">SUM(BT31:BT35)</f>
        <v>20626.079999999609</v>
      </c>
      <c r="BU36" s="44">
        <f t="shared" si="233"/>
        <v>24775.299999998882</v>
      </c>
      <c r="BV36" s="44">
        <f t="shared" ref="BV36:BW36" si="234">SUM(BV31:BV35)</f>
        <v>25830.020000001416</v>
      </c>
      <c r="BW36" s="44">
        <f t="shared" si="234"/>
        <v>21223.889999997336</v>
      </c>
      <c r="BX36" s="44">
        <f t="shared" ref="BX36:BY36" si="235">SUM(BX31:BX35)</f>
        <v>0</v>
      </c>
      <c r="BY36" s="44">
        <f t="shared" si="235"/>
        <v>0</v>
      </c>
      <c r="BZ36" s="44">
        <f t="shared" ref="BZ36:CA36" si="236">SUM(BZ31:BZ35)</f>
        <v>0</v>
      </c>
      <c r="CA36" s="44">
        <f t="shared" si="236"/>
        <v>0</v>
      </c>
      <c r="CB36" s="44">
        <f t="shared" ref="CB36:CC36" si="237">SUM(CB31:CB35)</f>
        <v>0</v>
      </c>
      <c r="CC36" s="44">
        <f t="shared" si="237"/>
        <v>0</v>
      </c>
      <c r="CD36" s="44">
        <f t="shared" ref="CD36:CE36" si="238">SUM(CD31:CD35)</f>
        <v>0</v>
      </c>
      <c r="CE36" s="44">
        <f t="shared" si="238"/>
        <v>0</v>
      </c>
      <c r="CF36" s="44">
        <f t="shared" ref="CF36:CG36" si="239">SUM(CF31:CF35)</f>
        <v>0</v>
      </c>
      <c r="CG36" s="44">
        <f t="shared" si="239"/>
        <v>0</v>
      </c>
      <c r="CH36" s="44">
        <f t="shared" ref="CH36:CI36" si="240">SUM(CH31:CH35)</f>
        <v>0</v>
      </c>
      <c r="CI36" s="44">
        <f t="shared" si="240"/>
        <v>0</v>
      </c>
      <c r="CJ36" s="44">
        <f t="shared" ref="CJ36:CK36" si="241">SUM(CJ31:CJ35)</f>
        <v>0</v>
      </c>
      <c r="CK36" s="44">
        <f t="shared" si="241"/>
        <v>0</v>
      </c>
      <c r="CL36" s="44">
        <f t="shared" ref="CL36:CM36" si="242">SUM(CL31:CL35)</f>
        <v>0</v>
      </c>
      <c r="CM36" s="44">
        <f t="shared" si="242"/>
        <v>0</v>
      </c>
      <c r="CN36" s="44">
        <f t="shared" ref="CN36:CO36" si="243">SUM(CN31:CN35)</f>
        <v>0</v>
      </c>
      <c r="CO36" s="44">
        <f t="shared" si="243"/>
        <v>0</v>
      </c>
      <c r="CP36" s="44">
        <f t="shared" ref="CP36:CQ36" si="244">SUM(CP31:CP35)</f>
        <v>0</v>
      </c>
      <c r="CQ36" s="44">
        <f t="shared" si="244"/>
        <v>0</v>
      </c>
      <c r="CR36" s="44">
        <f t="shared" ref="CR36:CT36" si="245">SUM(CR31:CR35)</f>
        <v>0</v>
      </c>
      <c r="CS36" s="44">
        <f t="shared" si="245"/>
        <v>0</v>
      </c>
      <c r="CT36" s="44">
        <f t="shared" si="245"/>
        <v>0</v>
      </c>
    </row>
    <row r="37" spans="1:98" x14ac:dyDescent="0.35">
      <c r="A37" s="33"/>
      <c r="B37" s="31"/>
      <c r="C37" s="31"/>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row>
    <row r="38" spans="1:98" x14ac:dyDescent="0.35">
      <c r="A38" s="33"/>
      <c r="B38" s="31"/>
      <c r="C38" s="31"/>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35" t="s">
        <v>145</v>
      </c>
      <c r="CR38" s="80"/>
      <c r="CS38" s="80"/>
      <c r="CT38" s="35" t="s">
        <v>146</v>
      </c>
    </row>
    <row r="39" spans="1:98" x14ac:dyDescent="0.35">
      <c r="A39" s="33"/>
      <c r="B39" s="31"/>
      <c r="C39" s="31"/>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t="s">
        <v>33</v>
      </c>
      <c r="CQ39" s="280">
        <f>SUM(D31:CQ31)</f>
        <v>38189868.470668986</v>
      </c>
      <c r="CR39" s="80"/>
      <c r="CS39" t="s">
        <v>33</v>
      </c>
      <c r="CT39" s="281">
        <f>SUM(CR31:CT31)</f>
        <v>0</v>
      </c>
    </row>
    <row r="40" spans="1:98" x14ac:dyDescent="0.35">
      <c r="A40" s="33"/>
      <c r="B40" s="31"/>
      <c r="C40" s="31"/>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t="s">
        <v>34</v>
      </c>
      <c r="CQ40" s="280">
        <f t="shared" ref="CQ40:CQ44" si="246">SUM(D32:CQ32)</f>
        <v>12625960.255642738</v>
      </c>
      <c r="CR40" s="80"/>
      <c r="CS40" t="s">
        <v>34</v>
      </c>
      <c r="CT40" s="281">
        <f t="shared" ref="CT40:CT43" si="247">SUM(CR32:CT32)</f>
        <v>0</v>
      </c>
    </row>
    <row r="41" spans="1:98" x14ac:dyDescent="0.35">
      <c r="A41" s="33"/>
      <c r="B41" s="31"/>
      <c r="C41" s="31"/>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t="s">
        <v>35</v>
      </c>
      <c r="CQ41" s="280">
        <f t="shared" si="246"/>
        <v>26046543.090823069</v>
      </c>
      <c r="CR41" s="80"/>
      <c r="CS41" t="s">
        <v>35</v>
      </c>
      <c r="CT41" s="281">
        <f t="shared" si="247"/>
        <v>0</v>
      </c>
    </row>
    <row r="42" spans="1:98" x14ac:dyDescent="0.35">
      <c r="A42" s="33"/>
      <c r="B42" s="31"/>
      <c r="C42" s="31"/>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t="s">
        <v>36</v>
      </c>
      <c r="CQ42" s="280">
        <f t="shared" si="246"/>
        <v>11112183.527346529</v>
      </c>
      <c r="CR42" s="80"/>
      <c r="CS42" t="s">
        <v>36</v>
      </c>
      <c r="CT42" s="281">
        <f t="shared" si="247"/>
        <v>0</v>
      </c>
    </row>
    <row r="43" spans="1:98" x14ac:dyDescent="0.35">
      <c r="A43" s="33"/>
      <c r="B43" s="31"/>
      <c r="C43" s="31"/>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t="s">
        <v>37</v>
      </c>
      <c r="CQ43" s="280">
        <f t="shared" si="246"/>
        <v>2261157.9855186804</v>
      </c>
      <c r="CR43" s="80"/>
      <c r="CS43" t="s">
        <v>37</v>
      </c>
      <c r="CT43" s="281">
        <f t="shared" si="247"/>
        <v>0</v>
      </c>
    </row>
    <row r="44" spans="1:98" x14ac:dyDescent="0.35">
      <c r="A44" s="33"/>
      <c r="B44" s="31"/>
      <c r="C44" s="31"/>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33" t="s">
        <v>31</v>
      </c>
      <c r="CQ44" s="280">
        <f t="shared" si="246"/>
        <v>90235713.329999954</v>
      </c>
      <c r="CR44" s="80"/>
      <c r="CS44" s="33" t="s">
        <v>31</v>
      </c>
      <c r="CT44" s="281">
        <f>SUM(CR36:CT36)</f>
        <v>0</v>
      </c>
    </row>
    <row r="45" spans="1:98" s="82" customFormat="1" ht="15" thickBot="1" x14ac:dyDescent="0.4"/>
    <row r="46" spans="1:98" ht="15.5" x14ac:dyDescent="0.35">
      <c r="A46" s="79" t="s">
        <v>59</v>
      </c>
    </row>
    <row r="48" spans="1:98" x14ac:dyDescent="0.35">
      <c r="B48" s="10">
        <v>42370</v>
      </c>
      <c r="C48" s="10">
        <v>42401</v>
      </c>
      <c r="D48" s="10">
        <v>42430</v>
      </c>
      <c r="E48" s="10">
        <v>42461</v>
      </c>
      <c r="F48" s="10">
        <v>42491</v>
      </c>
      <c r="G48" s="10">
        <v>42522</v>
      </c>
      <c r="H48" s="10">
        <v>42552</v>
      </c>
      <c r="I48" s="10">
        <v>42583</v>
      </c>
      <c r="J48" s="10">
        <v>42614</v>
      </c>
      <c r="K48" s="10">
        <v>42644</v>
      </c>
      <c r="L48" s="10">
        <v>42675</v>
      </c>
      <c r="M48" s="10">
        <v>42705</v>
      </c>
      <c r="N48" s="10">
        <v>42736</v>
      </c>
      <c r="O48" s="10">
        <v>42767</v>
      </c>
      <c r="P48" s="10">
        <v>42795</v>
      </c>
      <c r="Q48" s="10">
        <v>42826</v>
      </c>
      <c r="R48" s="10">
        <v>42856</v>
      </c>
      <c r="S48" s="10">
        <v>42887</v>
      </c>
      <c r="T48" s="10">
        <v>42917</v>
      </c>
      <c r="U48" s="10">
        <v>42948</v>
      </c>
      <c r="V48" s="10">
        <v>42979</v>
      </c>
      <c r="W48" s="10">
        <v>43009</v>
      </c>
      <c r="X48" s="10">
        <v>43040</v>
      </c>
      <c r="Y48" s="10">
        <v>43070</v>
      </c>
      <c r="Z48" s="10">
        <v>43101</v>
      </c>
      <c r="AA48" s="10">
        <v>43132</v>
      </c>
      <c r="AB48" s="10">
        <v>43160</v>
      </c>
      <c r="AC48" s="10">
        <v>43191</v>
      </c>
      <c r="AD48" s="10">
        <v>43221</v>
      </c>
      <c r="AE48" s="10">
        <v>43252</v>
      </c>
      <c r="AF48" s="10">
        <v>43282</v>
      </c>
      <c r="AG48" s="10">
        <v>43313</v>
      </c>
      <c r="AH48" s="10">
        <v>43344</v>
      </c>
      <c r="AI48" s="10">
        <v>43374</v>
      </c>
      <c r="AJ48" s="10">
        <v>43405</v>
      </c>
      <c r="AK48" s="10">
        <v>43435</v>
      </c>
      <c r="AL48" s="10">
        <v>43466</v>
      </c>
      <c r="AM48" s="10">
        <v>43497</v>
      </c>
      <c r="AN48" s="10">
        <v>43525</v>
      </c>
      <c r="AO48" s="10">
        <v>43556</v>
      </c>
      <c r="AP48" s="10">
        <v>43586</v>
      </c>
      <c r="AQ48" s="10">
        <v>43617</v>
      </c>
      <c r="AR48" s="10">
        <v>43647</v>
      </c>
      <c r="AS48" s="10">
        <v>43678</v>
      </c>
      <c r="AT48" s="10">
        <v>43709</v>
      </c>
      <c r="AU48" s="10">
        <v>43739</v>
      </c>
      <c r="AV48" s="10">
        <v>43770</v>
      </c>
      <c r="AW48" s="10">
        <v>43800</v>
      </c>
      <c r="AX48" s="10">
        <v>43831</v>
      </c>
      <c r="AY48" s="10">
        <v>43862</v>
      </c>
      <c r="AZ48" s="10">
        <v>43891</v>
      </c>
      <c r="BA48" s="10">
        <v>43922</v>
      </c>
      <c r="BB48" s="10">
        <v>43952</v>
      </c>
      <c r="BC48" s="10">
        <v>43983</v>
      </c>
      <c r="BD48" s="10">
        <v>44013</v>
      </c>
      <c r="BE48" s="10">
        <v>44044</v>
      </c>
      <c r="BF48" s="10">
        <v>44075</v>
      </c>
      <c r="BG48" s="10">
        <v>44105</v>
      </c>
      <c r="BH48" s="10">
        <v>44136</v>
      </c>
      <c r="BI48" s="10">
        <v>44166</v>
      </c>
      <c r="BJ48" s="10">
        <v>44197</v>
      </c>
      <c r="BK48" s="10">
        <v>44228</v>
      </c>
      <c r="BL48" s="10">
        <v>44256</v>
      </c>
      <c r="BM48" s="10">
        <v>44287</v>
      </c>
      <c r="BN48" s="10">
        <v>44317</v>
      </c>
      <c r="BO48" s="10">
        <v>44348</v>
      </c>
      <c r="BP48" s="10">
        <v>44378</v>
      </c>
      <c r="BQ48" s="10">
        <v>44409</v>
      </c>
      <c r="BR48" s="10">
        <v>44440</v>
      </c>
      <c r="BS48" s="10">
        <v>44470</v>
      </c>
      <c r="BT48" s="10">
        <v>44501</v>
      </c>
      <c r="BU48" s="10">
        <v>44531</v>
      </c>
      <c r="BV48" s="10">
        <v>44562</v>
      </c>
      <c r="BW48" s="10">
        <v>44593</v>
      </c>
      <c r="BX48" s="10">
        <v>44621</v>
      </c>
      <c r="BY48" s="10">
        <v>44652</v>
      </c>
      <c r="BZ48" s="10">
        <v>44682</v>
      </c>
      <c r="CA48" s="10">
        <v>44713</v>
      </c>
      <c r="CB48" s="10">
        <v>44743</v>
      </c>
      <c r="CC48" s="10">
        <v>44774</v>
      </c>
      <c r="CD48" s="10">
        <v>44805</v>
      </c>
      <c r="CE48" s="10">
        <v>44835</v>
      </c>
      <c r="CF48" s="10">
        <v>44866</v>
      </c>
      <c r="CG48" s="10">
        <v>44896</v>
      </c>
      <c r="CH48" s="10">
        <v>44927</v>
      </c>
      <c r="CI48" s="10">
        <v>44958</v>
      </c>
      <c r="CJ48" s="10">
        <v>44986</v>
      </c>
      <c r="CK48" s="10">
        <v>45017</v>
      </c>
      <c r="CL48" s="10">
        <v>45047</v>
      </c>
      <c r="CM48" s="10">
        <v>45078</v>
      </c>
      <c r="CN48" s="10">
        <v>45108</v>
      </c>
      <c r="CO48" s="10">
        <v>45139</v>
      </c>
      <c r="CP48" s="10">
        <v>45170</v>
      </c>
      <c r="CQ48" s="10">
        <v>45200</v>
      </c>
      <c r="CR48" s="10">
        <v>45231</v>
      </c>
      <c r="CS48" s="10">
        <v>45261</v>
      </c>
      <c r="CT48" s="10">
        <v>45292</v>
      </c>
    </row>
    <row r="49" spans="1:98" x14ac:dyDescent="0.35">
      <c r="A49" s="36" t="s">
        <v>60</v>
      </c>
      <c r="B49" s="32"/>
      <c r="C49" s="32"/>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77" t="s">
        <v>143</v>
      </c>
      <c r="CS49" s="278"/>
      <c r="CT49" s="29"/>
    </row>
    <row r="50" spans="1:98" x14ac:dyDescent="0.35">
      <c r="A50" t="s">
        <v>33</v>
      </c>
      <c r="B50" s="37"/>
      <c r="C50" s="37"/>
      <c r="D50" s="41"/>
      <c r="E50" s="41"/>
      <c r="F50" s="41"/>
      <c r="G50" s="41"/>
      <c r="H50" s="51"/>
      <c r="I50" s="51"/>
      <c r="J50" s="51"/>
      <c r="K50" s="51"/>
      <c r="L50" s="51"/>
      <c r="M50" s="51"/>
      <c r="N50" s="51"/>
      <c r="O50" s="41"/>
      <c r="P50" s="42"/>
      <c r="Q50" s="41">
        <f>964303.03-72.29</f>
        <v>964230.74</v>
      </c>
      <c r="R50" s="42">
        <v>918986.9</v>
      </c>
      <c r="S50" s="42">
        <v>1235335.3500000001</v>
      </c>
      <c r="T50" s="42">
        <v>1643710.03</v>
      </c>
      <c r="U50" s="42">
        <v>1663991.32</v>
      </c>
      <c r="V50" s="42">
        <v>1315722.52</v>
      </c>
      <c r="W50" s="42">
        <v>1155142.76</v>
      </c>
      <c r="X50" s="42">
        <v>1008647.72</v>
      </c>
      <c r="Y50" s="42">
        <v>1300717.95</v>
      </c>
      <c r="Z50" s="42">
        <v>1995202.44</v>
      </c>
      <c r="AA50" s="42">
        <v>1361606.16</v>
      </c>
      <c r="AB50" s="42">
        <v>1097480.82</v>
      </c>
      <c r="AC50" s="42">
        <v>1059578.1200000001</v>
      </c>
      <c r="AD50" s="42">
        <v>862980.65</v>
      </c>
      <c r="AE50" s="42">
        <v>1281774.72</v>
      </c>
      <c r="AF50" s="42">
        <v>1502957.34</v>
      </c>
      <c r="AG50" s="42">
        <v>1346919.46</v>
      </c>
      <c r="AH50" s="42">
        <v>1295482.8999999999</v>
      </c>
      <c r="AI50" s="42">
        <v>1002485.52</v>
      </c>
      <c r="AJ50" s="42">
        <v>930228.6</v>
      </c>
      <c r="AK50" s="42">
        <v>1294357.3</v>
      </c>
      <c r="AL50" s="42">
        <v>1435395.83</v>
      </c>
      <c r="AM50" s="42">
        <v>1500360.52</v>
      </c>
      <c r="AN50" s="42">
        <v>1351205.92</v>
      </c>
      <c r="AO50" s="42">
        <v>930965.27</v>
      </c>
      <c r="AP50" s="42">
        <v>791487</v>
      </c>
      <c r="AQ50" s="42">
        <v>1054075.57</v>
      </c>
      <c r="AR50" s="42">
        <v>1341002.6200000001</v>
      </c>
      <c r="AS50" s="42">
        <v>1411567.5</v>
      </c>
      <c r="AT50" s="42">
        <v>1302183.99</v>
      </c>
      <c r="AU50" s="42">
        <v>1070055.19</v>
      </c>
      <c r="AV50" s="42">
        <v>960017.17</v>
      </c>
      <c r="AW50" s="42">
        <v>1291710.24</v>
      </c>
      <c r="AX50" s="42">
        <v>1426440.21</v>
      </c>
      <c r="AY50" s="42">
        <v>836821.82</v>
      </c>
      <c r="AZ50" s="42">
        <v>123502.6</v>
      </c>
      <c r="BA50" s="42">
        <v>92675.74</v>
      </c>
      <c r="BB50" s="42">
        <v>82719.98</v>
      </c>
      <c r="BC50" s="42">
        <v>109517.12</v>
      </c>
      <c r="BD50" s="42">
        <v>147043.66</v>
      </c>
      <c r="BE50" s="42">
        <v>137831</v>
      </c>
      <c r="BF50" s="42">
        <v>124319.87</v>
      </c>
      <c r="BG50" s="42">
        <v>84008.53</v>
      </c>
      <c r="BH50" s="42">
        <v>89633.18</v>
      </c>
      <c r="BI50" s="42">
        <v>118817.27</v>
      </c>
      <c r="BJ50" s="42">
        <v>154664.07999999999</v>
      </c>
      <c r="BK50" s="42">
        <v>-113458.01</v>
      </c>
      <c r="BL50" s="42">
        <v>-325175.89</v>
      </c>
      <c r="BM50" s="42">
        <v>-219552.89</v>
      </c>
      <c r="BN50" s="42">
        <v>-206267.22</v>
      </c>
      <c r="BO50" s="42">
        <v>-270595.87</v>
      </c>
      <c r="BP50" s="42">
        <v>-357386.66</v>
      </c>
      <c r="BQ50" s="42">
        <v>-364675.44</v>
      </c>
      <c r="BR50" s="42">
        <v>-358208.47</v>
      </c>
      <c r="BS50" s="42">
        <v>-248050.58</v>
      </c>
      <c r="BT50" s="42">
        <v>-232427.07</v>
      </c>
      <c r="BU50" s="42">
        <v>-290836.61</v>
      </c>
      <c r="BV50" s="42">
        <v>-375935.37</v>
      </c>
      <c r="BW50" s="42">
        <v>-242680.23</v>
      </c>
      <c r="BX50" s="42">
        <v>-13830.45</v>
      </c>
      <c r="BY50" s="42">
        <v>-7909.14</v>
      </c>
      <c r="BZ50" s="42">
        <v>-7927.25</v>
      </c>
      <c r="CA50" s="42">
        <v>-10364.700000000001</v>
      </c>
      <c r="CB50" s="42">
        <v>-14271.87</v>
      </c>
      <c r="CC50" s="42">
        <v>-13453.18</v>
      </c>
      <c r="CD50" s="42">
        <v>-11260.05</v>
      </c>
      <c r="CE50" s="42">
        <v>-8003.94</v>
      </c>
      <c r="CF50" s="42">
        <v>-7297.68</v>
      </c>
      <c r="CG50" s="42">
        <v>-11546.44</v>
      </c>
      <c r="CH50" s="42">
        <v>-13951.26</v>
      </c>
      <c r="CI50" s="42">
        <v>1126.4100000000001</v>
      </c>
      <c r="CJ50" s="42">
        <v>16692.439999999999</v>
      </c>
      <c r="CK50" s="42">
        <v>14494.89</v>
      </c>
      <c r="CL50" s="42">
        <v>12335.8</v>
      </c>
      <c r="CM50" s="42">
        <v>15962.84</v>
      </c>
      <c r="CN50" s="42">
        <v>20902.03</v>
      </c>
      <c r="CO50" s="42">
        <v>21552.2</v>
      </c>
      <c r="CP50" s="42">
        <v>19936.310000000001</v>
      </c>
      <c r="CQ50" s="42">
        <v>14454.45</v>
      </c>
      <c r="CR50" s="276">
        <f>'[1]TDR (M2)'!CR22</f>
        <v>13413.237768504692</v>
      </c>
      <c r="CS50" s="276">
        <f>'[1]TDR (M2)'!CS22</f>
        <v>18378.792222391661</v>
      </c>
      <c r="CT50" s="276">
        <f>'[1]TDR (M2)'!CT22</f>
        <v>24115.965074171727</v>
      </c>
    </row>
    <row r="51" spans="1:98" x14ac:dyDescent="0.35">
      <c r="A51" t="s">
        <v>34</v>
      </c>
      <c r="B51" s="37"/>
      <c r="C51" s="37"/>
      <c r="D51" s="41"/>
      <c r="E51" s="41"/>
      <c r="F51" s="41"/>
      <c r="G51" s="41"/>
      <c r="H51" s="51"/>
      <c r="I51" s="51"/>
      <c r="J51" s="51"/>
      <c r="K51" s="51"/>
      <c r="L51" s="51"/>
      <c r="M51" s="51"/>
      <c r="N51" s="41"/>
      <c r="O51" s="41"/>
      <c r="P51" s="42"/>
      <c r="Q51" s="41">
        <f>121723.86-126.24</f>
        <v>121597.62</v>
      </c>
      <c r="R51" s="42">
        <v>120360.92</v>
      </c>
      <c r="S51" s="42">
        <v>143026.74</v>
      </c>
      <c r="T51" s="42">
        <v>165801.25</v>
      </c>
      <c r="U51" s="42">
        <v>167384.09</v>
      </c>
      <c r="V51" s="42">
        <v>149701.24</v>
      </c>
      <c r="W51" s="42">
        <v>141748.14000000001</v>
      </c>
      <c r="X51" s="42">
        <v>126699.78</v>
      </c>
      <c r="Y51" s="42">
        <v>139926.94</v>
      </c>
      <c r="Z51" s="42">
        <v>202221.15</v>
      </c>
      <c r="AA51" s="42">
        <v>343067.75</v>
      </c>
      <c r="AB51" s="42">
        <v>300632.48</v>
      </c>
      <c r="AC51" s="42">
        <v>296300.02</v>
      </c>
      <c r="AD51" s="42">
        <v>268199.42</v>
      </c>
      <c r="AE51" s="42">
        <v>337634.86</v>
      </c>
      <c r="AF51" s="42">
        <v>372521.79</v>
      </c>
      <c r="AG51" s="42">
        <v>348089.17</v>
      </c>
      <c r="AH51" s="42">
        <v>342034.51</v>
      </c>
      <c r="AI51" s="42">
        <v>301373.81</v>
      </c>
      <c r="AJ51" s="42">
        <v>271517.73</v>
      </c>
      <c r="AK51" s="42">
        <v>328156.33</v>
      </c>
      <c r="AL51" s="42">
        <v>377703.97</v>
      </c>
      <c r="AM51" s="42">
        <v>708077.88</v>
      </c>
      <c r="AN51" s="42">
        <v>666764.85</v>
      </c>
      <c r="AO51" s="42">
        <v>540522.54</v>
      </c>
      <c r="AP51" s="42">
        <v>509584.1</v>
      </c>
      <c r="AQ51" s="42">
        <v>594934.36</v>
      </c>
      <c r="AR51" s="42">
        <v>680484</v>
      </c>
      <c r="AS51" s="42">
        <v>699354.09</v>
      </c>
      <c r="AT51" s="42">
        <v>675136.56</v>
      </c>
      <c r="AU51" s="42">
        <v>608437.81999999995</v>
      </c>
      <c r="AV51" s="42">
        <v>545178.31000000006</v>
      </c>
      <c r="AW51" s="42">
        <v>640578.34</v>
      </c>
      <c r="AX51" s="42">
        <v>683111.72</v>
      </c>
      <c r="AY51" s="42">
        <v>419075.87</v>
      </c>
      <c r="AZ51" s="42">
        <v>88037.89</v>
      </c>
      <c r="BA51" s="42">
        <v>65160.17</v>
      </c>
      <c r="BB51" s="42">
        <v>59309.86</v>
      </c>
      <c r="BC51" s="42">
        <v>74165.440000000002</v>
      </c>
      <c r="BD51" s="42">
        <v>92442.4</v>
      </c>
      <c r="BE51" s="42">
        <v>90973.54</v>
      </c>
      <c r="BF51" s="42">
        <v>86398.8</v>
      </c>
      <c r="BG51" s="42">
        <v>70150.48</v>
      </c>
      <c r="BH51" s="42">
        <v>70037.789999999994</v>
      </c>
      <c r="BI51" s="42">
        <v>80808.38</v>
      </c>
      <c r="BJ51" s="42">
        <v>96369.71</v>
      </c>
      <c r="BK51" s="42">
        <v>-2328.37</v>
      </c>
      <c r="BL51" s="42">
        <v>-103760.54</v>
      </c>
      <c r="BM51" s="42">
        <v>-82575.289999999994</v>
      </c>
      <c r="BN51" s="42">
        <v>-81377.440000000002</v>
      </c>
      <c r="BO51" s="42">
        <v>-96431.96</v>
      </c>
      <c r="BP51" s="42">
        <v>-113596.04</v>
      </c>
      <c r="BQ51" s="42">
        <v>-114121.57</v>
      </c>
      <c r="BR51" s="42">
        <v>-115328.91</v>
      </c>
      <c r="BS51" s="42">
        <v>-96228.19</v>
      </c>
      <c r="BT51" s="42">
        <v>-85982.2</v>
      </c>
      <c r="BU51" s="42">
        <v>-98041.83</v>
      </c>
      <c r="BV51" s="42">
        <v>-115723.74</v>
      </c>
      <c r="BW51" s="42">
        <v>-71353.679999999993</v>
      </c>
      <c r="BX51" s="42">
        <v>-3857.43</v>
      </c>
      <c r="BY51" s="42">
        <v>-3467.37</v>
      </c>
      <c r="BZ51" s="42">
        <v>-3190.61</v>
      </c>
      <c r="CA51" s="42">
        <v>-3616.74</v>
      </c>
      <c r="CB51" s="42">
        <v>-4165.8599999999997</v>
      </c>
      <c r="CC51" s="42">
        <v>-4368.6099999999997</v>
      </c>
      <c r="CD51" s="42">
        <v>-3971.18</v>
      </c>
      <c r="CE51" s="42">
        <v>-3310.57</v>
      </c>
      <c r="CF51" s="42">
        <v>-3161.75</v>
      </c>
      <c r="CG51" s="42">
        <v>-3849.25</v>
      </c>
      <c r="CH51" s="42">
        <v>-4431.05</v>
      </c>
      <c r="CI51" s="42">
        <v>-58.87</v>
      </c>
      <c r="CJ51" s="42">
        <v>4613.01</v>
      </c>
      <c r="CK51" s="42">
        <v>4219.75</v>
      </c>
      <c r="CL51" s="42">
        <v>3905.78</v>
      </c>
      <c r="CM51" s="42">
        <v>4751.55</v>
      </c>
      <c r="CN51" s="42">
        <v>5463.54</v>
      </c>
      <c r="CO51" s="42">
        <v>5606.45</v>
      </c>
      <c r="CP51" s="42">
        <v>5658.03</v>
      </c>
      <c r="CQ51" s="42">
        <v>4599.68</v>
      </c>
      <c r="CR51" s="276">
        <f>'[1]TDR (M2)'!CR23</f>
        <v>4263.4891341093671</v>
      </c>
      <c r="CS51" s="276">
        <f>'[1]TDR (M2)'!CS23</f>
        <v>5004.8560316201601</v>
      </c>
      <c r="CT51" s="276">
        <f>'[1]TDR (M2)'!CT23</f>
        <v>5833.0949772727017</v>
      </c>
    </row>
    <row r="52" spans="1:98" x14ac:dyDescent="0.35">
      <c r="A52" t="s">
        <v>35</v>
      </c>
      <c r="B52" s="37"/>
      <c r="C52" s="37"/>
      <c r="D52" s="41"/>
      <c r="E52" s="41"/>
      <c r="F52" s="41"/>
      <c r="G52" s="41"/>
      <c r="H52" s="51"/>
      <c r="I52" s="51"/>
      <c r="J52" s="51"/>
      <c r="K52" s="51"/>
      <c r="L52" s="51"/>
      <c r="M52" s="51"/>
      <c r="N52" s="41"/>
      <c r="O52" s="41"/>
      <c r="P52" s="42"/>
      <c r="Q52" s="41">
        <f>306699.41-268.37</f>
        <v>306431.03999999998</v>
      </c>
      <c r="R52" s="42">
        <v>315079.21999999997</v>
      </c>
      <c r="S52" s="42">
        <v>357143.49</v>
      </c>
      <c r="T52" s="42">
        <v>388918.74</v>
      </c>
      <c r="U52" s="42">
        <v>396209.91</v>
      </c>
      <c r="V52" s="42">
        <v>373506.75</v>
      </c>
      <c r="W52" s="42">
        <v>358646.38</v>
      </c>
      <c r="X52" s="42">
        <v>321927.84000000003</v>
      </c>
      <c r="Y52" s="42">
        <v>337190.07</v>
      </c>
      <c r="Z52" s="42">
        <v>406112.33</v>
      </c>
      <c r="AA52" s="42">
        <v>569283.56999999995</v>
      </c>
      <c r="AB52" s="42">
        <v>530638.37</v>
      </c>
      <c r="AC52" s="42">
        <v>535419.43000000005</v>
      </c>
      <c r="AD52" s="42">
        <v>530865.09</v>
      </c>
      <c r="AE52" s="42">
        <v>632987.31999999995</v>
      </c>
      <c r="AF52" s="42">
        <v>672168.03</v>
      </c>
      <c r="AG52" s="42">
        <v>636130.80000000005</v>
      </c>
      <c r="AH52" s="42">
        <v>647286.31999999995</v>
      </c>
      <c r="AI52" s="42">
        <v>588134.43000000005</v>
      </c>
      <c r="AJ52" s="42">
        <v>523066.9</v>
      </c>
      <c r="AK52" s="42">
        <v>569652.57999999996</v>
      </c>
      <c r="AL52" s="42">
        <v>622149.86</v>
      </c>
      <c r="AM52" s="42">
        <v>1121084.3899999999</v>
      </c>
      <c r="AN52" s="42">
        <v>1064143.96</v>
      </c>
      <c r="AO52" s="42">
        <v>956310.33</v>
      </c>
      <c r="AP52" s="42">
        <v>988397.62</v>
      </c>
      <c r="AQ52" s="42">
        <v>1099738.51</v>
      </c>
      <c r="AR52" s="42">
        <v>1183208.1399999999</v>
      </c>
      <c r="AS52" s="42">
        <v>1210589.8</v>
      </c>
      <c r="AT52" s="42">
        <v>1222150.02</v>
      </c>
      <c r="AU52" s="42">
        <v>1122226.3600000001</v>
      </c>
      <c r="AV52" s="42">
        <v>990572.78</v>
      </c>
      <c r="AW52" s="42">
        <v>1074771.6100000001</v>
      </c>
      <c r="AX52" s="42">
        <v>1111703.5</v>
      </c>
      <c r="AY52" s="42">
        <v>772025.26</v>
      </c>
      <c r="AZ52" s="42">
        <v>319798.53000000003</v>
      </c>
      <c r="BA52" s="42">
        <v>269033.2</v>
      </c>
      <c r="BB52" s="42">
        <v>249777.14</v>
      </c>
      <c r="BC52" s="42">
        <v>297315.93</v>
      </c>
      <c r="BD52" s="42">
        <v>347144.51</v>
      </c>
      <c r="BE52" s="42">
        <v>345440.09</v>
      </c>
      <c r="BF52" s="42">
        <v>344230.11</v>
      </c>
      <c r="BG52" s="42">
        <v>293731.96999999997</v>
      </c>
      <c r="BH52" s="42">
        <v>286094.82</v>
      </c>
      <c r="BI52" s="42">
        <v>307534.57</v>
      </c>
      <c r="BJ52" s="42">
        <v>329595.59000000003</v>
      </c>
      <c r="BK52" s="42">
        <v>128230.92</v>
      </c>
      <c r="BL52" s="42">
        <v>-119113.36</v>
      </c>
      <c r="BM52" s="42">
        <v>-106709.26</v>
      </c>
      <c r="BN52" s="42">
        <v>-108656.28</v>
      </c>
      <c r="BO52" s="42">
        <v>-121205.96</v>
      </c>
      <c r="BP52" s="42">
        <v>-141073.82999999999</v>
      </c>
      <c r="BQ52" s="42">
        <v>-140301.07</v>
      </c>
      <c r="BR52" s="42">
        <v>-142985.78</v>
      </c>
      <c r="BS52" s="42">
        <v>-125672.79</v>
      </c>
      <c r="BT52" s="42">
        <v>-111672.41</v>
      </c>
      <c r="BU52" s="42">
        <v>-122048.8</v>
      </c>
      <c r="BV52" s="42">
        <v>-130402.9</v>
      </c>
      <c r="BW52" s="42">
        <v>-91979.27</v>
      </c>
      <c r="BX52" s="42">
        <v>-29965.9</v>
      </c>
      <c r="BY52" s="42">
        <v>-27757.9</v>
      </c>
      <c r="BZ52" s="42">
        <v>-28438.25</v>
      </c>
      <c r="CA52" s="42">
        <v>-31790.6</v>
      </c>
      <c r="CB52" s="42">
        <v>-36362.75</v>
      </c>
      <c r="CC52" s="42">
        <v>-35481.11</v>
      </c>
      <c r="CD52" s="42">
        <v>-33868.720000000001</v>
      </c>
      <c r="CE52" s="42">
        <v>-29154.44</v>
      </c>
      <c r="CF52" s="42">
        <v>-27512.63</v>
      </c>
      <c r="CG52" s="42">
        <v>-31793.77</v>
      </c>
      <c r="CH52" s="42">
        <v>-32743.360000000001</v>
      </c>
      <c r="CI52" s="42">
        <v>-16554.349999999999</v>
      </c>
      <c r="CJ52" s="42">
        <v>3415.88</v>
      </c>
      <c r="CK52" s="42">
        <v>3374.69</v>
      </c>
      <c r="CL52" s="42">
        <v>3515.72</v>
      </c>
      <c r="CM52" s="42">
        <v>3850.08</v>
      </c>
      <c r="CN52" s="42">
        <v>4146.47</v>
      </c>
      <c r="CO52" s="42">
        <v>4258.54</v>
      </c>
      <c r="CP52" s="42">
        <v>4280.59</v>
      </c>
      <c r="CQ52" s="42">
        <v>3781.21</v>
      </c>
      <c r="CR52" s="276">
        <f>'[1]TDR (M2)'!CR24</f>
        <v>3536.9286456207337</v>
      </c>
      <c r="CS52" s="276">
        <f>'[1]TDR (M2)'!CS24</f>
        <v>3801.920804358962</v>
      </c>
      <c r="CT52" s="276">
        <f>'[1]TDR (M2)'!CT24</f>
        <v>4236.5350336752745</v>
      </c>
    </row>
    <row r="53" spans="1:98" x14ac:dyDescent="0.35">
      <c r="A53" t="s">
        <v>36</v>
      </c>
      <c r="B53" s="37"/>
      <c r="C53" s="37"/>
      <c r="D53" s="41"/>
      <c r="E53" s="41"/>
      <c r="F53" s="41"/>
      <c r="G53" s="41"/>
      <c r="H53" s="51"/>
      <c r="I53" s="51"/>
      <c r="J53" s="51"/>
      <c r="K53" s="51"/>
      <c r="L53" s="51"/>
      <c r="M53" s="51"/>
      <c r="N53" s="41"/>
      <c r="O53" s="41"/>
      <c r="P53" s="42"/>
      <c r="Q53" s="41">
        <v>287500.39</v>
      </c>
      <c r="R53" s="42">
        <v>291239.59000000003</v>
      </c>
      <c r="S53" s="42">
        <v>334700.84000000003</v>
      </c>
      <c r="T53" s="42">
        <v>327858.78000000003</v>
      </c>
      <c r="U53" s="42">
        <v>345877.98</v>
      </c>
      <c r="V53" s="42">
        <v>332796.82</v>
      </c>
      <c r="W53" s="42">
        <v>325738.77</v>
      </c>
      <c r="X53" s="42">
        <v>293261.37</v>
      </c>
      <c r="Y53" s="42">
        <v>307322.53000000003</v>
      </c>
      <c r="Z53" s="42">
        <v>339565.96</v>
      </c>
      <c r="AA53" s="42">
        <v>307869.25</v>
      </c>
      <c r="AB53" s="42">
        <v>306963.45</v>
      </c>
      <c r="AC53" s="42">
        <v>283370.14</v>
      </c>
      <c r="AD53" s="42">
        <v>326351.34000000003</v>
      </c>
      <c r="AE53" s="42">
        <v>353914.84</v>
      </c>
      <c r="AF53" s="42">
        <v>366503.78</v>
      </c>
      <c r="AG53" s="42">
        <v>360257.72</v>
      </c>
      <c r="AH53" s="42">
        <v>350605.05</v>
      </c>
      <c r="AI53" s="42">
        <v>328773.59000000003</v>
      </c>
      <c r="AJ53" s="42">
        <v>305971.46999999997</v>
      </c>
      <c r="AK53" s="42">
        <v>329009.21000000002</v>
      </c>
      <c r="AL53" s="42">
        <v>301972.13</v>
      </c>
      <c r="AM53" s="42">
        <v>361271.84</v>
      </c>
      <c r="AN53" s="42">
        <v>357649</v>
      </c>
      <c r="AO53" s="42">
        <v>342832.09</v>
      </c>
      <c r="AP53" s="42">
        <v>342002.7</v>
      </c>
      <c r="AQ53" s="42">
        <v>397393.17</v>
      </c>
      <c r="AR53" s="42">
        <v>399370.7</v>
      </c>
      <c r="AS53" s="42">
        <v>419257.53</v>
      </c>
      <c r="AT53" s="42">
        <v>416719</v>
      </c>
      <c r="AU53" s="42">
        <v>386141.21</v>
      </c>
      <c r="AV53" s="42">
        <v>357086.62</v>
      </c>
      <c r="AW53" s="42">
        <v>359534.39</v>
      </c>
      <c r="AX53" s="42">
        <v>369865.83</v>
      </c>
      <c r="AY53" s="42">
        <v>293791.12</v>
      </c>
      <c r="AZ53" s="42">
        <v>123483.39</v>
      </c>
      <c r="BA53" s="42">
        <v>118999.09</v>
      </c>
      <c r="BB53" s="42">
        <v>112027.34</v>
      </c>
      <c r="BC53" s="42">
        <v>130470.39999999999</v>
      </c>
      <c r="BD53" s="42">
        <v>137323.88</v>
      </c>
      <c r="BE53" s="42">
        <v>143937.82999999999</v>
      </c>
      <c r="BF53" s="42">
        <v>143974.57</v>
      </c>
      <c r="BG53" s="42">
        <v>127974.65</v>
      </c>
      <c r="BH53" s="42">
        <v>127068.08</v>
      </c>
      <c r="BI53" s="42">
        <v>132955.76999999999</v>
      </c>
      <c r="BJ53" s="42">
        <v>130544.63</v>
      </c>
      <c r="BK53" s="42">
        <v>73117.320000000007</v>
      </c>
      <c r="BL53" s="42">
        <v>-23752.07</v>
      </c>
      <c r="BM53" s="42">
        <v>-25347.52</v>
      </c>
      <c r="BN53" s="42">
        <v>-27081.25</v>
      </c>
      <c r="BO53" s="42">
        <v>-24437.95</v>
      </c>
      <c r="BP53" s="42">
        <v>-33816.269999999997</v>
      </c>
      <c r="BQ53" s="42">
        <v>-31047.43</v>
      </c>
      <c r="BR53" s="42">
        <v>-31441.61</v>
      </c>
      <c r="BS53" s="42">
        <v>-27149.439999999999</v>
      </c>
      <c r="BT53" s="42">
        <v>-23682.34</v>
      </c>
      <c r="BU53" s="42">
        <v>-31128.82</v>
      </c>
      <c r="BV53" s="42">
        <v>-30061.68</v>
      </c>
      <c r="BW53" s="42">
        <v>-21727.82</v>
      </c>
      <c r="BX53" s="42">
        <v>-9411.08</v>
      </c>
      <c r="BY53" s="42">
        <v>-9472.94</v>
      </c>
      <c r="BZ53" s="42">
        <v>-9265.9</v>
      </c>
      <c r="CA53" s="42">
        <v>-10540.89</v>
      </c>
      <c r="CB53" s="42">
        <v>-10967.71</v>
      </c>
      <c r="CC53" s="42">
        <v>-10879.65</v>
      </c>
      <c r="CD53" s="42">
        <v>-10597.96</v>
      </c>
      <c r="CE53" s="42">
        <v>-9396.31</v>
      </c>
      <c r="CF53" s="42">
        <v>-9489.08</v>
      </c>
      <c r="CG53" s="42">
        <v>-9849.86</v>
      </c>
      <c r="CH53" s="42">
        <v>-9377.19</v>
      </c>
      <c r="CI53" s="42">
        <v>-6080.44</v>
      </c>
      <c r="CJ53" s="42">
        <v>667.65</v>
      </c>
      <c r="CK53" s="42">
        <v>877.65</v>
      </c>
      <c r="CL53" s="42">
        <v>877.06</v>
      </c>
      <c r="CM53" s="42">
        <v>917.12</v>
      </c>
      <c r="CN53" s="42">
        <v>941.31</v>
      </c>
      <c r="CO53" s="42">
        <v>1063.3</v>
      </c>
      <c r="CP53" s="42">
        <v>1016.76</v>
      </c>
      <c r="CQ53" s="42">
        <v>882.85</v>
      </c>
      <c r="CR53" s="276">
        <f>'[1]TDR (M2)'!CR25</f>
        <v>878.74388864205071</v>
      </c>
      <c r="CS53" s="276">
        <f>'[1]TDR (M2)'!CS25</f>
        <v>910.56149167686794</v>
      </c>
      <c r="CT53" s="276">
        <f>'[1]TDR (M2)'!CT25</f>
        <v>955.17976544380974</v>
      </c>
    </row>
    <row r="54" spans="1:98" x14ac:dyDescent="0.35">
      <c r="A54" t="s">
        <v>37</v>
      </c>
      <c r="B54" s="37"/>
      <c r="C54" s="37"/>
      <c r="D54" s="41"/>
      <c r="E54" s="41"/>
      <c r="F54" s="41"/>
      <c r="G54" s="41"/>
      <c r="H54" s="51"/>
      <c r="I54" s="51"/>
      <c r="J54" s="51"/>
      <c r="K54" s="51"/>
      <c r="L54" s="51"/>
      <c r="M54" s="51"/>
      <c r="N54" s="41"/>
      <c r="O54" s="41"/>
      <c r="P54" s="42"/>
      <c r="Q54" s="41">
        <v>185826.61</v>
      </c>
      <c r="R54" s="42">
        <v>189002.31</v>
      </c>
      <c r="S54" s="42">
        <v>225674.13</v>
      </c>
      <c r="T54" s="42">
        <v>213450.91</v>
      </c>
      <c r="U54" s="42">
        <v>236566.37</v>
      </c>
      <c r="V54" s="42">
        <v>225419.26</v>
      </c>
      <c r="W54" s="42">
        <v>214922.7</v>
      </c>
      <c r="X54" s="42">
        <v>204773.48</v>
      </c>
      <c r="Y54" s="42">
        <v>187770.83</v>
      </c>
      <c r="Z54" s="42">
        <v>190411.74</v>
      </c>
      <c r="AA54" s="42">
        <v>104692.59</v>
      </c>
      <c r="AB54" s="42">
        <v>18094.560000000001</v>
      </c>
      <c r="AC54" s="42">
        <v>17212.91</v>
      </c>
      <c r="AD54" s="42">
        <v>19682.41</v>
      </c>
      <c r="AE54" s="42">
        <v>21781.17</v>
      </c>
      <c r="AF54" s="42">
        <v>13233.54</v>
      </c>
      <c r="AG54" s="42">
        <v>22431.52</v>
      </c>
      <c r="AH54" s="42">
        <v>21067.32</v>
      </c>
      <c r="AI54" s="42">
        <v>20801.22</v>
      </c>
      <c r="AJ54" s="42">
        <v>19547.939999999999</v>
      </c>
      <c r="AK54" s="42">
        <v>19036.14</v>
      </c>
      <c r="AL54" s="42">
        <v>21300.85</v>
      </c>
      <c r="AM54" s="42">
        <v>41051.660000000003</v>
      </c>
      <c r="AN54" s="42">
        <v>64352.88</v>
      </c>
      <c r="AO54" s="42">
        <v>64072.1</v>
      </c>
      <c r="AP54" s="42">
        <v>62519.33</v>
      </c>
      <c r="AQ54" s="42">
        <v>78748.960000000006</v>
      </c>
      <c r="AR54" s="42">
        <v>73304.259999999995</v>
      </c>
      <c r="AS54" s="42">
        <v>81170.33</v>
      </c>
      <c r="AT54" s="42">
        <v>82260.42</v>
      </c>
      <c r="AU54" s="42">
        <v>77599.5</v>
      </c>
      <c r="AV54" s="42">
        <v>68913.850000000006</v>
      </c>
      <c r="AW54" s="42">
        <v>64843.48</v>
      </c>
      <c r="AX54" s="42">
        <v>68622.929999999993</v>
      </c>
      <c r="AY54" s="42">
        <v>67842.5</v>
      </c>
      <c r="AZ54" s="42">
        <v>38688.33</v>
      </c>
      <c r="BA54" s="42">
        <v>44298.87</v>
      </c>
      <c r="BB54" s="42">
        <v>44976.56</v>
      </c>
      <c r="BC54" s="42">
        <v>11431.37</v>
      </c>
      <c r="BD54" s="42">
        <v>50558.239999999998</v>
      </c>
      <c r="BE54" s="42">
        <v>52075.91</v>
      </c>
      <c r="BF54" s="42">
        <v>52816.959999999999</v>
      </c>
      <c r="BG54" s="42">
        <v>46523.24</v>
      </c>
      <c r="BH54" s="42">
        <v>45630.69</v>
      </c>
      <c r="BI54" s="42">
        <v>46596.58</v>
      </c>
      <c r="BJ54" s="42">
        <v>42614.78</v>
      </c>
      <c r="BK54" s="42">
        <v>37690.370000000003</v>
      </c>
      <c r="BL54" s="42">
        <v>-999.06</v>
      </c>
      <c r="BM54" s="42">
        <v>1068.3499999999999</v>
      </c>
      <c r="BN54" s="42">
        <v>1085.3800000000001</v>
      </c>
      <c r="BO54" s="42">
        <v>1047.53</v>
      </c>
      <c r="BP54" s="42">
        <v>1336.85</v>
      </c>
      <c r="BQ54" s="42">
        <v>1272.6199999999999</v>
      </c>
      <c r="BR54" s="42">
        <v>1376.1</v>
      </c>
      <c r="BS54" s="42">
        <v>1261.3</v>
      </c>
      <c r="BT54" s="42">
        <v>837.34</v>
      </c>
      <c r="BU54" s="42">
        <v>1174.03</v>
      </c>
      <c r="BV54" s="42">
        <v>1093.94</v>
      </c>
      <c r="BW54" s="42">
        <v>596.12</v>
      </c>
      <c r="BX54" s="42">
        <v>-2115.3000000000002</v>
      </c>
      <c r="BY54" s="42">
        <v>-9955.1299999999992</v>
      </c>
      <c r="BZ54" s="42">
        <v>-1926.46</v>
      </c>
      <c r="CA54" s="42">
        <v>-2348.37</v>
      </c>
      <c r="CB54" s="42">
        <v>-2694.11</v>
      </c>
      <c r="CC54" s="42">
        <v>-2663.91</v>
      </c>
      <c r="CD54" s="42">
        <v>-2777.2</v>
      </c>
      <c r="CE54" s="42">
        <v>-2385.87</v>
      </c>
      <c r="CF54" s="42">
        <v>-2383.12</v>
      </c>
      <c r="CG54" s="42">
        <v>-2339.5100000000002</v>
      </c>
      <c r="CH54" s="42">
        <v>-1974.96</v>
      </c>
      <c r="CI54" s="42">
        <v>-1623.82</v>
      </c>
      <c r="CJ54" s="42">
        <v>-8.4700000000000006</v>
      </c>
      <c r="CK54" s="42">
        <v>0</v>
      </c>
      <c r="CL54" s="42">
        <v>0</v>
      </c>
      <c r="CM54" s="42">
        <v>0</v>
      </c>
      <c r="CN54" s="42">
        <v>0</v>
      </c>
      <c r="CO54" s="42">
        <v>0</v>
      </c>
      <c r="CP54" s="42">
        <v>0</v>
      </c>
      <c r="CQ54" s="42">
        <v>0</v>
      </c>
      <c r="CR54" s="276">
        <f>'[1]TDR (M2)'!CR26</f>
        <v>0</v>
      </c>
      <c r="CS54" s="276">
        <f>'[1]TDR (M2)'!CS26</f>
        <v>0</v>
      </c>
      <c r="CT54" s="276">
        <f>'[1]TDR (M2)'!CT26</f>
        <v>0</v>
      </c>
    </row>
    <row r="55" spans="1:98" x14ac:dyDescent="0.35">
      <c r="A55" s="33" t="s">
        <v>31</v>
      </c>
      <c r="B55" s="31"/>
      <c r="C55" s="31"/>
      <c r="D55" s="44">
        <f>SUM(D50:D54)</f>
        <v>0</v>
      </c>
      <c r="E55" s="44">
        <f t="shared" ref="E55:AW55" si="248">SUM(E50:E54)</f>
        <v>0</v>
      </c>
      <c r="F55" s="44">
        <f t="shared" si="248"/>
        <v>0</v>
      </c>
      <c r="G55" s="44">
        <f t="shared" si="248"/>
        <v>0</v>
      </c>
      <c r="H55" s="44">
        <f t="shared" si="248"/>
        <v>0</v>
      </c>
      <c r="I55" s="44">
        <f t="shared" si="248"/>
        <v>0</v>
      </c>
      <c r="J55" s="44">
        <f t="shared" si="248"/>
        <v>0</v>
      </c>
      <c r="K55" s="44">
        <f t="shared" si="248"/>
        <v>0</v>
      </c>
      <c r="L55" s="44">
        <f t="shared" si="248"/>
        <v>0</v>
      </c>
      <c r="M55" s="44">
        <f t="shared" si="248"/>
        <v>0</v>
      </c>
      <c r="N55" s="44">
        <f t="shared" si="248"/>
        <v>0</v>
      </c>
      <c r="O55" s="44">
        <f t="shared" si="248"/>
        <v>0</v>
      </c>
      <c r="P55" s="44">
        <f t="shared" si="248"/>
        <v>0</v>
      </c>
      <c r="Q55" s="44">
        <f t="shared" si="248"/>
        <v>1865586.4</v>
      </c>
      <c r="R55" s="44">
        <f t="shared" si="248"/>
        <v>1834668.9400000002</v>
      </c>
      <c r="S55" s="44">
        <f t="shared" si="248"/>
        <v>2295880.5500000003</v>
      </c>
      <c r="T55" s="44">
        <f t="shared" si="248"/>
        <v>2739739.71</v>
      </c>
      <c r="U55" s="44">
        <f t="shared" si="248"/>
        <v>2810029.6700000004</v>
      </c>
      <c r="V55" s="44">
        <f t="shared" si="248"/>
        <v>2397146.59</v>
      </c>
      <c r="W55" s="44">
        <f t="shared" si="248"/>
        <v>2196198.75</v>
      </c>
      <c r="X55" s="44">
        <f t="shared" si="248"/>
        <v>1955310.19</v>
      </c>
      <c r="Y55" s="44">
        <f t="shared" si="248"/>
        <v>2272928.3199999998</v>
      </c>
      <c r="Z55" s="44">
        <f t="shared" si="248"/>
        <v>3133513.62</v>
      </c>
      <c r="AA55" s="44">
        <f t="shared" si="248"/>
        <v>2686519.32</v>
      </c>
      <c r="AB55" s="44">
        <f t="shared" si="248"/>
        <v>2253809.6800000002</v>
      </c>
      <c r="AC55" s="44">
        <f t="shared" si="248"/>
        <v>2191880.6200000006</v>
      </c>
      <c r="AD55" s="44">
        <f t="shared" si="248"/>
        <v>2008078.9100000001</v>
      </c>
      <c r="AE55" s="44">
        <f t="shared" si="248"/>
        <v>2628092.9099999997</v>
      </c>
      <c r="AF55" s="44">
        <f t="shared" si="248"/>
        <v>2927384.4800000004</v>
      </c>
      <c r="AG55" s="44">
        <f t="shared" si="248"/>
        <v>2713828.6699999995</v>
      </c>
      <c r="AH55" s="44">
        <f t="shared" si="248"/>
        <v>2656476.0999999996</v>
      </c>
      <c r="AI55" s="44">
        <f t="shared" si="248"/>
        <v>2241568.5700000003</v>
      </c>
      <c r="AJ55" s="44">
        <f t="shared" si="248"/>
        <v>2050332.64</v>
      </c>
      <c r="AK55" s="44">
        <f t="shared" si="248"/>
        <v>2540211.56</v>
      </c>
      <c r="AL55" s="44">
        <f t="shared" si="248"/>
        <v>2758522.64</v>
      </c>
      <c r="AM55" s="44">
        <f t="shared" si="248"/>
        <v>3731846.29</v>
      </c>
      <c r="AN55" s="44">
        <f t="shared" si="248"/>
        <v>3504116.61</v>
      </c>
      <c r="AO55" s="44">
        <f t="shared" si="248"/>
        <v>2834702.33</v>
      </c>
      <c r="AP55" s="44">
        <f t="shared" si="248"/>
        <v>2693990.7500000005</v>
      </c>
      <c r="AQ55" s="44">
        <f t="shared" si="248"/>
        <v>3224890.5700000003</v>
      </c>
      <c r="AR55" s="44">
        <f t="shared" si="248"/>
        <v>3677369.7199999997</v>
      </c>
      <c r="AS55" s="44">
        <f t="shared" si="248"/>
        <v>3821939.25</v>
      </c>
      <c r="AT55" s="44">
        <f t="shared" si="248"/>
        <v>3698449.99</v>
      </c>
      <c r="AU55" s="44">
        <f t="shared" si="248"/>
        <v>3264460.08</v>
      </c>
      <c r="AV55" s="44">
        <f t="shared" si="248"/>
        <v>2921768.73</v>
      </c>
      <c r="AW55" s="44">
        <f t="shared" si="248"/>
        <v>3431438.0600000005</v>
      </c>
      <c r="AX55" s="44">
        <f t="shared" ref="AX55:AY55" si="249">SUM(AX50:AX54)</f>
        <v>3659744.19</v>
      </c>
      <c r="AY55" s="44">
        <f t="shared" si="249"/>
        <v>2389556.5699999998</v>
      </c>
      <c r="AZ55" s="44">
        <f t="shared" ref="AZ55:BA55" si="250">SUM(AZ50:AZ54)</f>
        <v>693510.74</v>
      </c>
      <c r="BA55" s="44">
        <f t="shared" si="250"/>
        <v>590167.06999999995</v>
      </c>
      <c r="BB55" s="44">
        <f t="shared" ref="BB55:BC55" si="251">SUM(BB50:BB54)</f>
        <v>548810.87999999989</v>
      </c>
      <c r="BC55" s="44">
        <f t="shared" si="251"/>
        <v>622900.26</v>
      </c>
      <c r="BD55" s="44">
        <f t="shared" ref="BD55:BE55" si="252">SUM(BD50:BD54)</f>
        <v>774512.69000000006</v>
      </c>
      <c r="BE55" s="44">
        <f t="shared" si="252"/>
        <v>770258.37</v>
      </c>
      <c r="BF55" s="44">
        <f t="shared" ref="BF55:BG55" si="253">SUM(BF50:BF54)</f>
        <v>751740.31</v>
      </c>
      <c r="BG55" s="44">
        <f t="shared" si="253"/>
        <v>622388.87</v>
      </c>
      <c r="BH55" s="44">
        <f t="shared" ref="BH55:BI55" si="254">SUM(BH50:BH54)</f>
        <v>618464.56000000006</v>
      </c>
      <c r="BI55" s="44">
        <f t="shared" si="254"/>
        <v>686712.57</v>
      </c>
      <c r="BJ55" s="44">
        <f t="shared" ref="BJ55:BK55" si="255">SUM(BJ50:BJ54)</f>
        <v>753788.79</v>
      </c>
      <c r="BK55" s="44">
        <f t="shared" si="255"/>
        <v>123252.23000000001</v>
      </c>
      <c r="BL55" s="44">
        <f t="shared" ref="BL55:BM55" si="256">SUM(BL50:BL54)</f>
        <v>-572800.92000000004</v>
      </c>
      <c r="BM55" s="44">
        <f t="shared" si="256"/>
        <v>-433116.61000000004</v>
      </c>
      <c r="BN55" s="44">
        <f t="shared" ref="BN55:BO55" si="257">SUM(BN50:BN54)</f>
        <v>-422296.81000000006</v>
      </c>
      <c r="BO55" s="44">
        <f t="shared" si="257"/>
        <v>-511624.21</v>
      </c>
      <c r="BP55" s="44">
        <f t="shared" ref="BP55:BQ55" si="258">SUM(BP50:BP54)</f>
        <v>-644535.94999999995</v>
      </c>
      <c r="BQ55" s="44">
        <f t="shared" si="258"/>
        <v>-648872.89000000013</v>
      </c>
      <c r="BR55" s="44">
        <f t="shared" ref="BR55:BS55" si="259">SUM(BR50:BR54)</f>
        <v>-646588.67000000004</v>
      </c>
      <c r="BS55" s="44">
        <f t="shared" si="259"/>
        <v>-495839.7</v>
      </c>
      <c r="BT55" s="44">
        <f t="shared" ref="BT55:BU55" si="260">SUM(BT50:BT54)</f>
        <v>-452926.68000000005</v>
      </c>
      <c r="BU55" s="44">
        <f t="shared" si="260"/>
        <v>-540882.02999999991</v>
      </c>
      <c r="BV55" s="44">
        <f t="shared" ref="BV55:BW55" si="261">SUM(BV50:BV54)</f>
        <v>-651029.75000000012</v>
      </c>
      <c r="BW55" s="44">
        <f t="shared" si="261"/>
        <v>-427144.88000000006</v>
      </c>
      <c r="BX55" s="44">
        <f t="shared" ref="BX55:BY55" si="262">SUM(BX50:BX54)</f>
        <v>-59180.160000000003</v>
      </c>
      <c r="BY55" s="44">
        <f t="shared" si="262"/>
        <v>-58562.48</v>
      </c>
      <c r="BZ55" s="44">
        <f t="shared" ref="BZ55:CA55" si="263">SUM(BZ50:BZ54)</f>
        <v>-50748.47</v>
      </c>
      <c r="CA55" s="44">
        <f t="shared" si="263"/>
        <v>-58661.3</v>
      </c>
      <c r="CB55" s="44">
        <f t="shared" ref="CB55:CC55" si="264">SUM(CB50:CB54)</f>
        <v>-68462.3</v>
      </c>
      <c r="CC55" s="44">
        <f t="shared" si="264"/>
        <v>-66846.460000000006</v>
      </c>
      <c r="CD55" s="44">
        <f t="shared" ref="CD55:CE55" si="265">SUM(CD50:CD54)</f>
        <v>-62475.109999999993</v>
      </c>
      <c r="CE55" s="44">
        <f t="shared" si="265"/>
        <v>-52251.13</v>
      </c>
      <c r="CF55" s="44">
        <f t="shared" ref="CF55:CG55" si="266">SUM(CF50:CF54)</f>
        <v>-49844.26</v>
      </c>
      <c r="CG55" s="44">
        <f t="shared" si="266"/>
        <v>-59378.83</v>
      </c>
      <c r="CH55" s="44">
        <f t="shared" ref="CH55:CI55" si="267">SUM(CH50:CH54)</f>
        <v>-62477.82</v>
      </c>
      <c r="CI55" s="44">
        <f t="shared" si="267"/>
        <v>-23191.069999999996</v>
      </c>
      <c r="CJ55" s="44">
        <f t="shared" ref="CJ55:CK55" si="268">SUM(CJ50:CJ54)</f>
        <v>25380.51</v>
      </c>
      <c r="CK55" s="44">
        <f t="shared" si="268"/>
        <v>22966.98</v>
      </c>
      <c r="CL55" s="44">
        <f t="shared" ref="CL55:CM55" si="269">SUM(CL50:CL54)</f>
        <v>20634.36</v>
      </c>
      <c r="CM55" s="44">
        <f t="shared" si="269"/>
        <v>25481.59</v>
      </c>
      <c r="CN55" s="44">
        <f t="shared" ref="CN55:CO55" si="270">SUM(CN50:CN54)</f>
        <v>31453.350000000002</v>
      </c>
      <c r="CO55" s="44">
        <f t="shared" si="270"/>
        <v>32480.49</v>
      </c>
      <c r="CP55" s="44">
        <f t="shared" ref="CP55:CQ55" si="271">SUM(CP50:CP54)</f>
        <v>30891.69</v>
      </c>
      <c r="CQ55" s="44">
        <f t="shared" si="271"/>
        <v>23718.19</v>
      </c>
      <c r="CR55" s="44">
        <f t="shared" ref="CR55:CT55" si="272">SUM(CR50:CR54)</f>
        <v>22092.399436876844</v>
      </c>
      <c r="CS55" s="44">
        <f t="shared" si="272"/>
        <v>28096.130550047652</v>
      </c>
      <c r="CT55" s="44">
        <f t="shared" si="272"/>
        <v>35140.774850563517</v>
      </c>
    </row>
    <row r="56" spans="1:98" x14ac:dyDescent="0.35">
      <c r="A56" s="33"/>
      <c r="B56" s="31"/>
      <c r="C56" s="3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277" t="s">
        <v>144</v>
      </c>
      <c r="CS56" s="279"/>
      <c r="CT56" s="80"/>
    </row>
    <row r="57" spans="1:98" x14ac:dyDescent="0.35">
      <c r="A57" s="36" t="s">
        <v>61</v>
      </c>
      <c r="B57" s="37"/>
      <c r="C57" s="37"/>
      <c r="D57" s="41"/>
      <c r="E57" s="41"/>
      <c r="F57" s="41"/>
      <c r="G57" s="41"/>
      <c r="H57" s="41"/>
      <c r="I57" s="51"/>
      <c r="J57" s="51"/>
      <c r="K57" s="41"/>
      <c r="L57" s="51"/>
      <c r="M57" s="51"/>
      <c r="N57" s="41"/>
      <c r="O57" s="69"/>
      <c r="P57" s="42"/>
      <c r="Q57" s="42">
        <v>-32811.980000000003</v>
      </c>
      <c r="R57" s="42">
        <v>-27741.82</v>
      </c>
      <c r="S57" s="42">
        <v>-33591.72</v>
      </c>
      <c r="T57" s="42">
        <v>-43701.210000000006</v>
      </c>
      <c r="U57" s="42">
        <v>-44913.150000000016</v>
      </c>
      <c r="V57" s="42">
        <v>-37075.26</v>
      </c>
      <c r="W57" s="42">
        <v>-33337.619999999995</v>
      </c>
      <c r="X57" s="42">
        <v>-34636.379999999997</v>
      </c>
      <c r="Y57" s="42">
        <v>-46816.780000000006</v>
      </c>
      <c r="Z57" s="42">
        <v>-74379.199999999997</v>
      </c>
      <c r="AA57" s="42">
        <v>-53026.439999999981</v>
      </c>
      <c r="AB57" s="42">
        <v>-42925.730000000018</v>
      </c>
      <c r="AC57" s="42">
        <v>-42106.7</v>
      </c>
      <c r="AD57" s="42">
        <v>-28791.75</v>
      </c>
      <c r="AE57" s="42">
        <v>-35930.130000000005</v>
      </c>
      <c r="AF57" s="42">
        <v>-41963.429999999993</v>
      </c>
      <c r="AG57" s="42">
        <v>-36995.590000000011</v>
      </c>
      <c r="AH57" s="42">
        <v>-35204.390000000014</v>
      </c>
      <c r="AI57" s="42">
        <v>-30748.660000000003</v>
      </c>
      <c r="AJ57" s="42">
        <v>-34618.68</v>
      </c>
      <c r="AK57" s="42">
        <v>-50285.730000000018</v>
      </c>
      <c r="AL57" s="42">
        <v>-55873.150000000009</v>
      </c>
      <c r="AM57" s="42">
        <v>-60492.490000000013</v>
      </c>
      <c r="AN57" s="42">
        <v>-55114.330000000009</v>
      </c>
      <c r="AO57" s="42">
        <v>-36035.890000000007</v>
      </c>
      <c r="AP57" s="42">
        <v>-27170.160000000003</v>
      </c>
      <c r="AQ57" s="42">
        <v>-31591.290000000005</v>
      </c>
      <c r="AR57" s="42">
        <v>-38703.740000000013</v>
      </c>
      <c r="AS57" s="42">
        <v>-41224.720000000001</v>
      </c>
      <c r="AT57" s="42">
        <v>-37524.06</v>
      </c>
      <c r="AU57" s="42">
        <v>-31789.249999999996</v>
      </c>
      <c r="AV57" s="42">
        <v>-34917.82</v>
      </c>
      <c r="AW57" s="42">
        <v>-48130.950000000004</v>
      </c>
      <c r="AX57" s="42">
        <v>-53162.189999999995</v>
      </c>
      <c r="AY57" s="42">
        <v>-32508.630000000005</v>
      </c>
      <c r="AZ57" s="42">
        <v>-4700.05</v>
      </c>
      <c r="BA57" s="42">
        <v>-3259.1800000000003</v>
      </c>
      <c r="BB57" s="42">
        <v>-2682.7599999999998</v>
      </c>
      <c r="BC57" s="42">
        <v>-3058.82</v>
      </c>
      <c r="BD57" s="42">
        <v>-3921.83</v>
      </c>
      <c r="BE57" s="42">
        <v>-3613.12</v>
      </c>
      <c r="BF57" s="42">
        <v>-3328.0600000000004</v>
      </c>
      <c r="BG57" s="42">
        <v>-2482.1</v>
      </c>
      <c r="BH57" s="42">
        <v>-2937.02</v>
      </c>
      <c r="BI57" s="42">
        <v>-4062.2200000000003</v>
      </c>
      <c r="BJ57" s="42">
        <v>-5469.2800000000007</v>
      </c>
      <c r="BK57" s="42">
        <v>3825.8900000000003</v>
      </c>
      <c r="BL57" s="42">
        <v>11958.71</v>
      </c>
      <c r="BM57" s="42">
        <v>7797.5</v>
      </c>
      <c r="BN57" s="42">
        <v>6812.78</v>
      </c>
      <c r="BO57" s="42">
        <v>7728.46</v>
      </c>
      <c r="BP57" s="42">
        <v>10162.719999999999</v>
      </c>
      <c r="BQ57" s="42">
        <v>10354.620000000001</v>
      </c>
      <c r="BR57" s="42">
        <v>10275.1</v>
      </c>
      <c r="BS57" s="42">
        <v>7262</v>
      </c>
      <c r="BT57" s="42">
        <v>7844.09</v>
      </c>
      <c r="BU57" s="42">
        <v>10087.69</v>
      </c>
      <c r="BV57" s="42">
        <v>12406.73</v>
      </c>
      <c r="BW57" s="42">
        <v>8862.6500000000015</v>
      </c>
      <c r="BX57" s="42">
        <v>487.33999999999992</v>
      </c>
      <c r="BY57" s="42">
        <v>308.75</v>
      </c>
      <c r="BZ57" s="42">
        <v>257.05</v>
      </c>
      <c r="CA57" s="42">
        <v>302.51</v>
      </c>
      <c r="CB57" s="42">
        <v>412.95</v>
      </c>
      <c r="CC57" s="42">
        <v>413.28</v>
      </c>
      <c r="CD57" s="42">
        <v>356.38</v>
      </c>
      <c r="CE57" s="42">
        <v>279.54000000000002</v>
      </c>
      <c r="CF57" s="42">
        <v>295.49</v>
      </c>
      <c r="CG57" s="42">
        <v>480.58</v>
      </c>
      <c r="CH57" s="42">
        <v>587.4</v>
      </c>
      <c r="CI57" s="42">
        <v>-4.9800000000000004</v>
      </c>
      <c r="CJ57" s="42">
        <v>-743.90000000000009</v>
      </c>
      <c r="CK57" s="42">
        <v>-640.79999999999995</v>
      </c>
      <c r="CL57" s="42">
        <v>-500.27000000000004</v>
      </c>
      <c r="CM57" s="42">
        <v>-591.83999999999992</v>
      </c>
      <c r="CN57" s="42">
        <v>-763.37999999999988</v>
      </c>
      <c r="CO57" s="42">
        <v>-806.91999999999985</v>
      </c>
      <c r="CP57" s="42">
        <v>-754.26999999999987</v>
      </c>
      <c r="CQ57" s="42">
        <v>-592.09999999999991</v>
      </c>
      <c r="CR57" s="276">
        <f>'[1]TDR (M2)'!CR36</f>
        <v>-547.80271476980045</v>
      </c>
      <c r="CS57" s="276">
        <f>'[1]TDR (M2)'!CS36</f>
        <v>-750.59821106404058</v>
      </c>
      <c r="CT57" s="276">
        <f>'[1]TDR (M2)'!CT36</f>
        <v>-984.90695273775816</v>
      </c>
    </row>
    <row r="58" spans="1:98" x14ac:dyDescent="0.35">
      <c r="B58" s="37"/>
      <c r="C58" s="37"/>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row>
    <row r="59" spans="1:98" x14ac:dyDescent="0.35">
      <c r="A59" s="27" t="s">
        <v>32</v>
      </c>
      <c r="B59" s="37"/>
      <c r="C59" s="37"/>
      <c r="S59" s="83"/>
    </row>
    <row r="60" spans="1:98" x14ac:dyDescent="0.35">
      <c r="A60" t="s">
        <v>33</v>
      </c>
      <c r="B60" s="37"/>
      <c r="C60" s="37"/>
      <c r="D60" s="81">
        <f t="shared" ref="D60:AI60" si="273">+D23</f>
        <v>993615280</v>
      </c>
      <c r="E60" s="81">
        <f t="shared" si="273"/>
        <v>799965556</v>
      </c>
      <c r="F60" s="81">
        <f t="shared" si="273"/>
        <v>694347365</v>
      </c>
      <c r="G60" s="81">
        <f t="shared" si="273"/>
        <v>1033880199</v>
      </c>
      <c r="H60" s="81">
        <f t="shared" si="273"/>
        <v>1389519683</v>
      </c>
      <c r="I60" s="81">
        <f t="shared" si="273"/>
        <v>1393717014</v>
      </c>
      <c r="J60" s="81">
        <f t="shared" si="273"/>
        <v>1260356462</v>
      </c>
      <c r="K60" s="81">
        <f t="shared" si="273"/>
        <v>898752689</v>
      </c>
      <c r="L60" s="81">
        <f t="shared" si="273"/>
        <v>737254549</v>
      </c>
      <c r="M60" s="81">
        <f t="shared" si="273"/>
        <v>1139687162</v>
      </c>
      <c r="N60" s="81">
        <f t="shared" si="273"/>
        <v>1486587515</v>
      </c>
      <c r="O60" s="81">
        <f t="shared" si="273"/>
        <v>1118519560</v>
      </c>
      <c r="P60" s="81">
        <f t="shared" si="273"/>
        <v>900425374</v>
      </c>
      <c r="Q60" s="81">
        <f t="shared" si="273"/>
        <v>785388980</v>
      </c>
      <c r="R60" s="81">
        <f t="shared" si="273"/>
        <v>745552820</v>
      </c>
      <c r="S60" s="81">
        <f t="shared" si="273"/>
        <v>999249366</v>
      </c>
      <c r="T60" s="81">
        <f t="shared" si="273"/>
        <v>1328710328</v>
      </c>
      <c r="U60" s="81">
        <f t="shared" si="273"/>
        <v>1345571317</v>
      </c>
      <c r="V60" s="81">
        <f t="shared" si="273"/>
        <v>1065182267</v>
      </c>
      <c r="W60" s="81">
        <f t="shared" si="273"/>
        <v>935823271</v>
      </c>
      <c r="X60" s="81">
        <f t="shared" si="273"/>
        <v>821487370</v>
      </c>
      <c r="Y60" s="81">
        <f t="shared" si="273"/>
        <v>1061048123</v>
      </c>
      <c r="Z60" s="81">
        <f t="shared" si="273"/>
        <v>1655009463</v>
      </c>
      <c r="AA60" s="81">
        <f t="shared" si="273"/>
        <v>1329247401</v>
      </c>
      <c r="AB60" s="81">
        <f t="shared" si="273"/>
        <v>1071720684</v>
      </c>
      <c r="AC60" s="81">
        <f t="shared" si="273"/>
        <v>1035354332</v>
      </c>
      <c r="AD60" s="81">
        <f t="shared" si="273"/>
        <v>838111932</v>
      </c>
      <c r="AE60" s="81">
        <f t="shared" si="273"/>
        <v>1238437606</v>
      </c>
      <c r="AF60" s="81">
        <f t="shared" si="273"/>
        <v>1451979984</v>
      </c>
      <c r="AG60" s="81">
        <f t="shared" si="273"/>
        <v>1300666274</v>
      </c>
      <c r="AH60" s="81">
        <f t="shared" si="273"/>
        <v>1250635703</v>
      </c>
      <c r="AI60" s="81">
        <f t="shared" si="273"/>
        <v>971081766</v>
      </c>
      <c r="AJ60" s="81">
        <f t="shared" ref="AJ60:BO60" si="274">+AJ23</f>
        <v>906818656</v>
      </c>
      <c r="AK60" s="81">
        <f t="shared" si="274"/>
        <v>1263779046</v>
      </c>
      <c r="AL60" s="81">
        <f t="shared" si="274"/>
        <v>1395672993</v>
      </c>
      <c r="AM60" s="81">
        <f t="shared" si="274"/>
        <v>1407530571</v>
      </c>
      <c r="AN60" s="81">
        <f t="shared" si="274"/>
        <v>1268128455</v>
      </c>
      <c r="AO60" s="81">
        <f t="shared" si="274"/>
        <v>872933544</v>
      </c>
      <c r="AP60" s="81">
        <f t="shared" si="274"/>
        <v>738196558</v>
      </c>
      <c r="AQ60" s="81">
        <f t="shared" si="274"/>
        <v>978975302</v>
      </c>
      <c r="AR60" s="81">
        <f t="shared" si="274"/>
        <v>1243909773</v>
      </c>
      <c r="AS60" s="81">
        <f t="shared" si="274"/>
        <v>1310015315</v>
      </c>
      <c r="AT60" s="81">
        <f t="shared" si="274"/>
        <v>1208033233</v>
      </c>
      <c r="AU60" s="81">
        <f t="shared" si="274"/>
        <v>993546162</v>
      </c>
      <c r="AV60" s="81">
        <f t="shared" si="274"/>
        <v>897156231</v>
      </c>
      <c r="AW60" s="81">
        <f t="shared" si="274"/>
        <v>1208147189</v>
      </c>
      <c r="AX60" s="81">
        <f t="shared" si="274"/>
        <v>1334184680</v>
      </c>
      <c r="AY60" s="81">
        <f t="shared" si="274"/>
        <v>1302694951</v>
      </c>
      <c r="AZ60" s="81">
        <f t="shared" si="274"/>
        <v>1123586700</v>
      </c>
      <c r="BA60" s="81">
        <f t="shared" si="274"/>
        <v>886578697</v>
      </c>
      <c r="BB60" s="81">
        <f t="shared" si="274"/>
        <v>790098101</v>
      </c>
      <c r="BC60" s="81">
        <f t="shared" si="274"/>
        <v>1041013964</v>
      </c>
      <c r="BD60" s="81">
        <f t="shared" si="274"/>
        <v>1397050553</v>
      </c>
      <c r="BE60" s="81">
        <f t="shared" si="274"/>
        <v>1310723723</v>
      </c>
      <c r="BF60" s="81">
        <f t="shared" si="274"/>
        <v>1275164339</v>
      </c>
      <c r="BG60" s="81">
        <f t="shared" si="274"/>
        <v>800796996</v>
      </c>
      <c r="BH60" s="81">
        <f t="shared" si="274"/>
        <v>856955103</v>
      </c>
      <c r="BI60" s="81">
        <f t="shared" si="274"/>
        <v>1137867523</v>
      </c>
      <c r="BJ60" s="81">
        <f t="shared" si="274"/>
        <v>1482496943</v>
      </c>
      <c r="BK60" s="81">
        <f t="shared" si="274"/>
        <v>1507047480</v>
      </c>
      <c r="BL60" s="81">
        <f t="shared" si="274"/>
        <v>1193201650</v>
      </c>
      <c r="BM60" s="81">
        <f t="shared" si="274"/>
        <v>803567941</v>
      </c>
      <c r="BN60" s="81">
        <f t="shared" si="274"/>
        <v>753161249</v>
      </c>
      <c r="BO60" s="81">
        <f t="shared" si="274"/>
        <v>1061485022</v>
      </c>
      <c r="BP60" s="81">
        <f t="shared" ref="BP60:CT60" si="275">+BP23</f>
        <v>1299384453</v>
      </c>
      <c r="BQ60" s="81">
        <f t="shared" si="275"/>
        <v>1325635096</v>
      </c>
      <c r="BR60" s="81">
        <f t="shared" si="275"/>
        <v>1302322503</v>
      </c>
      <c r="BS60" s="81">
        <f t="shared" si="275"/>
        <v>902367562</v>
      </c>
      <c r="BT60" s="81">
        <f t="shared" si="275"/>
        <v>849229853</v>
      </c>
      <c r="BU60" s="81">
        <f t="shared" si="275"/>
        <v>1063566547</v>
      </c>
      <c r="BV60" s="81">
        <f t="shared" si="275"/>
        <v>1372451320</v>
      </c>
      <c r="BW60" s="81">
        <f t="shared" si="275"/>
        <v>1445914846</v>
      </c>
      <c r="BX60" s="81">
        <f t="shared" si="275"/>
        <v>1156058653</v>
      </c>
      <c r="BY60" s="81">
        <f t="shared" si="275"/>
        <v>900363528</v>
      </c>
      <c r="BZ60" s="81">
        <f t="shared" si="275"/>
        <v>837159184</v>
      </c>
      <c r="CA60" s="81">
        <f t="shared" si="275"/>
        <v>1060197293</v>
      </c>
      <c r="CB60" s="81">
        <f t="shared" si="275"/>
        <v>1457350528</v>
      </c>
      <c r="CC60" s="81">
        <f t="shared" si="275"/>
        <v>1390553772</v>
      </c>
      <c r="CD60" s="81">
        <f t="shared" si="275"/>
        <v>1159635260</v>
      </c>
      <c r="CE60" s="81">
        <f t="shared" si="275"/>
        <v>837049627</v>
      </c>
      <c r="CF60" s="81">
        <f t="shared" si="275"/>
        <v>795371527</v>
      </c>
      <c r="CG60" s="81">
        <f t="shared" si="275"/>
        <v>1056098740.4689</v>
      </c>
      <c r="CH60" s="81">
        <f t="shared" si="275"/>
        <v>1465026007</v>
      </c>
      <c r="CI60" s="81">
        <f t="shared" si="275"/>
        <v>1251994199</v>
      </c>
      <c r="CJ60" s="81">
        <f t="shared" si="275"/>
        <v>1034539781</v>
      </c>
      <c r="CK60" s="81">
        <f t="shared" si="275"/>
        <v>890081676</v>
      </c>
      <c r="CL60" s="81">
        <f t="shared" si="275"/>
        <v>758154085</v>
      </c>
      <c r="CM60" s="81">
        <f t="shared" si="275"/>
        <v>977251664</v>
      </c>
      <c r="CN60" s="81">
        <f t="shared" si="275"/>
        <v>1278057997</v>
      </c>
      <c r="CO60" s="81">
        <f t="shared" si="275"/>
        <v>1318572650</v>
      </c>
      <c r="CP60" s="81">
        <f t="shared" si="275"/>
        <v>1220075915</v>
      </c>
      <c r="CQ60" s="81">
        <f t="shared" si="275"/>
        <v>887307993</v>
      </c>
      <c r="CR60" s="81">
        <f t="shared" si="275"/>
        <v>821237675.48673487</v>
      </c>
      <c r="CS60" s="81">
        <f t="shared" si="275"/>
        <v>1125258260.7915118</v>
      </c>
      <c r="CT60" s="81">
        <f t="shared" si="275"/>
        <v>1476521883.9358521</v>
      </c>
    </row>
    <row r="61" spans="1:98" x14ac:dyDescent="0.35">
      <c r="A61" t="s">
        <v>34</v>
      </c>
      <c r="B61" s="37"/>
      <c r="C61" s="37"/>
      <c r="D61" s="81">
        <f t="shared" ref="D61:AI61" si="276">+D24</f>
        <v>260227273</v>
      </c>
      <c r="E61" s="81">
        <f t="shared" si="276"/>
        <v>236480663</v>
      </c>
      <c r="F61" s="81">
        <f t="shared" si="276"/>
        <v>226604577</v>
      </c>
      <c r="G61" s="81">
        <f t="shared" si="276"/>
        <v>276800633</v>
      </c>
      <c r="H61" s="81">
        <f t="shared" si="276"/>
        <v>328433342</v>
      </c>
      <c r="I61" s="81">
        <f t="shared" si="276"/>
        <v>327996744</v>
      </c>
      <c r="J61" s="81">
        <f t="shared" si="276"/>
        <v>315410170</v>
      </c>
      <c r="K61" s="81">
        <f t="shared" si="276"/>
        <v>268275261</v>
      </c>
      <c r="L61" s="81">
        <f t="shared" si="276"/>
        <v>238400191</v>
      </c>
      <c r="M61" s="81">
        <f t="shared" si="276"/>
        <v>276639061</v>
      </c>
      <c r="N61" s="81">
        <f t="shared" si="276"/>
        <v>331623730</v>
      </c>
      <c r="O61" s="81">
        <f t="shared" si="276"/>
        <v>274620464</v>
      </c>
      <c r="P61" s="81">
        <f t="shared" si="276"/>
        <v>244043467</v>
      </c>
      <c r="Q61" s="81">
        <f t="shared" si="276"/>
        <v>230986921</v>
      </c>
      <c r="R61" s="81">
        <f t="shared" si="276"/>
        <v>228484392</v>
      </c>
      <c r="S61" s="81">
        <f t="shared" si="276"/>
        <v>271547337</v>
      </c>
      <c r="T61" s="81">
        <f t="shared" si="276"/>
        <v>314773105</v>
      </c>
      <c r="U61" s="81">
        <f t="shared" si="276"/>
        <v>317794583</v>
      </c>
      <c r="V61" s="81">
        <f t="shared" si="276"/>
        <v>284270101</v>
      </c>
      <c r="W61" s="81">
        <f t="shared" si="276"/>
        <v>269129889</v>
      </c>
      <c r="X61" s="81">
        <f t="shared" si="276"/>
        <v>240618906</v>
      </c>
      <c r="Y61" s="81">
        <f t="shared" si="276"/>
        <v>265688240</v>
      </c>
      <c r="Z61" s="81">
        <f t="shared" si="276"/>
        <v>350848362</v>
      </c>
      <c r="AA61" s="81">
        <f t="shared" si="276"/>
        <v>304988610</v>
      </c>
      <c r="AB61" s="81">
        <f t="shared" si="276"/>
        <v>267166722</v>
      </c>
      <c r="AC61" s="81">
        <f t="shared" si="276"/>
        <v>263421812</v>
      </c>
      <c r="AD61" s="81">
        <f t="shared" si="276"/>
        <v>238338730</v>
      </c>
      <c r="AE61" s="81">
        <f t="shared" si="276"/>
        <v>299991891</v>
      </c>
      <c r="AF61" s="81">
        <f t="shared" si="276"/>
        <v>330814291</v>
      </c>
      <c r="AG61" s="81">
        <f t="shared" si="276"/>
        <v>309298324</v>
      </c>
      <c r="AH61" s="81">
        <f t="shared" si="276"/>
        <v>303923884</v>
      </c>
      <c r="AI61" s="81">
        <f t="shared" si="276"/>
        <v>267631865</v>
      </c>
      <c r="AJ61" s="81">
        <f t="shared" ref="AJ61:BO61" si="277">+AJ24</f>
        <v>241319654</v>
      </c>
      <c r="AK61" s="81">
        <f t="shared" si="277"/>
        <v>291652347</v>
      </c>
      <c r="AL61" s="81">
        <f t="shared" si="277"/>
        <v>307968093</v>
      </c>
      <c r="AM61" s="81">
        <f t="shared" si="277"/>
        <v>308068267</v>
      </c>
      <c r="AN61" s="81">
        <f t="shared" si="277"/>
        <v>290178959</v>
      </c>
      <c r="AO61" s="81">
        <f t="shared" si="277"/>
        <v>235096003</v>
      </c>
      <c r="AP61" s="81">
        <f t="shared" si="277"/>
        <v>221772499</v>
      </c>
      <c r="AQ61" s="81">
        <f t="shared" si="277"/>
        <v>258735845</v>
      </c>
      <c r="AR61" s="81">
        <f t="shared" si="277"/>
        <v>295975497</v>
      </c>
      <c r="AS61" s="81">
        <f t="shared" si="277"/>
        <v>304175879</v>
      </c>
      <c r="AT61" s="81">
        <f t="shared" si="277"/>
        <v>293549572</v>
      </c>
      <c r="AU61" s="81">
        <f t="shared" si="277"/>
        <v>264736629</v>
      </c>
      <c r="AV61" s="81">
        <f t="shared" si="277"/>
        <v>237145043</v>
      </c>
      <c r="AW61" s="81">
        <f t="shared" si="277"/>
        <v>278572550</v>
      </c>
      <c r="AX61" s="81">
        <f t="shared" si="277"/>
        <v>297050898</v>
      </c>
      <c r="AY61" s="81">
        <f t="shared" si="277"/>
        <v>290934660</v>
      </c>
      <c r="AZ61" s="81">
        <f t="shared" si="277"/>
        <v>265078600</v>
      </c>
      <c r="BA61" s="81">
        <f t="shared" si="277"/>
        <v>203506574</v>
      </c>
      <c r="BB61" s="81">
        <f t="shared" si="277"/>
        <v>184563246</v>
      </c>
      <c r="BC61" s="81">
        <f t="shared" si="277"/>
        <v>231230759</v>
      </c>
      <c r="BD61" s="81">
        <f t="shared" si="277"/>
        <v>288425422</v>
      </c>
      <c r="BE61" s="81">
        <f t="shared" si="277"/>
        <v>281389691</v>
      </c>
      <c r="BF61" s="81">
        <f t="shared" si="277"/>
        <v>269111017</v>
      </c>
      <c r="BG61" s="81">
        <f t="shared" si="277"/>
        <v>218212399</v>
      </c>
      <c r="BH61" s="81">
        <f t="shared" si="277"/>
        <v>218068919</v>
      </c>
      <c r="BI61" s="81">
        <f t="shared" si="277"/>
        <v>251883126</v>
      </c>
      <c r="BJ61" s="81">
        <f t="shared" si="277"/>
        <v>300425840</v>
      </c>
      <c r="BK61" s="81">
        <f t="shared" si="277"/>
        <v>303577891</v>
      </c>
      <c r="BL61" s="81">
        <f t="shared" si="277"/>
        <v>265359424</v>
      </c>
      <c r="BM61" s="81">
        <f t="shared" si="277"/>
        <v>211100441</v>
      </c>
      <c r="BN61" s="81">
        <f t="shared" si="277"/>
        <v>205986967</v>
      </c>
      <c r="BO61" s="81">
        <f t="shared" si="277"/>
        <v>264522271</v>
      </c>
      <c r="BP61" s="81">
        <f t="shared" ref="BP61:CT61" si="278">+BP24</f>
        <v>291815734</v>
      </c>
      <c r="BQ61" s="81">
        <f t="shared" si="278"/>
        <v>291413887</v>
      </c>
      <c r="BR61" s="81">
        <f t="shared" si="278"/>
        <v>294374400</v>
      </c>
      <c r="BS61" s="81">
        <f t="shared" si="278"/>
        <v>245524134</v>
      </c>
      <c r="BT61" s="81">
        <f t="shared" si="278"/>
        <v>219607166</v>
      </c>
      <c r="BU61" s="81">
        <f t="shared" si="278"/>
        <v>250466096</v>
      </c>
      <c r="BV61" s="81">
        <f t="shared" si="278"/>
        <v>295383726</v>
      </c>
      <c r="BW61" s="81">
        <f t="shared" si="278"/>
        <v>301077290</v>
      </c>
      <c r="BX61" s="81">
        <f t="shared" si="278"/>
        <v>261058604</v>
      </c>
      <c r="BY61" s="81">
        <f t="shared" si="278"/>
        <v>230949228</v>
      </c>
      <c r="BZ61" s="81">
        <f t="shared" si="278"/>
        <v>223998788</v>
      </c>
      <c r="CA61" s="81">
        <f t="shared" si="278"/>
        <v>260692423</v>
      </c>
      <c r="CB61" s="81">
        <f t="shared" si="278"/>
        <v>312328749</v>
      </c>
      <c r="CC61" s="81">
        <f t="shared" si="278"/>
        <v>305346654</v>
      </c>
      <c r="CD61" s="81">
        <f t="shared" si="278"/>
        <v>279929276</v>
      </c>
      <c r="CE61" s="81">
        <f t="shared" si="278"/>
        <v>230143220</v>
      </c>
      <c r="CF61" s="81">
        <f t="shared" si="278"/>
        <v>219390300</v>
      </c>
      <c r="CG61" s="81">
        <f t="shared" si="278"/>
        <v>274277285</v>
      </c>
      <c r="CH61" s="81">
        <f t="shared" si="278"/>
        <v>313843493</v>
      </c>
      <c r="CI61" s="81">
        <f t="shared" si="278"/>
        <v>275065920</v>
      </c>
      <c r="CJ61" s="81">
        <f t="shared" si="278"/>
        <v>246366200</v>
      </c>
      <c r="CK61" s="81">
        <f t="shared" si="278"/>
        <v>226379912</v>
      </c>
      <c r="CL61" s="81">
        <f t="shared" si="278"/>
        <v>209000108</v>
      </c>
      <c r="CM61" s="81">
        <f t="shared" si="278"/>
        <v>251344146</v>
      </c>
      <c r="CN61" s="81">
        <f t="shared" si="278"/>
        <v>291402974</v>
      </c>
      <c r="CO61" s="81">
        <f t="shared" si="278"/>
        <v>297748759</v>
      </c>
      <c r="CP61" s="81">
        <f t="shared" si="278"/>
        <v>290701055</v>
      </c>
      <c r="CQ61" s="81">
        <f t="shared" si="278"/>
        <v>244186013</v>
      </c>
      <c r="CR61" s="81">
        <f t="shared" si="278"/>
        <v>224394164.95312458</v>
      </c>
      <c r="CS61" s="81">
        <f t="shared" si="278"/>
        <v>263413475.34842947</v>
      </c>
      <c r="CT61" s="81">
        <f t="shared" si="278"/>
        <v>307004998.80382639</v>
      </c>
    </row>
    <row r="62" spans="1:98" x14ac:dyDescent="0.35">
      <c r="A62" t="s">
        <v>35</v>
      </c>
      <c r="B62" s="37"/>
      <c r="C62" s="37"/>
      <c r="D62" s="81">
        <f t="shared" ref="D62:AI62" si="279">+D25</f>
        <v>596370095</v>
      </c>
      <c r="E62" s="81">
        <f t="shared" si="279"/>
        <v>585567373</v>
      </c>
      <c r="F62" s="81">
        <f t="shared" si="279"/>
        <v>584363020</v>
      </c>
      <c r="G62" s="81">
        <f t="shared" si="279"/>
        <v>661650596</v>
      </c>
      <c r="H62" s="81">
        <f t="shared" si="279"/>
        <v>744450846</v>
      </c>
      <c r="I62" s="81">
        <f t="shared" si="279"/>
        <v>746230356</v>
      </c>
      <c r="J62" s="81">
        <f t="shared" si="279"/>
        <v>749176357</v>
      </c>
      <c r="K62" s="81">
        <f t="shared" si="279"/>
        <v>659221190</v>
      </c>
      <c r="L62" s="81">
        <f t="shared" si="279"/>
        <v>600231827</v>
      </c>
      <c r="M62" s="81">
        <f t="shared" si="279"/>
        <v>624953134</v>
      </c>
      <c r="N62" s="81">
        <f t="shared" si="279"/>
        <v>693030252</v>
      </c>
      <c r="O62" s="81">
        <f t="shared" si="279"/>
        <v>607344097</v>
      </c>
      <c r="P62" s="81">
        <f t="shared" si="279"/>
        <v>572358448</v>
      </c>
      <c r="Q62" s="81">
        <f t="shared" si="279"/>
        <v>562854773</v>
      </c>
      <c r="R62" s="81">
        <f t="shared" si="279"/>
        <v>578075204</v>
      </c>
      <c r="S62" s="81">
        <f t="shared" si="279"/>
        <v>655641906</v>
      </c>
      <c r="T62" s="81">
        <f t="shared" si="279"/>
        <v>714056556</v>
      </c>
      <c r="U62" s="81">
        <f t="shared" si="279"/>
        <v>727381902</v>
      </c>
      <c r="V62" s="81">
        <f t="shared" si="279"/>
        <v>685704779</v>
      </c>
      <c r="W62" s="81">
        <f t="shared" si="279"/>
        <v>658415575</v>
      </c>
      <c r="X62" s="81">
        <f t="shared" si="279"/>
        <v>591258230</v>
      </c>
      <c r="Y62" s="81">
        <f t="shared" si="279"/>
        <v>617045102</v>
      </c>
      <c r="Z62" s="81">
        <f t="shared" si="279"/>
        <v>713223360</v>
      </c>
      <c r="AA62" s="81">
        <f t="shared" si="279"/>
        <v>637748229</v>
      </c>
      <c r="AB62" s="81">
        <f t="shared" si="279"/>
        <v>591995322</v>
      </c>
      <c r="AC62" s="81">
        <f t="shared" si="279"/>
        <v>597309651</v>
      </c>
      <c r="AD62" s="81">
        <f t="shared" si="279"/>
        <v>591787732</v>
      </c>
      <c r="AE62" s="81">
        <f t="shared" si="279"/>
        <v>706111391</v>
      </c>
      <c r="AF62" s="81">
        <f t="shared" si="279"/>
        <v>750019857</v>
      </c>
      <c r="AG62" s="81">
        <f t="shared" si="279"/>
        <v>709167976</v>
      </c>
      <c r="AH62" s="81">
        <f t="shared" si="279"/>
        <v>721543630</v>
      </c>
      <c r="AI62" s="81">
        <f t="shared" si="279"/>
        <v>655717182</v>
      </c>
      <c r="AJ62" s="81">
        <f t="shared" ref="AJ62:BO62" si="280">+AJ25</f>
        <v>583325592</v>
      </c>
      <c r="AK62" s="81">
        <f t="shared" si="280"/>
        <v>635010680</v>
      </c>
      <c r="AL62" s="81">
        <f t="shared" si="280"/>
        <v>645753087</v>
      </c>
      <c r="AM62" s="81">
        <f t="shared" si="280"/>
        <v>624256369</v>
      </c>
      <c r="AN62" s="81">
        <f t="shared" si="280"/>
        <v>599641261</v>
      </c>
      <c r="AO62" s="81">
        <f t="shared" si="280"/>
        <v>546450417</v>
      </c>
      <c r="AP62" s="81">
        <f t="shared" si="280"/>
        <v>548775486</v>
      </c>
      <c r="AQ62" s="81">
        <f t="shared" si="280"/>
        <v>609609142</v>
      </c>
      <c r="AR62" s="81">
        <f t="shared" si="280"/>
        <v>656813642</v>
      </c>
      <c r="AS62" s="81">
        <f t="shared" si="280"/>
        <v>671886437</v>
      </c>
      <c r="AT62" s="81">
        <f t="shared" si="280"/>
        <v>678219627</v>
      </c>
      <c r="AU62" s="81">
        <f t="shared" si="280"/>
        <v>622550219</v>
      </c>
      <c r="AV62" s="81">
        <f t="shared" si="280"/>
        <v>549600433</v>
      </c>
      <c r="AW62" s="81">
        <f t="shared" si="280"/>
        <v>596432225</v>
      </c>
      <c r="AX62" s="81">
        <f t="shared" si="280"/>
        <v>616923082</v>
      </c>
      <c r="AY62" s="81">
        <f t="shared" si="280"/>
        <v>599527620</v>
      </c>
      <c r="AZ62" s="81">
        <f t="shared" si="280"/>
        <v>566693954</v>
      </c>
      <c r="BA62" s="81">
        <f t="shared" si="280"/>
        <v>483801855</v>
      </c>
      <c r="BB62" s="81">
        <f t="shared" si="280"/>
        <v>451939609</v>
      </c>
      <c r="BC62" s="81">
        <f t="shared" si="280"/>
        <v>534583835</v>
      </c>
      <c r="BD62" s="81">
        <f t="shared" si="280"/>
        <v>624356693</v>
      </c>
      <c r="BE62" s="81">
        <f t="shared" si="280"/>
        <v>621885740</v>
      </c>
      <c r="BF62" s="81">
        <f t="shared" si="280"/>
        <v>619148163</v>
      </c>
      <c r="BG62" s="81">
        <f t="shared" si="280"/>
        <v>528448107.69999999</v>
      </c>
      <c r="BH62" s="81">
        <f t="shared" si="280"/>
        <v>514648084</v>
      </c>
      <c r="BI62" s="81">
        <f t="shared" si="280"/>
        <v>553120787</v>
      </c>
      <c r="BJ62" s="81">
        <f t="shared" si="280"/>
        <v>592823385</v>
      </c>
      <c r="BK62" s="81">
        <f t="shared" si="280"/>
        <v>585712392</v>
      </c>
      <c r="BL62" s="81">
        <f t="shared" si="280"/>
        <v>543642088</v>
      </c>
      <c r="BM62" s="81">
        <f t="shared" si="280"/>
        <v>483262229</v>
      </c>
      <c r="BN62" s="81">
        <f t="shared" si="280"/>
        <v>492375125.19999999</v>
      </c>
      <c r="BO62" s="81">
        <f t="shared" si="280"/>
        <v>586671915</v>
      </c>
      <c r="BP62" s="81">
        <f t="shared" ref="BP62:CT62" si="281">+BP25</f>
        <v>641235470</v>
      </c>
      <c r="BQ62" s="81">
        <f t="shared" si="281"/>
        <v>634777638</v>
      </c>
      <c r="BR62" s="81">
        <f t="shared" si="281"/>
        <v>647017474</v>
      </c>
      <c r="BS62" s="81">
        <f t="shared" si="281"/>
        <v>568724491</v>
      </c>
      <c r="BT62" s="81">
        <f t="shared" si="281"/>
        <v>505304455</v>
      </c>
      <c r="BU62" s="81">
        <f t="shared" si="281"/>
        <v>555282313.60000002</v>
      </c>
      <c r="BV62" s="81">
        <f t="shared" si="281"/>
        <v>590675076</v>
      </c>
      <c r="BW62" s="81">
        <f t="shared" si="281"/>
        <v>582248455</v>
      </c>
      <c r="BX62" s="81">
        <f t="shared" si="281"/>
        <v>534070902</v>
      </c>
      <c r="BY62" s="81">
        <f t="shared" si="281"/>
        <v>506459043</v>
      </c>
      <c r="BZ62" s="81">
        <f t="shared" si="281"/>
        <v>516003997</v>
      </c>
      <c r="CA62" s="81">
        <f t="shared" si="281"/>
        <v>579943536</v>
      </c>
      <c r="CB62" s="81">
        <f t="shared" si="281"/>
        <v>650768443</v>
      </c>
      <c r="CC62" s="81">
        <f t="shared" si="281"/>
        <v>645110540</v>
      </c>
      <c r="CD62" s="81">
        <f t="shared" si="281"/>
        <v>617464584</v>
      </c>
      <c r="CE62" s="81">
        <f t="shared" si="281"/>
        <v>530232061</v>
      </c>
      <c r="CF62" s="81">
        <f t="shared" si="281"/>
        <v>516180366</v>
      </c>
      <c r="CG62" s="81">
        <f t="shared" si="281"/>
        <v>573339069</v>
      </c>
      <c r="CH62" s="81">
        <f t="shared" si="281"/>
        <v>603008465</v>
      </c>
      <c r="CI62" s="81">
        <f t="shared" si="281"/>
        <v>535848689</v>
      </c>
      <c r="CJ62" s="81">
        <f t="shared" si="281"/>
        <v>513226736</v>
      </c>
      <c r="CK62" s="81">
        <f t="shared" si="281"/>
        <v>490211820</v>
      </c>
      <c r="CL62" s="81">
        <f t="shared" si="281"/>
        <v>487205076</v>
      </c>
      <c r="CM62" s="81">
        <f t="shared" si="281"/>
        <v>550130655</v>
      </c>
      <c r="CN62" s="81">
        <f t="shared" si="281"/>
        <v>592309179</v>
      </c>
      <c r="CO62" s="81">
        <f t="shared" si="281"/>
        <v>613854730</v>
      </c>
      <c r="CP62" s="81">
        <f t="shared" si="281"/>
        <v>614247424</v>
      </c>
      <c r="CQ62" s="81">
        <f t="shared" si="281"/>
        <v>540155873</v>
      </c>
      <c r="CR62" s="81">
        <f t="shared" si="281"/>
        <v>505275520.80296195</v>
      </c>
      <c r="CS62" s="81">
        <f t="shared" si="281"/>
        <v>543131543.47985172</v>
      </c>
      <c r="CT62" s="81">
        <f t="shared" si="281"/>
        <v>605219290.5250392</v>
      </c>
    </row>
    <row r="63" spans="1:98" x14ac:dyDescent="0.35">
      <c r="A63" t="s">
        <v>36</v>
      </c>
      <c r="B63" s="37"/>
      <c r="C63" s="37"/>
      <c r="D63" s="81">
        <f t="shared" ref="D63:AI63" si="282">+D26</f>
        <v>247441789</v>
      </c>
      <c r="E63" s="81">
        <f t="shared" si="282"/>
        <v>263524459</v>
      </c>
      <c r="F63" s="81">
        <f t="shared" si="282"/>
        <v>273810149</v>
      </c>
      <c r="G63" s="81">
        <f t="shared" si="282"/>
        <v>281099842</v>
      </c>
      <c r="H63" s="81">
        <f t="shared" si="282"/>
        <v>312186695</v>
      </c>
      <c r="I63" s="81">
        <f t="shared" si="282"/>
        <v>304162315</v>
      </c>
      <c r="J63" s="81">
        <f t="shared" si="282"/>
        <v>330143172</v>
      </c>
      <c r="K63" s="81">
        <f t="shared" si="282"/>
        <v>280092260</v>
      </c>
      <c r="L63" s="81">
        <f t="shared" si="282"/>
        <v>268855946</v>
      </c>
      <c r="M63" s="81">
        <f t="shared" si="282"/>
        <v>269553572</v>
      </c>
      <c r="N63" s="81">
        <f t="shared" si="282"/>
        <v>287482958</v>
      </c>
      <c r="O63" s="81">
        <f t="shared" si="282"/>
        <v>284042474</v>
      </c>
      <c r="P63" s="81">
        <f t="shared" si="282"/>
        <v>243773343</v>
      </c>
      <c r="Q63" s="81">
        <f t="shared" si="282"/>
        <v>262317859</v>
      </c>
      <c r="R63" s="81">
        <f t="shared" si="282"/>
        <v>265729533</v>
      </c>
      <c r="S63" s="81">
        <f t="shared" si="282"/>
        <v>305383990</v>
      </c>
      <c r="T63" s="81">
        <f t="shared" si="282"/>
        <v>299141306</v>
      </c>
      <c r="U63" s="81">
        <f t="shared" si="282"/>
        <v>315582091</v>
      </c>
      <c r="V63" s="81">
        <f t="shared" si="282"/>
        <v>303646750</v>
      </c>
      <c r="W63" s="81">
        <f t="shared" si="282"/>
        <v>297206861</v>
      </c>
      <c r="X63" s="81">
        <f t="shared" si="282"/>
        <v>267769856</v>
      </c>
      <c r="Y63" s="81">
        <f t="shared" si="282"/>
        <v>280403761</v>
      </c>
      <c r="Z63" s="81">
        <f t="shared" si="282"/>
        <v>308993823</v>
      </c>
      <c r="AA63" s="81">
        <f t="shared" si="282"/>
        <v>274104685</v>
      </c>
      <c r="AB63" s="81">
        <f t="shared" si="282"/>
        <v>272372147</v>
      </c>
      <c r="AC63" s="81">
        <f t="shared" si="282"/>
        <v>251417733</v>
      </c>
      <c r="AD63" s="81">
        <f t="shared" si="282"/>
        <v>289575324</v>
      </c>
      <c r="AE63" s="81">
        <f t="shared" si="282"/>
        <v>314032531</v>
      </c>
      <c r="AF63" s="81">
        <f t="shared" si="282"/>
        <v>325203026</v>
      </c>
      <c r="AG63" s="81">
        <f t="shared" si="282"/>
        <v>319660753</v>
      </c>
      <c r="AH63" s="81">
        <f t="shared" si="282"/>
        <v>311095874</v>
      </c>
      <c r="AI63" s="81">
        <f t="shared" si="282"/>
        <v>289535965</v>
      </c>
      <c r="AJ63" s="81">
        <f t="shared" ref="AJ63:BO63" si="283">+AJ26</f>
        <v>271491896</v>
      </c>
      <c r="AK63" s="81">
        <f t="shared" si="283"/>
        <v>291933586</v>
      </c>
      <c r="AL63" s="81">
        <f t="shared" si="283"/>
        <v>252980562</v>
      </c>
      <c r="AM63" s="81">
        <f t="shared" si="283"/>
        <v>248710812</v>
      </c>
      <c r="AN63" s="81">
        <f t="shared" si="283"/>
        <v>242499726</v>
      </c>
      <c r="AO63" s="81">
        <f t="shared" si="283"/>
        <v>232539680</v>
      </c>
      <c r="AP63" s="81">
        <f t="shared" si="283"/>
        <v>229224298</v>
      </c>
      <c r="AQ63" s="81">
        <f t="shared" si="283"/>
        <v>266349220</v>
      </c>
      <c r="AR63" s="81">
        <f t="shared" si="283"/>
        <v>267674678</v>
      </c>
      <c r="AS63" s="81">
        <f t="shared" si="283"/>
        <v>281003685</v>
      </c>
      <c r="AT63" s="81">
        <f t="shared" si="283"/>
        <v>279302255</v>
      </c>
      <c r="AU63" s="81">
        <f t="shared" si="283"/>
        <v>258807768</v>
      </c>
      <c r="AV63" s="81">
        <f t="shared" si="283"/>
        <v>239334214</v>
      </c>
      <c r="AW63" s="81">
        <f t="shared" si="283"/>
        <v>241025466</v>
      </c>
      <c r="AX63" s="81">
        <f t="shared" si="283"/>
        <v>247898204</v>
      </c>
      <c r="AY63" s="81">
        <f t="shared" si="283"/>
        <v>255420215</v>
      </c>
      <c r="AZ63" s="81">
        <f t="shared" si="283"/>
        <v>225135566</v>
      </c>
      <c r="BA63" s="81">
        <f t="shared" si="283"/>
        <v>219961316</v>
      </c>
      <c r="BB63" s="81">
        <f t="shared" si="283"/>
        <v>207074154</v>
      </c>
      <c r="BC63" s="81">
        <f t="shared" si="283"/>
        <v>241165089</v>
      </c>
      <c r="BD63" s="81">
        <f t="shared" si="283"/>
        <v>253833450</v>
      </c>
      <c r="BE63" s="81">
        <f t="shared" si="283"/>
        <v>266058831</v>
      </c>
      <c r="BF63" s="81">
        <f t="shared" si="283"/>
        <v>266126792</v>
      </c>
      <c r="BG63" s="81">
        <f t="shared" si="283"/>
        <v>236673642.40000001</v>
      </c>
      <c r="BH63" s="81">
        <f t="shared" si="283"/>
        <v>234876378</v>
      </c>
      <c r="BI63" s="81">
        <f t="shared" si="283"/>
        <v>245759481</v>
      </c>
      <c r="BJ63" s="81">
        <f t="shared" si="283"/>
        <v>241302585</v>
      </c>
      <c r="BK63" s="81">
        <f t="shared" si="283"/>
        <v>254211213</v>
      </c>
      <c r="BL63" s="81">
        <f t="shared" si="283"/>
        <v>216207694</v>
      </c>
      <c r="BM63" s="81">
        <f t="shared" si="283"/>
        <v>214809052</v>
      </c>
      <c r="BN63" s="81">
        <f t="shared" si="283"/>
        <v>221576502.5</v>
      </c>
      <c r="BO63" s="81">
        <f t="shared" si="283"/>
        <v>232417188</v>
      </c>
      <c r="BP63" s="81">
        <f t="shared" ref="BP63:CT63" si="284">+BP26</f>
        <v>286577542</v>
      </c>
      <c r="BQ63" s="81">
        <f t="shared" si="284"/>
        <v>263115351</v>
      </c>
      <c r="BR63" s="81">
        <f t="shared" si="284"/>
        <v>266455046</v>
      </c>
      <c r="BS63" s="81">
        <f t="shared" si="284"/>
        <v>230080105</v>
      </c>
      <c r="BT63" s="81">
        <f t="shared" si="284"/>
        <v>200697530</v>
      </c>
      <c r="BU63" s="81">
        <f t="shared" si="284"/>
        <v>269908616.5</v>
      </c>
      <c r="BV63" s="81">
        <f t="shared" si="284"/>
        <v>254759231</v>
      </c>
      <c r="BW63" s="81">
        <f t="shared" si="284"/>
        <v>236605471</v>
      </c>
      <c r="BX63" s="81">
        <f t="shared" si="284"/>
        <v>220600472</v>
      </c>
      <c r="BY63" s="81">
        <f t="shared" si="284"/>
        <v>227017145</v>
      </c>
      <c r="BZ63" s="81">
        <f t="shared" si="284"/>
        <v>225997805</v>
      </c>
      <c r="CA63" s="81">
        <f t="shared" si="284"/>
        <v>251076328</v>
      </c>
      <c r="CB63" s="81">
        <f t="shared" si="284"/>
        <v>267504084</v>
      </c>
      <c r="CC63" s="81">
        <f t="shared" si="284"/>
        <v>272015339</v>
      </c>
      <c r="CD63" s="81">
        <f t="shared" si="284"/>
        <v>258297228</v>
      </c>
      <c r="CE63" s="81">
        <f t="shared" si="284"/>
        <v>229178636</v>
      </c>
      <c r="CF63" s="81">
        <f t="shared" si="284"/>
        <v>231438770</v>
      </c>
      <c r="CG63" s="81">
        <f t="shared" si="284"/>
        <v>241377872</v>
      </c>
      <c r="CH63" s="81">
        <f t="shared" si="284"/>
        <v>231408894</v>
      </c>
      <c r="CI63" s="81">
        <f t="shared" si="284"/>
        <v>221649717</v>
      </c>
      <c r="CJ63" s="81">
        <f t="shared" si="284"/>
        <v>205003755</v>
      </c>
      <c r="CK63" s="81">
        <f t="shared" si="284"/>
        <v>219436038</v>
      </c>
      <c r="CL63" s="81">
        <f t="shared" si="284"/>
        <v>219271209</v>
      </c>
      <c r="CM63" s="81">
        <f t="shared" si="284"/>
        <v>232550715</v>
      </c>
      <c r="CN63" s="81">
        <f t="shared" si="284"/>
        <v>235130742</v>
      </c>
      <c r="CO63" s="81">
        <f t="shared" si="284"/>
        <v>262292552</v>
      </c>
      <c r="CP63" s="81">
        <f t="shared" si="284"/>
        <v>254203699</v>
      </c>
      <c r="CQ63" s="81">
        <f t="shared" si="284"/>
        <v>220702925</v>
      </c>
      <c r="CR63" s="81">
        <f t="shared" si="284"/>
        <v>219685972.16051269</v>
      </c>
      <c r="CS63" s="81">
        <f t="shared" si="284"/>
        <v>227640372.91921699</v>
      </c>
      <c r="CT63" s="81">
        <f t="shared" si="284"/>
        <v>238794941.36095244</v>
      </c>
    </row>
    <row r="64" spans="1:98" x14ac:dyDescent="0.35">
      <c r="A64" t="s">
        <v>37</v>
      </c>
      <c r="B64" s="37"/>
      <c r="C64" s="37"/>
      <c r="D64" s="81">
        <f t="shared" ref="D64:AI64" si="285">+D27</f>
        <v>127273740</v>
      </c>
      <c r="E64" s="81">
        <f t="shared" si="285"/>
        <v>133415922</v>
      </c>
      <c r="F64" s="81">
        <f t="shared" si="285"/>
        <v>133920097</v>
      </c>
      <c r="G64" s="81">
        <f t="shared" si="285"/>
        <v>151320401</v>
      </c>
      <c r="H64" s="81">
        <f t="shared" si="285"/>
        <v>158812387</v>
      </c>
      <c r="I64" s="81">
        <f t="shared" si="285"/>
        <v>160367769</v>
      </c>
      <c r="J64" s="81">
        <f t="shared" si="285"/>
        <v>176194341</v>
      </c>
      <c r="K64" s="81">
        <f t="shared" si="285"/>
        <v>154604539</v>
      </c>
      <c r="L64" s="81">
        <f t="shared" si="285"/>
        <v>142536252</v>
      </c>
      <c r="M64" s="81">
        <f t="shared" si="285"/>
        <v>134004611</v>
      </c>
      <c r="N64" s="81">
        <f t="shared" si="285"/>
        <v>132646039</v>
      </c>
      <c r="O64" s="81">
        <f t="shared" si="285"/>
        <v>136324918</v>
      </c>
      <c r="P64" s="81">
        <f t="shared" si="285"/>
        <v>118000396</v>
      </c>
      <c r="Q64" s="81">
        <f t="shared" si="285"/>
        <v>130771713</v>
      </c>
      <c r="R64" s="81">
        <f t="shared" si="285"/>
        <v>133006544</v>
      </c>
      <c r="S64" s="81">
        <f t="shared" si="285"/>
        <v>158813593</v>
      </c>
      <c r="T64" s="81">
        <f t="shared" si="285"/>
        <v>150211763</v>
      </c>
      <c r="U64" s="81">
        <f t="shared" si="285"/>
        <v>166478792</v>
      </c>
      <c r="V64" s="81">
        <f t="shared" si="285"/>
        <v>158634223</v>
      </c>
      <c r="W64" s="81">
        <f t="shared" si="285"/>
        <v>151247524</v>
      </c>
      <c r="X64" s="81">
        <f t="shared" si="285"/>
        <v>147830606</v>
      </c>
      <c r="Y64" s="81">
        <f t="shared" si="285"/>
        <v>132139915</v>
      </c>
      <c r="Z64" s="81">
        <f t="shared" si="285"/>
        <v>134787267</v>
      </c>
      <c r="AA64" s="81">
        <f t="shared" si="285"/>
        <v>125603697</v>
      </c>
      <c r="AB64" s="81">
        <f t="shared" si="285"/>
        <v>125857767</v>
      </c>
      <c r="AC64" s="81">
        <f t="shared" si="285"/>
        <v>119174583</v>
      </c>
      <c r="AD64" s="81">
        <f t="shared" si="285"/>
        <v>136766539</v>
      </c>
      <c r="AE64" s="81">
        <f t="shared" si="285"/>
        <v>151258088</v>
      </c>
      <c r="AF64" s="81">
        <f t="shared" si="285"/>
        <v>155948179</v>
      </c>
      <c r="AG64" s="81">
        <f t="shared" si="285"/>
        <v>160224923</v>
      </c>
      <c r="AH64" s="81">
        <f t="shared" si="285"/>
        <v>150480926</v>
      </c>
      <c r="AI64" s="81">
        <f t="shared" si="285"/>
        <v>148580162</v>
      </c>
      <c r="AJ64" s="81">
        <f t="shared" ref="AJ64:BO64" si="286">+AJ27</f>
        <v>139627995</v>
      </c>
      <c r="AK64" s="81">
        <f t="shared" si="286"/>
        <v>135972391</v>
      </c>
      <c r="AL64" s="81">
        <f t="shared" si="286"/>
        <v>101960146</v>
      </c>
      <c r="AM64" s="81">
        <f t="shared" si="286"/>
        <v>96075286</v>
      </c>
      <c r="AN64" s="81">
        <f t="shared" si="286"/>
        <v>99309923</v>
      </c>
      <c r="AO64" s="81">
        <f t="shared" si="286"/>
        <v>98876748</v>
      </c>
      <c r="AP64" s="81">
        <f t="shared" si="286"/>
        <v>96480454</v>
      </c>
      <c r="AQ64" s="81">
        <f t="shared" si="286"/>
        <v>121526151</v>
      </c>
      <c r="AR64" s="81">
        <f t="shared" si="286"/>
        <v>113123855</v>
      </c>
      <c r="AS64" s="81">
        <f t="shared" si="286"/>
        <v>125262874</v>
      </c>
      <c r="AT64" s="81">
        <f t="shared" si="286"/>
        <v>126945040</v>
      </c>
      <c r="AU64" s="81">
        <f t="shared" si="286"/>
        <v>119752379</v>
      </c>
      <c r="AV64" s="81">
        <f t="shared" si="286"/>
        <v>106348532</v>
      </c>
      <c r="AW64" s="81">
        <f t="shared" si="286"/>
        <v>100067076</v>
      </c>
      <c r="AX64" s="81">
        <f t="shared" si="286"/>
        <v>105899561</v>
      </c>
      <c r="AY64" s="81">
        <f t="shared" si="286"/>
        <v>111203176</v>
      </c>
      <c r="AZ64" s="81">
        <f t="shared" si="286"/>
        <v>86704807</v>
      </c>
      <c r="BA64" s="81">
        <f t="shared" si="286"/>
        <v>92097434</v>
      </c>
      <c r="BB64" s="81">
        <f t="shared" si="286"/>
        <v>93506334</v>
      </c>
      <c r="BC64" s="81">
        <f t="shared" si="286"/>
        <v>92139707</v>
      </c>
      <c r="BD64" s="81">
        <f t="shared" si="286"/>
        <v>105110654</v>
      </c>
      <c r="BE64" s="81">
        <f t="shared" si="286"/>
        <v>108265948</v>
      </c>
      <c r="BF64" s="81">
        <f t="shared" si="286"/>
        <v>109806573</v>
      </c>
      <c r="BG64" s="81">
        <f t="shared" si="286"/>
        <v>96724322.099999994</v>
      </c>
      <c r="BH64" s="81">
        <f t="shared" si="286"/>
        <v>94866307</v>
      </c>
      <c r="BI64" s="81">
        <f t="shared" si="286"/>
        <v>96874394</v>
      </c>
      <c r="BJ64" s="81">
        <f t="shared" si="286"/>
        <v>84244327</v>
      </c>
      <c r="BK64" s="81">
        <f t="shared" si="286"/>
        <v>112346620</v>
      </c>
      <c r="BL64" s="81">
        <f t="shared" si="286"/>
        <v>50801494</v>
      </c>
      <c r="BM64" s="81">
        <f t="shared" si="286"/>
        <v>85186767</v>
      </c>
      <c r="BN64" s="81">
        <f t="shared" si="286"/>
        <v>94290468.700000003</v>
      </c>
      <c r="BO64" s="81">
        <f t="shared" si="286"/>
        <v>96665030</v>
      </c>
      <c r="BP64" s="81">
        <f t="shared" ref="BP64:CT64" si="287">+BP27</f>
        <v>111403127</v>
      </c>
      <c r="BQ64" s="81">
        <f t="shared" si="287"/>
        <v>106051211</v>
      </c>
      <c r="BR64" s="81">
        <f t="shared" si="287"/>
        <v>114673513</v>
      </c>
      <c r="BS64" s="81">
        <f t="shared" si="287"/>
        <v>105106440</v>
      </c>
      <c r="BT64" s="81">
        <f t="shared" si="287"/>
        <v>69778498</v>
      </c>
      <c r="BU64" s="81">
        <f t="shared" si="287"/>
        <v>120928612.40000001</v>
      </c>
      <c r="BV64" s="81">
        <f t="shared" si="287"/>
        <v>91160220</v>
      </c>
      <c r="BW64" s="81">
        <f t="shared" si="287"/>
        <v>84926008</v>
      </c>
      <c r="BX64" s="81">
        <f t="shared" si="287"/>
        <v>81012090</v>
      </c>
      <c r="BY64" s="81">
        <f t="shared" si="287"/>
        <v>85726323</v>
      </c>
      <c r="BZ64" s="81">
        <f t="shared" si="287"/>
        <v>71350428</v>
      </c>
      <c r="CA64" s="81">
        <f t="shared" si="287"/>
        <v>86976917</v>
      </c>
      <c r="CB64" s="81">
        <f t="shared" si="287"/>
        <v>99783323</v>
      </c>
      <c r="CC64" s="81">
        <f t="shared" si="287"/>
        <v>98663196</v>
      </c>
      <c r="CD64" s="81">
        <f t="shared" si="287"/>
        <v>102858299</v>
      </c>
      <c r="CE64" s="81">
        <f t="shared" si="287"/>
        <v>88364839</v>
      </c>
      <c r="CF64" s="81">
        <f t="shared" si="287"/>
        <v>88263402</v>
      </c>
      <c r="CG64" s="81">
        <f t="shared" si="287"/>
        <v>86648705</v>
      </c>
      <c r="CH64" s="81">
        <f t="shared" si="287"/>
        <v>77135409</v>
      </c>
      <c r="CI64" s="81">
        <f t="shared" si="287"/>
        <v>74737407</v>
      </c>
      <c r="CJ64" s="81">
        <f t="shared" si="287"/>
        <v>64517924</v>
      </c>
      <c r="CK64" s="81">
        <f t="shared" si="287"/>
        <v>64659611</v>
      </c>
      <c r="CL64" s="81">
        <f t="shared" si="287"/>
        <v>67634326</v>
      </c>
      <c r="CM64" s="81">
        <f t="shared" si="287"/>
        <v>81350810</v>
      </c>
      <c r="CN64" s="81">
        <f t="shared" si="287"/>
        <v>76194105</v>
      </c>
      <c r="CO64" s="81">
        <f t="shared" si="287"/>
        <v>87357832</v>
      </c>
      <c r="CP64" s="81">
        <f t="shared" si="287"/>
        <v>95274398</v>
      </c>
      <c r="CQ64" s="81">
        <f t="shared" si="287"/>
        <v>96078281</v>
      </c>
      <c r="CR64" s="81">
        <f t="shared" si="287"/>
        <v>76392987.673354506</v>
      </c>
      <c r="CS64" s="81">
        <f t="shared" si="287"/>
        <v>74820761.110952988</v>
      </c>
      <c r="CT64" s="81">
        <f t="shared" si="287"/>
        <v>77644240.925621405</v>
      </c>
    </row>
    <row r="65" spans="1:98" x14ac:dyDescent="0.35">
      <c r="A65" s="33" t="s">
        <v>31</v>
      </c>
      <c r="B65" s="31"/>
      <c r="C65" s="31"/>
      <c r="D65" s="34">
        <f>SUM(D60:D64)</f>
        <v>2224928177</v>
      </c>
      <c r="E65" s="34">
        <f t="shared" ref="E65:AW65" si="288">SUM(E60:E64)</f>
        <v>2018953973</v>
      </c>
      <c r="F65" s="34">
        <f t="shared" si="288"/>
        <v>1913045208</v>
      </c>
      <c r="G65" s="34">
        <f t="shared" si="288"/>
        <v>2404751671</v>
      </c>
      <c r="H65" s="34">
        <f t="shared" si="288"/>
        <v>2933402953</v>
      </c>
      <c r="I65" s="34">
        <f t="shared" si="288"/>
        <v>2932474198</v>
      </c>
      <c r="J65" s="34">
        <f t="shared" si="288"/>
        <v>2831280502</v>
      </c>
      <c r="K65" s="34">
        <f t="shared" si="288"/>
        <v>2260945939</v>
      </c>
      <c r="L65" s="34">
        <f t="shared" si="288"/>
        <v>1987278765</v>
      </c>
      <c r="M65" s="34">
        <f t="shared" si="288"/>
        <v>2444837540</v>
      </c>
      <c r="N65" s="34">
        <f t="shared" si="288"/>
        <v>2931370494</v>
      </c>
      <c r="O65" s="34">
        <f t="shared" si="288"/>
        <v>2420851513</v>
      </c>
      <c r="P65" s="34">
        <f t="shared" si="288"/>
        <v>2078601028</v>
      </c>
      <c r="Q65" s="34">
        <f t="shared" si="288"/>
        <v>1972320246</v>
      </c>
      <c r="R65" s="34">
        <f t="shared" si="288"/>
        <v>1950848493</v>
      </c>
      <c r="S65" s="34">
        <f t="shared" si="288"/>
        <v>2390636192</v>
      </c>
      <c r="T65" s="34">
        <f t="shared" si="288"/>
        <v>2806893058</v>
      </c>
      <c r="U65" s="34">
        <f t="shared" si="288"/>
        <v>2872808685</v>
      </c>
      <c r="V65" s="34">
        <f t="shared" si="288"/>
        <v>2497438120</v>
      </c>
      <c r="W65" s="34">
        <f t="shared" si="288"/>
        <v>2311823120</v>
      </c>
      <c r="X65" s="34">
        <f t="shared" si="288"/>
        <v>2068964968</v>
      </c>
      <c r="Y65" s="34">
        <f t="shared" si="288"/>
        <v>2356325141</v>
      </c>
      <c r="Z65" s="34">
        <f t="shared" si="288"/>
        <v>3162862275</v>
      </c>
      <c r="AA65" s="34">
        <f t="shared" si="288"/>
        <v>2671692622</v>
      </c>
      <c r="AB65" s="34">
        <f t="shared" si="288"/>
        <v>2329112642</v>
      </c>
      <c r="AC65" s="34">
        <f t="shared" si="288"/>
        <v>2266678111</v>
      </c>
      <c r="AD65" s="34">
        <f t="shared" si="288"/>
        <v>2094580257</v>
      </c>
      <c r="AE65" s="34">
        <f t="shared" si="288"/>
        <v>2709831507</v>
      </c>
      <c r="AF65" s="34">
        <f t="shared" si="288"/>
        <v>3013965337</v>
      </c>
      <c r="AG65" s="34">
        <f t="shared" si="288"/>
        <v>2799018250</v>
      </c>
      <c r="AH65" s="34">
        <f t="shared" si="288"/>
        <v>2737680017</v>
      </c>
      <c r="AI65" s="34">
        <f t="shared" si="288"/>
        <v>2332546940</v>
      </c>
      <c r="AJ65" s="34">
        <f t="shared" si="288"/>
        <v>2142583793</v>
      </c>
      <c r="AK65" s="34">
        <f t="shared" si="288"/>
        <v>2618348050</v>
      </c>
      <c r="AL65" s="34">
        <f t="shared" si="288"/>
        <v>2704334881</v>
      </c>
      <c r="AM65" s="34">
        <f t="shared" si="288"/>
        <v>2684641305</v>
      </c>
      <c r="AN65" s="34">
        <f t="shared" si="288"/>
        <v>2499758324</v>
      </c>
      <c r="AO65" s="34">
        <f t="shared" si="288"/>
        <v>1985896392</v>
      </c>
      <c r="AP65" s="34">
        <f t="shared" si="288"/>
        <v>1834449295</v>
      </c>
      <c r="AQ65" s="34">
        <f t="shared" si="288"/>
        <v>2235195660</v>
      </c>
      <c r="AR65" s="34">
        <f t="shared" si="288"/>
        <v>2577497445</v>
      </c>
      <c r="AS65" s="34">
        <f t="shared" si="288"/>
        <v>2692344190</v>
      </c>
      <c r="AT65" s="34">
        <f t="shared" si="288"/>
        <v>2586049727</v>
      </c>
      <c r="AU65" s="34">
        <f t="shared" si="288"/>
        <v>2259393157</v>
      </c>
      <c r="AV65" s="34">
        <f t="shared" si="288"/>
        <v>2029584453</v>
      </c>
      <c r="AW65" s="34">
        <f t="shared" si="288"/>
        <v>2424244506</v>
      </c>
      <c r="AX65" s="34">
        <f t="shared" ref="AX65:AY65" si="289">SUM(AX60:AX64)</f>
        <v>2601956425</v>
      </c>
      <c r="AY65" s="34">
        <f t="shared" si="289"/>
        <v>2559780622</v>
      </c>
      <c r="AZ65" s="34">
        <f t="shared" ref="AZ65:BA65" si="290">SUM(AZ60:AZ64)</f>
        <v>2267199627</v>
      </c>
      <c r="BA65" s="34">
        <f t="shared" si="290"/>
        <v>1885945876</v>
      </c>
      <c r="BB65" s="34">
        <f t="shared" ref="BB65:BC65" si="291">SUM(BB60:BB64)</f>
        <v>1727181444</v>
      </c>
      <c r="BC65" s="34">
        <f t="shared" si="291"/>
        <v>2140133354</v>
      </c>
      <c r="BD65" s="34">
        <f t="shared" ref="BD65:BE65" si="292">SUM(BD60:BD64)</f>
        <v>2668776772</v>
      </c>
      <c r="BE65" s="34">
        <f t="shared" si="292"/>
        <v>2588323933</v>
      </c>
      <c r="BF65" s="34">
        <f t="shared" ref="BF65:BG65" si="293">SUM(BF60:BF64)</f>
        <v>2539356884</v>
      </c>
      <c r="BG65" s="34">
        <f t="shared" si="293"/>
        <v>1880855467.2</v>
      </c>
      <c r="BH65" s="34">
        <f t="shared" ref="BH65:BI65" si="294">SUM(BH60:BH64)</f>
        <v>1919414791</v>
      </c>
      <c r="BI65" s="34">
        <f t="shared" si="294"/>
        <v>2285505311</v>
      </c>
      <c r="BJ65" s="34">
        <f t="shared" ref="BJ65:BK65" si="295">SUM(BJ60:BJ64)</f>
        <v>2701293080</v>
      </c>
      <c r="BK65" s="34">
        <f t="shared" si="295"/>
        <v>2762895596</v>
      </c>
      <c r="BL65" s="34">
        <f t="shared" ref="BL65:BM65" si="296">SUM(BL60:BL64)</f>
        <v>2269212350</v>
      </c>
      <c r="BM65" s="34">
        <f t="shared" si="296"/>
        <v>1797926430</v>
      </c>
      <c r="BN65" s="34">
        <f t="shared" ref="BN65:BO65" si="297">SUM(BN60:BN64)</f>
        <v>1767390312.4000001</v>
      </c>
      <c r="BO65" s="34">
        <f t="shared" si="297"/>
        <v>2241761426</v>
      </c>
      <c r="BP65" s="34">
        <f t="shared" ref="BP65:BQ65" si="298">SUM(BP60:BP64)</f>
        <v>2630416326</v>
      </c>
      <c r="BQ65" s="34">
        <f t="shared" si="298"/>
        <v>2620993183</v>
      </c>
      <c r="BR65" s="34">
        <f t="shared" ref="BR65:BS65" si="299">SUM(BR60:BR64)</f>
        <v>2624842936</v>
      </c>
      <c r="BS65" s="34">
        <f t="shared" si="299"/>
        <v>2051802732</v>
      </c>
      <c r="BT65" s="34">
        <f t="shared" ref="BT65:BU65" si="300">SUM(BT60:BT64)</f>
        <v>1844617502</v>
      </c>
      <c r="BU65" s="34">
        <f t="shared" si="300"/>
        <v>2260152185.5</v>
      </c>
      <c r="BV65" s="34">
        <f t="shared" ref="BV65:BW65" si="301">SUM(BV60:BV64)</f>
        <v>2604429573</v>
      </c>
      <c r="BW65" s="34">
        <f t="shared" si="301"/>
        <v>2650772070</v>
      </c>
      <c r="BX65" s="34">
        <f t="shared" ref="BX65:BY65" si="302">SUM(BX60:BX64)</f>
        <v>2252800721</v>
      </c>
      <c r="BY65" s="34">
        <f t="shared" si="302"/>
        <v>1950515267</v>
      </c>
      <c r="BZ65" s="34">
        <f t="shared" ref="BZ65:CA65" si="303">SUM(BZ60:BZ64)</f>
        <v>1874510202</v>
      </c>
      <c r="CA65" s="34">
        <f t="shared" si="303"/>
        <v>2238886497</v>
      </c>
      <c r="CB65" s="34">
        <f t="shared" ref="CB65:CC65" si="304">SUM(CB60:CB64)</f>
        <v>2787735127</v>
      </c>
      <c r="CC65" s="34">
        <f t="shared" si="304"/>
        <v>2711689501</v>
      </c>
      <c r="CD65" s="34">
        <f t="shared" ref="CD65:CE65" si="305">SUM(CD60:CD64)</f>
        <v>2418184647</v>
      </c>
      <c r="CE65" s="34">
        <f t="shared" si="305"/>
        <v>1914968383</v>
      </c>
      <c r="CF65" s="34">
        <f t="shared" ref="CF65:CG65" si="306">SUM(CF60:CF64)</f>
        <v>1850644365</v>
      </c>
      <c r="CG65" s="34">
        <f t="shared" si="306"/>
        <v>2231741671.4688997</v>
      </c>
      <c r="CH65" s="34">
        <f t="shared" ref="CH65:CI65" si="307">SUM(CH60:CH64)</f>
        <v>2690422268</v>
      </c>
      <c r="CI65" s="34">
        <f t="shared" si="307"/>
        <v>2359295932</v>
      </c>
      <c r="CJ65" s="34">
        <f t="shared" ref="CJ65:CK65" si="308">SUM(CJ60:CJ64)</f>
        <v>2063654396</v>
      </c>
      <c r="CK65" s="34">
        <f t="shared" si="308"/>
        <v>1890769057</v>
      </c>
      <c r="CL65" s="34">
        <f t="shared" ref="CL65:CM65" si="309">SUM(CL60:CL64)</f>
        <v>1741264804</v>
      </c>
      <c r="CM65" s="34">
        <f t="shared" si="309"/>
        <v>2092627990</v>
      </c>
      <c r="CN65" s="34">
        <f t="shared" ref="CN65:CO65" si="310">SUM(CN60:CN64)</f>
        <v>2473094997</v>
      </c>
      <c r="CO65" s="34">
        <f t="shared" si="310"/>
        <v>2579826523</v>
      </c>
      <c r="CP65" s="34">
        <f t="shared" ref="CP65:CQ65" si="311">SUM(CP60:CP64)</f>
        <v>2474502491</v>
      </c>
      <c r="CQ65" s="34">
        <f t="shared" si="311"/>
        <v>1988431085</v>
      </c>
      <c r="CR65" s="34">
        <f t="shared" ref="CR65:CT65" si="312">SUM(CR60:CR64)</f>
        <v>1846986321.0766883</v>
      </c>
      <c r="CS65" s="34">
        <f t="shared" si="312"/>
        <v>2234264413.6499629</v>
      </c>
      <c r="CT65" s="34">
        <f t="shared" si="312"/>
        <v>2705185355.5512915</v>
      </c>
    </row>
    <row r="66" spans="1:98" x14ac:dyDescent="0.35">
      <c r="B66" s="37"/>
      <c r="C66" s="37"/>
      <c r="O66" s="56"/>
    </row>
    <row r="67" spans="1:98" x14ac:dyDescent="0.35">
      <c r="A67" s="27" t="s">
        <v>62</v>
      </c>
      <c r="B67" s="37"/>
      <c r="C67" s="37"/>
      <c r="D67" s="56"/>
    </row>
    <row r="68" spans="1:98" x14ac:dyDescent="0.35">
      <c r="A68" t="s">
        <v>33</v>
      </c>
      <c r="B68" s="37"/>
      <c r="C68" s="37"/>
      <c r="D68" s="45">
        <f>+(D50-D57)+(D57*D60/D65)</f>
        <v>0</v>
      </c>
      <c r="E68" s="45">
        <f t="shared" ref="E68:P68" si="313">+(E50-E57)+(E57*E60/E65)</f>
        <v>0</v>
      </c>
      <c r="F68" s="45">
        <f t="shared" si="313"/>
        <v>0</v>
      </c>
      <c r="G68" s="45">
        <f t="shared" si="313"/>
        <v>0</v>
      </c>
      <c r="H68" s="45">
        <f t="shared" si="313"/>
        <v>0</v>
      </c>
      <c r="I68" s="45">
        <f t="shared" si="313"/>
        <v>0</v>
      </c>
      <c r="J68" s="45">
        <f t="shared" si="313"/>
        <v>0</v>
      </c>
      <c r="K68" s="45">
        <f t="shared" si="313"/>
        <v>0</v>
      </c>
      <c r="L68" s="45">
        <f t="shared" si="313"/>
        <v>0</v>
      </c>
      <c r="M68" s="45">
        <f t="shared" si="313"/>
        <v>0</v>
      </c>
      <c r="N68" s="45">
        <f t="shared" si="313"/>
        <v>0</v>
      </c>
      <c r="O68" s="45">
        <f>+(O50-O57)+(O57*O60/O65)</f>
        <v>0</v>
      </c>
      <c r="P68" s="45">
        <f t="shared" si="313"/>
        <v>0</v>
      </c>
      <c r="Q68" s="45">
        <f>IF(Q50="","",+(Q50-Q57)+(Q57*Q60/Q65))</f>
        <v>983976.8055998187</v>
      </c>
      <c r="R68" s="45">
        <f>IF(R50="","",+(R50-R57)+(R57*R60/R65))</f>
        <v>936126.67058040295</v>
      </c>
      <c r="S68" s="45">
        <f>IF(S50="","",+(S50-S57)+(S57*S60/S65))</f>
        <v>1254886.244789884</v>
      </c>
      <c r="T68" s="45">
        <f t="shared" ref="T68:AW68" si="314">IF(T50="","",+(T50-T57)+(T57*T60/T65))</f>
        <v>1666724.2213379955</v>
      </c>
      <c r="U68" s="45">
        <f t="shared" si="314"/>
        <v>1687867.967739454</v>
      </c>
      <c r="V68" s="45">
        <f t="shared" si="314"/>
        <v>1336984.8118306769</v>
      </c>
      <c r="W68" s="45">
        <f t="shared" si="314"/>
        <v>1174985.3507627479</v>
      </c>
      <c r="X68" s="45">
        <f t="shared" si="314"/>
        <v>1029531.6444714632</v>
      </c>
      <c r="Y68" s="45">
        <f t="shared" si="314"/>
        <v>1326453.2350570641</v>
      </c>
      <c r="Z68" s="45">
        <f t="shared" si="314"/>
        <v>2030661.7411402338</v>
      </c>
      <c r="AA68" s="88">
        <f>ROUND(IF(AA50="","",+(AA50-AA57)+(AA57*AA60/AA65)),2)</f>
        <v>1388250.35</v>
      </c>
      <c r="AB68" s="45">
        <f t="shared" si="314"/>
        <v>1120654.6531242458</v>
      </c>
      <c r="AC68" s="45">
        <f>IF(AC50="","",+(AC50-AC57)+(AC57*AC60/AC65))</f>
        <v>1082451.6725849968</v>
      </c>
      <c r="AD68" s="45">
        <f t="shared" si="314"/>
        <v>880251.85351460415</v>
      </c>
      <c r="AE68" s="45">
        <f t="shared" si="314"/>
        <v>1301284.1891339927</v>
      </c>
      <c r="AF68" s="45">
        <f t="shared" si="314"/>
        <v>1524704.8572049867</v>
      </c>
      <c r="AG68" s="45">
        <f t="shared" si="314"/>
        <v>1366723.6950669868</v>
      </c>
      <c r="AH68" s="45">
        <f t="shared" si="314"/>
        <v>1314605.108458352</v>
      </c>
      <c r="AI68" s="45">
        <f t="shared" si="314"/>
        <v>1020432.9529194708</v>
      </c>
      <c r="AJ68" s="45">
        <f t="shared" si="314"/>
        <v>950195.40735321853</v>
      </c>
      <c r="AK68" s="45">
        <f t="shared" si="314"/>
        <v>1320371.9817385538</v>
      </c>
      <c r="AL68" s="45">
        <f t="shared" si="314"/>
        <v>1462433.5546846255</v>
      </c>
      <c r="AM68" s="45">
        <f t="shared" si="314"/>
        <v>1529137.4028414818</v>
      </c>
      <c r="AN68" s="45">
        <f t="shared" si="314"/>
        <v>1378360.7270812315</v>
      </c>
      <c r="AO68" s="45">
        <f t="shared" si="314"/>
        <v>951160.98963883938</v>
      </c>
      <c r="AP68" s="45">
        <f t="shared" si="314"/>
        <v>807723.67786616471</v>
      </c>
      <c r="AQ68" s="45">
        <f t="shared" si="314"/>
        <v>1071830.4459348798</v>
      </c>
      <c r="AR68" s="45">
        <f t="shared" si="314"/>
        <v>1361027.792333117</v>
      </c>
      <c r="AS68" s="45">
        <f t="shared" si="314"/>
        <v>1432733.48651519</v>
      </c>
      <c r="AT68" s="45">
        <f t="shared" si="314"/>
        <v>1322179.2642833882</v>
      </c>
      <c r="AU68" s="45">
        <f t="shared" si="314"/>
        <v>1087865.4265500808</v>
      </c>
      <c r="AV68" s="45">
        <f t="shared" si="314"/>
        <v>979499.93887924904</v>
      </c>
      <c r="AW68" s="45">
        <f t="shared" si="314"/>
        <v>1315854.6359199637</v>
      </c>
      <c r="AX68" s="45">
        <f t="shared" ref="AX68:AY68" si="315">IF(AX50="","",+(AX50-AX57)+(AX57*AX60/AX65))</f>
        <v>1452342.8430098211</v>
      </c>
      <c r="AY68" s="45">
        <f t="shared" si="315"/>
        <v>852786.52127385803</v>
      </c>
      <c r="AZ68" s="45">
        <f t="shared" ref="AZ68" si="316">IF(AZ50="","",+(AZ50-AZ57)+(AZ57*AZ60/AZ65))</f>
        <v>125873.38282544476</v>
      </c>
      <c r="BA68" s="45">
        <f t="shared" ref="BA68:BF68" si="317">IF(BA50="","",+(BA50-BA57)+(BA57*BA60/BA65))</f>
        <v>94402.787188311384</v>
      </c>
      <c r="BB68" s="45">
        <f t="shared" si="317"/>
        <v>84175.513069788271</v>
      </c>
      <c r="BC68" s="45">
        <f t="shared" si="317"/>
        <v>111088.05405709325</v>
      </c>
      <c r="BD68" s="45">
        <f t="shared" si="317"/>
        <v>148912.4914773225</v>
      </c>
      <c r="BE68" s="45">
        <f t="shared" si="317"/>
        <v>139614.44094102815</v>
      </c>
      <c r="BF68" s="45">
        <f t="shared" si="317"/>
        <v>125976.71022904465</v>
      </c>
      <c r="BG68" s="45">
        <f t="shared" ref="BG68:BH68" si="318">IF(BG50="","",+(BG50-BG57)+(BG57*BG60/BG65))</f>
        <v>85433.845861912778</v>
      </c>
      <c r="BH68" s="45">
        <f t="shared" si="318"/>
        <v>91258.917890257697</v>
      </c>
      <c r="BI68" s="45">
        <f t="shared" ref="BI68:BJ68" si="319">IF(BI50="","",+(BI50-BI57)+(BI57*BI60/BI65))</f>
        <v>120857.06275512144</v>
      </c>
      <c r="BJ68" s="45">
        <f t="shared" si="319"/>
        <v>157131.76386056477</v>
      </c>
      <c r="BK68" s="45">
        <f t="shared" ref="BK68:BL68" si="320">IF(BK50="","",+(BK50-BK57)+(BK57*BK60/BK65))</f>
        <v>-115197.03218943029</v>
      </c>
      <c r="BL68" s="45">
        <f t="shared" si="320"/>
        <v>-330846.44785598782</v>
      </c>
      <c r="BM68" s="45">
        <f t="shared" ref="BM68:BN68" si="321">IF(BM50="","",+(BM50-BM57)+(BM57*BM60/BM65))</f>
        <v>-223865.36362995688</v>
      </c>
      <c r="BN68" s="45">
        <f t="shared" si="321"/>
        <v>-210176.78057078717</v>
      </c>
      <c r="BO68" s="45">
        <f t="shared" ref="BO68:BP68" si="322">IF(BO50="","",+(BO50-BO57)+(BO57*BO60/BO65))</f>
        <v>-274664.86631310626</v>
      </c>
      <c r="BP68" s="45">
        <f t="shared" si="322"/>
        <v>-362529.15554440091</v>
      </c>
      <c r="BQ68" s="45">
        <f t="shared" ref="BQ68:BR68" si="323">IF(BQ50="","",+(BQ50-BQ57)+(BQ57*BQ60/BQ65))</f>
        <v>-369792.94310600177</v>
      </c>
      <c r="BR68" s="45">
        <f t="shared" si="323"/>
        <v>-363385.55298456381</v>
      </c>
      <c r="BS68" s="45">
        <f t="shared" ref="BS68:BT68" si="324">IF(BS50="","",+(BS50-BS57)+(BS57*BS60/BS65))</f>
        <v>-252118.8064792598</v>
      </c>
      <c r="BT68" s="45">
        <f t="shared" si="324"/>
        <v>-236659.87723249063</v>
      </c>
      <c r="BU68" s="45">
        <f t="shared" ref="BU68:BV68" si="325">IF(BU50="","",+(BU50-BU57)+(BU57*BU60/BU65))</f>
        <v>-296177.30566513271</v>
      </c>
      <c r="BV68" s="45">
        <f t="shared" si="325"/>
        <v>-381804.14898688439</v>
      </c>
      <c r="BW68" s="45">
        <f t="shared" ref="BW68:BX68" si="326">IF(BW50="","",+(BW50-BW57)+(BW57*BW60/BW65))</f>
        <v>-246708.5763060193</v>
      </c>
      <c r="BX68" s="45">
        <f t="shared" si="326"/>
        <v>-14067.704131906468</v>
      </c>
      <c r="BY68" s="45">
        <f t="shared" ref="BY68:BZ68" si="327">IF(BY50="","",+(BY50-BY57)+(BY57*BY60/BY65))</f>
        <v>-8075.3701007850805</v>
      </c>
      <c r="BZ68" s="45">
        <f t="shared" si="327"/>
        <v>-8069.5010685150701</v>
      </c>
      <c r="CA68" s="45">
        <f t="shared" ref="CA68:CB68" si="328">IF(CA50="","",+(CA50-CA57)+(CA57*CA60/CA65))</f>
        <v>-10523.960092720119</v>
      </c>
      <c r="CB68" s="45">
        <f t="shared" si="328"/>
        <v>-14468.941204805698</v>
      </c>
      <c r="CC68" s="45">
        <f t="shared" ref="CC68:CD68" si="329">IF(CC50="","",+(CC50-CC57)+(CC57*CC60/CC65))</f>
        <v>-13654.530108070918</v>
      </c>
      <c r="CD68" s="45">
        <f t="shared" si="329"/>
        <v>-11445.528735503302</v>
      </c>
      <c r="CE68" s="45">
        <f t="shared" ref="CE68:CF68" si="330">IF(CE50="","",+(CE50-CE57)+(CE57*CE60/CE65))</f>
        <v>-8161.2905921701886</v>
      </c>
      <c r="CF68" s="45">
        <f t="shared" si="330"/>
        <v>-7466.1740536377019</v>
      </c>
      <c r="CG68" s="45">
        <f t="shared" ref="CG68:CH68" si="331">IF(CG50="","",+(CG50-CG57)+(CG57*CG60/CG65))</f>
        <v>-11799.60123590958</v>
      </c>
      <c r="CH68" s="45">
        <f t="shared" si="331"/>
        <v>-14218.800814047187</v>
      </c>
      <c r="CI68" s="45">
        <f t="shared" ref="CI68:CJ68" si="332">IF(CI50="","",+(CI50-CI57)+(CI57*CI60/CI65))</f>
        <v>1128.7472916282129</v>
      </c>
      <c r="CJ68" s="45">
        <f t="shared" si="332"/>
        <v>17063.412176146543</v>
      </c>
      <c r="CK68" s="45">
        <f t="shared" ref="CK68:CL68" si="333">IF(CK50="","",+(CK50-CK57)+(CK57*CK60/CK65))</f>
        <v>14834.032673913982</v>
      </c>
      <c r="CL68" s="45">
        <f t="shared" si="333"/>
        <v>12618.250319023464</v>
      </c>
      <c r="CM68" s="45">
        <f t="shared" ref="CM68:CN68" si="334">IF(CM50="","",+(CM50-CM57)+(CM57*CM60/CM65))</f>
        <v>16278.292305872981</v>
      </c>
      <c r="CN68" s="45">
        <f t="shared" si="334"/>
        <v>21270.90679048586</v>
      </c>
      <c r="CO68" s="45">
        <f t="shared" ref="CO68:CP68" si="335">IF(CO50="","",+(CO50-CO57)+(CO57*CO60/CO65))</f>
        <v>21946.695895800647</v>
      </c>
      <c r="CP68" s="45">
        <f t="shared" si="335"/>
        <v>20318.680329761581</v>
      </c>
      <c r="CQ68" s="45">
        <f t="shared" ref="CQ68:CT68" si="336">IF(CQ50="","",+(CQ50-CQ57)+(CQ57*CQ60/CQ65))</f>
        <v>14782.334123161956</v>
      </c>
      <c r="CR68" s="45">
        <f t="shared" si="336"/>
        <v>13717.467359332448</v>
      </c>
      <c r="CS68" s="45">
        <f t="shared" si="336"/>
        <v>18751.361390708989</v>
      </c>
      <c r="CT68" s="45">
        <f t="shared" si="336"/>
        <v>24563.298264589041</v>
      </c>
    </row>
    <row r="69" spans="1:98" x14ac:dyDescent="0.35">
      <c r="A69" t="s">
        <v>34</v>
      </c>
      <c r="B69" s="37"/>
      <c r="C69" s="37"/>
      <c r="D69" s="45">
        <f>+D51+(D57*D61/D65)</f>
        <v>0</v>
      </c>
      <c r="E69" s="45">
        <f t="shared" ref="E69:P69" si="337">+E51+(E57*E61/E65)</f>
        <v>0</v>
      </c>
      <c r="F69" s="45">
        <f t="shared" si="337"/>
        <v>0</v>
      </c>
      <c r="G69" s="45">
        <f t="shared" si="337"/>
        <v>0</v>
      </c>
      <c r="H69" s="45">
        <f t="shared" si="337"/>
        <v>0</v>
      </c>
      <c r="I69" s="45">
        <f t="shared" si="337"/>
        <v>0</v>
      </c>
      <c r="J69" s="45">
        <f t="shared" si="337"/>
        <v>0</v>
      </c>
      <c r="K69" s="45">
        <f t="shared" si="337"/>
        <v>0</v>
      </c>
      <c r="L69" s="45">
        <f t="shared" si="337"/>
        <v>0</v>
      </c>
      <c r="M69" s="45">
        <f t="shared" si="337"/>
        <v>0</v>
      </c>
      <c r="N69" s="45">
        <f t="shared" si="337"/>
        <v>0</v>
      </c>
      <c r="O69" s="45">
        <f t="shared" si="337"/>
        <v>0</v>
      </c>
      <c r="P69" s="45">
        <f t="shared" si="337"/>
        <v>0</v>
      </c>
      <c r="Q69" s="45">
        <f>IF(Q51="","",+Q51+(Q57*Q61/Q65))</f>
        <v>117754.86766427531</v>
      </c>
      <c r="R69" s="45">
        <f t="shared" ref="R69:AW69" si="338">IF(R51="","",+R51+(R57*R61/R65))</f>
        <v>117111.78358657917</v>
      </c>
      <c r="S69" s="45">
        <f t="shared" si="338"/>
        <v>139211.1271761941</v>
      </c>
      <c r="T69" s="45">
        <f t="shared" si="338"/>
        <v>160900.46992761682</v>
      </c>
      <c r="U69" s="45">
        <f t="shared" si="338"/>
        <v>162415.72720926077</v>
      </c>
      <c r="V69" s="45">
        <f t="shared" si="338"/>
        <v>145481.1603029698</v>
      </c>
      <c r="W69" s="45">
        <f t="shared" si="338"/>
        <v>137867.15538119225</v>
      </c>
      <c r="X69" s="45">
        <f t="shared" si="338"/>
        <v>122671.59779667509</v>
      </c>
      <c r="Y69" s="45">
        <f t="shared" si="338"/>
        <v>134648.09810155624</v>
      </c>
      <c r="Z69" s="45">
        <f t="shared" si="338"/>
        <v>193970.45230344273</v>
      </c>
      <c r="AA69" s="45">
        <f>ROUND(IF(AA51="","",+AA51+(AA57*AA61/AA65)),2)</f>
        <v>337014.49</v>
      </c>
      <c r="AB69" s="45">
        <f t="shared" si="338"/>
        <v>295708.57620644657</v>
      </c>
      <c r="AC69" s="45">
        <f t="shared" si="338"/>
        <v>291406.59328999976</v>
      </c>
      <c r="AD69" s="45">
        <f t="shared" si="338"/>
        <v>264923.25566753082</v>
      </c>
      <c r="AE69" s="45">
        <f t="shared" si="338"/>
        <v>333657.21503767214</v>
      </c>
      <c r="AF69" s="45">
        <f t="shared" si="338"/>
        <v>367915.86365673423</v>
      </c>
      <c r="AG69" s="45">
        <f t="shared" si="338"/>
        <v>344001.06732957577</v>
      </c>
      <c r="AH69" s="45">
        <f>IF(AH51="","",+AH51+(AH57*AH61/AH65))</f>
        <v>338126.29031171976</v>
      </c>
      <c r="AI69" s="45">
        <f t="shared" si="338"/>
        <v>297845.76900715684</v>
      </c>
      <c r="AJ69" s="45">
        <f t="shared" si="338"/>
        <v>267618.62093979405</v>
      </c>
      <c r="AK69" s="45">
        <f t="shared" si="338"/>
        <v>322555.10705520917</v>
      </c>
      <c r="AL69" s="45">
        <f t="shared" si="338"/>
        <v>371341.16797562933</v>
      </c>
      <c r="AM69" s="45">
        <f t="shared" si="338"/>
        <v>701136.2388481237</v>
      </c>
      <c r="AN69" s="45">
        <f t="shared" si="338"/>
        <v>660367.02395744435</v>
      </c>
      <c r="AO69" s="45">
        <f t="shared" si="338"/>
        <v>536256.50994038768</v>
      </c>
      <c r="AP69" s="45">
        <f t="shared" si="338"/>
        <v>506299.41162084811</v>
      </c>
      <c r="AQ69" s="45">
        <f t="shared" si="338"/>
        <v>591277.49932374491</v>
      </c>
      <c r="AR69" s="45">
        <f t="shared" si="338"/>
        <v>676039.62753147213</v>
      </c>
      <c r="AS69" s="45">
        <f t="shared" si="338"/>
        <v>694696.60025960801</v>
      </c>
      <c r="AT69" s="45">
        <f t="shared" si="338"/>
        <v>670877.10139883822</v>
      </c>
      <c r="AU69" s="45">
        <f t="shared" si="338"/>
        <v>604713.02387172775</v>
      </c>
      <c r="AV69" s="45">
        <f t="shared" si="338"/>
        <v>541098.36747130833</v>
      </c>
      <c r="AW69" s="45">
        <f t="shared" si="338"/>
        <v>635047.56064080668</v>
      </c>
      <c r="AX69" s="45">
        <f t="shared" ref="AX69:AY69" si="339">IF(AX51="","",+AX51+(AX57*AX61/AX65))</f>
        <v>677042.48835283797</v>
      </c>
      <c r="AY69" s="45">
        <f t="shared" si="339"/>
        <v>415381.06618172349</v>
      </c>
      <c r="AZ69" s="45">
        <f t="shared" ref="AZ69:BA69" si="340">IF(AZ51="","",+AZ51+(AZ57*AZ61/AZ65))</f>
        <v>87488.365088698483</v>
      </c>
      <c r="BA69" s="45">
        <f t="shared" si="340"/>
        <v>64808.481988010986</v>
      </c>
      <c r="BB69" s="45">
        <f t="shared" ref="BB69:BC69" si="341">IF(BB51="","",+BB51+(BB57*BB61/BB65))</f>
        <v>59023.185490174175</v>
      </c>
      <c r="BC69" s="45">
        <f t="shared" si="341"/>
        <v>73834.949720540346</v>
      </c>
      <c r="BD69" s="45">
        <f t="shared" ref="BD69:BE69" si="342">IF(BD51="","",+BD51+(BD57*BD61/BD65))</f>
        <v>92018.552084119583</v>
      </c>
      <c r="BE69" s="45">
        <f t="shared" si="342"/>
        <v>90580.739582948823</v>
      </c>
      <c r="BF69" s="45">
        <f t="shared" ref="BF69:BG69" si="343">IF(BF51="","",+BF51+(BF57*BF61/BF65))</f>
        <v>86046.105340623792</v>
      </c>
      <c r="BG69" s="45">
        <f t="shared" si="343"/>
        <v>69862.512633552527</v>
      </c>
      <c r="BH69" s="45">
        <f t="shared" ref="BH69:BI69" si="344">IF(BH51="","",+BH51+(BH57*BH61/BH65))</f>
        <v>69704.10872407959</v>
      </c>
      <c r="BI69" s="45">
        <f t="shared" si="344"/>
        <v>80360.687024982573</v>
      </c>
      <c r="BJ69" s="45">
        <f t="shared" ref="BJ69:BK69" si="345">IF(BJ51="","",+BJ51+(BJ57*BJ61/BJ65))</f>
        <v>95761.440926806667</v>
      </c>
      <c r="BK69" s="45">
        <f t="shared" si="345"/>
        <v>-1907.9937762007746</v>
      </c>
      <c r="BL69" s="45">
        <f t="shared" ref="BL69:BM69" si="346">IF(BL51="","",+BL51+(BL57*BL61/BL65))</f>
        <v>-102362.10040602235</v>
      </c>
      <c r="BM69" s="45">
        <f t="shared" si="346"/>
        <v>-81659.759942022312</v>
      </c>
      <c r="BN69" s="45">
        <f t="shared" ref="BN69:BO69" si="347">IF(BN51="","",+BN51+(BN57*BN61/BN65))</f>
        <v>-80583.41964173934</v>
      </c>
      <c r="BO69" s="45">
        <f t="shared" si="347"/>
        <v>-95520.020947600293</v>
      </c>
      <c r="BP69" s="45">
        <f t="shared" ref="BP69:BQ69" si="348">IF(BP51="","",+BP51+(BP57*BP61/BP65))</f>
        <v>-112468.59809397052</v>
      </c>
      <c r="BQ69" s="45">
        <f t="shared" si="348"/>
        <v>-112970.29647430769</v>
      </c>
      <c r="BR69" s="45">
        <f t="shared" ref="BR69:BS69" si="349">IF(BR51="","",+BR51+(BR57*BR61/BR65))</f>
        <v>-114176.56432782451</v>
      </c>
      <c r="BS69" s="45">
        <f t="shared" si="349"/>
        <v>-95359.199900074542</v>
      </c>
      <c r="BT69" s="45">
        <f t="shared" ref="BT69:BU69" si="350">IF(BT51="","",+BT51+(BT57*BT61/BT65))</f>
        <v>-85048.337899656035</v>
      </c>
      <c r="BU69" s="45">
        <f t="shared" si="350"/>
        <v>-96923.929909834478</v>
      </c>
      <c r="BV69" s="45">
        <f t="shared" ref="BV69:BW69" si="351">IF(BV51="","",+BV51+(BV57*BV61/BV65))</f>
        <v>-114316.61954150567</v>
      </c>
      <c r="BW69" s="45">
        <f t="shared" si="351"/>
        <v>-70347.05152582172</v>
      </c>
      <c r="BX69" s="45">
        <f t="shared" ref="BX69:BY69" si="352">IF(BX51="","",+BX51+(BX57*BX61/BX65))</f>
        <v>-3800.9561632831483</v>
      </c>
      <c r="BY69" s="45">
        <f t="shared" si="352"/>
        <v>-3430.8126987825262</v>
      </c>
      <c r="BZ69" s="45">
        <f t="shared" ref="BZ69:CA69" si="353">IF(BZ51="","",+BZ51+(BZ57*BZ61/BZ65))</f>
        <v>-3159.8932354852132</v>
      </c>
      <c r="CA69" s="45">
        <f t="shared" si="353"/>
        <v>-3581.5162113053066</v>
      </c>
      <c r="CB69" s="45">
        <f t="shared" ref="CB69:CC69" si="354">IF(CB51="","",+CB51+(CB57*CB61/CB65))</f>
        <v>-4119.5944291965261</v>
      </c>
      <c r="CC69" s="45">
        <f t="shared" si="354"/>
        <v>-4322.0730845019007</v>
      </c>
      <c r="CD69" s="45">
        <f t="shared" ref="CD69:CE69" si="355">IF(CD51="","",+CD51+(CD57*CD61/CD65))</f>
        <v>-3929.9254185913205</v>
      </c>
      <c r="CE69" s="45">
        <f t="shared" si="355"/>
        <v>-3276.9745441742421</v>
      </c>
      <c r="CF69" s="45">
        <f t="shared" ref="CF69:CG69" si="356">IF(CF51="","",+CF51+(CF57*CF61/CF65))</f>
        <v>-3126.7202336261671</v>
      </c>
      <c r="CG69" s="45">
        <f t="shared" si="356"/>
        <v>-3790.1875290561552</v>
      </c>
      <c r="CH69" s="45">
        <f t="shared" ref="CH69:CI69" si="357">IF(CH51="","",+CH51+(CH57*CH61/CH65))</f>
        <v>-4362.528537781639</v>
      </c>
      <c r="CI69" s="45">
        <f t="shared" si="357"/>
        <v>-59.450608927867215</v>
      </c>
      <c r="CJ69" s="45">
        <f t="shared" ref="CJ69:CK69" si="358">IF(CJ51="","",+CJ51+(CJ57*CJ61/CJ65))</f>
        <v>4524.2006448409011</v>
      </c>
      <c r="CK69" s="45">
        <f t="shared" si="358"/>
        <v>4143.0276488103909</v>
      </c>
      <c r="CL69" s="45">
        <f t="shared" ref="CL69:CM69" si="359">IF(CL51="","",+CL51+(CL57*CL61/CL65))</f>
        <v>3845.7337142260185</v>
      </c>
      <c r="CM69" s="45">
        <f t="shared" si="359"/>
        <v>4680.4644940813678</v>
      </c>
      <c r="CN69" s="45">
        <f t="shared" ref="CN69:CO69" si="360">IF(CN51="","",+CN51+(CN57*CN61/CN65))</f>
        <v>5373.591493144434</v>
      </c>
      <c r="CO69" s="45">
        <f t="shared" si="360"/>
        <v>5513.3199284737602</v>
      </c>
      <c r="CP69" s="45">
        <f t="shared" ref="CP69:CQ69" si="361">IF(CP51="","",+CP51+(CP57*CP61/CP65))</f>
        <v>5569.4194265403466</v>
      </c>
      <c r="CQ69" s="45">
        <f t="shared" si="361"/>
        <v>4526.9681321419803</v>
      </c>
      <c r="CR69" s="45">
        <f t="shared" ref="CR69:CT69" si="362">IF(CR51="","",+CR51+(CR57*CR61/CR65))</f>
        <v>4196.9354561870714</v>
      </c>
      <c r="CS69" s="45">
        <f t="shared" si="362"/>
        <v>4916.3626186835527</v>
      </c>
      <c r="CT69" s="45">
        <f t="shared" si="362"/>
        <v>5721.3202490727872</v>
      </c>
    </row>
    <row r="70" spans="1:98" x14ac:dyDescent="0.35">
      <c r="A70" t="s">
        <v>35</v>
      </c>
      <c r="B70" s="37"/>
      <c r="C70" s="37"/>
      <c r="D70" s="45">
        <f>+D52+(D57*D62/D65)</f>
        <v>0</v>
      </c>
      <c r="E70" s="45">
        <f t="shared" ref="E70:P70" si="363">+E52+(E57*E62/E65)</f>
        <v>0</v>
      </c>
      <c r="F70" s="45">
        <f t="shared" si="363"/>
        <v>0</v>
      </c>
      <c r="G70" s="45">
        <f t="shared" si="363"/>
        <v>0</v>
      </c>
      <c r="H70" s="45">
        <f t="shared" si="363"/>
        <v>0</v>
      </c>
      <c r="I70" s="45">
        <f t="shared" si="363"/>
        <v>0</v>
      </c>
      <c r="J70" s="45">
        <f t="shared" si="363"/>
        <v>0</v>
      </c>
      <c r="K70" s="45">
        <f t="shared" si="363"/>
        <v>0</v>
      </c>
      <c r="L70" s="45">
        <f t="shared" si="363"/>
        <v>0</v>
      </c>
      <c r="M70" s="45">
        <f t="shared" si="363"/>
        <v>0</v>
      </c>
      <c r="N70" s="45">
        <f t="shared" si="363"/>
        <v>0</v>
      </c>
      <c r="O70" s="45">
        <f t="shared" si="363"/>
        <v>0</v>
      </c>
      <c r="P70" s="45">
        <f t="shared" si="363"/>
        <v>0</v>
      </c>
      <c r="Q70" s="45">
        <f>IF(Q52="","",+Q52+(Q57*Q62/Q65))</f>
        <v>297067.25661237026</v>
      </c>
      <c r="R70" s="45">
        <f t="shared" ref="R70:AW70" si="364">IF(R52="","",+R52+(R57*R62/R65))</f>
        <v>306858.76704664429</v>
      </c>
      <c r="S70" s="45">
        <f t="shared" si="364"/>
        <v>347930.82125503593</v>
      </c>
      <c r="T70" s="45">
        <f t="shared" si="364"/>
        <v>377801.41744412482</v>
      </c>
      <c r="U70" s="45">
        <f t="shared" si="364"/>
        <v>384838.10767902108</v>
      </c>
      <c r="V70" s="45">
        <f t="shared" si="364"/>
        <v>363327.24534638016</v>
      </c>
      <c r="W70" s="45">
        <f t="shared" si="364"/>
        <v>349151.70540680212</v>
      </c>
      <c r="X70" s="45">
        <f t="shared" si="364"/>
        <v>312029.63241835893</v>
      </c>
      <c r="Y70" s="45">
        <f t="shared" si="364"/>
        <v>324930.27431740938</v>
      </c>
      <c r="Z70" s="45">
        <f t="shared" si="364"/>
        <v>389339.8693849984</v>
      </c>
      <c r="AA70" s="45">
        <f>ROUND(IF(AA52="","",+AA52+(AA57*AA62/AA65)),2)</f>
        <v>556625.86</v>
      </c>
      <c r="AB70" s="45">
        <f t="shared" si="364"/>
        <v>519727.84944586566</v>
      </c>
      <c r="AC70" s="45">
        <f t="shared" si="364"/>
        <v>524323.57207482436</v>
      </c>
      <c r="AD70" s="45">
        <f t="shared" si="364"/>
        <v>522730.47478252684</v>
      </c>
      <c r="AE70" s="45">
        <f t="shared" si="364"/>
        <v>623624.8655420111</v>
      </c>
      <c r="AF70" s="45">
        <f t="shared" si="364"/>
        <v>661725.50586693978</v>
      </c>
      <c r="AG70" s="45">
        <f t="shared" si="364"/>
        <v>626757.48216571088</v>
      </c>
      <c r="AH70" s="45">
        <f t="shared" si="364"/>
        <v>638007.84216665139</v>
      </c>
      <c r="AI70" s="45">
        <f t="shared" si="364"/>
        <v>579490.47761485481</v>
      </c>
      <c r="AJ70" s="45">
        <f t="shared" si="364"/>
        <v>513641.84877388977</v>
      </c>
      <c r="AK70" s="45">
        <f t="shared" si="364"/>
        <v>557457.11362508603</v>
      </c>
      <c r="AL70" s="45">
        <f t="shared" si="364"/>
        <v>608808.22123092401</v>
      </c>
      <c r="AM70" s="45">
        <f t="shared" si="364"/>
        <v>1107018.1450648431</v>
      </c>
      <c r="AN70" s="45">
        <f t="shared" si="364"/>
        <v>1050923.1514029966</v>
      </c>
      <c r="AO70" s="45">
        <f t="shared" si="364"/>
        <v>946394.49189445085</v>
      </c>
      <c r="AP70" s="45">
        <f t="shared" si="364"/>
        <v>980269.66694109701</v>
      </c>
      <c r="AQ70" s="45">
        <f t="shared" si="364"/>
        <v>1091122.5576982794</v>
      </c>
      <c r="AR70" s="45">
        <f t="shared" si="364"/>
        <v>1173345.4165751</v>
      </c>
      <c r="AS70" s="45">
        <f t="shared" si="364"/>
        <v>1200301.9882335844</v>
      </c>
      <c r="AT70" s="45">
        <f t="shared" si="364"/>
        <v>1212308.9277305761</v>
      </c>
      <c r="AU70" s="45">
        <f t="shared" si="364"/>
        <v>1113467.1918631792</v>
      </c>
      <c r="AV70" s="45">
        <f t="shared" si="364"/>
        <v>981117.22422696999</v>
      </c>
      <c r="AW70" s="45">
        <f t="shared" si="364"/>
        <v>1062930.0447087046</v>
      </c>
      <c r="AX70" s="45">
        <f t="shared" ref="AX70:AY70" si="365">IF(AX52="","",+AX52+(AX57*AX62/AX65))</f>
        <v>1099098.7608177634</v>
      </c>
      <c r="AY70" s="45">
        <f t="shared" si="365"/>
        <v>764411.39598139795</v>
      </c>
      <c r="AZ70" s="45">
        <f t="shared" ref="AZ70:BA70" si="366">IF(AZ52="","",+AZ52+(AZ57*AZ62/AZ65))</f>
        <v>318623.73714683513</v>
      </c>
      <c r="BA70" s="45">
        <f t="shared" si="366"/>
        <v>268197.12227908301</v>
      </c>
      <c r="BB70" s="45">
        <f t="shared" ref="BB70:BC70" si="367">IF(BB52="","",+BB52+(BB57*BB62/BB65))</f>
        <v>249075.16076692482</v>
      </c>
      <c r="BC70" s="45">
        <f t="shared" si="367"/>
        <v>296551.86746010336</v>
      </c>
      <c r="BD70" s="45">
        <f t="shared" ref="BD70:BE70" si="368">IF(BD52="","",+BD52+(BD57*BD62/BD65))</f>
        <v>346227.00320999854</v>
      </c>
      <c r="BE70" s="45">
        <f t="shared" si="368"/>
        <v>344571.98080537363</v>
      </c>
      <c r="BF70" s="45">
        <f t="shared" ref="BF70:BG70" si="369">IF(BF52="","",+BF52+(BF57*BF62/BF65))</f>
        <v>343418.65957003599</v>
      </c>
      <c r="BG70" s="45">
        <f t="shared" si="369"/>
        <v>293034.59528354992</v>
      </c>
      <c r="BH70" s="45">
        <f t="shared" ref="BH70:BI70" si="370">IF(BH52="","",+BH52+(BH57*BH62/BH65))</f>
        <v>285307.32387214003</v>
      </c>
      <c r="BI70" s="45">
        <f t="shared" si="370"/>
        <v>306551.46210147406</v>
      </c>
      <c r="BJ70" s="45">
        <f t="shared" ref="BJ70:BK70" si="371">IF(BJ52="","",+BJ52+(BJ57*BJ62/BJ65))</f>
        <v>328395.30665898882</v>
      </c>
      <c r="BK70" s="45">
        <f t="shared" si="371"/>
        <v>129041.97894362173</v>
      </c>
      <c r="BL70" s="45">
        <f t="shared" ref="BL70:BM70" si="372">IF(BL52="","",+BL52+(BL57*BL62/BL65))</f>
        <v>-116248.37555983226</v>
      </c>
      <c r="BM70" s="45">
        <f t="shared" si="372"/>
        <v>-104613.38045356744</v>
      </c>
      <c r="BN70" s="45">
        <f t="shared" ref="BN70:BO70" si="373">IF(BN52="","",+BN52+(BN57*BN62/BN65))</f>
        <v>-106758.31587632833</v>
      </c>
      <c r="BO70" s="45">
        <f t="shared" si="373"/>
        <v>-119183.41184852651</v>
      </c>
      <c r="BP70" s="45">
        <f t="shared" ref="BP70:BQ70" si="374">IF(BP52="","",+BP52+(BP57*BP62/BP65))</f>
        <v>-138596.39079341319</v>
      </c>
      <c r="BQ70" s="45">
        <f t="shared" si="374"/>
        <v>-137793.28735156739</v>
      </c>
      <c r="BR70" s="45">
        <f t="shared" ref="BR70:BS70" si="375">IF(BR52="","",+BR52+(BR57*BR62/BR65))</f>
        <v>-140452.99254978076</v>
      </c>
      <c r="BS70" s="45">
        <f t="shared" si="375"/>
        <v>-123659.88827741763</v>
      </c>
      <c r="BT70" s="45">
        <f t="shared" ref="BT70:BU70" si="376">IF(BT52="","",+BT52+(BT57*BT62/BT65))</f>
        <v>-109523.64277962862</v>
      </c>
      <c r="BU70" s="45">
        <f t="shared" si="376"/>
        <v>-119570.42005814648</v>
      </c>
      <c r="BV70" s="45">
        <f t="shared" ref="BV70:BW70" si="377">IF(BV52="","",+BV52+(BV57*BV62/BV65))</f>
        <v>-127589.09913487616</v>
      </c>
      <c r="BW70" s="45">
        <f t="shared" si="377"/>
        <v>-90032.567630487814</v>
      </c>
      <c r="BX70" s="45">
        <f t="shared" ref="BX70:BY70" si="378">IF(BX52="","",+BX52+(BX57*BX62/BX65))</f>
        <v>-29850.366428408659</v>
      </c>
      <c r="BY70" s="45">
        <f t="shared" si="378"/>
        <v>-27677.731835119779</v>
      </c>
      <c r="BZ70" s="45">
        <f t="shared" ref="BZ70:CA70" si="379">IF(BZ52="","",+BZ52+(BZ57*BZ62/BZ65))</f>
        <v>-28367.49080792554</v>
      </c>
      <c r="CA70" s="45">
        <f t="shared" si="379"/>
        <v>-31712.240190643679</v>
      </c>
      <c r="CB70" s="45">
        <f t="shared" ref="CB70:CC70" si="380">IF(CB52="","",+CB52+(CB57*CB62/CB65))</f>
        <v>-36266.351017925241</v>
      </c>
      <c r="CC70" s="45">
        <f t="shared" si="380"/>
        <v>-35382.790747787352</v>
      </c>
      <c r="CD70" s="45">
        <f t="shared" ref="CD70:CE70" si="381">IF(CD52="","",+CD52+(CD57*CD62/CD65))</f>
        <v>-33777.721147319782</v>
      </c>
      <c r="CE70" s="45">
        <f t="shared" si="381"/>
        <v>-29077.038685363284</v>
      </c>
      <c r="CF70" s="45">
        <f t="shared" ref="CF70:CG70" si="382">IF(CF52="","",+CF52+(CF57*CF62/CF65))</f>
        <v>-27430.212146395083</v>
      </c>
      <c r="CG70" s="45">
        <f t="shared" si="382"/>
        <v>-31670.308000207406</v>
      </c>
      <c r="CH70" s="45">
        <f t="shared" ref="CH70:CI70" si="383">IF(CH52="","",+CH52+(CH57*CH62/CH65))</f>
        <v>-32611.705138027606</v>
      </c>
      <c r="CI70" s="45">
        <f t="shared" si="383"/>
        <v>-16555.481068991823</v>
      </c>
      <c r="CJ70" s="45">
        <f t="shared" ref="CJ70:CK70" si="384">IF(CJ52="","",+CJ52+(CJ57*CJ62/CJ65))</f>
        <v>3230.8735523843402</v>
      </c>
      <c r="CK70" s="45">
        <f t="shared" si="384"/>
        <v>3208.5524523745844</v>
      </c>
      <c r="CL70" s="45">
        <f t="shared" ref="CL70:CM70" si="385">IF(CL52="","",+CL52+(CL57*CL62/CL65))</f>
        <v>3375.7446884847041</v>
      </c>
      <c r="CM70" s="45">
        <f t="shared" si="385"/>
        <v>3694.4912721367164</v>
      </c>
      <c r="CN70" s="45">
        <f t="shared" ref="CN70:CO70" si="386">IF(CN52="","",+CN52+(CN57*CN62/CN65))</f>
        <v>3963.639586443905</v>
      </c>
      <c r="CO70" s="45">
        <f t="shared" si="386"/>
        <v>4066.5380749420337</v>
      </c>
      <c r="CP70" s="45">
        <f t="shared" ref="CP70:CQ70" si="387">IF(CP52="","",+CP52+(CP57*CP62/CP65))</f>
        <v>4093.357048655002</v>
      </c>
      <c r="CQ70" s="45">
        <f t="shared" si="387"/>
        <v>3620.366461183919</v>
      </c>
      <c r="CR70" s="45">
        <f t="shared" ref="CR70:CT70" si="388">IF(CR52="","",+CR52+(CR57*CR62/CR65))</f>
        <v>3387.0675996324594</v>
      </c>
      <c r="CS70" s="45">
        <f t="shared" si="388"/>
        <v>3619.4564718395895</v>
      </c>
      <c r="CT70" s="45">
        <f t="shared" si="388"/>
        <v>4016.1861078813718</v>
      </c>
    </row>
    <row r="71" spans="1:98" x14ac:dyDescent="0.35">
      <c r="A71" t="s">
        <v>36</v>
      </c>
      <c r="B71" s="37"/>
      <c r="C71" s="37"/>
      <c r="D71" s="45">
        <f>+D53+(D57*D63/D65)</f>
        <v>0</v>
      </c>
      <c r="E71" s="45">
        <f t="shared" ref="E71:P71" si="389">+E53+(E57*E63/E65)</f>
        <v>0</v>
      </c>
      <c r="F71" s="45">
        <f t="shared" si="389"/>
        <v>0</v>
      </c>
      <c r="G71" s="45">
        <f t="shared" si="389"/>
        <v>0</v>
      </c>
      <c r="H71" s="45">
        <f t="shared" si="389"/>
        <v>0</v>
      </c>
      <c r="I71" s="45">
        <f t="shared" si="389"/>
        <v>0</v>
      </c>
      <c r="J71" s="45">
        <f t="shared" si="389"/>
        <v>0</v>
      </c>
      <c r="K71" s="45">
        <f t="shared" si="389"/>
        <v>0</v>
      </c>
      <c r="L71" s="45">
        <f t="shared" si="389"/>
        <v>0</v>
      </c>
      <c r="M71" s="45">
        <f t="shared" si="389"/>
        <v>0</v>
      </c>
      <c r="N71" s="45">
        <f t="shared" si="389"/>
        <v>0</v>
      </c>
      <c r="O71" s="45">
        <f t="shared" si="389"/>
        <v>0</v>
      </c>
      <c r="P71" s="45">
        <f t="shared" si="389"/>
        <v>0</v>
      </c>
      <c r="Q71" s="45">
        <f>IF(Q53="","",+Q53+(Q57*Q63/Q65))</f>
        <v>283136.40886630391</v>
      </c>
      <c r="R71" s="45">
        <f t="shared" ref="R71:AW71" si="390">IF(R53="","",+R53+(R57*R63/R65))</f>
        <v>287460.81327816768</v>
      </c>
      <c r="S71" s="45">
        <f t="shared" si="390"/>
        <v>330409.77575572423</v>
      </c>
      <c r="T71" s="45">
        <f t="shared" si="390"/>
        <v>323201.37525993661</v>
      </c>
      <c r="U71" s="45">
        <f t="shared" si="390"/>
        <v>340944.20704658219</v>
      </c>
      <c r="V71" s="45">
        <f t="shared" si="390"/>
        <v>328289.08781066153</v>
      </c>
      <c r="W71" s="45">
        <f t="shared" si="390"/>
        <v>321452.90171375725</v>
      </c>
      <c r="X71" s="45">
        <f t="shared" si="390"/>
        <v>288778.65587559086</v>
      </c>
      <c r="Y71" s="45">
        <f t="shared" si="390"/>
        <v>301751.31193612184</v>
      </c>
      <c r="Z71" s="45">
        <f t="shared" si="390"/>
        <v>332299.53125242464</v>
      </c>
      <c r="AA71" s="89">
        <f>ROUND(IF(AA53="","",+AA53+(AA57*AA63/AA65)),2)-0.01</f>
        <v>302428.95</v>
      </c>
      <c r="AB71" s="45">
        <f t="shared" si="390"/>
        <v>301943.60981245001</v>
      </c>
      <c r="AC71" s="45">
        <f t="shared" si="390"/>
        <v>278699.7057611302</v>
      </c>
      <c r="AD71" s="45">
        <f t="shared" si="390"/>
        <v>322370.88601313852</v>
      </c>
      <c r="AE71" s="45">
        <f t="shared" si="390"/>
        <v>349751.02773569047</v>
      </c>
      <c r="AF71" s="45">
        <f t="shared" si="390"/>
        <v>361975.97928185289</v>
      </c>
      <c r="AG71" s="45">
        <f t="shared" si="390"/>
        <v>356032.65352996916</v>
      </c>
      <c r="AH71" s="45">
        <f t="shared" si="390"/>
        <v>346604.60421828728</v>
      </c>
      <c r="AI71" s="45">
        <f t="shared" si="390"/>
        <v>324956.79952393915</v>
      </c>
      <c r="AJ71" s="45">
        <f t="shared" si="390"/>
        <v>301584.85459624138</v>
      </c>
      <c r="AK71" s="45">
        <f t="shared" si="390"/>
        <v>323402.5858220082</v>
      </c>
      <c r="AL71" s="45">
        <f t="shared" si="390"/>
        <v>296745.40272335312</v>
      </c>
      <c r="AM71" s="45">
        <f t="shared" si="390"/>
        <v>355667.68860749144</v>
      </c>
      <c r="AN71" s="45">
        <f t="shared" si="390"/>
        <v>352302.39917248994</v>
      </c>
      <c r="AO71" s="45">
        <f t="shared" si="390"/>
        <v>338612.44673821039</v>
      </c>
      <c r="AP71" s="45">
        <f t="shared" si="390"/>
        <v>338607.64249172056</v>
      </c>
      <c r="AQ71" s="45">
        <f t="shared" si="390"/>
        <v>393628.70516997529</v>
      </c>
      <c r="AR71" s="45">
        <f t="shared" si="390"/>
        <v>395351.293050832</v>
      </c>
      <c r="AS71" s="45">
        <f t="shared" si="390"/>
        <v>414954.8489846529</v>
      </c>
      <c r="AT71" s="45">
        <f t="shared" si="390"/>
        <v>412666.27260449337</v>
      </c>
      <c r="AU71" s="45">
        <f t="shared" si="390"/>
        <v>382499.83186560834</v>
      </c>
      <c r="AV71" s="45">
        <f t="shared" si="390"/>
        <v>352969.01405759109</v>
      </c>
      <c r="AW71" s="45">
        <f t="shared" si="390"/>
        <v>354749.07044000481</v>
      </c>
      <c r="AX71" s="45">
        <f t="shared" ref="AX71:AY71" si="391">IF(AX53="","",+AX53+(AX57*AX63/AX65))</f>
        <v>364800.86761435715</v>
      </c>
      <c r="AY71" s="45">
        <f t="shared" si="391"/>
        <v>290547.34153219213</v>
      </c>
      <c r="AZ71" s="45">
        <f t="shared" ref="AZ71:BA71" si="392">IF(AZ53="","",+AZ53+(AZ57*AZ63/AZ65))</f>
        <v>123016.66955581112</v>
      </c>
      <c r="BA71" s="45">
        <f t="shared" si="392"/>
        <v>118618.96587713738</v>
      </c>
      <c r="BB71" s="45">
        <f t="shared" ref="BB71:BC71" si="393">IF(BB53="","",+BB53+(BB57*BB63/BB65))</f>
        <v>111705.70022132192</v>
      </c>
      <c r="BC71" s="45">
        <f t="shared" si="393"/>
        <v>130125.71091968814</v>
      </c>
      <c r="BD71" s="45">
        <f t="shared" ref="BD71:BE71" si="394">IF(BD53="","",+BD53+(BD57*BD63/BD65))</f>
        <v>136950.86579751672</v>
      </c>
      <c r="BE71" s="45">
        <f t="shared" si="394"/>
        <v>143566.43039610708</v>
      </c>
      <c r="BF71" s="45">
        <f t="shared" ref="BF71:BG71" si="395">IF(BF53="","",+BF53+(BF57*BF63/BF65))</f>
        <v>143625.78644107448</v>
      </c>
      <c r="BG71" s="45">
        <f t="shared" si="395"/>
        <v>127662.31996824293</v>
      </c>
      <c r="BH71" s="45">
        <f t="shared" ref="BH71:BI71" si="396">IF(BH53="","",+BH53+(BH57*BH63/BH65))</f>
        <v>126708.68055025722</v>
      </c>
      <c r="BI71" s="45">
        <f t="shared" si="396"/>
        <v>132518.9610920955</v>
      </c>
      <c r="BJ71" s="45">
        <f t="shared" ref="BJ71:BK71" si="397">IF(BJ53="","",+BJ53+(BJ57*BJ63/BJ65))</f>
        <v>130056.06716620013</v>
      </c>
      <c r="BK71" s="45">
        <f t="shared" si="397"/>
        <v>73469.336246691571</v>
      </c>
      <c r="BL71" s="45">
        <f t="shared" ref="BL71:BM71" si="398">IF(BL53="","",+BL53+(BL57*BL63/BL65))</f>
        <v>-22612.659176541922</v>
      </c>
      <c r="BM71" s="45">
        <f t="shared" si="398"/>
        <v>-24415.905916675132</v>
      </c>
      <c r="BN71" s="45">
        <f t="shared" ref="BN71:BO71" si="399">IF(BN53="","",+BN53+(BN57*BN63/BN65))</f>
        <v>-26227.136477870259</v>
      </c>
      <c r="BO71" s="45">
        <f t="shared" si="399"/>
        <v>-23636.693041994658</v>
      </c>
      <c r="BP71" s="45">
        <f t="shared" ref="BP71:BQ71" si="400">IF(BP53="","",+BP53+(BP57*BP63/BP65))</f>
        <v>-32709.066060894642</v>
      </c>
      <c r="BQ71" s="45">
        <f t="shared" si="400"/>
        <v>-30007.954013018152</v>
      </c>
      <c r="BR71" s="45">
        <f t="shared" ref="BR71:BS71" si="401">IF(BR53="","",+BR53+(BR57*BR63/BR65))</f>
        <v>-30398.556259296256</v>
      </c>
      <c r="BS71" s="45">
        <f t="shared" si="401"/>
        <v>-26335.111362820855</v>
      </c>
      <c r="BT71" s="45">
        <f t="shared" ref="BT71:BU71" si="402">IF(BT53="","",+BT53+(BT57*BT63/BT65))</f>
        <v>-22828.889630809208</v>
      </c>
      <c r="BU71" s="45">
        <f t="shared" si="402"/>
        <v>-29924.142514541847</v>
      </c>
      <c r="BV71" s="45">
        <f t="shared" ref="BV71:BW71" si="403">IF(BV53="","",+BV53+(BV57*BV63/BV65))</f>
        <v>-28848.082586273878</v>
      </c>
      <c r="BW71" s="45">
        <f t="shared" si="403"/>
        <v>-20936.748032217365</v>
      </c>
      <c r="BX71" s="45">
        <f t="shared" ref="BX71:BY71" si="404">IF(BX53="","",+BX53+(BX57*BX63/BX65))</f>
        <v>-9363.3583204824445</v>
      </c>
      <c r="BY71" s="45">
        <f t="shared" si="404"/>
        <v>-9437.0051141241493</v>
      </c>
      <c r="BZ71" s="45">
        <f t="shared" ref="BZ71:CA71" si="405">IF(BZ53="","",+BZ53+(BZ57*BZ63/BZ65))</f>
        <v>-9234.9091119732129</v>
      </c>
      <c r="CA71" s="45">
        <f t="shared" si="405"/>
        <v>-10506.965502226194</v>
      </c>
      <c r="CB71" s="45">
        <f t="shared" ref="CB71:CC71" si="406">IF(CB53="","",+CB53+(CB57*CB63/CB65))</f>
        <v>-10928.084351774703</v>
      </c>
      <c r="CC71" s="45">
        <f t="shared" si="406"/>
        <v>-10838.193004551051</v>
      </c>
      <c r="CD71" s="45">
        <f t="shared" ref="CD71:CE71" si="407">IF(CD53="","",+CD53+(CD57*CD63/CD65))</f>
        <v>-10559.893442002107</v>
      </c>
      <c r="CE71" s="45">
        <f t="shared" si="407"/>
        <v>-9362.8553505780201</v>
      </c>
      <c r="CF71" s="45">
        <f t="shared" ref="CF71:CG71" si="408">IF(CF53="","",+CF53+(CF57*CF63/CF65))</f>
        <v>-9452.1264699535604</v>
      </c>
      <c r="CG71" s="45">
        <f t="shared" si="408"/>
        <v>-9797.8820407188032</v>
      </c>
      <c r="CH71" s="45">
        <f t="shared" ref="CH71:CI71" si="409">IF(CH53="","",+CH53+(CH57*CH63/CH65))</f>
        <v>-9326.6664870361237</v>
      </c>
      <c r="CI71" s="45">
        <f t="shared" si="409"/>
        <v>-6080.9078580485339</v>
      </c>
      <c r="CJ71" s="45">
        <f t="shared" ref="CJ71:CK71" si="410">IF(CJ53="","",+CJ53+(CJ57*CJ63/CJ65))</f>
        <v>593.75085601537899</v>
      </c>
      <c r="CK71" s="45">
        <f t="shared" si="410"/>
        <v>803.2809951605052</v>
      </c>
      <c r="CL71" s="45">
        <f t="shared" ref="CL71:CM71" si="411">IF(CL53="","",+CL53+(CL57*CL63/CL65))</f>
        <v>814.06279964630232</v>
      </c>
      <c r="CM71" s="45">
        <f t="shared" si="411"/>
        <v>851.34967874686606</v>
      </c>
      <c r="CN71" s="45">
        <f t="shared" ref="CN71:CO71" si="412">IF(CN53="","",+CN53+(CN57*CN63/CN65))</f>
        <v>868.7312652382152</v>
      </c>
      <c r="CO71" s="45">
        <f t="shared" si="412"/>
        <v>981.25994646426079</v>
      </c>
      <c r="CP71" s="45">
        <f t="shared" ref="CP71:CQ71" si="413">IF(CP53="","",+CP53+(CP57*CP63/CP65))</f>
        <v>939.27443482392925</v>
      </c>
      <c r="CQ71" s="45">
        <f t="shared" si="413"/>
        <v>817.13074883847435</v>
      </c>
      <c r="CR71" s="45">
        <f t="shared" ref="CR71:CT71" si="414">IF(CR53="","",+CR53+(CR57*CR63/CR65))</f>
        <v>813.5866264722813</v>
      </c>
      <c r="CS71" s="45">
        <f t="shared" si="414"/>
        <v>834.08600576963704</v>
      </c>
      <c r="CT71" s="45">
        <f t="shared" si="414"/>
        <v>868.23903232828627</v>
      </c>
    </row>
    <row r="72" spans="1:98" x14ac:dyDescent="0.35">
      <c r="A72" t="s">
        <v>37</v>
      </c>
      <c r="B72" s="37"/>
      <c r="C72" s="37"/>
      <c r="D72" s="45">
        <f>+D54+(D57*D64/D65)</f>
        <v>0</v>
      </c>
      <c r="E72" s="45">
        <f t="shared" ref="E72:P72" si="415">+E54+(E57*E64/E65)</f>
        <v>0</v>
      </c>
      <c r="F72" s="45">
        <f t="shared" si="415"/>
        <v>0</v>
      </c>
      <c r="G72" s="45">
        <f t="shared" si="415"/>
        <v>0</v>
      </c>
      <c r="H72" s="45">
        <f t="shared" si="415"/>
        <v>0</v>
      </c>
      <c r="I72" s="45">
        <f t="shared" si="415"/>
        <v>0</v>
      </c>
      <c r="J72" s="45">
        <f t="shared" si="415"/>
        <v>0</v>
      </c>
      <c r="K72" s="45">
        <f t="shared" si="415"/>
        <v>0</v>
      </c>
      <c r="L72" s="45">
        <f t="shared" si="415"/>
        <v>0</v>
      </c>
      <c r="M72" s="45">
        <f t="shared" si="415"/>
        <v>0</v>
      </c>
      <c r="N72" s="45">
        <f t="shared" si="415"/>
        <v>0</v>
      </c>
      <c r="O72" s="45">
        <f t="shared" si="415"/>
        <v>0</v>
      </c>
      <c r="P72" s="45">
        <f t="shared" si="415"/>
        <v>0</v>
      </c>
      <c r="Q72" s="45">
        <f>IF(Q54="","",+Q54+(Q57*Q64/Q65))</f>
        <v>183651.06125723169</v>
      </c>
      <c r="R72" s="45">
        <f t="shared" ref="R72:AW72" si="416">IF(R54="","",+R54+(R57*R64/R65))</f>
        <v>187110.90550820582</v>
      </c>
      <c r="S72" s="45">
        <f t="shared" si="416"/>
        <v>223442.58102316182</v>
      </c>
      <c r="T72" s="45">
        <f t="shared" si="416"/>
        <v>211112.22603032622</v>
      </c>
      <c r="U72" s="45">
        <f t="shared" si="416"/>
        <v>233963.66032568182</v>
      </c>
      <c r="V72" s="45">
        <f t="shared" si="416"/>
        <v>223064.28470931173</v>
      </c>
      <c r="W72" s="45">
        <f t="shared" si="416"/>
        <v>212741.63673550039</v>
      </c>
      <c r="X72" s="45">
        <f t="shared" si="416"/>
        <v>202298.65943791193</v>
      </c>
      <c r="Y72" s="45">
        <f t="shared" si="416"/>
        <v>185145.40058784836</v>
      </c>
      <c r="Z72" s="45">
        <f t="shared" si="416"/>
        <v>187242.02591890033</v>
      </c>
      <c r="AA72" s="45">
        <f>ROUND(IF(AA54="","",+AA54+(AA57*AA64/AA65)),2)</f>
        <v>102199.67</v>
      </c>
      <c r="AB72" s="45">
        <f t="shared" si="416"/>
        <v>15774.991410991883</v>
      </c>
      <c r="AC72" s="45">
        <f t="shared" si="416"/>
        <v>14999.076289049191</v>
      </c>
      <c r="AD72" s="45">
        <f t="shared" si="416"/>
        <v>17802.440022199695</v>
      </c>
      <c r="AE72" s="45">
        <f t="shared" si="416"/>
        <v>19775.612550633668</v>
      </c>
      <c r="AF72" s="45">
        <f t="shared" si="416"/>
        <v>11062.273989486501</v>
      </c>
      <c r="AG72" s="45">
        <f t="shared" si="416"/>
        <v>20313.771907757455</v>
      </c>
      <c r="AH72" s="45">
        <f t="shared" si="416"/>
        <v>19132.25484498954</v>
      </c>
      <c r="AI72" s="45">
        <f t="shared" si="416"/>
        <v>18842.570934578442</v>
      </c>
      <c r="AJ72" s="45">
        <f t="shared" si="416"/>
        <v>17291.908336856264</v>
      </c>
      <c r="AK72" s="45">
        <f t="shared" si="416"/>
        <v>16424.771759142779</v>
      </c>
      <c r="AL72" s="45">
        <f t="shared" si="416"/>
        <v>19194.293385468092</v>
      </c>
      <c r="AM72" s="45">
        <f t="shared" si="416"/>
        <v>38886.814638059877</v>
      </c>
      <c r="AN72" s="45">
        <f t="shared" si="416"/>
        <v>62163.30838583759</v>
      </c>
      <c r="AO72" s="45">
        <f t="shared" si="416"/>
        <v>62277.891788111709</v>
      </c>
      <c r="AP72" s="45">
        <f t="shared" si="416"/>
        <v>61090.351080169654</v>
      </c>
      <c r="AQ72" s="45">
        <f t="shared" si="416"/>
        <v>77031.361873120681</v>
      </c>
      <c r="AR72" s="45">
        <f t="shared" si="416"/>
        <v>71605.590509478847</v>
      </c>
      <c r="AS72" s="45">
        <f t="shared" si="416"/>
        <v>79252.326006964737</v>
      </c>
      <c r="AT72" s="45">
        <f t="shared" si="416"/>
        <v>80418.423982704393</v>
      </c>
      <c r="AU72" s="45">
        <f t="shared" si="416"/>
        <v>75914.605849404077</v>
      </c>
      <c r="AV72" s="45">
        <f t="shared" si="416"/>
        <v>67084.185364881603</v>
      </c>
      <c r="AW72" s="45">
        <f t="shared" si="416"/>
        <v>62856.748290520285</v>
      </c>
      <c r="AX72" s="45">
        <f t="shared" ref="AX72:AY72" si="417">IF(AX54="","",+AX54+(AX57*AX64/AX65))</f>
        <v>66459.230205220156</v>
      </c>
      <c r="AY72" s="45">
        <f t="shared" si="417"/>
        <v>66430.245030828315</v>
      </c>
      <c r="AZ72" s="45">
        <f t="shared" ref="AZ72:BA72" si="418">IF(AZ54="","",+AZ54+(AZ57*AZ64/AZ65))</f>
        <v>38508.585383210528</v>
      </c>
      <c r="BA72" s="45">
        <f t="shared" si="418"/>
        <v>44139.712667457272</v>
      </c>
      <c r="BB72" s="45">
        <f t="shared" ref="BB72:BC72" si="419">IF(BB54="","",+BB54+(BB57*BB64/BB65))</f>
        <v>44831.320451790816</v>
      </c>
      <c r="BC72" s="45">
        <f t="shared" si="419"/>
        <v>11299.677842574871</v>
      </c>
      <c r="BD72" s="45">
        <f t="shared" ref="BD72:BE72" si="420">IF(BD54="","",+BD54+(BD57*BD64/BD65))</f>
        <v>50403.777431042647</v>
      </c>
      <c r="BE72" s="45">
        <f t="shared" si="420"/>
        <v>51924.778274542303</v>
      </c>
      <c r="BF72" s="45">
        <f t="shared" ref="BF72:BG72" si="421">IF(BF54="","",+BF54+(BF57*BF64/BF65))</f>
        <v>52673.048419221035</v>
      </c>
      <c r="BG72" s="45">
        <f t="shared" si="421"/>
        <v>46395.596252741838</v>
      </c>
      <c r="BH72" s="45">
        <f t="shared" ref="BH72:BI72" si="422">IF(BH54="","",+BH54+(BH57*BH64/BH65))</f>
        <v>45485.528963265475</v>
      </c>
      <c r="BI72" s="45">
        <f t="shared" si="422"/>
        <v>46424.397026326449</v>
      </c>
      <c r="BJ72" s="45">
        <f t="shared" ref="BJ72:BK72" si="423">IF(BJ54="","",+BJ54+(BJ57*BJ64/BJ65))</f>
        <v>42444.211387439616</v>
      </c>
      <c r="BK72" s="45">
        <f t="shared" si="423"/>
        <v>37845.94077531778</v>
      </c>
      <c r="BL72" s="45">
        <f t="shared" ref="BL72:BM72" si="424">IF(BL54="","",+BL54+(BL57*BL64/BL65))</f>
        <v>-731.33700161567504</v>
      </c>
      <c r="BM72" s="45">
        <f t="shared" si="424"/>
        <v>1437.7999422217736</v>
      </c>
      <c r="BN72" s="45">
        <f t="shared" ref="BN72:BO72" si="425">IF(BN54="","",+BN54+(BN57*BN64/BN65))</f>
        <v>1448.8425667251033</v>
      </c>
      <c r="BO72" s="45">
        <f t="shared" si="425"/>
        <v>1380.7821512277105</v>
      </c>
      <c r="BP72" s="45">
        <f t="shared" ref="BP72:BQ72" si="426">IF(BP54="","",+BP54+(BP57*BP64/BP65))</f>
        <v>1767.2604926793401</v>
      </c>
      <c r="BQ72" s="45">
        <f t="shared" si="426"/>
        <v>1691.5909448949833</v>
      </c>
      <c r="BR72" s="45">
        <f t="shared" ref="BR72:BS72" si="427">IF(BR54="","",+BR54+(BR57*BR64/BR65))</f>
        <v>1824.9961214654177</v>
      </c>
      <c r="BS72" s="45">
        <f t="shared" si="427"/>
        <v>1633.3060195728406</v>
      </c>
      <c r="BT72" s="45">
        <f t="shared" ref="BT72:BU72" si="428">IF(BT54="","",+BT54+(BT57*BT64/BT65))</f>
        <v>1134.0675425845006</v>
      </c>
      <c r="BU72" s="45">
        <f t="shared" si="428"/>
        <v>1713.7681476555249</v>
      </c>
      <c r="BV72" s="45">
        <f t="shared" ref="BV72:BW72" si="429">IF(BV54="","",+BV54+(BV57*BV64/BV65))</f>
        <v>1528.2002495401016</v>
      </c>
      <c r="BW72" s="45">
        <f t="shared" si="429"/>
        <v>880.06349454617578</v>
      </c>
      <c r="BX72" s="45">
        <f t="shared" ref="BX72:BY72" si="430">IF(BX54="","",+BX54+(BX57*BX64/BX65))</f>
        <v>-2097.7749559192816</v>
      </c>
      <c r="BY72" s="45">
        <f t="shared" si="430"/>
        <v>-9941.5602511884663</v>
      </c>
      <c r="BZ72" s="45">
        <f t="shared" ref="BZ72:CA72" si="431">IF(BZ54="","",+BZ54+(BZ57*BZ64/BZ65))</f>
        <v>-1916.6757761009615</v>
      </c>
      <c r="CA72" s="45">
        <f t="shared" si="431"/>
        <v>-2336.6180031047011</v>
      </c>
      <c r="CB72" s="45">
        <f t="shared" ref="CB72:CC72" si="432">IF(CB54="","",+CB54+(CB57*CB64/CB65))</f>
        <v>-2679.3289962978324</v>
      </c>
      <c r="CC72" s="45">
        <f t="shared" si="432"/>
        <v>-2648.8730550887763</v>
      </c>
      <c r="CD72" s="45">
        <f t="shared" ref="CD72:CE72" si="433">IF(CD54="","",+CD54+(CD57*CD64/CD65))</f>
        <v>-2762.0412565834886</v>
      </c>
      <c r="CE72" s="45">
        <f t="shared" si="433"/>
        <v>-2372.9708277142608</v>
      </c>
      <c r="CF72" s="45">
        <f t="shared" ref="CF72:CG72" si="434">IF(CF54="","",+CF54+(CF57*CF64/CF65))</f>
        <v>-2369.0270963874896</v>
      </c>
      <c r="CG72" s="45">
        <f t="shared" si="434"/>
        <v>-2320.8511941080565</v>
      </c>
      <c r="CH72" s="45">
        <f t="shared" ref="CH72:CI72" si="435">IF(CH54="","",+CH54+(CH57*CH64/CH65))</f>
        <v>-1958.1190231074463</v>
      </c>
      <c r="CI72" s="45">
        <f t="shared" si="435"/>
        <v>-1623.9777556599881</v>
      </c>
      <c r="CJ72" s="45">
        <f t="shared" ref="CJ72:CK72" si="436">IF(CJ54="","",+CJ54+(CJ57*CJ64/CJ65))</f>
        <v>-31.727229387163341</v>
      </c>
      <c r="CK72" s="45">
        <f t="shared" si="436"/>
        <v>-21.913770259463259</v>
      </c>
      <c r="CL72" s="45">
        <f t="shared" ref="CL72:CM72" si="437">IF(CL54="","",+CL54+(CL57*CL64/CL65))</f>
        <v>-19.431521380489585</v>
      </c>
      <c r="CM72" s="45">
        <f t="shared" si="437"/>
        <v>-23.007750837930821</v>
      </c>
      <c r="CN72" s="45">
        <f t="shared" ref="CN72:CO72" si="438">IF(CN54="","",+CN54+(CN57*CN64/CN65))</f>
        <v>-23.519135312415173</v>
      </c>
      <c r="CO72" s="45">
        <f t="shared" si="438"/>
        <v>-27.323845680704316</v>
      </c>
      <c r="CP72" s="45">
        <f t="shared" ref="CP72:CQ72" si="439">IF(CP54="","",+CP54+(CP57*CP64/CP65))</f>
        <v>-29.041239780857424</v>
      </c>
      <c r="CQ72" s="45">
        <f t="shared" si="439"/>
        <v>-28.609465326327861</v>
      </c>
      <c r="CR72" s="45">
        <f t="shared" ref="CR72:CT72" si="440">IF(CR54="","",+CR54+(CR57*CR64/CR65))</f>
        <v>-22.657604747415956</v>
      </c>
      <c r="CS72" s="45">
        <f t="shared" si="440"/>
        <v>-25.135936954116374</v>
      </c>
      <c r="CT72" s="45">
        <f t="shared" si="440"/>
        <v>-28.268803307973609</v>
      </c>
    </row>
    <row r="73" spans="1:98" x14ac:dyDescent="0.35">
      <c r="A73" s="33" t="s">
        <v>31</v>
      </c>
      <c r="B73" s="31"/>
      <c r="C73" s="31"/>
      <c r="D73" s="44">
        <f>SUM(D68:D72)</f>
        <v>0</v>
      </c>
      <c r="E73" s="44">
        <f t="shared" ref="E73:AW73" si="441">SUM(E68:E72)</f>
        <v>0</v>
      </c>
      <c r="F73" s="44">
        <f t="shared" si="441"/>
        <v>0</v>
      </c>
      <c r="G73" s="44">
        <f t="shared" si="441"/>
        <v>0</v>
      </c>
      <c r="H73" s="44">
        <f t="shared" si="441"/>
        <v>0</v>
      </c>
      <c r="I73" s="44">
        <f t="shared" si="441"/>
        <v>0</v>
      </c>
      <c r="J73" s="44">
        <f t="shared" si="441"/>
        <v>0</v>
      </c>
      <c r="K73" s="44">
        <f t="shared" si="441"/>
        <v>0</v>
      </c>
      <c r="L73" s="44">
        <f t="shared" si="441"/>
        <v>0</v>
      </c>
      <c r="M73" s="44">
        <f t="shared" si="441"/>
        <v>0</v>
      </c>
      <c r="N73" s="44">
        <f t="shared" si="441"/>
        <v>0</v>
      </c>
      <c r="O73" s="44">
        <f t="shared" si="441"/>
        <v>0</v>
      </c>
      <c r="P73" s="44">
        <f t="shared" si="441"/>
        <v>0</v>
      </c>
      <c r="Q73" s="44">
        <f t="shared" si="441"/>
        <v>1865586.4</v>
      </c>
      <c r="R73" s="44">
        <f t="shared" si="441"/>
        <v>1834668.94</v>
      </c>
      <c r="S73" s="44">
        <f t="shared" si="441"/>
        <v>2295880.5499999998</v>
      </c>
      <c r="T73" s="44">
        <f t="shared" si="441"/>
        <v>2739739.71</v>
      </c>
      <c r="U73" s="44">
        <f t="shared" si="441"/>
        <v>2810029.67</v>
      </c>
      <c r="V73" s="44">
        <f t="shared" si="441"/>
        <v>2397146.59</v>
      </c>
      <c r="W73" s="44">
        <f t="shared" si="441"/>
        <v>2196198.75</v>
      </c>
      <c r="X73" s="44">
        <f t="shared" si="441"/>
        <v>1955310.19</v>
      </c>
      <c r="Y73" s="44">
        <f t="shared" si="441"/>
        <v>2272928.3199999998</v>
      </c>
      <c r="Z73" s="44">
        <f t="shared" si="441"/>
        <v>3133513.62</v>
      </c>
      <c r="AA73" s="44">
        <f t="shared" si="441"/>
        <v>2686519.3200000003</v>
      </c>
      <c r="AB73" s="44">
        <f t="shared" si="441"/>
        <v>2253809.6800000002</v>
      </c>
      <c r="AC73" s="44">
        <f t="shared" si="441"/>
        <v>2191880.62</v>
      </c>
      <c r="AD73" s="44">
        <f t="shared" si="441"/>
        <v>2008078.91</v>
      </c>
      <c r="AE73" s="44">
        <f t="shared" si="441"/>
        <v>2628092.9099999997</v>
      </c>
      <c r="AF73" s="44">
        <f t="shared" si="441"/>
        <v>2927384.48</v>
      </c>
      <c r="AG73" s="44">
        <f t="shared" si="441"/>
        <v>2713828.67</v>
      </c>
      <c r="AH73" s="44">
        <f t="shared" si="441"/>
        <v>2656476.1</v>
      </c>
      <c r="AI73" s="44">
        <f t="shared" si="441"/>
        <v>2241568.5699999998</v>
      </c>
      <c r="AJ73" s="44">
        <f t="shared" si="441"/>
        <v>2050332.64</v>
      </c>
      <c r="AK73" s="44">
        <f t="shared" si="441"/>
        <v>2540211.5599999996</v>
      </c>
      <c r="AL73" s="44">
        <f t="shared" si="441"/>
        <v>2758522.64</v>
      </c>
      <c r="AM73" s="44">
        <f t="shared" si="441"/>
        <v>3731846.2900000005</v>
      </c>
      <c r="AN73" s="44">
        <f t="shared" si="441"/>
        <v>3504116.6100000003</v>
      </c>
      <c r="AO73" s="44">
        <f t="shared" si="441"/>
        <v>2834702.33</v>
      </c>
      <c r="AP73" s="44">
        <f t="shared" si="441"/>
        <v>2693990.75</v>
      </c>
      <c r="AQ73" s="44">
        <f t="shared" si="441"/>
        <v>3224890.5700000003</v>
      </c>
      <c r="AR73" s="44">
        <f t="shared" si="441"/>
        <v>3677369.72</v>
      </c>
      <c r="AS73" s="44">
        <f t="shared" si="441"/>
        <v>3821939.25</v>
      </c>
      <c r="AT73" s="44">
        <f t="shared" si="441"/>
        <v>3698449.9900000007</v>
      </c>
      <c r="AU73" s="44">
        <f t="shared" si="441"/>
        <v>3264460.0799999996</v>
      </c>
      <c r="AV73" s="44">
        <f t="shared" si="441"/>
        <v>2921768.73</v>
      </c>
      <c r="AW73" s="44">
        <f t="shared" si="441"/>
        <v>3431438.0599999996</v>
      </c>
      <c r="AX73" s="44">
        <f t="shared" ref="AX73:AY73" si="442">SUM(AX68:AX72)</f>
        <v>3659744.19</v>
      </c>
      <c r="AY73" s="44">
        <f t="shared" si="442"/>
        <v>2389556.5699999998</v>
      </c>
      <c r="AZ73" s="44">
        <f t="shared" ref="AZ73:BA73" si="443">SUM(AZ68:AZ72)</f>
        <v>693510.74000000011</v>
      </c>
      <c r="BA73" s="44">
        <f t="shared" si="443"/>
        <v>590167.07000000007</v>
      </c>
      <c r="BB73" s="44">
        <f t="shared" ref="BB73:BC73" si="444">SUM(BB68:BB72)</f>
        <v>548810.88</v>
      </c>
      <c r="BC73" s="44">
        <f t="shared" si="444"/>
        <v>622900.26</v>
      </c>
      <c r="BD73" s="44">
        <f t="shared" ref="BD73:BE73" si="445">SUM(BD68:BD72)</f>
        <v>774512.69</v>
      </c>
      <c r="BE73" s="44">
        <f t="shared" si="445"/>
        <v>770258.37</v>
      </c>
      <c r="BF73" s="44">
        <f t="shared" ref="BF73:BG73" si="446">SUM(BF68:BF72)</f>
        <v>751740.30999999994</v>
      </c>
      <c r="BG73" s="44">
        <f t="shared" si="446"/>
        <v>622388.87</v>
      </c>
      <c r="BH73" s="44">
        <f t="shared" ref="BH73:BI73" si="447">SUM(BH68:BH72)</f>
        <v>618464.56000000006</v>
      </c>
      <c r="BI73" s="44">
        <f t="shared" si="447"/>
        <v>686712.57000000007</v>
      </c>
      <c r="BJ73" s="44">
        <f t="shared" ref="BJ73:BK73" si="448">SUM(BJ68:BJ72)</f>
        <v>753788.79</v>
      </c>
      <c r="BK73" s="44">
        <f t="shared" si="448"/>
        <v>123252.23000000001</v>
      </c>
      <c r="BL73" s="44">
        <f t="shared" ref="BL73:BM73" si="449">SUM(BL68:BL72)</f>
        <v>-572800.92000000004</v>
      </c>
      <c r="BM73" s="44">
        <f t="shared" si="449"/>
        <v>-433116.60999999993</v>
      </c>
      <c r="BN73" s="44">
        <f t="shared" ref="BN73:BO73" si="450">SUM(BN68:BN72)</f>
        <v>-422296.81</v>
      </c>
      <c r="BO73" s="44">
        <f t="shared" si="450"/>
        <v>-511624.21</v>
      </c>
      <c r="BP73" s="44">
        <f t="shared" ref="BP73:BQ73" si="451">SUM(BP68:BP72)</f>
        <v>-644535.94999999995</v>
      </c>
      <c r="BQ73" s="44">
        <f t="shared" si="451"/>
        <v>-648872.89000000013</v>
      </c>
      <c r="BR73" s="44">
        <f t="shared" ref="BR73:BS73" si="452">SUM(BR68:BR72)</f>
        <v>-646588.66999999981</v>
      </c>
      <c r="BS73" s="44">
        <f t="shared" si="452"/>
        <v>-495839.7</v>
      </c>
      <c r="BT73" s="44">
        <f t="shared" ref="BT73:BU73" si="453">SUM(BT68:BT72)</f>
        <v>-452926.68</v>
      </c>
      <c r="BU73" s="44">
        <f t="shared" si="453"/>
        <v>-540882.02999999991</v>
      </c>
      <c r="BV73" s="44">
        <f t="shared" ref="BV73:BW73" si="454">SUM(BV68:BV72)</f>
        <v>-651029.75</v>
      </c>
      <c r="BW73" s="44">
        <f t="shared" si="454"/>
        <v>-427144.88000000006</v>
      </c>
      <c r="BX73" s="44">
        <f t="shared" ref="BX73:BY73" si="455">SUM(BX68:BX72)</f>
        <v>-59180.160000000003</v>
      </c>
      <c r="BY73" s="44">
        <f t="shared" si="455"/>
        <v>-58562.48</v>
      </c>
      <c r="BZ73" s="44">
        <f t="shared" ref="BZ73:CA73" si="456">SUM(BZ68:BZ72)</f>
        <v>-50748.47</v>
      </c>
      <c r="CA73" s="44">
        <f t="shared" si="456"/>
        <v>-58661.3</v>
      </c>
      <c r="CB73" s="44">
        <f t="shared" ref="CB73:CC73" si="457">SUM(CB68:CB72)</f>
        <v>-68462.3</v>
      </c>
      <c r="CC73" s="44">
        <f t="shared" si="457"/>
        <v>-66846.459999999992</v>
      </c>
      <c r="CD73" s="44">
        <f t="shared" ref="CD73:CE73" si="458">SUM(CD68:CD72)</f>
        <v>-62475.11</v>
      </c>
      <c r="CE73" s="44">
        <f t="shared" si="458"/>
        <v>-52251.13</v>
      </c>
      <c r="CF73" s="44">
        <f t="shared" ref="CF73:CG73" si="459">SUM(CF68:CF72)</f>
        <v>-49844.259999999995</v>
      </c>
      <c r="CG73" s="44">
        <f t="shared" si="459"/>
        <v>-59378.83</v>
      </c>
      <c r="CH73" s="44">
        <f t="shared" ref="CH73:CI73" si="460">SUM(CH68:CH72)</f>
        <v>-62477.820000000007</v>
      </c>
      <c r="CI73" s="44">
        <f t="shared" si="460"/>
        <v>-23191.07</v>
      </c>
      <c r="CJ73" s="44">
        <f t="shared" ref="CJ73:CK73" si="461">SUM(CJ68:CJ72)</f>
        <v>25380.51</v>
      </c>
      <c r="CK73" s="44">
        <f t="shared" si="461"/>
        <v>22966.98</v>
      </c>
      <c r="CL73" s="44">
        <f t="shared" ref="CL73:CM73" si="462">SUM(CL68:CL72)</f>
        <v>20634.359999999997</v>
      </c>
      <c r="CM73" s="44">
        <f t="shared" si="462"/>
        <v>25481.590000000004</v>
      </c>
      <c r="CN73" s="44">
        <f t="shared" ref="CN73:CO73" si="463">SUM(CN68:CN72)</f>
        <v>31453.350000000002</v>
      </c>
      <c r="CO73" s="44">
        <f t="shared" si="463"/>
        <v>32480.489999999994</v>
      </c>
      <c r="CP73" s="44">
        <f t="shared" ref="CP73:CQ73" si="464">SUM(CP68:CP72)</f>
        <v>30891.69</v>
      </c>
      <c r="CQ73" s="44">
        <f t="shared" si="464"/>
        <v>23718.190000000002</v>
      </c>
      <c r="CR73" s="44">
        <f t="shared" ref="CR73:CT73" si="465">SUM(CR68:CR72)</f>
        <v>22092.399436876847</v>
      </c>
      <c r="CS73" s="44">
        <f t="shared" si="465"/>
        <v>28096.130550047652</v>
      </c>
      <c r="CT73" s="44">
        <f t="shared" si="465"/>
        <v>35140.774850563517</v>
      </c>
    </row>
  </sheetData>
  <pageMargins left="0.7" right="0.7" top="0.75" bottom="0.75" header="0.3" footer="0.3"/>
  <pageSetup orientation="portrait" r:id="rId1"/>
  <headerFooter>
    <oddFooter>&amp;RSchedule JNG-D3</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2:CI38"/>
  <sheetViews>
    <sheetView tabSelected="1" workbookViewId="0">
      <pane xSplit="2" ySplit="2" topLeftCell="BU3" activePane="bottomRight" state="frozen"/>
      <selection pane="topRight" activeCell="C1" sqref="C1"/>
      <selection pane="bottomLeft" activeCell="A3" sqref="A3"/>
      <selection pane="bottomRight" activeCell="CB20" sqref="CB20"/>
    </sheetView>
  </sheetViews>
  <sheetFormatPr defaultRowHeight="14.5" x14ac:dyDescent="0.35"/>
  <cols>
    <col min="2" max="2" width="29.1796875" customWidth="1"/>
    <col min="3" max="3" width="11.54296875" bestFit="1" customWidth="1"/>
    <col min="4" max="5" width="13.26953125" bestFit="1" customWidth="1"/>
    <col min="6" max="6" width="12.1796875" bestFit="1" customWidth="1"/>
    <col min="7" max="7" width="11.54296875" bestFit="1" customWidth="1"/>
    <col min="8" max="14" width="13.26953125" bestFit="1" customWidth="1"/>
    <col min="15" max="15" width="13.81640625" bestFit="1" customWidth="1"/>
    <col min="16" max="18" width="13.26953125" bestFit="1" customWidth="1"/>
    <col min="19" max="19" width="11.54296875" bestFit="1" customWidth="1"/>
    <col min="20" max="24" width="13.26953125" bestFit="1" customWidth="1"/>
    <col min="25" max="25" width="11.54296875" bestFit="1" customWidth="1"/>
    <col min="26" max="29" width="13.26953125" bestFit="1" customWidth="1"/>
    <col min="30" max="31" width="12.81640625" bestFit="1" customWidth="1"/>
    <col min="32" max="36" width="13.26953125" bestFit="1" customWidth="1"/>
    <col min="37" max="37" width="12.81640625" bestFit="1" customWidth="1"/>
    <col min="38" max="87" width="13.26953125" bestFit="1" customWidth="1"/>
  </cols>
  <sheetData>
    <row r="2" spans="1:87" x14ac:dyDescent="0.35">
      <c r="C2" s="10">
        <v>42736</v>
      </c>
      <c r="D2" s="10">
        <v>42767</v>
      </c>
      <c r="E2" s="10">
        <v>42795</v>
      </c>
      <c r="F2" s="10">
        <v>42826</v>
      </c>
      <c r="G2" s="10">
        <v>42856</v>
      </c>
      <c r="H2" s="10">
        <v>42887</v>
      </c>
      <c r="I2" s="10">
        <v>42917</v>
      </c>
      <c r="J2" s="10">
        <v>42948</v>
      </c>
      <c r="K2" s="10">
        <v>42979</v>
      </c>
      <c r="L2" s="10">
        <v>43009</v>
      </c>
      <c r="M2" s="10">
        <v>43040</v>
      </c>
      <c r="N2" s="10">
        <v>43070</v>
      </c>
      <c r="O2" s="10">
        <v>43101</v>
      </c>
      <c r="P2" s="10">
        <v>43132</v>
      </c>
      <c r="Q2" s="10">
        <v>43160</v>
      </c>
      <c r="R2" s="10">
        <v>43191</v>
      </c>
      <c r="S2" s="10">
        <v>43221</v>
      </c>
      <c r="T2" s="10">
        <v>43252</v>
      </c>
      <c r="U2" s="10">
        <v>43282</v>
      </c>
      <c r="V2" s="10">
        <v>43313</v>
      </c>
      <c r="W2" s="10">
        <v>43344</v>
      </c>
      <c r="X2" s="10">
        <v>43374</v>
      </c>
      <c r="Y2" s="10">
        <v>43405</v>
      </c>
      <c r="Z2" s="10">
        <v>43435</v>
      </c>
      <c r="AA2" s="10">
        <v>43466</v>
      </c>
      <c r="AB2" s="10">
        <v>43497</v>
      </c>
      <c r="AC2" s="10">
        <v>43525</v>
      </c>
      <c r="AD2" s="10">
        <v>43556</v>
      </c>
      <c r="AE2" s="10">
        <v>43586</v>
      </c>
      <c r="AF2" s="10">
        <v>43617</v>
      </c>
      <c r="AG2" s="10">
        <v>43647</v>
      </c>
      <c r="AH2" s="10">
        <v>43678</v>
      </c>
      <c r="AI2" s="10">
        <v>43709</v>
      </c>
      <c r="AJ2" s="10">
        <v>43739</v>
      </c>
      <c r="AK2" s="10">
        <v>43770</v>
      </c>
      <c r="AL2" s="10">
        <v>43800</v>
      </c>
      <c r="AM2" s="10">
        <v>43831</v>
      </c>
      <c r="AN2" s="10">
        <v>43862</v>
      </c>
      <c r="AO2" s="10">
        <v>43891</v>
      </c>
      <c r="AP2" s="10">
        <v>43922</v>
      </c>
      <c r="AQ2" s="10">
        <v>43952</v>
      </c>
      <c r="AR2" s="10">
        <v>43983</v>
      </c>
      <c r="AS2" s="10">
        <v>44013</v>
      </c>
      <c r="AT2" s="10">
        <v>44044</v>
      </c>
      <c r="AU2" s="10">
        <v>44075</v>
      </c>
      <c r="AV2" s="10">
        <v>44105</v>
      </c>
      <c r="AW2" s="10">
        <v>44136</v>
      </c>
      <c r="AX2" s="10">
        <v>44166</v>
      </c>
      <c r="AY2" s="10">
        <v>44197</v>
      </c>
      <c r="AZ2" s="10">
        <v>44228</v>
      </c>
      <c r="BA2" s="10">
        <v>44256</v>
      </c>
      <c r="BB2" s="10">
        <v>44287</v>
      </c>
      <c r="BC2" s="10">
        <v>44317</v>
      </c>
      <c r="BD2" s="10">
        <v>44348</v>
      </c>
      <c r="BE2" s="10">
        <v>44378</v>
      </c>
      <c r="BF2" s="10">
        <v>44409</v>
      </c>
      <c r="BG2" s="10">
        <v>44440</v>
      </c>
      <c r="BH2" s="10">
        <v>44470</v>
      </c>
      <c r="BI2" s="10">
        <v>44501</v>
      </c>
      <c r="BJ2" s="10">
        <v>44531</v>
      </c>
      <c r="BK2" s="10">
        <v>44562</v>
      </c>
      <c r="BL2" s="10">
        <v>44593</v>
      </c>
      <c r="BM2" s="10">
        <v>44621</v>
      </c>
      <c r="BN2" s="10">
        <v>44652</v>
      </c>
      <c r="BO2" s="10">
        <v>44682</v>
      </c>
      <c r="BP2" s="10">
        <v>44713</v>
      </c>
      <c r="BQ2" s="10">
        <v>44743</v>
      </c>
      <c r="BR2" s="10">
        <v>44774</v>
      </c>
      <c r="BS2" s="10">
        <v>44805</v>
      </c>
      <c r="BT2" s="10">
        <v>44835</v>
      </c>
      <c r="BU2" s="10">
        <v>44866</v>
      </c>
      <c r="BV2" s="10">
        <v>44896</v>
      </c>
      <c r="BW2" s="10">
        <v>44927</v>
      </c>
      <c r="BX2" s="10">
        <v>44958</v>
      </c>
      <c r="BY2" s="10">
        <v>44986</v>
      </c>
      <c r="BZ2" s="10">
        <v>45017</v>
      </c>
      <c r="CA2" s="10">
        <v>45047</v>
      </c>
      <c r="CB2" s="10">
        <v>45078</v>
      </c>
      <c r="CC2" s="10">
        <v>45108</v>
      </c>
      <c r="CD2" s="10">
        <v>45139</v>
      </c>
      <c r="CE2" s="10">
        <v>45170</v>
      </c>
      <c r="CF2" s="10">
        <v>45200</v>
      </c>
      <c r="CG2" s="10">
        <v>45231</v>
      </c>
      <c r="CH2" s="10">
        <v>45261</v>
      </c>
      <c r="CI2" s="10">
        <v>45292</v>
      </c>
    </row>
    <row r="3" spans="1:87" x14ac:dyDescent="0.35">
      <c r="A3" s="308" t="s">
        <v>33</v>
      </c>
      <c r="B3" s="72" t="s">
        <v>53</v>
      </c>
      <c r="C3" s="63">
        <f>+'MEEIA 2 calcs'!O28</f>
        <v>406285.42</v>
      </c>
      <c r="D3" s="63">
        <f>+'MEEIA 2 calcs'!P28</f>
        <v>1369889.78</v>
      </c>
      <c r="E3" s="63">
        <f>+'MEEIA 2 calcs'!Q28</f>
        <v>1103029.06</v>
      </c>
      <c r="F3" s="63">
        <f>+'M2 Allocations - TD'!Q50</f>
        <v>964230.74</v>
      </c>
      <c r="G3" s="63">
        <f>IF(+'M2 Allocations - TD'!R50="","",'M2 Allocations - TD'!R50)</f>
        <v>918986.9</v>
      </c>
      <c r="H3" s="63">
        <f>IF(+'M2 Allocations - TD'!S50="","",'M2 Allocations - TD'!S50)</f>
        <v>1235335.3500000001</v>
      </c>
      <c r="I3" s="63">
        <f>IF(+'M2 Allocations - TD'!T50="","",'M2 Allocations - TD'!T50)</f>
        <v>1643710.03</v>
      </c>
      <c r="J3" s="63">
        <f>IF(+'M2 Allocations - TD'!U50="","",'M2 Allocations - TD'!U50)</f>
        <v>1663991.32</v>
      </c>
      <c r="K3" s="63">
        <f>IF(+'M2 Allocations - TD'!V50="","",'M2 Allocations - TD'!V50)</f>
        <v>1315722.52</v>
      </c>
      <c r="L3" s="63">
        <f>IF(+'M2 Allocations - TD'!W50="","",'M2 Allocations - TD'!W50)</f>
        <v>1155142.76</v>
      </c>
      <c r="M3" s="63">
        <f>IF(+'M2 Allocations - TD'!X50="","",'M2 Allocations - TD'!X50)</f>
        <v>1008647.72</v>
      </c>
      <c r="N3" s="63">
        <f>IF(+'M2 Allocations - TD'!Y50="","",'M2 Allocations - TD'!Y50)</f>
        <v>1300717.95</v>
      </c>
      <c r="O3" s="63">
        <f>IF(+'M2 Allocations - TD'!Z50="","",'M2 Allocations - TD'!Z50)</f>
        <v>1995202.44</v>
      </c>
      <c r="P3" s="63">
        <f>IF(+'M2 Allocations - TD'!AA50="","",'M2 Allocations - TD'!AA50)</f>
        <v>1361606.16</v>
      </c>
      <c r="Q3" s="63">
        <f>IF(+'M2 Allocations - TD'!AB50="","",'M2 Allocations - TD'!AB50)</f>
        <v>1097480.82</v>
      </c>
      <c r="R3" s="63">
        <f>IF(+'M2 Allocations - TD'!AC50="","",'M2 Allocations - TD'!AC50)</f>
        <v>1059578.1200000001</v>
      </c>
      <c r="S3" s="63">
        <f>IF(+'M2 Allocations - TD'!AD50="","",'M2 Allocations - TD'!AD50)</f>
        <v>862980.65</v>
      </c>
      <c r="T3" s="63">
        <f>IF(+'M2 Allocations - TD'!AE50="","",'M2 Allocations - TD'!AE50)</f>
        <v>1281774.72</v>
      </c>
      <c r="U3" s="63">
        <f>IF(+'M2 Allocations - TD'!AF50="","",'M2 Allocations - TD'!AF50)</f>
        <v>1502957.34</v>
      </c>
      <c r="V3" s="63">
        <f>IF(+'M2 Allocations - TD'!AG50="","",'M2 Allocations - TD'!AG50)</f>
        <v>1346919.46</v>
      </c>
      <c r="W3" s="63">
        <f>IF(+'M2 Allocations - TD'!AH50="","",'M2 Allocations - TD'!AH50)</f>
        <v>1295482.8999999999</v>
      </c>
      <c r="X3" s="63">
        <f>IF(+'M2 Allocations - TD'!AI50="","",'M2 Allocations - TD'!AI50)</f>
        <v>1002485.52</v>
      </c>
      <c r="Y3" s="63">
        <f>IF(+'M2 Allocations - TD'!AJ50="","",'M2 Allocations - TD'!AJ50)</f>
        <v>930228.6</v>
      </c>
      <c r="Z3" s="63">
        <f>IF(+'M2 Allocations - TD'!AK50="","",'M2 Allocations - TD'!AK50)</f>
        <v>1294357.3</v>
      </c>
      <c r="AA3" s="63">
        <f>IF(+'M2 Allocations - TD'!AL50="","",'M2 Allocations - TD'!AL50)</f>
        <v>1435395.83</v>
      </c>
      <c r="AB3" s="63">
        <f>IF(+'M2 Allocations - TD'!AM50="","",'M2 Allocations - TD'!AM50)</f>
        <v>1500360.52</v>
      </c>
      <c r="AC3" s="63">
        <f>IF(+'M2 Allocations - TD'!AN50="","",'M2 Allocations - TD'!AN50)</f>
        <v>1351205.92</v>
      </c>
      <c r="AD3" s="63">
        <f>IF(+'M2 Allocations - TD'!AO50="","",'M2 Allocations - TD'!AO50)</f>
        <v>930965.27</v>
      </c>
      <c r="AE3" s="63">
        <f>IF(+'M2 Allocations - TD'!AP50="","",'M2 Allocations - TD'!AP50)</f>
        <v>791487</v>
      </c>
      <c r="AF3" s="63">
        <f>IF(+'M2 Allocations - TD'!AQ50="","",'M2 Allocations - TD'!AQ50)</f>
        <v>1054075.57</v>
      </c>
      <c r="AG3" s="63">
        <f>IF(+'M2 Allocations - TD'!AR50="","",'M2 Allocations - TD'!AR50)</f>
        <v>1341002.6200000001</v>
      </c>
      <c r="AH3" s="63">
        <f>IF(+'M2 Allocations - TD'!AS50="","",'M2 Allocations - TD'!AS50)</f>
        <v>1411567.5</v>
      </c>
      <c r="AI3" s="63">
        <f>IF(+'M2 Allocations - TD'!AT50="","",'M2 Allocations - TD'!AT50)</f>
        <v>1302183.99</v>
      </c>
      <c r="AJ3" s="63">
        <f>IF(+'M2 Allocations - TD'!AU50="","",'M2 Allocations - TD'!AU50)</f>
        <v>1070055.19</v>
      </c>
      <c r="AK3" s="63">
        <f>IF(+'M2 Allocations - TD'!AV50="","",'M2 Allocations - TD'!AV50)</f>
        <v>960017.17</v>
      </c>
      <c r="AL3" s="63">
        <f>IF(+'M2 Allocations - TD'!AW50="","",'M2 Allocations - TD'!AW50)</f>
        <v>1291710.24</v>
      </c>
      <c r="AM3" s="63">
        <f>IF(+'M2 Allocations - TD'!AX50="","",'M2 Allocations - TD'!AX50)</f>
        <v>1426440.21</v>
      </c>
      <c r="AN3" s="63">
        <f>IF(+'M2 Allocations - TD'!AY50="","",'M2 Allocations - TD'!AY50)</f>
        <v>836821.82</v>
      </c>
      <c r="AO3" s="63">
        <f>IF(+'M2 Allocations - TD'!AZ50="","",'M2 Allocations - TD'!AZ50)</f>
        <v>123502.6</v>
      </c>
      <c r="AP3" s="63">
        <f>IF(+'M2 Allocations - TD'!BA50="","",'M2 Allocations - TD'!BA50)</f>
        <v>92675.74</v>
      </c>
      <c r="AQ3" s="63">
        <f>IF(+'M2 Allocations - TD'!BB50="","",'M2 Allocations - TD'!BB50)</f>
        <v>82719.98</v>
      </c>
      <c r="AR3" s="63">
        <f>IF(+'M2 Allocations - TD'!BC50="","",'M2 Allocations - TD'!BC50)</f>
        <v>109517.12</v>
      </c>
      <c r="AS3" s="63">
        <f>IF(+'M2 Allocations - TD'!BD50="","",'M2 Allocations - TD'!BD50)</f>
        <v>147043.66</v>
      </c>
      <c r="AT3" s="63">
        <f>IF(+'M2 Allocations - TD'!BE50="","",'M2 Allocations - TD'!BE50)</f>
        <v>137831</v>
      </c>
      <c r="AU3" s="63">
        <f>IF(+'M2 Allocations - TD'!BF50="","",'M2 Allocations - TD'!BF50)</f>
        <v>124319.87</v>
      </c>
      <c r="AV3" s="63">
        <f>IF(+'M2 Allocations - TD'!BG50="","",'M2 Allocations - TD'!BG50)</f>
        <v>84008.53</v>
      </c>
      <c r="AW3" s="63">
        <f>IF(+'M2 Allocations - TD'!BH50="","",'M2 Allocations - TD'!BH50)</f>
        <v>89633.18</v>
      </c>
      <c r="AX3" s="63">
        <f>IF(+'M2 Allocations - TD'!BI50="","",'M2 Allocations - TD'!BI50)</f>
        <v>118817.27</v>
      </c>
      <c r="AY3" s="63">
        <f>IF(+'M2 Allocations - TD'!BJ50="","",'M2 Allocations - TD'!BJ50)</f>
        <v>154664.07999999999</v>
      </c>
      <c r="AZ3" s="63">
        <f>IF(+'M2 Allocations - TD'!BK50="","",'M2 Allocations - TD'!BK50)</f>
        <v>-113458.01</v>
      </c>
      <c r="BA3" s="63">
        <f>IF(+'M2 Allocations - TD'!BL50="","",'M2 Allocations - TD'!BL50)</f>
        <v>-325175.89</v>
      </c>
      <c r="BB3" s="63">
        <f>IF(+'M2 Allocations - TD'!BM50="","",'M2 Allocations - TD'!BM50)</f>
        <v>-219552.89</v>
      </c>
      <c r="BC3" s="63">
        <f>IF(+'M2 Allocations - TD'!BN50="","",'M2 Allocations - TD'!BN50)</f>
        <v>-206267.22</v>
      </c>
      <c r="BD3" s="63">
        <f>IF(+'M2 Allocations - TD'!BO50="","",'M2 Allocations - TD'!BO50)</f>
        <v>-270595.87</v>
      </c>
      <c r="BE3" s="63">
        <f>IF(+'M2 Allocations - TD'!BP50="","",'M2 Allocations - TD'!BP50)</f>
        <v>-357386.66</v>
      </c>
      <c r="BF3" s="63">
        <f>IF(+'M2 Allocations - TD'!BQ50="","",'M2 Allocations - TD'!BQ50)</f>
        <v>-364675.44</v>
      </c>
      <c r="BG3" s="63">
        <f>IF(+'M2 Allocations - TD'!BR50="","",'M2 Allocations - TD'!BR50)</f>
        <v>-358208.47</v>
      </c>
      <c r="BH3" s="63">
        <f>IF(+'M2 Allocations - TD'!BS50="","",'M2 Allocations - TD'!BS50)</f>
        <v>-248050.58</v>
      </c>
      <c r="BI3" s="63">
        <f>IF(+'M2 Allocations - TD'!BT50="","",'M2 Allocations - TD'!BT50)</f>
        <v>-232427.07</v>
      </c>
      <c r="BJ3" s="63">
        <f>IF(+'M2 Allocations - TD'!BU50="","",'M2 Allocations - TD'!BU50)</f>
        <v>-290836.61</v>
      </c>
      <c r="BK3" s="63">
        <f>IF(+'M2 Allocations - TD'!BV50="","",'M2 Allocations - TD'!BV50)</f>
        <v>-375935.37</v>
      </c>
      <c r="BL3" s="63">
        <f>IF(+'M2 Allocations - TD'!BW50="","",'M2 Allocations - TD'!BW50)</f>
        <v>-242680.23</v>
      </c>
      <c r="BM3" s="63">
        <f>IF(+'M2 Allocations - TD'!BX50="","",'M2 Allocations - TD'!BX50)</f>
        <v>-13830.45</v>
      </c>
      <c r="BN3" s="63">
        <f>IF(+'M2 Allocations - TD'!BY50="","",'M2 Allocations - TD'!BY50)</f>
        <v>-7909.14</v>
      </c>
      <c r="BO3" s="63">
        <f>IF(+'M2 Allocations - TD'!BZ50="","",'M2 Allocations - TD'!BZ50)</f>
        <v>-7927.25</v>
      </c>
      <c r="BP3" s="63">
        <f>IF(+'M2 Allocations - TD'!CA50="","",'M2 Allocations - TD'!CA50)</f>
        <v>-10364.700000000001</v>
      </c>
      <c r="BQ3" s="63">
        <f>IF(+'M2 Allocations - TD'!CB50="","",'M2 Allocations - TD'!CB50)</f>
        <v>-14271.87</v>
      </c>
      <c r="BR3" s="63">
        <f>IF(+'M2 Allocations - TD'!CC50="","",'M2 Allocations - TD'!CC50)</f>
        <v>-13453.18</v>
      </c>
      <c r="BS3" s="63">
        <f>IF(+'M2 Allocations - TD'!CD50="","",'M2 Allocations - TD'!CD50)</f>
        <v>-11260.05</v>
      </c>
      <c r="BT3" s="63">
        <f>IF(+'M2 Allocations - TD'!CE50="","",'M2 Allocations - TD'!CE50)</f>
        <v>-8003.94</v>
      </c>
      <c r="BU3" s="63">
        <f>IF(+'M2 Allocations - TD'!CF50="","",'M2 Allocations - TD'!CF50)</f>
        <v>-7297.68</v>
      </c>
      <c r="BV3" s="63">
        <f>IF(+'M2 Allocations - TD'!CG50="","",'M2 Allocations - TD'!CG50)</f>
        <v>-11546.44</v>
      </c>
      <c r="BW3" s="63">
        <f>IF(+'M2 Allocations - TD'!CH50="","",'M2 Allocations - TD'!CH50)</f>
        <v>-13951.26</v>
      </c>
      <c r="BX3" s="63">
        <f>IF(+'M2 Allocations - TD'!CI50="","",'M2 Allocations - TD'!CI50)</f>
        <v>1126.4100000000001</v>
      </c>
      <c r="BY3" s="63">
        <f>IF(+'M2 Allocations - TD'!CJ50="","",'M2 Allocations - TD'!CJ50)</f>
        <v>16692.439999999999</v>
      </c>
      <c r="BZ3" s="63">
        <f>IF(+'M2 Allocations - TD'!CK50="","",'M2 Allocations - TD'!CK50)</f>
        <v>14494.89</v>
      </c>
      <c r="CA3" s="63">
        <f>IF(+'M2 Allocations - TD'!CL50="","",'M2 Allocations - TD'!CL50)</f>
        <v>12335.8</v>
      </c>
      <c r="CB3" s="63">
        <f>IF(+'M2 Allocations - TD'!CM50="","",'M2 Allocations - TD'!CM50)</f>
        <v>15962.84</v>
      </c>
      <c r="CC3" s="63">
        <f>IF(+'M2 Allocations - TD'!CN50="","",'M2 Allocations - TD'!CN50)</f>
        <v>20902.03</v>
      </c>
      <c r="CD3" s="63">
        <f>IF(+'M2 Allocations - TD'!CO50="","",'M2 Allocations - TD'!CO50)</f>
        <v>21552.2</v>
      </c>
      <c r="CE3" s="63">
        <f>IF(+'M2 Allocations - TD'!CP50="","",'M2 Allocations - TD'!CP50)</f>
        <v>19936.310000000001</v>
      </c>
      <c r="CF3" s="63">
        <f>IF(+'M2 Allocations - TD'!CQ50="","",'M2 Allocations - TD'!CQ50)</f>
        <v>14454.45</v>
      </c>
      <c r="CG3" s="63">
        <f>IF(+'M2 Allocations - TD'!CR50="","",'M2 Allocations - TD'!CR50)</f>
        <v>13413.237768504692</v>
      </c>
      <c r="CH3" s="63">
        <f>IF(+'M2 Allocations - TD'!CS50="","",'M2 Allocations - TD'!CS50)</f>
        <v>18378.792222391661</v>
      </c>
      <c r="CI3" s="63">
        <f>IF(+'M2 Allocations - TD'!CT50="","",'M2 Allocations - TD'!CT50)</f>
        <v>24115.965074171727</v>
      </c>
    </row>
    <row r="4" spans="1:87" x14ac:dyDescent="0.35">
      <c r="A4" s="309"/>
      <c r="B4" s="73" t="s">
        <v>55</v>
      </c>
      <c r="C4" s="87">
        <v>1.9100000000000001E-4</v>
      </c>
      <c r="D4" s="87">
        <v>6.0999999999999997E-4</v>
      </c>
      <c r="E4" s="71">
        <f>+D4</f>
        <v>6.0999999999999997E-4</v>
      </c>
      <c r="F4" s="71">
        <f>IF(F3="","",E4)</f>
        <v>6.0999999999999997E-4</v>
      </c>
      <c r="G4" s="71">
        <f t="shared" ref="G4:Z4" si="0">IF(G3="","",F4)</f>
        <v>6.0999999999999997E-4</v>
      </c>
      <c r="H4" s="71">
        <f t="shared" si="0"/>
        <v>6.0999999999999997E-4</v>
      </c>
      <c r="I4" s="71">
        <f t="shared" si="0"/>
        <v>6.0999999999999997E-4</v>
      </c>
      <c r="J4" s="71">
        <f t="shared" si="0"/>
        <v>6.0999999999999997E-4</v>
      </c>
      <c r="K4" s="71">
        <f t="shared" si="0"/>
        <v>6.0999999999999997E-4</v>
      </c>
      <c r="L4" s="71">
        <f t="shared" si="0"/>
        <v>6.0999999999999997E-4</v>
      </c>
      <c r="M4" s="71">
        <f>IF(M3="","",L4)</f>
        <v>6.0999999999999997E-4</v>
      </c>
      <c r="N4" s="71">
        <f t="shared" si="0"/>
        <v>6.0999999999999997E-4</v>
      </c>
      <c r="O4" s="71">
        <f>IF(O3="","",N4)</f>
        <v>6.0999999999999997E-4</v>
      </c>
      <c r="P4" s="87">
        <v>1.1003580051866457E-3</v>
      </c>
      <c r="Q4" s="71">
        <f>IF(Q3="","",P4)</f>
        <v>1.1003580051866457E-3</v>
      </c>
      <c r="R4" s="90">
        <f t="shared" si="0"/>
        <v>1.1003580051866457E-3</v>
      </c>
      <c r="S4" s="90">
        <f t="shared" si="0"/>
        <v>1.1003580051866457E-3</v>
      </c>
      <c r="T4" s="90">
        <f t="shared" si="0"/>
        <v>1.1003580051866457E-3</v>
      </c>
      <c r="U4" s="90">
        <f t="shared" si="0"/>
        <v>1.1003580051866457E-3</v>
      </c>
      <c r="V4" s="90">
        <f t="shared" si="0"/>
        <v>1.1003580051866457E-3</v>
      </c>
      <c r="W4" s="90">
        <f t="shared" si="0"/>
        <v>1.1003580051866457E-3</v>
      </c>
      <c r="X4" s="90">
        <f t="shared" si="0"/>
        <v>1.1003580051866457E-3</v>
      </c>
      <c r="Y4" s="90">
        <f t="shared" si="0"/>
        <v>1.1003580051866457E-3</v>
      </c>
      <c r="Z4" s="90">
        <f t="shared" si="0"/>
        <v>1.1003580051866457E-3</v>
      </c>
      <c r="AA4" s="90">
        <f t="shared" ref="AA4" si="1">IF(AA3="","",Z4)</f>
        <v>1.1003580051866457E-3</v>
      </c>
      <c r="AB4" s="87">
        <v>1.2689610054905937E-3</v>
      </c>
      <c r="AC4" s="71">
        <f>IF(AC3="","",AB4)</f>
        <v>1.2689610054905937E-3</v>
      </c>
      <c r="AD4" s="71">
        <f t="shared" ref="AD4:AM4" si="2">IF(AD3="","",AC4)</f>
        <v>1.2689610054905937E-3</v>
      </c>
      <c r="AE4" s="71">
        <f t="shared" si="2"/>
        <v>1.2689610054905937E-3</v>
      </c>
      <c r="AF4" s="71">
        <f t="shared" si="2"/>
        <v>1.2689610054905937E-3</v>
      </c>
      <c r="AG4" s="71">
        <f t="shared" si="2"/>
        <v>1.2689610054905937E-3</v>
      </c>
      <c r="AH4" s="71">
        <f t="shared" si="2"/>
        <v>1.2689610054905937E-3</v>
      </c>
      <c r="AI4" s="71">
        <f t="shared" si="2"/>
        <v>1.2689610054905937E-3</v>
      </c>
      <c r="AJ4" s="71">
        <f t="shared" si="2"/>
        <v>1.2689610054905937E-3</v>
      </c>
      <c r="AK4" s="71">
        <f t="shared" si="2"/>
        <v>1.2689610054905937E-3</v>
      </c>
      <c r="AL4" s="71">
        <f t="shared" si="2"/>
        <v>1.2689610054905937E-3</v>
      </c>
      <c r="AM4" s="71">
        <f t="shared" si="2"/>
        <v>1.2689610054905937E-3</v>
      </c>
      <c r="AN4" s="119">
        <v>1.8414899018216353E-4</v>
      </c>
      <c r="AO4" s="71">
        <f t="shared" ref="AO4:BJ4" si="3">IF(AO3="","",AN4)</f>
        <v>1.8414899018216353E-4</v>
      </c>
      <c r="AP4" s="71">
        <f t="shared" si="3"/>
        <v>1.8414899018216353E-4</v>
      </c>
      <c r="AQ4" s="71">
        <f t="shared" si="3"/>
        <v>1.8414899018216353E-4</v>
      </c>
      <c r="AR4" s="71">
        <f t="shared" si="3"/>
        <v>1.8414899018216353E-4</v>
      </c>
      <c r="AS4" s="71">
        <f t="shared" si="3"/>
        <v>1.8414899018216353E-4</v>
      </c>
      <c r="AT4" s="71">
        <f t="shared" si="3"/>
        <v>1.8414899018216353E-4</v>
      </c>
      <c r="AU4" s="71">
        <f t="shared" si="3"/>
        <v>1.8414899018216353E-4</v>
      </c>
      <c r="AV4" s="71">
        <f t="shared" si="3"/>
        <v>1.8414899018216353E-4</v>
      </c>
      <c r="AW4" s="71">
        <f t="shared" si="3"/>
        <v>1.8414899018216353E-4</v>
      </c>
      <c r="AX4" s="71">
        <f t="shared" si="3"/>
        <v>1.8414899018216353E-4</v>
      </c>
      <c r="AY4" s="71">
        <f t="shared" si="3"/>
        <v>1.8414899018216353E-4</v>
      </c>
      <c r="AZ4" s="119">
        <v>0</v>
      </c>
      <c r="BA4" s="71">
        <f t="shared" si="3"/>
        <v>0</v>
      </c>
      <c r="BB4" s="71">
        <f t="shared" si="3"/>
        <v>0</v>
      </c>
      <c r="BC4" s="71">
        <f t="shared" si="3"/>
        <v>0</v>
      </c>
      <c r="BD4" s="71">
        <f t="shared" si="3"/>
        <v>0</v>
      </c>
      <c r="BE4" s="71">
        <f t="shared" si="3"/>
        <v>0</v>
      </c>
      <c r="BF4" s="71">
        <f t="shared" si="3"/>
        <v>0</v>
      </c>
      <c r="BG4" s="71">
        <f t="shared" si="3"/>
        <v>0</v>
      </c>
      <c r="BH4" s="71">
        <f t="shared" si="3"/>
        <v>0</v>
      </c>
      <c r="BI4" s="71">
        <f t="shared" si="3"/>
        <v>0</v>
      </c>
      <c r="BJ4" s="71">
        <f t="shared" si="3"/>
        <v>0</v>
      </c>
      <c r="BK4" s="71">
        <f>IF(BK3="","",BJ4)</f>
        <v>0</v>
      </c>
      <c r="BL4" s="119">
        <v>0</v>
      </c>
      <c r="BM4" s="71">
        <f t="shared" ref="BM4:CI4" si="4">IF(BM3="","",BL4)</f>
        <v>0</v>
      </c>
      <c r="BN4" s="71">
        <f t="shared" si="4"/>
        <v>0</v>
      </c>
      <c r="BO4" s="71">
        <f t="shared" si="4"/>
        <v>0</v>
      </c>
      <c r="BP4" s="71">
        <f t="shared" si="4"/>
        <v>0</v>
      </c>
      <c r="BQ4" s="71">
        <f t="shared" si="4"/>
        <v>0</v>
      </c>
      <c r="BR4" s="71">
        <f t="shared" si="4"/>
        <v>0</v>
      </c>
      <c r="BS4" s="71">
        <f t="shared" si="4"/>
        <v>0</v>
      </c>
      <c r="BT4" s="71">
        <f t="shared" si="4"/>
        <v>0</v>
      </c>
      <c r="BU4" s="71">
        <f t="shared" si="4"/>
        <v>0</v>
      </c>
      <c r="BV4" s="71">
        <f t="shared" si="4"/>
        <v>0</v>
      </c>
      <c r="BW4" s="71">
        <f t="shared" si="4"/>
        <v>0</v>
      </c>
      <c r="BX4" s="119">
        <v>0</v>
      </c>
      <c r="BY4" s="71">
        <f t="shared" si="4"/>
        <v>0</v>
      </c>
      <c r="BZ4" s="71">
        <f t="shared" si="4"/>
        <v>0</v>
      </c>
      <c r="CA4" s="71">
        <f t="shared" si="4"/>
        <v>0</v>
      </c>
      <c r="CB4" s="71">
        <f t="shared" si="4"/>
        <v>0</v>
      </c>
      <c r="CC4" s="71">
        <f t="shared" si="4"/>
        <v>0</v>
      </c>
      <c r="CD4" s="71">
        <f t="shared" si="4"/>
        <v>0</v>
      </c>
      <c r="CE4" s="71">
        <f t="shared" si="4"/>
        <v>0</v>
      </c>
      <c r="CF4" s="71">
        <f t="shared" si="4"/>
        <v>0</v>
      </c>
      <c r="CG4" s="71">
        <f t="shared" si="4"/>
        <v>0</v>
      </c>
      <c r="CH4" s="71">
        <f t="shared" si="4"/>
        <v>0</v>
      </c>
      <c r="CI4" s="71">
        <f t="shared" si="4"/>
        <v>0</v>
      </c>
    </row>
    <row r="5" spans="1:87" x14ac:dyDescent="0.35">
      <c r="A5" s="309"/>
      <c r="B5" s="73" t="s">
        <v>71</v>
      </c>
      <c r="C5" s="42">
        <v>0</v>
      </c>
      <c r="D5" s="87">
        <v>6.6E-4</v>
      </c>
      <c r="E5" s="71">
        <f>+D5</f>
        <v>6.6E-4</v>
      </c>
      <c r="F5" s="71">
        <f>IF(F3="","",E5)</f>
        <v>6.6E-4</v>
      </c>
      <c r="G5" s="71">
        <f t="shared" ref="G5:Z5" si="5">IF(G3="","",F5)</f>
        <v>6.6E-4</v>
      </c>
      <c r="H5" s="71">
        <f t="shared" si="5"/>
        <v>6.6E-4</v>
      </c>
      <c r="I5" s="71">
        <f t="shared" si="5"/>
        <v>6.6E-4</v>
      </c>
      <c r="J5" s="71">
        <f t="shared" si="5"/>
        <v>6.6E-4</v>
      </c>
      <c r="K5" s="71">
        <f t="shared" si="5"/>
        <v>6.6E-4</v>
      </c>
      <c r="L5" s="71">
        <f t="shared" si="5"/>
        <v>6.6E-4</v>
      </c>
      <c r="M5" s="71">
        <f t="shared" si="5"/>
        <v>6.6E-4</v>
      </c>
      <c r="N5" s="71">
        <f t="shared" si="5"/>
        <v>6.6E-4</v>
      </c>
      <c r="O5" s="71">
        <f t="shared" si="5"/>
        <v>6.6E-4</v>
      </c>
      <c r="P5" s="91">
        <v>-3.6489311277065175E-5</v>
      </c>
      <c r="Q5" s="90">
        <f t="shared" si="5"/>
        <v>-3.6489311277065175E-5</v>
      </c>
      <c r="R5" s="90">
        <f t="shared" si="5"/>
        <v>-3.6489311277065175E-5</v>
      </c>
      <c r="S5" s="90">
        <f t="shared" si="5"/>
        <v>-3.6489311277065175E-5</v>
      </c>
      <c r="T5" s="90">
        <f t="shared" si="5"/>
        <v>-3.6489311277065175E-5</v>
      </c>
      <c r="U5" s="90">
        <f t="shared" si="5"/>
        <v>-3.6489311277065175E-5</v>
      </c>
      <c r="V5" s="90">
        <f t="shared" si="5"/>
        <v>-3.6489311277065175E-5</v>
      </c>
      <c r="W5" s="90">
        <f t="shared" si="5"/>
        <v>-3.6489311277065175E-5</v>
      </c>
      <c r="X5" s="90">
        <f t="shared" si="5"/>
        <v>-3.6489311277065175E-5</v>
      </c>
      <c r="Y5" s="90">
        <f t="shared" si="5"/>
        <v>-3.6489311277065175E-5</v>
      </c>
      <c r="Z5" s="90">
        <f t="shared" si="5"/>
        <v>-3.6489311277065175E-5</v>
      </c>
      <c r="AA5" s="90">
        <f t="shared" ref="AA5" si="6">IF(AA3="","",Z5)</f>
        <v>-3.6489311277065175E-5</v>
      </c>
      <c r="AB5" s="91">
        <v>-1.5974223193033709E-4</v>
      </c>
      <c r="AC5" s="90">
        <f t="shared" ref="AC5" si="7">IF(AC3="","",AB5)</f>
        <v>-1.5974223193033709E-4</v>
      </c>
      <c r="AD5" s="90">
        <f t="shared" ref="AD5" si="8">IF(AD3="","",AC5)</f>
        <v>-1.5974223193033709E-4</v>
      </c>
      <c r="AE5" s="90">
        <f t="shared" ref="AE5" si="9">IF(AE3="","",AD5)</f>
        <v>-1.5974223193033709E-4</v>
      </c>
      <c r="AF5" s="90">
        <f t="shared" ref="AF5" si="10">IF(AF3="","",AE5)</f>
        <v>-1.5974223193033709E-4</v>
      </c>
      <c r="AG5" s="90">
        <f t="shared" ref="AG5" si="11">IF(AG3="","",AF5)</f>
        <v>-1.5974223193033709E-4</v>
      </c>
      <c r="AH5" s="90">
        <f t="shared" ref="AH5" si="12">IF(AH3="","",AG5)</f>
        <v>-1.5974223193033709E-4</v>
      </c>
      <c r="AI5" s="90">
        <f t="shared" ref="AI5" si="13">IF(AI3="","",AH5)</f>
        <v>-1.5974223193033709E-4</v>
      </c>
      <c r="AJ5" s="90">
        <f t="shared" ref="AJ5" si="14">IF(AJ3="","",AI5)</f>
        <v>-1.5974223193033709E-4</v>
      </c>
      <c r="AK5" s="90">
        <f t="shared" ref="AK5" si="15">IF(AK3="","",AJ5)</f>
        <v>-1.5974223193033709E-4</v>
      </c>
      <c r="AL5" s="90">
        <f t="shared" ref="AL5" si="16">IF(AL3="","",AK5)</f>
        <v>-1.5974223193033709E-4</v>
      </c>
      <c r="AM5" s="90">
        <f t="shared" ref="AM5" si="17">IF(AM3="","",AL5)</f>
        <v>-1.5974223193033709E-4</v>
      </c>
      <c r="AN5" s="120">
        <v>-7.6479563545008331E-5</v>
      </c>
      <c r="AO5" s="90">
        <f t="shared" ref="AO5:BJ5" si="18">IF(AO3="","",AN5)</f>
        <v>-7.6479563545008331E-5</v>
      </c>
      <c r="AP5" s="90">
        <f t="shared" si="18"/>
        <v>-7.6479563545008331E-5</v>
      </c>
      <c r="AQ5" s="90">
        <f t="shared" si="18"/>
        <v>-7.6479563545008331E-5</v>
      </c>
      <c r="AR5" s="90">
        <f t="shared" si="18"/>
        <v>-7.6479563545008331E-5</v>
      </c>
      <c r="AS5" s="90">
        <f t="shared" si="18"/>
        <v>-7.6479563545008331E-5</v>
      </c>
      <c r="AT5" s="90">
        <f t="shared" si="18"/>
        <v>-7.6479563545008331E-5</v>
      </c>
      <c r="AU5" s="90">
        <f t="shared" si="18"/>
        <v>-7.6479563545008331E-5</v>
      </c>
      <c r="AV5" s="90">
        <f t="shared" si="18"/>
        <v>-7.6479563545008331E-5</v>
      </c>
      <c r="AW5" s="90">
        <f t="shared" si="18"/>
        <v>-7.6479563545008331E-5</v>
      </c>
      <c r="AX5" s="90">
        <f t="shared" si="18"/>
        <v>-7.6479563545008331E-5</v>
      </c>
      <c r="AY5" s="90">
        <f t="shared" si="18"/>
        <v>-7.6479563545008331E-5</v>
      </c>
      <c r="AZ5" s="120">
        <v>-2.8339231336924818E-4</v>
      </c>
      <c r="BA5" s="90">
        <f t="shared" si="18"/>
        <v>-2.8339231336924818E-4</v>
      </c>
      <c r="BB5" s="90">
        <f t="shared" si="18"/>
        <v>-2.8339231336924818E-4</v>
      </c>
      <c r="BC5" s="90">
        <f t="shared" si="18"/>
        <v>-2.8339231336924818E-4</v>
      </c>
      <c r="BD5" s="90">
        <f t="shared" si="18"/>
        <v>-2.8339231336924818E-4</v>
      </c>
      <c r="BE5" s="90">
        <f t="shared" si="18"/>
        <v>-2.8339231336924818E-4</v>
      </c>
      <c r="BF5" s="90">
        <f t="shared" si="18"/>
        <v>-2.8339231336924818E-4</v>
      </c>
      <c r="BG5" s="90">
        <f t="shared" si="18"/>
        <v>-2.8339231336924818E-4</v>
      </c>
      <c r="BH5" s="90">
        <f t="shared" si="18"/>
        <v>-2.8339231336924818E-4</v>
      </c>
      <c r="BI5" s="90">
        <f t="shared" si="18"/>
        <v>-2.8339231336924818E-4</v>
      </c>
      <c r="BJ5" s="90">
        <f t="shared" si="18"/>
        <v>-2.8339231336924818E-4</v>
      </c>
      <c r="BK5" s="90">
        <f>IF(BK3="","",BJ5)</f>
        <v>-2.8339231336924818E-4</v>
      </c>
      <c r="BL5" s="120">
        <v>-9.9410400936806899E-6</v>
      </c>
      <c r="BM5" s="90">
        <f t="shared" ref="BM5:CI5" si="19">IF(BM3="","",BL5)</f>
        <v>-9.9410400936806899E-6</v>
      </c>
      <c r="BN5" s="90">
        <f t="shared" si="19"/>
        <v>-9.9410400936806899E-6</v>
      </c>
      <c r="BO5" s="90">
        <f t="shared" si="19"/>
        <v>-9.9410400936806899E-6</v>
      </c>
      <c r="BP5" s="90">
        <f t="shared" si="19"/>
        <v>-9.9410400936806899E-6</v>
      </c>
      <c r="BQ5" s="90">
        <f t="shared" si="19"/>
        <v>-9.9410400936806899E-6</v>
      </c>
      <c r="BR5" s="90">
        <f t="shared" si="19"/>
        <v>-9.9410400936806899E-6</v>
      </c>
      <c r="BS5" s="90">
        <f t="shared" si="19"/>
        <v>-9.9410400936806899E-6</v>
      </c>
      <c r="BT5" s="90">
        <f t="shared" si="19"/>
        <v>-9.9410400936806899E-6</v>
      </c>
      <c r="BU5" s="90">
        <f t="shared" si="19"/>
        <v>-9.9410400936806899E-6</v>
      </c>
      <c r="BV5" s="90">
        <f t="shared" si="19"/>
        <v>-9.9410400936806899E-6</v>
      </c>
      <c r="BW5" s="90">
        <f t="shared" si="19"/>
        <v>-9.9410400936806899E-6</v>
      </c>
      <c r="BX5" s="120">
        <v>1.7458435408319681E-5</v>
      </c>
      <c r="BY5" s="90">
        <f t="shared" si="19"/>
        <v>1.7458435408319681E-5</v>
      </c>
      <c r="BZ5" s="90">
        <f t="shared" si="19"/>
        <v>1.7458435408319681E-5</v>
      </c>
      <c r="CA5" s="90">
        <f t="shared" si="19"/>
        <v>1.7458435408319681E-5</v>
      </c>
      <c r="CB5" s="90">
        <f t="shared" si="19"/>
        <v>1.7458435408319681E-5</v>
      </c>
      <c r="CC5" s="90">
        <f t="shared" si="19"/>
        <v>1.7458435408319681E-5</v>
      </c>
      <c r="CD5" s="90">
        <f t="shared" si="19"/>
        <v>1.7458435408319681E-5</v>
      </c>
      <c r="CE5" s="90">
        <f t="shared" si="19"/>
        <v>1.7458435408319681E-5</v>
      </c>
      <c r="CF5" s="90">
        <f t="shared" si="19"/>
        <v>1.7458435408319681E-5</v>
      </c>
      <c r="CG5" s="90">
        <f t="shared" si="19"/>
        <v>1.7458435408319681E-5</v>
      </c>
      <c r="CH5" s="90">
        <f t="shared" si="19"/>
        <v>1.7458435408319681E-5</v>
      </c>
      <c r="CI5" s="90">
        <f t="shared" si="19"/>
        <v>1.7458435408319681E-5</v>
      </c>
    </row>
    <row r="6" spans="1:87" x14ac:dyDescent="0.35">
      <c r="A6" s="309"/>
      <c r="B6" s="73" t="s">
        <v>63</v>
      </c>
      <c r="C6" s="62">
        <f>SUM(C4:C5)</f>
        <v>1.9100000000000001E-4</v>
      </c>
      <c r="D6" s="62">
        <f>SUM(D4:D5)</f>
        <v>1.2699999999999999E-3</v>
      </c>
      <c r="E6" s="62">
        <f>SUM(E4:E5)</f>
        <v>1.2699999999999999E-3</v>
      </c>
      <c r="F6" s="62">
        <f>IF(F3="","",SUM(F4:F5))</f>
        <v>1.2699999999999999E-3</v>
      </c>
      <c r="G6" s="62">
        <f t="shared" ref="G6:Z6" si="20">IF(G3="","",SUM(G4:G5))</f>
        <v>1.2699999999999999E-3</v>
      </c>
      <c r="H6" s="62">
        <f t="shared" si="20"/>
        <v>1.2699999999999999E-3</v>
      </c>
      <c r="I6" s="62">
        <f t="shared" si="20"/>
        <v>1.2699999999999999E-3</v>
      </c>
      <c r="J6" s="62">
        <f t="shared" si="20"/>
        <v>1.2699999999999999E-3</v>
      </c>
      <c r="K6" s="62">
        <f t="shared" si="20"/>
        <v>1.2699999999999999E-3</v>
      </c>
      <c r="L6" s="62">
        <f t="shared" si="20"/>
        <v>1.2699999999999999E-3</v>
      </c>
      <c r="M6" s="62">
        <f t="shared" si="20"/>
        <v>1.2699999999999999E-3</v>
      </c>
      <c r="N6" s="62">
        <f t="shared" si="20"/>
        <v>1.2699999999999999E-3</v>
      </c>
      <c r="O6" s="62">
        <f t="shared" si="20"/>
        <v>1.2699999999999999E-3</v>
      </c>
      <c r="P6" s="62">
        <f t="shared" si="20"/>
        <v>1.0638686939095806E-3</v>
      </c>
      <c r="Q6" s="62">
        <f t="shared" si="20"/>
        <v>1.0638686939095806E-3</v>
      </c>
      <c r="R6" s="62">
        <f t="shared" si="20"/>
        <v>1.0638686939095806E-3</v>
      </c>
      <c r="S6" s="62">
        <f t="shared" si="20"/>
        <v>1.0638686939095806E-3</v>
      </c>
      <c r="T6" s="62">
        <f t="shared" si="20"/>
        <v>1.0638686939095806E-3</v>
      </c>
      <c r="U6" s="62">
        <f t="shared" si="20"/>
        <v>1.0638686939095806E-3</v>
      </c>
      <c r="V6" s="62">
        <f t="shared" si="20"/>
        <v>1.0638686939095806E-3</v>
      </c>
      <c r="W6" s="62">
        <f t="shared" si="20"/>
        <v>1.0638686939095806E-3</v>
      </c>
      <c r="X6" s="62">
        <f t="shared" si="20"/>
        <v>1.0638686939095806E-3</v>
      </c>
      <c r="Y6" s="62">
        <f t="shared" si="20"/>
        <v>1.0638686939095806E-3</v>
      </c>
      <c r="Z6" s="62">
        <f t="shared" si="20"/>
        <v>1.0638686939095806E-3</v>
      </c>
      <c r="AA6" s="62">
        <f t="shared" ref="AA6:AC6" si="21">IF(AA3="","",SUM(AA4:AA5))</f>
        <v>1.0638686939095806E-3</v>
      </c>
      <c r="AB6" s="62">
        <f t="shared" si="21"/>
        <v>1.1092187735602566E-3</v>
      </c>
      <c r="AC6" s="62">
        <f t="shared" si="21"/>
        <v>1.1092187735602566E-3</v>
      </c>
      <c r="AD6" s="62">
        <f t="shared" ref="AD6:AM6" si="22">IF(AD3="","",SUM(AD4:AD5))</f>
        <v>1.1092187735602566E-3</v>
      </c>
      <c r="AE6" s="62">
        <f t="shared" si="22"/>
        <v>1.1092187735602566E-3</v>
      </c>
      <c r="AF6" s="62">
        <f t="shared" si="22"/>
        <v>1.1092187735602566E-3</v>
      </c>
      <c r="AG6" s="62">
        <f t="shared" si="22"/>
        <v>1.1092187735602566E-3</v>
      </c>
      <c r="AH6" s="62">
        <f t="shared" si="22"/>
        <v>1.1092187735602566E-3</v>
      </c>
      <c r="AI6" s="62">
        <f t="shared" si="22"/>
        <v>1.1092187735602566E-3</v>
      </c>
      <c r="AJ6" s="62">
        <f t="shared" si="22"/>
        <v>1.1092187735602566E-3</v>
      </c>
      <c r="AK6" s="62">
        <f t="shared" si="22"/>
        <v>1.1092187735602566E-3</v>
      </c>
      <c r="AL6" s="62">
        <f t="shared" si="22"/>
        <v>1.1092187735602566E-3</v>
      </c>
      <c r="AM6" s="62">
        <f t="shared" si="22"/>
        <v>1.1092187735602566E-3</v>
      </c>
      <c r="AN6" s="62">
        <f t="shared" ref="AN6:AO6" si="23">IF(AN3="","",SUM(AN4:AN5))</f>
        <v>1.076694266371552E-4</v>
      </c>
      <c r="AO6" s="62">
        <f t="shared" si="23"/>
        <v>1.076694266371552E-4</v>
      </c>
      <c r="AP6" s="62">
        <f t="shared" ref="AP6:AU6" si="24">IF(AP3="","",SUM(AP4:AP5))</f>
        <v>1.076694266371552E-4</v>
      </c>
      <c r="AQ6" s="62">
        <f t="shared" si="24"/>
        <v>1.076694266371552E-4</v>
      </c>
      <c r="AR6" s="62">
        <f t="shared" si="24"/>
        <v>1.076694266371552E-4</v>
      </c>
      <c r="AS6" s="62">
        <f t="shared" si="24"/>
        <v>1.076694266371552E-4</v>
      </c>
      <c r="AT6" s="62">
        <f t="shared" si="24"/>
        <v>1.076694266371552E-4</v>
      </c>
      <c r="AU6" s="62">
        <f t="shared" si="24"/>
        <v>1.076694266371552E-4</v>
      </c>
      <c r="AV6" s="62">
        <f t="shared" ref="AV6:AW6" si="25">IF(AV3="","",SUM(AV4:AV5))</f>
        <v>1.076694266371552E-4</v>
      </c>
      <c r="AW6" s="62">
        <f t="shared" si="25"/>
        <v>1.076694266371552E-4</v>
      </c>
      <c r="AX6" s="62">
        <f t="shared" ref="AX6:AY6" si="26">IF(AX3="","",SUM(AX4:AX5))</f>
        <v>1.076694266371552E-4</v>
      </c>
      <c r="AY6" s="62">
        <f t="shared" si="26"/>
        <v>1.076694266371552E-4</v>
      </c>
      <c r="AZ6" s="62">
        <f t="shared" ref="AZ6:BA6" si="27">IF(AZ3="","",SUM(AZ4:AZ5))</f>
        <v>-2.8339231336924818E-4</v>
      </c>
      <c r="BA6" s="62">
        <f t="shared" si="27"/>
        <v>-2.8339231336924818E-4</v>
      </c>
      <c r="BB6" s="62">
        <f t="shared" ref="BB6:BC6" si="28">IF(BB3="","",SUM(BB4:BB5))</f>
        <v>-2.8339231336924818E-4</v>
      </c>
      <c r="BC6" s="62">
        <f t="shared" si="28"/>
        <v>-2.8339231336924818E-4</v>
      </c>
      <c r="BD6" s="62">
        <f t="shared" ref="BD6:BE6" si="29">IF(BD3="","",SUM(BD4:BD5))</f>
        <v>-2.8339231336924818E-4</v>
      </c>
      <c r="BE6" s="62">
        <f t="shared" si="29"/>
        <v>-2.8339231336924818E-4</v>
      </c>
      <c r="BF6" s="62">
        <f t="shared" ref="BF6:BG6" si="30">IF(BF3="","",SUM(BF4:BF5))</f>
        <v>-2.8339231336924818E-4</v>
      </c>
      <c r="BG6" s="62">
        <f t="shared" si="30"/>
        <v>-2.8339231336924818E-4</v>
      </c>
      <c r="BH6" s="62">
        <f t="shared" ref="BH6:BI6" si="31">IF(BH3="","",SUM(BH4:BH5))</f>
        <v>-2.8339231336924818E-4</v>
      </c>
      <c r="BI6" s="62">
        <f t="shared" si="31"/>
        <v>-2.8339231336924818E-4</v>
      </c>
      <c r="BJ6" s="62">
        <f t="shared" ref="BJ6:BK6" si="32">IF(BJ3="","",SUM(BJ4:BJ5))</f>
        <v>-2.8339231336924818E-4</v>
      </c>
      <c r="BK6" s="62">
        <f t="shared" si="32"/>
        <v>-2.8339231336924818E-4</v>
      </c>
      <c r="BL6" s="62">
        <f t="shared" ref="BL6:BM6" si="33">IF(BL3="","",SUM(BL4:BL5))</f>
        <v>-9.9410400936806899E-6</v>
      </c>
      <c r="BM6" s="62">
        <f t="shared" si="33"/>
        <v>-9.9410400936806899E-6</v>
      </c>
      <c r="BN6" s="62">
        <f t="shared" ref="BN6:BO6" si="34">IF(BN3="","",SUM(BN4:BN5))</f>
        <v>-9.9410400936806899E-6</v>
      </c>
      <c r="BO6" s="62">
        <f t="shared" si="34"/>
        <v>-9.9410400936806899E-6</v>
      </c>
      <c r="BP6" s="62">
        <f t="shared" ref="BP6:BQ6" si="35">IF(BP3="","",SUM(BP4:BP5))</f>
        <v>-9.9410400936806899E-6</v>
      </c>
      <c r="BQ6" s="62">
        <f t="shared" si="35"/>
        <v>-9.9410400936806899E-6</v>
      </c>
      <c r="BR6" s="62">
        <f t="shared" ref="BR6:BS6" si="36">IF(BR3="","",SUM(BR4:BR5))</f>
        <v>-9.9410400936806899E-6</v>
      </c>
      <c r="BS6" s="62">
        <f t="shared" si="36"/>
        <v>-9.9410400936806899E-6</v>
      </c>
      <c r="BT6" s="62">
        <f t="shared" ref="BT6:BU6" si="37">IF(BT3="","",SUM(BT4:BT5))</f>
        <v>-9.9410400936806899E-6</v>
      </c>
      <c r="BU6" s="62">
        <f t="shared" si="37"/>
        <v>-9.9410400936806899E-6</v>
      </c>
      <c r="BV6" s="62">
        <f t="shared" ref="BV6:BW6" si="38">IF(BV3="","",SUM(BV4:BV5))</f>
        <v>-9.9410400936806899E-6</v>
      </c>
      <c r="BW6" s="62">
        <f t="shared" si="38"/>
        <v>-9.9410400936806899E-6</v>
      </c>
      <c r="BX6" s="62">
        <f t="shared" ref="BX6:BY6" si="39">IF(BX3="","",SUM(BX4:BX5))</f>
        <v>1.7458435408319681E-5</v>
      </c>
      <c r="BY6" s="62">
        <f t="shared" si="39"/>
        <v>1.7458435408319681E-5</v>
      </c>
      <c r="BZ6" s="62">
        <f t="shared" ref="BZ6:CA6" si="40">IF(BZ3="","",SUM(BZ4:BZ5))</f>
        <v>1.7458435408319681E-5</v>
      </c>
      <c r="CA6" s="62">
        <f t="shared" si="40"/>
        <v>1.7458435408319681E-5</v>
      </c>
      <c r="CB6" s="62">
        <f t="shared" ref="CB6:CC6" si="41">IF(CB3="","",SUM(CB4:CB5))</f>
        <v>1.7458435408319681E-5</v>
      </c>
      <c r="CC6" s="62">
        <f t="shared" si="41"/>
        <v>1.7458435408319681E-5</v>
      </c>
      <c r="CD6" s="62">
        <f t="shared" ref="CD6:CE6" si="42">IF(CD3="","",SUM(CD4:CD5))</f>
        <v>1.7458435408319681E-5</v>
      </c>
      <c r="CE6" s="62">
        <f t="shared" si="42"/>
        <v>1.7458435408319681E-5</v>
      </c>
      <c r="CF6" s="62">
        <f t="shared" ref="CF6:CG6" si="43">IF(CF3="","",SUM(CF4:CF5))</f>
        <v>1.7458435408319681E-5</v>
      </c>
      <c r="CG6" s="62">
        <f t="shared" si="43"/>
        <v>1.7458435408319681E-5</v>
      </c>
      <c r="CH6" s="62">
        <f t="shared" ref="CH6:CI6" si="44">IF(CH3="","",SUM(CH4:CH5))</f>
        <v>1.7458435408319681E-5</v>
      </c>
      <c r="CI6" s="62">
        <f t="shared" si="44"/>
        <v>1.7458435408319681E-5</v>
      </c>
    </row>
    <row r="7" spans="1:87" x14ac:dyDescent="0.35">
      <c r="A7" s="309"/>
      <c r="B7" s="73" t="s">
        <v>56</v>
      </c>
      <c r="C7" s="66">
        <f>+C5/C6</f>
        <v>0</v>
      </c>
      <c r="D7" s="66">
        <f>+IFERROR(D5/D6,"")</f>
        <v>0.51968503937007882</v>
      </c>
      <c r="E7" s="66">
        <f>+IFERROR(E5/E6,"")</f>
        <v>0.51968503937007882</v>
      </c>
      <c r="F7" s="66">
        <f>IF(F3="","",IFERROR(F5/F6,""))</f>
        <v>0.51968503937007882</v>
      </c>
      <c r="G7" s="66">
        <f t="shared" ref="G7:Z7" si="45">IF(G3="","",IFERROR(G5/G6,""))</f>
        <v>0.51968503937007882</v>
      </c>
      <c r="H7" s="66">
        <f t="shared" si="45"/>
        <v>0.51968503937007882</v>
      </c>
      <c r="I7" s="66">
        <f t="shared" si="45"/>
        <v>0.51968503937007882</v>
      </c>
      <c r="J7" s="66">
        <f t="shared" si="45"/>
        <v>0.51968503937007882</v>
      </c>
      <c r="K7" s="66">
        <f t="shared" si="45"/>
        <v>0.51968503937007882</v>
      </c>
      <c r="L7" s="66">
        <f t="shared" si="45"/>
        <v>0.51968503937007882</v>
      </c>
      <c r="M7" s="66">
        <f t="shared" si="45"/>
        <v>0.51968503937007882</v>
      </c>
      <c r="N7" s="66">
        <f t="shared" si="45"/>
        <v>0.51968503937007882</v>
      </c>
      <c r="O7" s="66">
        <f t="shared" si="45"/>
        <v>0.51968503937007882</v>
      </c>
      <c r="P7" s="66">
        <f t="shared" si="45"/>
        <v>-3.4298698219017661E-2</v>
      </c>
      <c r="Q7" s="66">
        <f t="shared" si="45"/>
        <v>-3.4298698219017661E-2</v>
      </c>
      <c r="R7" s="66">
        <f t="shared" si="45"/>
        <v>-3.4298698219017661E-2</v>
      </c>
      <c r="S7" s="66">
        <f t="shared" si="45"/>
        <v>-3.4298698219017661E-2</v>
      </c>
      <c r="T7" s="66">
        <f t="shared" si="45"/>
        <v>-3.4298698219017661E-2</v>
      </c>
      <c r="U7" s="66">
        <f t="shared" si="45"/>
        <v>-3.4298698219017661E-2</v>
      </c>
      <c r="V7" s="66">
        <f t="shared" si="45"/>
        <v>-3.4298698219017661E-2</v>
      </c>
      <c r="W7" s="66">
        <f t="shared" si="45"/>
        <v>-3.4298698219017661E-2</v>
      </c>
      <c r="X7" s="66">
        <f t="shared" si="45"/>
        <v>-3.4298698219017661E-2</v>
      </c>
      <c r="Y7" s="66">
        <f t="shared" si="45"/>
        <v>-3.4298698219017661E-2</v>
      </c>
      <c r="Z7" s="66">
        <f t="shared" si="45"/>
        <v>-3.4298698219017661E-2</v>
      </c>
      <c r="AA7" s="66">
        <f t="shared" ref="AA7:AC7" si="46">IF(AA3="","",IFERROR(AA5/AA6,""))</f>
        <v>-3.4298698219017661E-2</v>
      </c>
      <c r="AB7" s="66">
        <f t="shared" si="46"/>
        <v>-0.14401327829821423</v>
      </c>
      <c r="AC7" s="66">
        <f t="shared" si="46"/>
        <v>-0.14401327829821423</v>
      </c>
      <c r="AD7" s="66">
        <f t="shared" ref="AD7:AM7" si="47">IF(AD3="","",IFERROR(AD5/AD6,""))</f>
        <v>-0.14401327829821423</v>
      </c>
      <c r="AE7" s="66">
        <f t="shared" si="47"/>
        <v>-0.14401327829821423</v>
      </c>
      <c r="AF7" s="66">
        <f t="shared" si="47"/>
        <v>-0.14401327829821423</v>
      </c>
      <c r="AG7" s="66">
        <f t="shared" si="47"/>
        <v>-0.14401327829821423</v>
      </c>
      <c r="AH7" s="66">
        <f t="shared" si="47"/>
        <v>-0.14401327829821423</v>
      </c>
      <c r="AI7" s="66">
        <f t="shared" si="47"/>
        <v>-0.14401327829821423</v>
      </c>
      <c r="AJ7" s="66">
        <f t="shared" si="47"/>
        <v>-0.14401327829821423</v>
      </c>
      <c r="AK7" s="66">
        <f t="shared" si="47"/>
        <v>-0.14401327829821423</v>
      </c>
      <c r="AL7" s="66">
        <f t="shared" si="47"/>
        <v>-0.14401327829821423</v>
      </c>
      <c r="AM7" s="66">
        <f t="shared" si="47"/>
        <v>-0.14401327829821423</v>
      </c>
      <c r="AN7" s="66">
        <f t="shared" ref="AN7:AO7" si="48">IF(AN3="","",IFERROR(AN5/AN6,""))</f>
        <v>-0.71031829493012566</v>
      </c>
      <c r="AO7" s="66">
        <f t="shared" si="48"/>
        <v>-0.71031829493012566</v>
      </c>
      <c r="AP7" s="66">
        <f t="shared" ref="AP7:AQ7" si="49">IF(AP3="","",IFERROR(AP5/AP6,""))</f>
        <v>-0.71031829493012566</v>
      </c>
      <c r="AQ7" s="66">
        <f t="shared" si="49"/>
        <v>-0.71031829493012566</v>
      </c>
      <c r="AR7" s="66">
        <f t="shared" ref="AR7:AS7" si="50">IF(AR3="","",IFERROR(AR5/AR6,""))</f>
        <v>-0.71031829493012566</v>
      </c>
      <c r="AS7" s="66">
        <f t="shared" si="50"/>
        <v>-0.71031829493012566</v>
      </c>
      <c r="AT7" s="66">
        <f t="shared" ref="AT7:AU7" si="51">IF(AT3="","",IFERROR(AT5/AT6,""))</f>
        <v>-0.71031829493012566</v>
      </c>
      <c r="AU7" s="66">
        <f t="shared" si="51"/>
        <v>-0.71031829493012566</v>
      </c>
      <c r="AV7" s="66">
        <f t="shared" ref="AV7:AW7" si="52">IF(AV3="","",IFERROR(AV5/AV6,""))</f>
        <v>-0.71031829493012566</v>
      </c>
      <c r="AW7" s="66">
        <f t="shared" si="52"/>
        <v>-0.71031829493012566</v>
      </c>
      <c r="AX7" s="66">
        <f t="shared" ref="AX7:AY7" si="53">IF(AX3="","",IFERROR(AX5/AX6,""))</f>
        <v>-0.71031829493012566</v>
      </c>
      <c r="AY7" s="66">
        <f t="shared" si="53"/>
        <v>-0.71031829493012566</v>
      </c>
      <c r="AZ7" s="66">
        <f t="shared" ref="AZ7:BA7" si="54">IF(AZ3="","",IFERROR(AZ5/AZ6,""))</f>
        <v>1</v>
      </c>
      <c r="BA7" s="66">
        <f t="shared" si="54"/>
        <v>1</v>
      </c>
      <c r="BB7" s="66">
        <f t="shared" ref="BB7:BC7" si="55">IF(BB3="","",IFERROR(BB5/BB6,""))</f>
        <v>1</v>
      </c>
      <c r="BC7" s="66">
        <f t="shared" si="55"/>
        <v>1</v>
      </c>
      <c r="BD7" s="66">
        <f t="shared" ref="BD7:BE7" si="56">IF(BD3="","",IFERROR(BD5/BD6,""))</f>
        <v>1</v>
      </c>
      <c r="BE7" s="66">
        <f t="shared" si="56"/>
        <v>1</v>
      </c>
      <c r="BF7" s="66">
        <f t="shared" ref="BF7:BG7" si="57">IF(BF3="","",IFERROR(BF5/BF6,""))</f>
        <v>1</v>
      </c>
      <c r="BG7" s="66">
        <f t="shared" si="57"/>
        <v>1</v>
      </c>
      <c r="BH7" s="66">
        <f t="shared" ref="BH7:BI7" si="58">IF(BH3="","",IFERROR(BH5/BH6,""))</f>
        <v>1</v>
      </c>
      <c r="BI7" s="66">
        <f t="shared" si="58"/>
        <v>1</v>
      </c>
      <c r="BJ7" s="66">
        <f t="shared" ref="BJ7:BK7" si="59">IF(BJ3="","",IFERROR(BJ5/BJ6,""))</f>
        <v>1</v>
      </c>
      <c r="BK7" s="66">
        <f t="shared" si="59"/>
        <v>1</v>
      </c>
      <c r="BL7" s="66">
        <f t="shared" ref="BL7:BM7" si="60">IF(BL3="","",IFERROR(BL5/BL6,""))</f>
        <v>1</v>
      </c>
      <c r="BM7" s="66">
        <f t="shared" si="60"/>
        <v>1</v>
      </c>
      <c r="BN7" s="66">
        <f t="shared" ref="BN7:BO7" si="61">IF(BN3="","",IFERROR(BN5/BN6,""))</f>
        <v>1</v>
      </c>
      <c r="BO7" s="66">
        <f t="shared" si="61"/>
        <v>1</v>
      </c>
      <c r="BP7" s="66">
        <f t="shared" ref="BP7:BQ7" si="62">IF(BP3="","",IFERROR(BP5/BP6,""))</f>
        <v>1</v>
      </c>
      <c r="BQ7" s="66">
        <f t="shared" si="62"/>
        <v>1</v>
      </c>
      <c r="BR7" s="66">
        <f t="shared" ref="BR7:BS7" si="63">IF(BR3="","",IFERROR(BR5/BR6,""))</f>
        <v>1</v>
      </c>
      <c r="BS7" s="66">
        <f t="shared" si="63"/>
        <v>1</v>
      </c>
      <c r="BT7" s="66">
        <f t="shared" ref="BT7:BU7" si="64">IF(BT3="","",IFERROR(BT5/BT6,""))</f>
        <v>1</v>
      </c>
      <c r="BU7" s="66">
        <f t="shared" si="64"/>
        <v>1</v>
      </c>
      <c r="BV7" s="66">
        <f t="shared" ref="BV7:BW7" si="65">IF(BV3="","",IFERROR(BV5/BV6,""))</f>
        <v>1</v>
      </c>
      <c r="BW7" s="66">
        <f t="shared" si="65"/>
        <v>1</v>
      </c>
      <c r="BX7" s="66">
        <f t="shared" ref="BX7:BY7" si="66">IF(BX3="","",IFERROR(BX5/BX6,""))</f>
        <v>1</v>
      </c>
      <c r="BY7" s="66">
        <f t="shared" si="66"/>
        <v>1</v>
      </c>
      <c r="BZ7" s="66">
        <f t="shared" ref="BZ7:CA7" si="67">IF(BZ3="","",IFERROR(BZ5/BZ6,""))</f>
        <v>1</v>
      </c>
      <c r="CA7" s="66">
        <f t="shared" si="67"/>
        <v>1</v>
      </c>
      <c r="CB7" s="66">
        <f t="shared" ref="CB7:CC7" si="68">IF(CB3="","",IFERROR(CB5/CB6,""))</f>
        <v>1</v>
      </c>
      <c r="CC7" s="66">
        <f t="shared" si="68"/>
        <v>1</v>
      </c>
      <c r="CD7" s="66">
        <f t="shared" ref="CD7:CE7" si="69">IF(CD3="","",IFERROR(CD5/CD6,""))</f>
        <v>1</v>
      </c>
      <c r="CE7" s="66">
        <f t="shared" si="69"/>
        <v>1</v>
      </c>
      <c r="CF7" s="66">
        <f t="shared" ref="CF7:CG7" si="70">IF(CF3="","",IFERROR(CF5/CF6,""))</f>
        <v>1</v>
      </c>
      <c r="CG7" s="66">
        <f t="shared" si="70"/>
        <v>1</v>
      </c>
      <c r="CH7" s="66">
        <f t="shared" ref="CH7:CI7" si="71">IF(CH3="","",IFERROR(CH5/CH6,""))</f>
        <v>1</v>
      </c>
      <c r="CI7" s="66">
        <f t="shared" si="71"/>
        <v>1</v>
      </c>
    </row>
    <row r="8" spans="1:87" s="48" customFormat="1" x14ac:dyDescent="0.35">
      <c r="A8" s="309"/>
      <c r="B8" s="74" t="s">
        <v>57</v>
      </c>
      <c r="C8" s="64">
        <f>+C7*C3</f>
        <v>0</v>
      </c>
      <c r="D8" s="64">
        <f>+ROUND(D7*D3,2)</f>
        <v>711911.22</v>
      </c>
      <c r="E8" s="64">
        <f>+ROUND(E7*E3,2)</f>
        <v>573227.69999999995</v>
      </c>
      <c r="F8" s="64">
        <f>IF(F3="","",ROUND(F7*F3,2))</f>
        <v>501096.29</v>
      </c>
      <c r="G8" s="64">
        <f t="shared" ref="G8:Z8" si="72">IF(G3="","",ROUND(G7*G3,2))</f>
        <v>477583.74</v>
      </c>
      <c r="H8" s="64">
        <f t="shared" si="72"/>
        <v>641985.30000000005</v>
      </c>
      <c r="I8" s="64">
        <f t="shared" si="72"/>
        <v>854211.51</v>
      </c>
      <c r="J8" s="64">
        <f t="shared" si="72"/>
        <v>864751.39</v>
      </c>
      <c r="K8" s="64">
        <f t="shared" si="72"/>
        <v>683761.31</v>
      </c>
      <c r="L8" s="64">
        <f t="shared" si="72"/>
        <v>600310.41</v>
      </c>
      <c r="M8" s="64">
        <f t="shared" si="72"/>
        <v>524179.13</v>
      </c>
      <c r="N8" s="64">
        <f t="shared" si="72"/>
        <v>675963.66</v>
      </c>
      <c r="O8" s="64">
        <f t="shared" si="72"/>
        <v>1036876.86</v>
      </c>
      <c r="P8" s="64">
        <f t="shared" si="72"/>
        <v>-46701.32</v>
      </c>
      <c r="Q8" s="64">
        <f t="shared" si="72"/>
        <v>-37642.160000000003</v>
      </c>
      <c r="R8" s="64">
        <f t="shared" si="72"/>
        <v>-36342.15</v>
      </c>
      <c r="S8" s="64">
        <f t="shared" si="72"/>
        <v>-29599.11</v>
      </c>
      <c r="T8" s="64">
        <f t="shared" si="72"/>
        <v>-43963.199999999997</v>
      </c>
      <c r="U8" s="64">
        <f t="shared" si="72"/>
        <v>-51549.48</v>
      </c>
      <c r="V8" s="64">
        <f t="shared" si="72"/>
        <v>-46197.58</v>
      </c>
      <c r="W8" s="64">
        <f t="shared" si="72"/>
        <v>-44433.38</v>
      </c>
      <c r="X8" s="64">
        <f t="shared" si="72"/>
        <v>-34383.949999999997</v>
      </c>
      <c r="Y8" s="64">
        <f t="shared" si="72"/>
        <v>-31905.63</v>
      </c>
      <c r="Z8" s="64">
        <f t="shared" si="72"/>
        <v>-44394.77</v>
      </c>
      <c r="AA8" s="64">
        <f t="shared" ref="AA8:AC8" si="73">IF(AA3="","",ROUND(AA7*AA3,2))</f>
        <v>-49232.21</v>
      </c>
      <c r="AB8" s="64">
        <f t="shared" si="73"/>
        <v>-216071.84</v>
      </c>
      <c r="AC8" s="64">
        <f t="shared" si="73"/>
        <v>-194591.59</v>
      </c>
      <c r="AD8" s="64">
        <f t="shared" ref="AD8:AM8" si="74">IF(AD3="","",ROUND(AD7*AD3,2))</f>
        <v>-134071.35999999999</v>
      </c>
      <c r="AE8" s="64">
        <f t="shared" si="74"/>
        <v>-113984.64</v>
      </c>
      <c r="AF8" s="64">
        <f t="shared" si="74"/>
        <v>-151800.88</v>
      </c>
      <c r="AG8" s="64">
        <f t="shared" si="74"/>
        <v>-193122.18</v>
      </c>
      <c r="AH8" s="64">
        <f t="shared" si="74"/>
        <v>-203284.46</v>
      </c>
      <c r="AI8" s="64">
        <f t="shared" si="74"/>
        <v>-187531.79</v>
      </c>
      <c r="AJ8" s="64">
        <f t="shared" si="74"/>
        <v>-154102.16</v>
      </c>
      <c r="AK8" s="64">
        <f t="shared" si="74"/>
        <v>-138255.22</v>
      </c>
      <c r="AL8" s="64">
        <f t="shared" si="74"/>
        <v>-186023.43</v>
      </c>
      <c r="AM8" s="64">
        <f t="shared" si="74"/>
        <v>-205426.33</v>
      </c>
      <c r="AN8" s="64">
        <f t="shared" ref="AN8:AO8" si="75">IF(AN3="","",ROUND(AN7*AN3,2))</f>
        <v>-594409.85</v>
      </c>
      <c r="AO8" s="64">
        <f t="shared" si="75"/>
        <v>-87726.16</v>
      </c>
      <c r="AP8" s="64">
        <f t="shared" ref="AP8:AU8" si="76">IF(AP3="","",ROUND(AP7*AP3,2))</f>
        <v>-65829.27</v>
      </c>
      <c r="AQ8" s="64">
        <f t="shared" si="76"/>
        <v>-58757.52</v>
      </c>
      <c r="AR8" s="64">
        <f t="shared" si="76"/>
        <v>-77792.009999999995</v>
      </c>
      <c r="AS8" s="64">
        <f t="shared" si="76"/>
        <v>-104447.8</v>
      </c>
      <c r="AT8" s="64">
        <f t="shared" si="76"/>
        <v>-97903.88</v>
      </c>
      <c r="AU8" s="64">
        <f t="shared" si="76"/>
        <v>-88306.68</v>
      </c>
      <c r="AV8" s="64">
        <f t="shared" ref="AV8:AW8" si="77">IF(AV3="","",ROUND(AV7*AV3,2))</f>
        <v>-59672.800000000003</v>
      </c>
      <c r="AW8" s="64">
        <f t="shared" si="77"/>
        <v>-63668.09</v>
      </c>
      <c r="AX8" s="64">
        <f t="shared" ref="AX8:AY8" si="78">IF(AX3="","",ROUND(AX7*AX3,2))</f>
        <v>-84398.080000000002</v>
      </c>
      <c r="AY8" s="64">
        <f t="shared" si="78"/>
        <v>-109860.73</v>
      </c>
      <c r="AZ8" s="64">
        <f t="shared" ref="AZ8:BA8" si="79">IF(AZ3="","",ROUND(AZ7*AZ3,2))</f>
        <v>-113458.01</v>
      </c>
      <c r="BA8" s="64">
        <f t="shared" si="79"/>
        <v>-325175.89</v>
      </c>
      <c r="BB8" s="64">
        <f t="shared" ref="BB8:BC8" si="80">IF(BB3="","",ROUND(BB7*BB3,2))</f>
        <v>-219552.89</v>
      </c>
      <c r="BC8" s="64">
        <f t="shared" si="80"/>
        <v>-206267.22</v>
      </c>
      <c r="BD8" s="64">
        <f t="shared" ref="BD8:BE8" si="81">IF(BD3="","",ROUND(BD7*BD3,2))</f>
        <v>-270595.87</v>
      </c>
      <c r="BE8" s="64">
        <f t="shared" si="81"/>
        <v>-357386.66</v>
      </c>
      <c r="BF8" s="64">
        <f t="shared" ref="BF8:BG8" si="82">IF(BF3="","",ROUND(BF7*BF3,2))</f>
        <v>-364675.44</v>
      </c>
      <c r="BG8" s="64">
        <f t="shared" si="82"/>
        <v>-358208.47</v>
      </c>
      <c r="BH8" s="64">
        <f t="shared" ref="BH8:BI8" si="83">IF(BH3="","",ROUND(BH7*BH3,2))</f>
        <v>-248050.58</v>
      </c>
      <c r="BI8" s="64">
        <f t="shared" si="83"/>
        <v>-232427.07</v>
      </c>
      <c r="BJ8" s="64">
        <f t="shared" ref="BJ8:BK8" si="84">IF(BJ3="","",ROUND(BJ7*BJ3,2))</f>
        <v>-290836.61</v>
      </c>
      <c r="BK8" s="64">
        <f t="shared" si="84"/>
        <v>-375935.37</v>
      </c>
      <c r="BL8" s="64">
        <f t="shared" ref="BL8:BM8" si="85">IF(BL3="","",ROUND(BL7*BL3,2))</f>
        <v>-242680.23</v>
      </c>
      <c r="BM8" s="64">
        <f t="shared" si="85"/>
        <v>-13830.45</v>
      </c>
      <c r="BN8" s="64">
        <f t="shared" ref="BN8:BO8" si="86">IF(BN3="","",ROUND(BN7*BN3,2))</f>
        <v>-7909.14</v>
      </c>
      <c r="BO8" s="64">
        <f t="shared" si="86"/>
        <v>-7927.25</v>
      </c>
      <c r="BP8" s="64">
        <f t="shared" ref="BP8:BQ8" si="87">IF(BP3="","",ROUND(BP7*BP3,2))</f>
        <v>-10364.700000000001</v>
      </c>
      <c r="BQ8" s="64">
        <f t="shared" si="87"/>
        <v>-14271.87</v>
      </c>
      <c r="BR8" s="64">
        <f t="shared" ref="BR8:BS8" si="88">IF(BR3="","",ROUND(BR7*BR3,2))</f>
        <v>-13453.18</v>
      </c>
      <c r="BS8" s="64">
        <f t="shared" si="88"/>
        <v>-11260.05</v>
      </c>
      <c r="BT8" s="64">
        <f t="shared" ref="BT8:BU8" si="89">IF(BT3="","",ROUND(BT7*BT3,2))</f>
        <v>-8003.94</v>
      </c>
      <c r="BU8" s="64">
        <f t="shared" si="89"/>
        <v>-7297.68</v>
      </c>
      <c r="BV8" s="64">
        <f t="shared" ref="BV8:BW8" si="90">IF(BV3="","",ROUND(BV7*BV3,2))</f>
        <v>-11546.44</v>
      </c>
      <c r="BW8" s="64">
        <f t="shared" si="90"/>
        <v>-13951.26</v>
      </c>
      <c r="BX8" s="64">
        <f t="shared" ref="BX8:BY8" si="91">IF(BX3="","",ROUND(BX7*BX3,2))</f>
        <v>1126.4100000000001</v>
      </c>
      <c r="BY8" s="64">
        <f t="shared" si="91"/>
        <v>16692.439999999999</v>
      </c>
      <c r="BZ8" s="64">
        <f t="shared" ref="BZ8:CA8" si="92">IF(BZ3="","",ROUND(BZ7*BZ3,2))</f>
        <v>14494.89</v>
      </c>
      <c r="CA8" s="64">
        <f t="shared" si="92"/>
        <v>12335.8</v>
      </c>
      <c r="CB8" s="64">
        <f t="shared" ref="CB8:CC8" si="93">IF(CB3="","",ROUND(CB7*CB3,2))</f>
        <v>15962.84</v>
      </c>
      <c r="CC8" s="64">
        <f t="shared" si="93"/>
        <v>20902.03</v>
      </c>
      <c r="CD8" s="64">
        <f t="shared" ref="CD8:CE8" si="94">IF(CD3="","",ROUND(CD7*CD3,2))</f>
        <v>21552.2</v>
      </c>
      <c r="CE8" s="64">
        <f t="shared" si="94"/>
        <v>19936.310000000001</v>
      </c>
      <c r="CF8" s="64">
        <f t="shared" ref="CF8:CG8" si="95">IF(CF3="","",ROUND(CF7*CF3,2))</f>
        <v>14454.45</v>
      </c>
      <c r="CG8" s="64">
        <f t="shared" si="95"/>
        <v>13413.24</v>
      </c>
      <c r="CH8" s="64">
        <f t="shared" ref="CH8:CI8" si="96">IF(CH3="","",ROUND(CH7*CH3,2))</f>
        <v>18378.79</v>
      </c>
      <c r="CI8" s="64">
        <f t="shared" si="96"/>
        <v>24115.97</v>
      </c>
    </row>
    <row r="9" spans="1:87" s="48" customFormat="1" ht="8.25" customHeight="1" x14ac:dyDescent="0.35">
      <c r="A9" s="77"/>
      <c r="B9" s="7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row>
    <row r="10" spans="1:87" x14ac:dyDescent="0.35">
      <c r="A10" s="309" t="s">
        <v>34</v>
      </c>
      <c r="B10" s="73" t="s">
        <v>53</v>
      </c>
      <c r="C10" s="63">
        <f>+'MEEIA 2 calcs'!O38</f>
        <v>27338.89</v>
      </c>
      <c r="D10" s="63">
        <f>+'MEEIA 2 calcs'!P38</f>
        <v>144726.28</v>
      </c>
      <c r="E10" s="63">
        <f>+'MEEIA 2 calcs'!Q38</f>
        <v>128485.97</v>
      </c>
      <c r="F10" s="63">
        <f>+'M2 Allocations - TD'!Q51</f>
        <v>121597.62</v>
      </c>
      <c r="G10" s="63">
        <f>IF(+'M2 Allocations - TD'!R51="","",'M2 Allocations - TD'!R51)</f>
        <v>120360.92</v>
      </c>
      <c r="H10" s="63">
        <f>IF(+'M2 Allocations - TD'!S51="","",'M2 Allocations - TD'!S51)</f>
        <v>143026.74</v>
      </c>
      <c r="I10" s="63">
        <f>IF(+'M2 Allocations - TD'!T51="","",'M2 Allocations - TD'!T51)</f>
        <v>165801.25</v>
      </c>
      <c r="J10" s="63">
        <f>IF(+'M2 Allocations - TD'!U51="","",'M2 Allocations - TD'!U51)</f>
        <v>167384.09</v>
      </c>
      <c r="K10" s="63">
        <f>IF(+'M2 Allocations - TD'!V51="","",'M2 Allocations - TD'!V51)</f>
        <v>149701.24</v>
      </c>
      <c r="L10" s="63">
        <f>IF(+'M2 Allocations - TD'!W51="","",'M2 Allocations - TD'!W51)</f>
        <v>141748.14000000001</v>
      </c>
      <c r="M10" s="63">
        <f>IF(+'M2 Allocations - TD'!X51="","",'M2 Allocations - TD'!X51)</f>
        <v>126699.78</v>
      </c>
      <c r="N10" s="63">
        <f>IF(+'M2 Allocations - TD'!Y51="","",'M2 Allocations - TD'!Y51)</f>
        <v>139926.94</v>
      </c>
      <c r="O10" s="63">
        <f>IF(+'M2 Allocations - TD'!Z51="","",'M2 Allocations - TD'!Z51)</f>
        <v>202221.15</v>
      </c>
      <c r="P10" s="63">
        <f>IF(+'M2 Allocations - TD'!AA51="","",'M2 Allocations - TD'!AA51)</f>
        <v>343067.75</v>
      </c>
      <c r="Q10" s="63">
        <f>IF(+'M2 Allocations - TD'!AB51="","",'M2 Allocations - TD'!AB51)</f>
        <v>300632.48</v>
      </c>
      <c r="R10" s="63">
        <f>IF(+'M2 Allocations - TD'!AC51="","",'M2 Allocations - TD'!AC51)</f>
        <v>296300.02</v>
      </c>
      <c r="S10" s="63">
        <f>IF(+'M2 Allocations - TD'!AD51="","",'M2 Allocations - TD'!AD51)</f>
        <v>268199.42</v>
      </c>
      <c r="T10" s="63">
        <f>IF(+'M2 Allocations - TD'!AE51="","",'M2 Allocations - TD'!AE51)</f>
        <v>337634.86</v>
      </c>
      <c r="U10" s="63">
        <f>IF(+'M2 Allocations - TD'!AF51="","",'M2 Allocations - TD'!AF51)</f>
        <v>372521.79</v>
      </c>
      <c r="V10" s="63">
        <f>IF(+'M2 Allocations - TD'!AG51="","",'M2 Allocations - TD'!AG51)</f>
        <v>348089.17</v>
      </c>
      <c r="W10" s="63">
        <f>IF(+'M2 Allocations - TD'!AH51="","",'M2 Allocations - TD'!AH51)</f>
        <v>342034.51</v>
      </c>
      <c r="X10" s="63">
        <f>IF(+'M2 Allocations - TD'!AI51="","",'M2 Allocations - TD'!AI51)</f>
        <v>301373.81</v>
      </c>
      <c r="Y10" s="63">
        <f>IF(+'M2 Allocations - TD'!AJ51="","",'M2 Allocations - TD'!AJ51)</f>
        <v>271517.73</v>
      </c>
      <c r="Z10" s="63">
        <f>IF(+'M2 Allocations - TD'!AK51="","",'M2 Allocations - TD'!AK51)</f>
        <v>328156.33</v>
      </c>
      <c r="AA10" s="63">
        <f>IF(+'M2 Allocations - TD'!AL51="","",'M2 Allocations - TD'!AL51)</f>
        <v>377703.97</v>
      </c>
      <c r="AB10" s="63">
        <f>IF(+'M2 Allocations - TD'!AM51="","",'M2 Allocations - TD'!AM51)</f>
        <v>708077.88</v>
      </c>
      <c r="AC10" s="63">
        <f>IF(+'M2 Allocations - TD'!AN51="","",'M2 Allocations - TD'!AN51)</f>
        <v>666764.85</v>
      </c>
      <c r="AD10" s="63">
        <f>IF(+'M2 Allocations - TD'!AO51="","",'M2 Allocations - TD'!AO51)</f>
        <v>540522.54</v>
      </c>
      <c r="AE10" s="63">
        <f>IF(+'M2 Allocations - TD'!AP51="","",'M2 Allocations - TD'!AP51)</f>
        <v>509584.1</v>
      </c>
      <c r="AF10" s="63">
        <f>IF(+'M2 Allocations - TD'!AQ51="","",'M2 Allocations - TD'!AQ51)</f>
        <v>594934.36</v>
      </c>
      <c r="AG10" s="63">
        <f>IF(+'M2 Allocations - TD'!AR51="","",'M2 Allocations - TD'!AR51)</f>
        <v>680484</v>
      </c>
      <c r="AH10" s="63">
        <f>IF(+'M2 Allocations - TD'!AS51="","",'M2 Allocations - TD'!AS51)</f>
        <v>699354.09</v>
      </c>
      <c r="AI10" s="63">
        <f>IF(+'M2 Allocations - TD'!AT51="","",'M2 Allocations - TD'!AT51)</f>
        <v>675136.56</v>
      </c>
      <c r="AJ10" s="63">
        <f>IF(+'M2 Allocations - TD'!AU51="","",'M2 Allocations - TD'!AU51)</f>
        <v>608437.81999999995</v>
      </c>
      <c r="AK10" s="63">
        <f>IF(+'M2 Allocations - TD'!AV51="","",'M2 Allocations - TD'!AV51)</f>
        <v>545178.31000000006</v>
      </c>
      <c r="AL10" s="63">
        <f>IF(+'M2 Allocations - TD'!AW51="","",'M2 Allocations - TD'!AW51)</f>
        <v>640578.34</v>
      </c>
      <c r="AM10" s="63">
        <f>IF(+'M2 Allocations - TD'!AX51="","",'M2 Allocations - TD'!AX51)</f>
        <v>683111.72</v>
      </c>
      <c r="AN10" s="63">
        <f>IF(+'M2 Allocations - TD'!AY51="","",'M2 Allocations - TD'!AY51)</f>
        <v>419075.87</v>
      </c>
      <c r="AO10" s="63">
        <f>IF(+'M2 Allocations - TD'!AZ51="","",'M2 Allocations - TD'!AZ51)</f>
        <v>88037.89</v>
      </c>
      <c r="AP10" s="63">
        <f>IF(+'M2 Allocations - TD'!BA51="","",'M2 Allocations - TD'!BA51)</f>
        <v>65160.17</v>
      </c>
      <c r="AQ10" s="63">
        <f>IF(+'M2 Allocations - TD'!BB51="","",'M2 Allocations - TD'!BB51)</f>
        <v>59309.86</v>
      </c>
      <c r="AR10" s="63">
        <f>IF(+'M2 Allocations - TD'!BC51="","",'M2 Allocations - TD'!BC51)</f>
        <v>74165.440000000002</v>
      </c>
      <c r="AS10" s="63">
        <f>IF(+'M2 Allocations - TD'!BD51="","",'M2 Allocations - TD'!BD51)</f>
        <v>92442.4</v>
      </c>
      <c r="AT10" s="63">
        <f>IF(+'M2 Allocations - TD'!BE51="","",'M2 Allocations - TD'!BE51)</f>
        <v>90973.54</v>
      </c>
      <c r="AU10" s="63">
        <f>IF(+'M2 Allocations - TD'!BF51="","",'M2 Allocations - TD'!BF51)</f>
        <v>86398.8</v>
      </c>
      <c r="AV10" s="63">
        <f>IF(+'M2 Allocations - TD'!BG51="","",'M2 Allocations - TD'!BG51)</f>
        <v>70150.48</v>
      </c>
      <c r="AW10" s="63">
        <f>IF(+'M2 Allocations - TD'!BH51="","",'M2 Allocations - TD'!BH51)</f>
        <v>70037.789999999994</v>
      </c>
      <c r="AX10" s="63">
        <f>IF(+'M2 Allocations - TD'!BI51="","",'M2 Allocations - TD'!BI51)</f>
        <v>80808.38</v>
      </c>
      <c r="AY10" s="63">
        <f>IF(+'M2 Allocations - TD'!BJ51="","",'M2 Allocations - TD'!BJ51)</f>
        <v>96369.71</v>
      </c>
      <c r="AZ10" s="63">
        <f>IF(+'M2 Allocations - TD'!BK51="","",'M2 Allocations - TD'!BK51)</f>
        <v>-2328.37</v>
      </c>
      <c r="BA10" s="63">
        <f>IF(+'M2 Allocations - TD'!BL51="","",'M2 Allocations - TD'!BL51)</f>
        <v>-103760.54</v>
      </c>
      <c r="BB10" s="63">
        <f>IF(+'M2 Allocations - TD'!BM51="","",'M2 Allocations - TD'!BM51)</f>
        <v>-82575.289999999994</v>
      </c>
      <c r="BC10" s="63">
        <f>IF(+'M2 Allocations - TD'!BN51="","",'M2 Allocations - TD'!BN51)</f>
        <v>-81377.440000000002</v>
      </c>
      <c r="BD10" s="63">
        <f>IF(+'M2 Allocations - TD'!BO51="","",'M2 Allocations - TD'!BO51)</f>
        <v>-96431.96</v>
      </c>
      <c r="BE10" s="63">
        <f>IF(+'M2 Allocations - TD'!BP51="","",'M2 Allocations - TD'!BP51)</f>
        <v>-113596.04</v>
      </c>
      <c r="BF10" s="63">
        <f>IF(+'M2 Allocations - TD'!BQ51="","",'M2 Allocations - TD'!BQ51)</f>
        <v>-114121.57</v>
      </c>
      <c r="BG10" s="63">
        <f>IF(+'M2 Allocations - TD'!BR51="","",'M2 Allocations - TD'!BR51)</f>
        <v>-115328.91</v>
      </c>
      <c r="BH10" s="63">
        <f>IF(+'M2 Allocations - TD'!BS51="","",'M2 Allocations - TD'!BS51)</f>
        <v>-96228.19</v>
      </c>
      <c r="BI10" s="63">
        <f>IF(+'M2 Allocations - TD'!BT51="","",'M2 Allocations - TD'!BT51)</f>
        <v>-85982.2</v>
      </c>
      <c r="BJ10" s="63">
        <f>IF(+'M2 Allocations - TD'!BU51="","",'M2 Allocations - TD'!BU51)</f>
        <v>-98041.83</v>
      </c>
      <c r="BK10" s="63">
        <f>IF(+'M2 Allocations - TD'!BV51="","",'M2 Allocations - TD'!BV51)</f>
        <v>-115723.74</v>
      </c>
      <c r="BL10" s="63">
        <f>IF(+'M2 Allocations - TD'!BW51="","",'M2 Allocations - TD'!BW51)</f>
        <v>-71353.679999999993</v>
      </c>
      <c r="BM10" s="63">
        <f>IF(+'M2 Allocations - TD'!BX51="","",'M2 Allocations - TD'!BX51)</f>
        <v>-3857.43</v>
      </c>
      <c r="BN10" s="63">
        <f>IF(+'M2 Allocations - TD'!BY51="","",'M2 Allocations - TD'!BY51)</f>
        <v>-3467.37</v>
      </c>
      <c r="BO10" s="63">
        <f>IF(+'M2 Allocations - TD'!BZ51="","",'M2 Allocations - TD'!BZ51)</f>
        <v>-3190.61</v>
      </c>
      <c r="BP10" s="63">
        <f>IF(+'M2 Allocations - TD'!CA51="","",'M2 Allocations - TD'!CA51)</f>
        <v>-3616.74</v>
      </c>
      <c r="BQ10" s="63">
        <f>IF(+'M2 Allocations - TD'!CB51="","",'M2 Allocations - TD'!CB51)</f>
        <v>-4165.8599999999997</v>
      </c>
      <c r="BR10" s="63">
        <f>IF(+'M2 Allocations - TD'!CC51="","",'M2 Allocations - TD'!CC51)</f>
        <v>-4368.6099999999997</v>
      </c>
      <c r="BS10" s="63">
        <f>IF(+'M2 Allocations - TD'!CD51="","",'M2 Allocations - TD'!CD51)</f>
        <v>-3971.18</v>
      </c>
      <c r="BT10" s="63">
        <f>IF(+'M2 Allocations - TD'!CE51="","",'M2 Allocations - TD'!CE51)</f>
        <v>-3310.57</v>
      </c>
      <c r="BU10" s="63">
        <f>IF(+'M2 Allocations - TD'!CF51="","",'M2 Allocations - TD'!CF51)</f>
        <v>-3161.75</v>
      </c>
      <c r="BV10" s="63">
        <f>IF(+'M2 Allocations - TD'!CG51="","",'M2 Allocations - TD'!CG51)</f>
        <v>-3849.25</v>
      </c>
      <c r="BW10" s="63">
        <f>IF(+'M2 Allocations - TD'!CH51="","",'M2 Allocations - TD'!CH51)</f>
        <v>-4431.05</v>
      </c>
      <c r="BX10" s="63">
        <f>IF(+'M2 Allocations - TD'!CI51="","",'M2 Allocations - TD'!CI51)</f>
        <v>-58.87</v>
      </c>
      <c r="BY10" s="63">
        <f>IF(+'M2 Allocations - TD'!CJ51="","",'M2 Allocations - TD'!CJ51)</f>
        <v>4613.01</v>
      </c>
      <c r="BZ10" s="63">
        <f>IF(+'M2 Allocations - TD'!CK51="","",'M2 Allocations - TD'!CK51)</f>
        <v>4219.75</v>
      </c>
      <c r="CA10" s="63">
        <f>IF(+'M2 Allocations - TD'!CL51="","",'M2 Allocations - TD'!CL51)</f>
        <v>3905.78</v>
      </c>
      <c r="CB10" s="63">
        <f>IF(+'M2 Allocations - TD'!CM51="","",'M2 Allocations - TD'!CM51)</f>
        <v>4751.55</v>
      </c>
      <c r="CC10" s="63">
        <f>IF(+'M2 Allocations - TD'!CN51="","",'M2 Allocations - TD'!CN51)</f>
        <v>5463.54</v>
      </c>
      <c r="CD10" s="63">
        <f>IF(+'M2 Allocations - TD'!CO51="","",'M2 Allocations - TD'!CO51)</f>
        <v>5606.45</v>
      </c>
      <c r="CE10" s="63">
        <f>IF(+'M2 Allocations - TD'!CP51="","",'M2 Allocations - TD'!CP51)</f>
        <v>5658.03</v>
      </c>
      <c r="CF10" s="63">
        <f>IF(+'M2 Allocations - TD'!CQ51="","",'M2 Allocations - TD'!CQ51)</f>
        <v>4599.68</v>
      </c>
      <c r="CG10" s="63">
        <f>IF(+'M2 Allocations - TD'!CR51="","",'M2 Allocations - TD'!CR51)</f>
        <v>4263.4891341093671</v>
      </c>
      <c r="CH10" s="63">
        <f>IF(+'M2 Allocations - TD'!CS51="","",'M2 Allocations - TD'!CS51)</f>
        <v>5004.8560316201601</v>
      </c>
      <c r="CI10" s="63">
        <f>IF(+'M2 Allocations - TD'!CT51="","",'M2 Allocations - TD'!CT51)</f>
        <v>5833.0949772727017</v>
      </c>
    </row>
    <row r="11" spans="1:87" x14ac:dyDescent="0.35">
      <c r="A11" s="309"/>
      <c r="B11" s="73" t="s">
        <v>55</v>
      </c>
      <c r="C11" s="87">
        <v>4.5000000000000003E-5</v>
      </c>
      <c r="D11" s="87">
        <v>3.1700000000000001E-4</v>
      </c>
      <c r="E11" s="71">
        <f>+D11</f>
        <v>3.1700000000000001E-4</v>
      </c>
      <c r="F11" s="71">
        <f>IF(F10="","",E11)</f>
        <v>3.1700000000000001E-4</v>
      </c>
      <c r="G11" s="71">
        <f t="shared" ref="G11:Z11" si="97">IF(G10="","",F11)</f>
        <v>3.1700000000000001E-4</v>
      </c>
      <c r="H11" s="71">
        <f t="shared" si="97"/>
        <v>3.1700000000000001E-4</v>
      </c>
      <c r="I11" s="71">
        <f t="shared" si="97"/>
        <v>3.1700000000000001E-4</v>
      </c>
      <c r="J11" s="71">
        <f t="shared" si="97"/>
        <v>3.1700000000000001E-4</v>
      </c>
      <c r="K11" s="71">
        <f t="shared" si="97"/>
        <v>3.1700000000000001E-4</v>
      </c>
      <c r="L11" s="71">
        <f t="shared" si="97"/>
        <v>3.1700000000000001E-4</v>
      </c>
      <c r="M11" s="71">
        <f t="shared" si="97"/>
        <v>3.1700000000000001E-4</v>
      </c>
      <c r="N11" s="71">
        <f t="shared" si="97"/>
        <v>3.1700000000000001E-4</v>
      </c>
      <c r="O11" s="71">
        <f t="shared" si="97"/>
        <v>3.1700000000000001E-4</v>
      </c>
      <c r="P11" s="87">
        <v>1.0508215292806483E-3</v>
      </c>
      <c r="Q11" s="71">
        <f t="shared" si="97"/>
        <v>1.0508215292806483E-3</v>
      </c>
      <c r="R11" s="90">
        <f t="shared" si="97"/>
        <v>1.0508215292806483E-3</v>
      </c>
      <c r="S11" s="90">
        <f t="shared" si="97"/>
        <v>1.0508215292806483E-3</v>
      </c>
      <c r="T11" s="90">
        <f t="shared" si="97"/>
        <v>1.0508215292806483E-3</v>
      </c>
      <c r="U11" s="90">
        <f t="shared" si="97"/>
        <v>1.0508215292806483E-3</v>
      </c>
      <c r="V11" s="90">
        <f t="shared" si="97"/>
        <v>1.0508215292806483E-3</v>
      </c>
      <c r="W11" s="90">
        <f t="shared" si="97"/>
        <v>1.0508215292806483E-3</v>
      </c>
      <c r="X11" s="90">
        <f t="shared" si="97"/>
        <v>1.0508215292806483E-3</v>
      </c>
      <c r="Y11" s="90">
        <f t="shared" si="97"/>
        <v>1.0508215292806483E-3</v>
      </c>
      <c r="Z11" s="90">
        <f t="shared" si="97"/>
        <v>1.0508215292806483E-3</v>
      </c>
      <c r="AA11" s="90">
        <f t="shared" ref="AA11" si="98">IF(AA10="","",Z11)</f>
        <v>1.0508215292806483E-3</v>
      </c>
      <c r="AB11" s="87">
        <v>2.1669417868992557E-3</v>
      </c>
      <c r="AC11" s="71">
        <f t="shared" ref="AC11" si="99">IF(AC10="","",AB11)</f>
        <v>2.1669417868992557E-3</v>
      </c>
      <c r="AD11" s="71">
        <f t="shared" ref="AD11" si="100">IF(AD10="","",AC11)</f>
        <v>2.1669417868992557E-3</v>
      </c>
      <c r="AE11" s="71">
        <f t="shared" ref="AE11" si="101">IF(AE10="","",AD11)</f>
        <v>2.1669417868992557E-3</v>
      </c>
      <c r="AF11" s="71">
        <f t="shared" ref="AF11" si="102">IF(AF10="","",AE11)</f>
        <v>2.1669417868992557E-3</v>
      </c>
      <c r="AG11" s="71">
        <f t="shared" ref="AG11" si="103">IF(AG10="","",AF11)</f>
        <v>2.1669417868992557E-3</v>
      </c>
      <c r="AH11" s="71">
        <f t="shared" ref="AH11" si="104">IF(AH10="","",AG11)</f>
        <v>2.1669417868992557E-3</v>
      </c>
      <c r="AI11" s="71">
        <f t="shared" ref="AI11" si="105">IF(AI10="","",AH11)</f>
        <v>2.1669417868992557E-3</v>
      </c>
      <c r="AJ11" s="71">
        <f t="shared" ref="AJ11" si="106">IF(AJ10="","",AI11)</f>
        <v>2.1669417868992557E-3</v>
      </c>
      <c r="AK11" s="71">
        <f t="shared" ref="AK11" si="107">IF(AK10="","",AJ11)</f>
        <v>2.1669417868992557E-3</v>
      </c>
      <c r="AL11" s="71">
        <f t="shared" ref="AL11" si="108">IF(AL10="","",AK11)</f>
        <v>2.1669417868992557E-3</v>
      </c>
      <c r="AM11" s="71">
        <f t="shared" ref="AM11" si="109">IF(AM10="","",AL11)</f>
        <v>2.1669417868992557E-3</v>
      </c>
      <c r="AN11" s="119">
        <v>5.1937633003567641E-4</v>
      </c>
      <c r="AO11" s="71">
        <f t="shared" ref="AO11:BK11" si="110">IF(AO10="","",AN11)</f>
        <v>5.1937633003567641E-4</v>
      </c>
      <c r="AP11" s="71">
        <f t="shared" si="110"/>
        <v>5.1937633003567641E-4</v>
      </c>
      <c r="AQ11" s="71">
        <f t="shared" si="110"/>
        <v>5.1937633003567641E-4</v>
      </c>
      <c r="AR11" s="71">
        <f t="shared" si="110"/>
        <v>5.1937633003567641E-4</v>
      </c>
      <c r="AS11" s="71">
        <f t="shared" si="110"/>
        <v>5.1937633003567641E-4</v>
      </c>
      <c r="AT11" s="71">
        <f t="shared" si="110"/>
        <v>5.1937633003567641E-4</v>
      </c>
      <c r="AU11" s="71">
        <f t="shared" si="110"/>
        <v>5.1937633003567641E-4</v>
      </c>
      <c r="AV11" s="71">
        <f t="shared" si="110"/>
        <v>5.1937633003567641E-4</v>
      </c>
      <c r="AW11" s="71">
        <f t="shared" si="110"/>
        <v>5.1937633003567641E-4</v>
      </c>
      <c r="AX11" s="71">
        <f t="shared" si="110"/>
        <v>5.1937633003567641E-4</v>
      </c>
      <c r="AY11" s="71">
        <f t="shared" si="110"/>
        <v>5.1937633003567641E-4</v>
      </c>
      <c r="AZ11" s="119">
        <v>1.2203236433645677E-6</v>
      </c>
      <c r="BA11" s="71">
        <f t="shared" si="110"/>
        <v>1.2203236433645677E-6</v>
      </c>
      <c r="BB11" s="71">
        <f t="shared" si="110"/>
        <v>1.2203236433645677E-6</v>
      </c>
      <c r="BC11" s="71">
        <f t="shared" si="110"/>
        <v>1.2203236433645677E-6</v>
      </c>
      <c r="BD11" s="71">
        <f t="shared" si="110"/>
        <v>1.2203236433645677E-6</v>
      </c>
      <c r="BE11" s="71">
        <f t="shared" si="110"/>
        <v>1.2203236433645677E-6</v>
      </c>
      <c r="BF11" s="71">
        <f t="shared" si="110"/>
        <v>1.2203236433645677E-6</v>
      </c>
      <c r="BG11" s="71">
        <f t="shared" si="110"/>
        <v>1.2203236433645677E-6</v>
      </c>
      <c r="BH11" s="71">
        <f t="shared" si="110"/>
        <v>1.2203236433645677E-6</v>
      </c>
      <c r="BI11" s="71">
        <f t="shared" si="110"/>
        <v>1.2203236433645677E-6</v>
      </c>
      <c r="BJ11" s="71">
        <f t="shared" si="110"/>
        <v>1.2203236433645677E-6</v>
      </c>
      <c r="BK11" s="71">
        <f t="shared" si="110"/>
        <v>1.2203236433645677E-6</v>
      </c>
      <c r="BL11" s="119">
        <v>2.6703147907348487E-7</v>
      </c>
      <c r="BM11" s="71">
        <f t="shared" ref="BM11:CI11" si="111">IF(BM10="","",BL11)</f>
        <v>2.6703147907348487E-7</v>
      </c>
      <c r="BN11" s="71">
        <f t="shared" si="111"/>
        <v>2.6703147907348487E-7</v>
      </c>
      <c r="BO11" s="71">
        <f t="shared" si="111"/>
        <v>2.6703147907348487E-7</v>
      </c>
      <c r="BP11" s="71">
        <f t="shared" si="111"/>
        <v>2.6703147907348487E-7</v>
      </c>
      <c r="BQ11" s="71">
        <f t="shared" si="111"/>
        <v>2.6703147907348487E-7</v>
      </c>
      <c r="BR11" s="71">
        <f t="shared" si="111"/>
        <v>2.6703147907348487E-7</v>
      </c>
      <c r="BS11" s="71">
        <f t="shared" si="111"/>
        <v>2.6703147907348487E-7</v>
      </c>
      <c r="BT11" s="71">
        <f t="shared" si="111"/>
        <v>2.6703147907348487E-7</v>
      </c>
      <c r="BU11" s="71">
        <f t="shared" si="111"/>
        <v>2.6703147907348487E-7</v>
      </c>
      <c r="BV11" s="71">
        <f t="shared" si="111"/>
        <v>2.6703147907348487E-7</v>
      </c>
      <c r="BW11" s="71">
        <f t="shared" si="111"/>
        <v>2.6703147907348487E-7</v>
      </c>
      <c r="BX11" s="119">
        <v>0</v>
      </c>
      <c r="BY11" s="71">
        <f t="shared" si="111"/>
        <v>0</v>
      </c>
      <c r="BZ11" s="71">
        <f t="shared" si="111"/>
        <v>0</v>
      </c>
      <c r="CA11" s="71">
        <f t="shared" si="111"/>
        <v>0</v>
      </c>
      <c r="CB11" s="71">
        <f t="shared" si="111"/>
        <v>0</v>
      </c>
      <c r="CC11" s="71">
        <f t="shared" si="111"/>
        <v>0</v>
      </c>
      <c r="CD11" s="71">
        <f t="shared" si="111"/>
        <v>0</v>
      </c>
      <c r="CE11" s="71">
        <f t="shared" si="111"/>
        <v>0</v>
      </c>
      <c r="CF11" s="71">
        <f t="shared" si="111"/>
        <v>0</v>
      </c>
      <c r="CG11" s="71">
        <f t="shared" si="111"/>
        <v>0</v>
      </c>
      <c r="CH11" s="71">
        <f t="shared" si="111"/>
        <v>0</v>
      </c>
      <c r="CI11" s="71">
        <f t="shared" si="111"/>
        <v>0</v>
      </c>
    </row>
    <row r="12" spans="1:87" x14ac:dyDescent="0.35">
      <c r="A12" s="309"/>
      <c r="B12" s="73" t="s">
        <v>54</v>
      </c>
      <c r="C12" s="42">
        <v>0</v>
      </c>
      <c r="D12" s="87">
        <v>2.1000000000000001E-4</v>
      </c>
      <c r="E12" s="71">
        <f>+D12</f>
        <v>2.1000000000000001E-4</v>
      </c>
      <c r="F12" s="71">
        <f>IF(F10="","",E12)</f>
        <v>2.1000000000000001E-4</v>
      </c>
      <c r="G12" s="71">
        <f t="shared" ref="G12:Z12" si="112">IF(G10="","",F12)</f>
        <v>2.1000000000000001E-4</v>
      </c>
      <c r="H12" s="71">
        <f t="shared" si="112"/>
        <v>2.1000000000000001E-4</v>
      </c>
      <c r="I12" s="71">
        <f t="shared" si="112"/>
        <v>2.1000000000000001E-4</v>
      </c>
      <c r="J12" s="71">
        <f t="shared" si="112"/>
        <v>2.1000000000000001E-4</v>
      </c>
      <c r="K12" s="71">
        <f t="shared" si="112"/>
        <v>2.1000000000000001E-4</v>
      </c>
      <c r="L12" s="71">
        <f t="shared" si="112"/>
        <v>2.1000000000000001E-4</v>
      </c>
      <c r="M12" s="71">
        <f t="shared" si="112"/>
        <v>2.1000000000000001E-4</v>
      </c>
      <c r="N12" s="71">
        <f t="shared" si="112"/>
        <v>2.1000000000000001E-4</v>
      </c>
      <c r="O12" s="71">
        <f t="shared" si="112"/>
        <v>2.1000000000000001E-4</v>
      </c>
      <c r="P12" s="87">
        <v>7.5215423260867955E-5</v>
      </c>
      <c r="Q12" s="71">
        <f t="shared" si="112"/>
        <v>7.5215423260867955E-5</v>
      </c>
      <c r="R12" s="90">
        <f t="shared" si="112"/>
        <v>7.5215423260867955E-5</v>
      </c>
      <c r="S12" s="90">
        <f t="shared" si="112"/>
        <v>7.5215423260867955E-5</v>
      </c>
      <c r="T12" s="90">
        <f t="shared" si="112"/>
        <v>7.5215423260867955E-5</v>
      </c>
      <c r="U12" s="90">
        <f t="shared" si="112"/>
        <v>7.5215423260867955E-5</v>
      </c>
      <c r="V12" s="90">
        <f t="shared" si="112"/>
        <v>7.5215423260867955E-5</v>
      </c>
      <c r="W12" s="90">
        <f t="shared" si="112"/>
        <v>7.5215423260867955E-5</v>
      </c>
      <c r="X12" s="90">
        <f t="shared" si="112"/>
        <v>7.5215423260867955E-5</v>
      </c>
      <c r="Y12" s="90">
        <f t="shared" si="112"/>
        <v>7.5215423260867955E-5</v>
      </c>
      <c r="Z12" s="90">
        <f t="shared" si="112"/>
        <v>7.5215423260867955E-5</v>
      </c>
      <c r="AA12" s="90">
        <f t="shared" ref="AA12" si="113">IF(AA10="","",Z12)</f>
        <v>7.5215423260867955E-5</v>
      </c>
      <c r="AB12" s="87">
        <v>1.3384341861062831E-4</v>
      </c>
      <c r="AC12" s="71">
        <f t="shared" ref="AC12" si="114">IF(AC10="","",AB12)</f>
        <v>1.3384341861062831E-4</v>
      </c>
      <c r="AD12" s="71">
        <f t="shared" ref="AD12" si="115">IF(AD10="","",AC12)</f>
        <v>1.3384341861062831E-4</v>
      </c>
      <c r="AE12" s="71">
        <f t="shared" ref="AE12" si="116">IF(AE10="","",AD12)</f>
        <v>1.3384341861062831E-4</v>
      </c>
      <c r="AF12" s="71">
        <f t="shared" ref="AF12" si="117">IF(AF10="","",AE12)</f>
        <v>1.3384341861062831E-4</v>
      </c>
      <c r="AG12" s="71">
        <f t="shared" ref="AG12" si="118">IF(AG10="","",AF12)</f>
        <v>1.3384341861062831E-4</v>
      </c>
      <c r="AH12" s="71">
        <f t="shared" ref="AH12" si="119">IF(AH10="","",AG12)</f>
        <v>1.3384341861062831E-4</v>
      </c>
      <c r="AI12" s="71">
        <f t="shared" ref="AI12" si="120">IF(AI10="","",AH12)</f>
        <v>1.3384341861062831E-4</v>
      </c>
      <c r="AJ12" s="71">
        <f t="shared" ref="AJ12" si="121">IF(AJ10="","",AI12)</f>
        <v>1.3384341861062831E-4</v>
      </c>
      <c r="AK12" s="71">
        <f t="shared" ref="AK12" si="122">IF(AK10="","",AJ12)</f>
        <v>1.3384341861062831E-4</v>
      </c>
      <c r="AL12" s="71">
        <f t="shared" ref="AL12" si="123">IF(AL10="","",AK12)</f>
        <v>1.3384341861062831E-4</v>
      </c>
      <c r="AM12" s="71">
        <f t="shared" ref="AM12" si="124">IF(AM10="","",AL12)</f>
        <v>1.3384341861062831E-4</v>
      </c>
      <c r="AN12" s="120">
        <v>-1.9849823091581313E-4</v>
      </c>
      <c r="AO12" s="90">
        <f t="shared" ref="AO12:BK12" si="125">IF(AO10="","",AN12)</f>
        <v>-1.9849823091581313E-4</v>
      </c>
      <c r="AP12" s="90">
        <f t="shared" si="125"/>
        <v>-1.9849823091581313E-4</v>
      </c>
      <c r="AQ12" s="90">
        <f t="shared" si="125"/>
        <v>-1.9849823091581313E-4</v>
      </c>
      <c r="AR12" s="90">
        <f t="shared" si="125"/>
        <v>-1.9849823091581313E-4</v>
      </c>
      <c r="AS12" s="90">
        <f t="shared" si="125"/>
        <v>-1.9849823091581313E-4</v>
      </c>
      <c r="AT12" s="90">
        <f t="shared" si="125"/>
        <v>-1.9849823091581313E-4</v>
      </c>
      <c r="AU12" s="90">
        <f t="shared" si="125"/>
        <v>-1.9849823091581313E-4</v>
      </c>
      <c r="AV12" s="90">
        <f t="shared" si="125"/>
        <v>-1.9849823091581313E-4</v>
      </c>
      <c r="AW12" s="90">
        <f t="shared" si="125"/>
        <v>-1.9849823091581313E-4</v>
      </c>
      <c r="AX12" s="90">
        <f t="shared" si="125"/>
        <v>-1.9849823091581313E-4</v>
      </c>
      <c r="AY12" s="90">
        <f t="shared" si="125"/>
        <v>-1.9849823091581313E-4</v>
      </c>
      <c r="AZ12" s="120">
        <v>-3.9303848795509551E-4</v>
      </c>
      <c r="BA12" s="90">
        <f t="shared" si="125"/>
        <v>-3.9303848795509551E-4</v>
      </c>
      <c r="BB12" s="90">
        <f t="shared" si="125"/>
        <v>-3.9303848795509551E-4</v>
      </c>
      <c r="BC12" s="90">
        <f t="shared" si="125"/>
        <v>-3.9303848795509551E-4</v>
      </c>
      <c r="BD12" s="90">
        <f t="shared" si="125"/>
        <v>-3.9303848795509551E-4</v>
      </c>
      <c r="BE12" s="90">
        <f t="shared" si="125"/>
        <v>-3.9303848795509551E-4</v>
      </c>
      <c r="BF12" s="90">
        <f t="shared" si="125"/>
        <v>-3.9303848795509551E-4</v>
      </c>
      <c r="BG12" s="90">
        <f t="shared" si="125"/>
        <v>-3.9303848795509551E-4</v>
      </c>
      <c r="BH12" s="90">
        <f t="shared" si="125"/>
        <v>-3.9303848795509551E-4</v>
      </c>
      <c r="BI12" s="90">
        <f t="shared" si="125"/>
        <v>-3.9303848795509551E-4</v>
      </c>
      <c r="BJ12" s="90">
        <f t="shared" si="125"/>
        <v>-3.9303848795509551E-4</v>
      </c>
      <c r="BK12" s="90">
        <f t="shared" si="125"/>
        <v>-3.9303848795509551E-4</v>
      </c>
      <c r="BL12" s="120">
        <v>-1.4458392345821352E-5</v>
      </c>
      <c r="BM12" s="90">
        <f t="shared" ref="BM12:CI12" si="126">IF(BM10="","",BL12)</f>
        <v>-1.4458392345821352E-5</v>
      </c>
      <c r="BN12" s="90">
        <f t="shared" si="126"/>
        <v>-1.4458392345821352E-5</v>
      </c>
      <c r="BO12" s="90">
        <f t="shared" si="126"/>
        <v>-1.4458392345821352E-5</v>
      </c>
      <c r="BP12" s="90">
        <f t="shared" si="126"/>
        <v>-1.4458392345821352E-5</v>
      </c>
      <c r="BQ12" s="90">
        <f t="shared" si="126"/>
        <v>-1.4458392345821352E-5</v>
      </c>
      <c r="BR12" s="90">
        <f t="shared" si="126"/>
        <v>-1.4458392345821352E-5</v>
      </c>
      <c r="BS12" s="90">
        <f t="shared" si="126"/>
        <v>-1.4458392345821352E-5</v>
      </c>
      <c r="BT12" s="90">
        <f t="shared" si="126"/>
        <v>-1.4458392345821352E-5</v>
      </c>
      <c r="BU12" s="90">
        <f t="shared" si="126"/>
        <v>-1.4458392345821352E-5</v>
      </c>
      <c r="BV12" s="90">
        <f t="shared" si="126"/>
        <v>-1.4458392345821352E-5</v>
      </c>
      <c r="BW12" s="90">
        <f t="shared" si="126"/>
        <v>-1.4458392345821352E-5</v>
      </c>
      <c r="BX12" s="120">
        <v>1.949958092026249E-5</v>
      </c>
      <c r="BY12" s="90">
        <f t="shared" si="126"/>
        <v>1.949958092026249E-5</v>
      </c>
      <c r="BZ12" s="90">
        <f t="shared" si="126"/>
        <v>1.949958092026249E-5</v>
      </c>
      <c r="CA12" s="90">
        <f t="shared" si="126"/>
        <v>1.949958092026249E-5</v>
      </c>
      <c r="CB12" s="90">
        <f t="shared" si="126"/>
        <v>1.949958092026249E-5</v>
      </c>
      <c r="CC12" s="90">
        <f t="shared" si="126"/>
        <v>1.949958092026249E-5</v>
      </c>
      <c r="CD12" s="90">
        <f t="shared" si="126"/>
        <v>1.949958092026249E-5</v>
      </c>
      <c r="CE12" s="90">
        <f t="shared" si="126"/>
        <v>1.949958092026249E-5</v>
      </c>
      <c r="CF12" s="90">
        <f t="shared" si="126"/>
        <v>1.949958092026249E-5</v>
      </c>
      <c r="CG12" s="90">
        <f t="shared" si="126"/>
        <v>1.949958092026249E-5</v>
      </c>
      <c r="CH12" s="90">
        <f t="shared" si="126"/>
        <v>1.949958092026249E-5</v>
      </c>
      <c r="CI12" s="90">
        <f t="shared" si="126"/>
        <v>1.949958092026249E-5</v>
      </c>
    </row>
    <row r="13" spans="1:87" x14ac:dyDescent="0.35">
      <c r="A13" s="309"/>
      <c r="B13" s="73" t="s">
        <v>63</v>
      </c>
      <c r="C13" s="62">
        <f>SUM(C11:C12)</f>
        <v>4.5000000000000003E-5</v>
      </c>
      <c r="D13" s="62">
        <f t="shared" ref="D13:E13" si="127">SUM(D11:D12)</f>
        <v>5.2700000000000002E-4</v>
      </c>
      <c r="E13" s="62">
        <f t="shared" si="127"/>
        <v>5.2700000000000002E-4</v>
      </c>
      <c r="F13" s="62">
        <f>IF(F10="","",SUM(F11:F12))</f>
        <v>5.2700000000000002E-4</v>
      </c>
      <c r="G13" s="62">
        <f t="shared" ref="G13:Z13" si="128">IF(G10="","",SUM(G11:G12))</f>
        <v>5.2700000000000002E-4</v>
      </c>
      <c r="H13" s="62">
        <f t="shared" si="128"/>
        <v>5.2700000000000002E-4</v>
      </c>
      <c r="I13" s="62">
        <f t="shared" si="128"/>
        <v>5.2700000000000002E-4</v>
      </c>
      <c r="J13" s="62">
        <f t="shared" si="128"/>
        <v>5.2700000000000002E-4</v>
      </c>
      <c r="K13" s="62">
        <f t="shared" si="128"/>
        <v>5.2700000000000002E-4</v>
      </c>
      <c r="L13" s="62">
        <f t="shared" si="128"/>
        <v>5.2700000000000002E-4</v>
      </c>
      <c r="M13" s="62">
        <f t="shared" si="128"/>
        <v>5.2700000000000002E-4</v>
      </c>
      <c r="N13" s="62">
        <f t="shared" si="128"/>
        <v>5.2700000000000002E-4</v>
      </c>
      <c r="O13" s="62">
        <f t="shared" si="128"/>
        <v>5.2700000000000002E-4</v>
      </c>
      <c r="P13" s="62">
        <f t="shared" si="128"/>
        <v>1.1260369525415163E-3</v>
      </c>
      <c r="Q13" s="62">
        <f t="shared" si="128"/>
        <v>1.1260369525415163E-3</v>
      </c>
      <c r="R13" s="62">
        <f t="shared" si="128"/>
        <v>1.1260369525415163E-3</v>
      </c>
      <c r="S13" s="62">
        <f t="shared" si="128"/>
        <v>1.1260369525415163E-3</v>
      </c>
      <c r="T13" s="62">
        <f t="shared" si="128"/>
        <v>1.1260369525415163E-3</v>
      </c>
      <c r="U13" s="62">
        <f t="shared" si="128"/>
        <v>1.1260369525415163E-3</v>
      </c>
      <c r="V13" s="62">
        <f t="shared" si="128"/>
        <v>1.1260369525415163E-3</v>
      </c>
      <c r="W13" s="62">
        <f t="shared" si="128"/>
        <v>1.1260369525415163E-3</v>
      </c>
      <c r="X13" s="62">
        <f t="shared" si="128"/>
        <v>1.1260369525415163E-3</v>
      </c>
      <c r="Y13" s="62">
        <f t="shared" si="128"/>
        <v>1.1260369525415163E-3</v>
      </c>
      <c r="Z13" s="62">
        <f t="shared" si="128"/>
        <v>1.1260369525415163E-3</v>
      </c>
      <c r="AA13" s="62">
        <f t="shared" ref="AA13:AC13" si="129">IF(AA10="","",SUM(AA11:AA12))</f>
        <v>1.1260369525415163E-3</v>
      </c>
      <c r="AB13" s="62">
        <f t="shared" si="129"/>
        <v>2.3007852055098839E-3</v>
      </c>
      <c r="AC13" s="62">
        <f t="shared" si="129"/>
        <v>2.3007852055098839E-3</v>
      </c>
      <c r="AD13" s="62">
        <f t="shared" ref="AD13:AM13" si="130">IF(AD10="","",SUM(AD11:AD12))</f>
        <v>2.3007852055098839E-3</v>
      </c>
      <c r="AE13" s="62">
        <f t="shared" si="130"/>
        <v>2.3007852055098839E-3</v>
      </c>
      <c r="AF13" s="62">
        <f t="shared" si="130"/>
        <v>2.3007852055098839E-3</v>
      </c>
      <c r="AG13" s="62">
        <f t="shared" si="130"/>
        <v>2.3007852055098839E-3</v>
      </c>
      <c r="AH13" s="62">
        <f t="shared" si="130"/>
        <v>2.3007852055098839E-3</v>
      </c>
      <c r="AI13" s="62">
        <f t="shared" si="130"/>
        <v>2.3007852055098839E-3</v>
      </c>
      <c r="AJ13" s="62">
        <f t="shared" si="130"/>
        <v>2.3007852055098839E-3</v>
      </c>
      <c r="AK13" s="62">
        <f t="shared" si="130"/>
        <v>2.3007852055098839E-3</v>
      </c>
      <c r="AL13" s="62">
        <f t="shared" si="130"/>
        <v>2.3007852055098839E-3</v>
      </c>
      <c r="AM13" s="62">
        <f t="shared" si="130"/>
        <v>2.3007852055098839E-3</v>
      </c>
      <c r="AN13" s="62">
        <f t="shared" ref="AN13:AO13" si="131">IF(AN10="","",SUM(AN11:AN12))</f>
        <v>3.2087809911986328E-4</v>
      </c>
      <c r="AO13" s="62">
        <f t="shared" si="131"/>
        <v>3.2087809911986328E-4</v>
      </c>
      <c r="AP13" s="62">
        <f t="shared" ref="AP13:AQ13" si="132">IF(AP10="","",SUM(AP11:AP12))</f>
        <v>3.2087809911986328E-4</v>
      </c>
      <c r="AQ13" s="62">
        <f t="shared" si="132"/>
        <v>3.2087809911986328E-4</v>
      </c>
      <c r="AR13" s="62">
        <f t="shared" ref="AR13:AS13" si="133">IF(AR10="","",SUM(AR11:AR12))</f>
        <v>3.2087809911986328E-4</v>
      </c>
      <c r="AS13" s="62">
        <f t="shared" si="133"/>
        <v>3.2087809911986328E-4</v>
      </c>
      <c r="AT13" s="62">
        <f t="shared" ref="AT13:AU13" si="134">IF(AT10="","",SUM(AT11:AT12))</f>
        <v>3.2087809911986328E-4</v>
      </c>
      <c r="AU13" s="62">
        <f t="shared" si="134"/>
        <v>3.2087809911986328E-4</v>
      </c>
      <c r="AV13" s="62">
        <f t="shared" ref="AV13:AW13" si="135">IF(AV10="","",SUM(AV11:AV12))</f>
        <v>3.2087809911986328E-4</v>
      </c>
      <c r="AW13" s="62">
        <f t="shared" si="135"/>
        <v>3.2087809911986328E-4</v>
      </c>
      <c r="AX13" s="62">
        <f t="shared" ref="AX13:AY13" si="136">IF(AX10="","",SUM(AX11:AX12))</f>
        <v>3.2087809911986328E-4</v>
      </c>
      <c r="AY13" s="62">
        <f t="shared" si="136"/>
        <v>3.2087809911986328E-4</v>
      </c>
      <c r="AZ13" s="62">
        <f t="shared" ref="AZ13:BA13" si="137">IF(AZ10="","",SUM(AZ11:AZ12))</f>
        <v>-3.9181816431173094E-4</v>
      </c>
      <c r="BA13" s="62">
        <f t="shared" si="137"/>
        <v>-3.9181816431173094E-4</v>
      </c>
      <c r="BB13" s="62">
        <f t="shared" ref="BB13:BC13" si="138">IF(BB10="","",SUM(BB11:BB12))</f>
        <v>-3.9181816431173094E-4</v>
      </c>
      <c r="BC13" s="62">
        <f t="shared" si="138"/>
        <v>-3.9181816431173094E-4</v>
      </c>
      <c r="BD13" s="62">
        <f t="shared" ref="BD13:BE13" si="139">IF(BD10="","",SUM(BD11:BD12))</f>
        <v>-3.9181816431173094E-4</v>
      </c>
      <c r="BE13" s="62">
        <f t="shared" si="139"/>
        <v>-3.9181816431173094E-4</v>
      </c>
      <c r="BF13" s="62">
        <f t="shared" ref="BF13:BG13" si="140">IF(BF10="","",SUM(BF11:BF12))</f>
        <v>-3.9181816431173094E-4</v>
      </c>
      <c r="BG13" s="62">
        <f t="shared" si="140"/>
        <v>-3.9181816431173094E-4</v>
      </c>
      <c r="BH13" s="62">
        <f t="shared" ref="BH13:BI13" si="141">IF(BH10="","",SUM(BH11:BH12))</f>
        <v>-3.9181816431173094E-4</v>
      </c>
      <c r="BI13" s="62">
        <f t="shared" si="141"/>
        <v>-3.9181816431173094E-4</v>
      </c>
      <c r="BJ13" s="62">
        <f t="shared" ref="BJ13:BK13" si="142">IF(BJ10="","",SUM(BJ11:BJ12))</f>
        <v>-3.9181816431173094E-4</v>
      </c>
      <c r="BK13" s="62">
        <f t="shared" si="142"/>
        <v>-3.9181816431173094E-4</v>
      </c>
      <c r="BL13" s="62">
        <f t="shared" ref="BL13:BM13" si="143">IF(BL10="","",SUM(BL11:BL12))</f>
        <v>-1.4191360866747868E-5</v>
      </c>
      <c r="BM13" s="62">
        <f t="shared" si="143"/>
        <v>-1.4191360866747868E-5</v>
      </c>
      <c r="BN13" s="62">
        <f t="shared" ref="BN13:BO13" si="144">IF(BN10="","",SUM(BN11:BN12))</f>
        <v>-1.4191360866747868E-5</v>
      </c>
      <c r="BO13" s="62">
        <f t="shared" si="144"/>
        <v>-1.4191360866747868E-5</v>
      </c>
      <c r="BP13" s="62">
        <f t="shared" ref="BP13:BQ13" si="145">IF(BP10="","",SUM(BP11:BP12))</f>
        <v>-1.4191360866747868E-5</v>
      </c>
      <c r="BQ13" s="62">
        <f t="shared" si="145"/>
        <v>-1.4191360866747868E-5</v>
      </c>
      <c r="BR13" s="62">
        <f t="shared" ref="BR13:BS13" si="146">IF(BR10="","",SUM(BR11:BR12))</f>
        <v>-1.4191360866747868E-5</v>
      </c>
      <c r="BS13" s="62">
        <f t="shared" si="146"/>
        <v>-1.4191360866747868E-5</v>
      </c>
      <c r="BT13" s="62">
        <f t="shared" ref="BT13:BU13" si="147">IF(BT10="","",SUM(BT11:BT12))</f>
        <v>-1.4191360866747868E-5</v>
      </c>
      <c r="BU13" s="62">
        <f t="shared" si="147"/>
        <v>-1.4191360866747868E-5</v>
      </c>
      <c r="BV13" s="62">
        <f t="shared" ref="BV13:BW13" si="148">IF(BV10="","",SUM(BV11:BV12))</f>
        <v>-1.4191360866747868E-5</v>
      </c>
      <c r="BW13" s="62">
        <f t="shared" si="148"/>
        <v>-1.4191360866747868E-5</v>
      </c>
      <c r="BX13" s="62">
        <f t="shared" ref="BX13:BY13" si="149">IF(BX10="","",SUM(BX11:BX12))</f>
        <v>1.949958092026249E-5</v>
      </c>
      <c r="BY13" s="62">
        <f t="shared" si="149"/>
        <v>1.949958092026249E-5</v>
      </c>
      <c r="BZ13" s="62">
        <f t="shared" ref="BZ13:CA13" si="150">IF(BZ10="","",SUM(BZ11:BZ12))</f>
        <v>1.949958092026249E-5</v>
      </c>
      <c r="CA13" s="62">
        <f t="shared" si="150"/>
        <v>1.949958092026249E-5</v>
      </c>
      <c r="CB13" s="62">
        <f t="shared" ref="CB13:CC13" si="151">IF(CB10="","",SUM(CB11:CB12))</f>
        <v>1.949958092026249E-5</v>
      </c>
      <c r="CC13" s="62">
        <f t="shared" si="151"/>
        <v>1.949958092026249E-5</v>
      </c>
      <c r="CD13" s="62">
        <f t="shared" ref="CD13:CE13" si="152">IF(CD10="","",SUM(CD11:CD12))</f>
        <v>1.949958092026249E-5</v>
      </c>
      <c r="CE13" s="62">
        <f t="shared" si="152"/>
        <v>1.949958092026249E-5</v>
      </c>
      <c r="CF13" s="62">
        <f t="shared" ref="CF13:CG13" si="153">IF(CF10="","",SUM(CF11:CF12))</f>
        <v>1.949958092026249E-5</v>
      </c>
      <c r="CG13" s="62">
        <f t="shared" si="153"/>
        <v>1.949958092026249E-5</v>
      </c>
      <c r="CH13" s="62">
        <f t="shared" ref="CH13:CI13" si="154">IF(CH10="","",SUM(CH11:CH12))</f>
        <v>1.949958092026249E-5</v>
      </c>
      <c r="CI13" s="62">
        <f t="shared" si="154"/>
        <v>1.949958092026249E-5</v>
      </c>
    </row>
    <row r="14" spans="1:87" x14ac:dyDescent="0.35">
      <c r="A14" s="309"/>
      <c r="B14" s="73" t="s">
        <v>56</v>
      </c>
      <c r="C14" s="66">
        <f>+C12/C13</f>
        <v>0</v>
      </c>
      <c r="D14" s="66">
        <f>+IFERROR(D12/D13,"")</f>
        <v>0.39848197343453512</v>
      </c>
      <c r="E14" s="66">
        <f>+IFERROR(E12/E13,"")</f>
        <v>0.39848197343453512</v>
      </c>
      <c r="F14" s="66">
        <f>IF(F10="","",IFERROR(F12/F13,""))</f>
        <v>0.39848197343453512</v>
      </c>
      <c r="G14" s="66">
        <f t="shared" ref="G14:Z14" si="155">IF(G10="","",IFERROR(G12/G13,""))</f>
        <v>0.39848197343453512</v>
      </c>
      <c r="H14" s="66">
        <f t="shared" si="155"/>
        <v>0.39848197343453512</v>
      </c>
      <c r="I14" s="66">
        <f t="shared" si="155"/>
        <v>0.39848197343453512</v>
      </c>
      <c r="J14" s="66">
        <f t="shared" si="155"/>
        <v>0.39848197343453512</v>
      </c>
      <c r="K14" s="66">
        <f t="shared" si="155"/>
        <v>0.39848197343453512</v>
      </c>
      <c r="L14" s="66">
        <f t="shared" si="155"/>
        <v>0.39848197343453512</v>
      </c>
      <c r="M14" s="66">
        <f t="shared" si="155"/>
        <v>0.39848197343453512</v>
      </c>
      <c r="N14" s="66">
        <f t="shared" si="155"/>
        <v>0.39848197343453512</v>
      </c>
      <c r="O14" s="66">
        <f t="shared" si="155"/>
        <v>0.39848197343453512</v>
      </c>
      <c r="P14" s="66">
        <f t="shared" si="155"/>
        <v>6.6796585219608767E-2</v>
      </c>
      <c r="Q14" s="66">
        <f t="shared" si="155"/>
        <v>6.6796585219608767E-2</v>
      </c>
      <c r="R14" s="66">
        <f t="shared" si="155"/>
        <v>6.6796585219608767E-2</v>
      </c>
      <c r="S14" s="66">
        <f t="shared" si="155"/>
        <v>6.6796585219608767E-2</v>
      </c>
      <c r="T14" s="66">
        <f t="shared" si="155"/>
        <v>6.6796585219608767E-2</v>
      </c>
      <c r="U14" s="66">
        <f t="shared" si="155"/>
        <v>6.6796585219608767E-2</v>
      </c>
      <c r="V14" s="66">
        <f t="shared" si="155"/>
        <v>6.6796585219608767E-2</v>
      </c>
      <c r="W14" s="66">
        <f t="shared" si="155"/>
        <v>6.6796585219608767E-2</v>
      </c>
      <c r="X14" s="66">
        <f t="shared" si="155"/>
        <v>6.6796585219608767E-2</v>
      </c>
      <c r="Y14" s="66">
        <f t="shared" si="155"/>
        <v>6.6796585219608767E-2</v>
      </c>
      <c r="Z14" s="66">
        <f t="shared" si="155"/>
        <v>6.6796585219608767E-2</v>
      </c>
      <c r="AA14" s="66">
        <f t="shared" ref="AA14:AC14" si="156">IF(AA10="","",IFERROR(AA12/AA13,""))</f>
        <v>6.6796585219608767E-2</v>
      </c>
      <c r="AB14" s="66">
        <f t="shared" si="156"/>
        <v>5.8172930828180841E-2</v>
      </c>
      <c r="AC14" s="66">
        <f t="shared" si="156"/>
        <v>5.8172930828180841E-2</v>
      </c>
      <c r="AD14" s="66">
        <f t="shared" ref="AD14:AM14" si="157">IF(AD10="","",IFERROR(AD12/AD13,""))</f>
        <v>5.8172930828180841E-2</v>
      </c>
      <c r="AE14" s="66">
        <f t="shared" si="157"/>
        <v>5.8172930828180841E-2</v>
      </c>
      <c r="AF14" s="66">
        <f t="shared" si="157"/>
        <v>5.8172930828180841E-2</v>
      </c>
      <c r="AG14" s="66">
        <f t="shared" si="157"/>
        <v>5.8172930828180841E-2</v>
      </c>
      <c r="AH14" s="66">
        <f t="shared" si="157"/>
        <v>5.8172930828180841E-2</v>
      </c>
      <c r="AI14" s="66">
        <f t="shared" si="157"/>
        <v>5.8172930828180841E-2</v>
      </c>
      <c r="AJ14" s="66">
        <f t="shared" si="157"/>
        <v>5.8172930828180841E-2</v>
      </c>
      <c r="AK14" s="66">
        <f t="shared" si="157"/>
        <v>5.8172930828180841E-2</v>
      </c>
      <c r="AL14" s="66">
        <f t="shared" si="157"/>
        <v>5.8172930828180841E-2</v>
      </c>
      <c r="AM14" s="66">
        <f t="shared" si="157"/>
        <v>5.8172930828180841E-2</v>
      </c>
      <c r="AN14" s="66">
        <f t="shared" ref="AN14:AO14" si="158">IF(AN10="","",IFERROR(AN12/AN13,""))</f>
        <v>-0.61860947026386048</v>
      </c>
      <c r="AO14" s="66">
        <f t="shared" si="158"/>
        <v>-0.61860947026386048</v>
      </c>
      <c r="AP14" s="66">
        <f t="shared" ref="AP14:AQ14" si="159">IF(AP10="","",IFERROR(AP12/AP13,""))</f>
        <v>-0.61860947026386048</v>
      </c>
      <c r="AQ14" s="66">
        <f t="shared" si="159"/>
        <v>-0.61860947026386048</v>
      </c>
      <c r="AR14" s="66">
        <f t="shared" ref="AR14:AS14" si="160">IF(AR10="","",IFERROR(AR12/AR13,""))</f>
        <v>-0.61860947026386048</v>
      </c>
      <c r="AS14" s="66">
        <f t="shared" si="160"/>
        <v>-0.61860947026386048</v>
      </c>
      <c r="AT14" s="66">
        <f t="shared" ref="AT14:AU14" si="161">IF(AT10="","",IFERROR(AT12/AT13,""))</f>
        <v>-0.61860947026386048</v>
      </c>
      <c r="AU14" s="66">
        <f t="shared" si="161"/>
        <v>-0.61860947026386048</v>
      </c>
      <c r="AV14" s="66">
        <f t="shared" ref="AV14:AW14" si="162">IF(AV10="","",IFERROR(AV12/AV13,""))</f>
        <v>-0.61860947026386048</v>
      </c>
      <c r="AW14" s="66">
        <f t="shared" si="162"/>
        <v>-0.61860947026386048</v>
      </c>
      <c r="AX14" s="66">
        <f t="shared" ref="AX14:AY14" si="163">IF(AX10="","",IFERROR(AX12/AX13,""))</f>
        <v>-0.61860947026386048</v>
      </c>
      <c r="AY14" s="66">
        <f t="shared" si="163"/>
        <v>-0.61860947026386048</v>
      </c>
      <c r="AZ14" s="66">
        <f t="shared" ref="AZ14:BA14" si="164">IF(AZ10="","",IFERROR(AZ12/AZ13,""))</f>
        <v>1.003114515238231</v>
      </c>
      <c r="BA14" s="66">
        <f t="shared" si="164"/>
        <v>1.003114515238231</v>
      </c>
      <c r="BB14" s="66">
        <f t="shared" ref="BB14:BC14" si="165">IF(BB10="","",IFERROR(BB12/BB13,""))</f>
        <v>1.003114515238231</v>
      </c>
      <c r="BC14" s="66">
        <f t="shared" si="165"/>
        <v>1.003114515238231</v>
      </c>
      <c r="BD14" s="66">
        <f t="shared" ref="BD14:BE14" si="166">IF(BD10="","",IFERROR(BD12/BD13,""))</f>
        <v>1.003114515238231</v>
      </c>
      <c r="BE14" s="66">
        <f t="shared" si="166"/>
        <v>1.003114515238231</v>
      </c>
      <c r="BF14" s="66">
        <f t="shared" ref="BF14:BG14" si="167">IF(BF10="","",IFERROR(BF12/BF13,""))</f>
        <v>1.003114515238231</v>
      </c>
      <c r="BG14" s="66">
        <f t="shared" si="167"/>
        <v>1.003114515238231</v>
      </c>
      <c r="BH14" s="66">
        <f t="shared" ref="BH14:BI14" si="168">IF(BH10="","",IFERROR(BH12/BH13,""))</f>
        <v>1.003114515238231</v>
      </c>
      <c r="BI14" s="66">
        <f t="shared" si="168"/>
        <v>1.003114515238231</v>
      </c>
      <c r="BJ14" s="66">
        <f t="shared" ref="BJ14:BK14" si="169">IF(BJ10="","",IFERROR(BJ12/BJ13,""))</f>
        <v>1.003114515238231</v>
      </c>
      <c r="BK14" s="66">
        <f t="shared" si="169"/>
        <v>1.003114515238231</v>
      </c>
      <c r="BL14" s="66">
        <f t="shared" ref="BL14:BM14" si="170">IF(BL10="","",IFERROR(BL12/BL13,""))</f>
        <v>1.0188164814904519</v>
      </c>
      <c r="BM14" s="66">
        <f t="shared" si="170"/>
        <v>1.0188164814904519</v>
      </c>
      <c r="BN14" s="66">
        <f t="shared" ref="BN14:BO14" si="171">IF(BN10="","",IFERROR(BN12/BN13,""))</f>
        <v>1.0188164814904519</v>
      </c>
      <c r="BO14" s="66">
        <f t="shared" si="171"/>
        <v>1.0188164814904519</v>
      </c>
      <c r="BP14" s="66">
        <f t="shared" ref="BP14:BQ14" si="172">IF(BP10="","",IFERROR(BP12/BP13,""))</f>
        <v>1.0188164814904519</v>
      </c>
      <c r="BQ14" s="66">
        <f t="shared" si="172"/>
        <v>1.0188164814904519</v>
      </c>
      <c r="BR14" s="66">
        <f t="shared" ref="BR14:BS14" si="173">IF(BR10="","",IFERROR(BR12/BR13,""))</f>
        <v>1.0188164814904519</v>
      </c>
      <c r="BS14" s="66">
        <f t="shared" si="173"/>
        <v>1.0188164814904519</v>
      </c>
      <c r="BT14" s="66">
        <f t="shared" ref="BT14:BU14" si="174">IF(BT10="","",IFERROR(BT12/BT13,""))</f>
        <v>1.0188164814904519</v>
      </c>
      <c r="BU14" s="66">
        <f t="shared" si="174"/>
        <v>1.0188164814904519</v>
      </c>
      <c r="BV14" s="66">
        <f t="shared" ref="BV14:BW14" si="175">IF(BV10="","",IFERROR(BV12/BV13,""))</f>
        <v>1.0188164814904519</v>
      </c>
      <c r="BW14" s="66">
        <f t="shared" si="175"/>
        <v>1.0188164814904519</v>
      </c>
      <c r="BX14" s="66">
        <f t="shared" ref="BX14:BY14" si="176">IF(BX10="","",IFERROR(BX12/BX13,""))</f>
        <v>1</v>
      </c>
      <c r="BY14" s="66">
        <f t="shared" si="176"/>
        <v>1</v>
      </c>
      <c r="BZ14" s="66">
        <f t="shared" ref="BZ14:CA14" si="177">IF(BZ10="","",IFERROR(BZ12/BZ13,""))</f>
        <v>1</v>
      </c>
      <c r="CA14" s="66">
        <f t="shared" si="177"/>
        <v>1</v>
      </c>
      <c r="CB14" s="66">
        <f t="shared" ref="CB14:CC14" si="178">IF(CB10="","",IFERROR(CB12/CB13,""))</f>
        <v>1</v>
      </c>
      <c r="CC14" s="66">
        <f t="shared" si="178"/>
        <v>1</v>
      </c>
      <c r="CD14" s="66">
        <f t="shared" ref="CD14:CE14" si="179">IF(CD10="","",IFERROR(CD12/CD13,""))</f>
        <v>1</v>
      </c>
      <c r="CE14" s="66">
        <f t="shared" si="179"/>
        <v>1</v>
      </c>
      <c r="CF14" s="66">
        <f t="shared" ref="CF14:CG14" si="180">IF(CF10="","",IFERROR(CF12/CF13,""))</f>
        <v>1</v>
      </c>
      <c r="CG14" s="66">
        <f t="shared" si="180"/>
        <v>1</v>
      </c>
      <c r="CH14" s="66">
        <f t="shared" ref="CH14:CI14" si="181">IF(CH10="","",IFERROR(CH12/CH13,""))</f>
        <v>1</v>
      </c>
      <c r="CI14" s="66">
        <f t="shared" si="181"/>
        <v>1</v>
      </c>
    </row>
    <row r="15" spans="1:87" s="48" customFormat="1" x14ac:dyDescent="0.35">
      <c r="A15" s="309"/>
      <c r="B15" s="74" t="s">
        <v>57</v>
      </c>
      <c r="C15" s="64">
        <f>+C14*C10</f>
        <v>0</v>
      </c>
      <c r="D15" s="64">
        <f>+ROUND(D14*D10,2)</f>
        <v>57670.81</v>
      </c>
      <c r="E15" s="64">
        <f>+ROUND(E14*E10,2)</f>
        <v>51199.34</v>
      </c>
      <c r="F15" s="64">
        <f>IF(F10="","",ROUND(F14*F10,2))</f>
        <v>48454.46</v>
      </c>
      <c r="G15" s="64">
        <f t="shared" ref="G15:Z15" si="182">IF(G10="","",ROUND(G14*G10,2))</f>
        <v>47961.66</v>
      </c>
      <c r="H15" s="64">
        <f t="shared" si="182"/>
        <v>56993.58</v>
      </c>
      <c r="I15" s="64">
        <f t="shared" si="182"/>
        <v>66068.81</v>
      </c>
      <c r="J15" s="64">
        <f t="shared" si="182"/>
        <v>66699.539999999994</v>
      </c>
      <c r="K15" s="64">
        <f t="shared" si="182"/>
        <v>59653.25</v>
      </c>
      <c r="L15" s="64">
        <f t="shared" si="182"/>
        <v>56484.08</v>
      </c>
      <c r="M15" s="64">
        <f t="shared" si="182"/>
        <v>50487.58</v>
      </c>
      <c r="N15" s="64">
        <f t="shared" si="182"/>
        <v>55758.36</v>
      </c>
      <c r="O15" s="64">
        <f t="shared" si="182"/>
        <v>80581.48</v>
      </c>
      <c r="P15" s="64">
        <f t="shared" si="182"/>
        <v>22915.75</v>
      </c>
      <c r="Q15" s="64">
        <f t="shared" si="182"/>
        <v>20081.22</v>
      </c>
      <c r="R15" s="64">
        <f t="shared" si="182"/>
        <v>19791.830000000002</v>
      </c>
      <c r="S15" s="64">
        <f t="shared" si="182"/>
        <v>17914.810000000001</v>
      </c>
      <c r="T15" s="64">
        <f t="shared" si="182"/>
        <v>22552.86</v>
      </c>
      <c r="U15" s="64">
        <f t="shared" si="182"/>
        <v>24883.18</v>
      </c>
      <c r="V15" s="64">
        <f t="shared" si="182"/>
        <v>23251.17</v>
      </c>
      <c r="W15" s="64">
        <f t="shared" si="182"/>
        <v>22846.74</v>
      </c>
      <c r="X15" s="64">
        <f t="shared" si="182"/>
        <v>20130.740000000002</v>
      </c>
      <c r="Y15" s="64">
        <f t="shared" si="182"/>
        <v>18136.46</v>
      </c>
      <c r="Z15" s="64">
        <f t="shared" si="182"/>
        <v>21919.72</v>
      </c>
      <c r="AA15" s="64">
        <f t="shared" ref="AA15:AC15" si="183">IF(AA10="","",ROUND(AA14*AA10,2))</f>
        <v>25229.34</v>
      </c>
      <c r="AB15" s="64">
        <f t="shared" si="183"/>
        <v>41190.97</v>
      </c>
      <c r="AC15" s="64">
        <f t="shared" si="183"/>
        <v>38787.67</v>
      </c>
      <c r="AD15" s="64">
        <f t="shared" ref="AD15:AM15" si="184">IF(AD10="","",ROUND(AD14*AD10,2))</f>
        <v>31443.78</v>
      </c>
      <c r="AE15" s="64">
        <f t="shared" si="184"/>
        <v>29644</v>
      </c>
      <c r="AF15" s="64">
        <f t="shared" si="184"/>
        <v>34609.08</v>
      </c>
      <c r="AG15" s="64">
        <f t="shared" si="184"/>
        <v>39585.75</v>
      </c>
      <c r="AH15" s="64">
        <f t="shared" si="184"/>
        <v>40683.480000000003</v>
      </c>
      <c r="AI15" s="64">
        <f t="shared" si="184"/>
        <v>39274.67</v>
      </c>
      <c r="AJ15" s="64">
        <f t="shared" si="184"/>
        <v>35394.61</v>
      </c>
      <c r="AK15" s="64">
        <f t="shared" si="184"/>
        <v>31714.62</v>
      </c>
      <c r="AL15" s="64">
        <f t="shared" si="184"/>
        <v>37264.32</v>
      </c>
      <c r="AM15" s="64">
        <f t="shared" si="184"/>
        <v>39738.61</v>
      </c>
      <c r="AN15" s="64">
        <f t="shared" ref="AN15:AO15" si="185">IF(AN10="","",ROUND(AN14*AN10,2))</f>
        <v>-259244.3</v>
      </c>
      <c r="AO15" s="64">
        <f t="shared" si="185"/>
        <v>-54461.07</v>
      </c>
      <c r="AP15" s="64">
        <f t="shared" ref="AP15:AQ15" si="186">IF(AP10="","",ROUND(AP14*AP10,2))</f>
        <v>-40308.699999999997</v>
      </c>
      <c r="AQ15" s="64">
        <f t="shared" si="186"/>
        <v>-36689.64</v>
      </c>
      <c r="AR15" s="64">
        <f t="shared" ref="AR15:AS15" si="187">IF(AR10="","",ROUND(AR14*AR10,2))</f>
        <v>-45879.44</v>
      </c>
      <c r="AS15" s="64">
        <f t="shared" si="187"/>
        <v>-57185.74</v>
      </c>
      <c r="AT15" s="64">
        <f t="shared" ref="AT15:AU15" si="188">IF(AT10="","",ROUND(AT14*AT10,2))</f>
        <v>-56277.09</v>
      </c>
      <c r="AU15" s="64">
        <f t="shared" si="188"/>
        <v>-53447.12</v>
      </c>
      <c r="AV15" s="64">
        <f t="shared" ref="AV15:AW15" si="189">IF(AV10="","",ROUND(AV14*AV10,2))</f>
        <v>-43395.75</v>
      </c>
      <c r="AW15" s="64">
        <f t="shared" si="189"/>
        <v>-43326.04</v>
      </c>
      <c r="AX15" s="64">
        <f t="shared" ref="AX15:AY15" si="190">IF(AX10="","",ROUND(AX14*AX10,2))</f>
        <v>-49988.83</v>
      </c>
      <c r="AY15" s="64">
        <f t="shared" si="190"/>
        <v>-59615.22</v>
      </c>
      <c r="AZ15" s="64">
        <f t="shared" ref="AZ15:BA15" si="191">IF(AZ10="","",ROUND(AZ14*AZ10,2))</f>
        <v>-2335.62</v>
      </c>
      <c r="BA15" s="64">
        <f t="shared" si="191"/>
        <v>-104083.7</v>
      </c>
      <c r="BB15" s="64">
        <f t="shared" ref="BB15:BC15" si="192">IF(BB10="","",ROUND(BB14*BB10,2))</f>
        <v>-82832.47</v>
      </c>
      <c r="BC15" s="64">
        <f t="shared" si="192"/>
        <v>-81630.89</v>
      </c>
      <c r="BD15" s="64">
        <f t="shared" ref="BD15:BE15" si="193">IF(BD10="","",ROUND(BD14*BD10,2))</f>
        <v>-96732.3</v>
      </c>
      <c r="BE15" s="64">
        <f t="shared" si="193"/>
        <v>-113949.84</v>
      </c>
      <c r="BF15" s="64">
        <f t="shared" ref="BF15:BG15" si="194">IF(BF10="","",ROUND(BF14*BF10,2))</f>
        <v>-114477</v>
      </c>
      <c r="BG15" s="64">
        <f t="shared" si="194"/>
        <v>-115688.1</v>
      </c>
      <c r="BH15" s="64">
        <f t="shared" ref="BH15:BI15" si="195">IF(BH10="","",ROUND(BH14*BH10,2))</f>
        <v>-96527.89</v>
      </c>
      <c r="BI15" s="64">
        <f t="shared" si="195"/>
        <v>-86249.99</v>
      </c>
      <c r="BJ15" s="64">
        <f t="shared" ref="BJ15:BK15" si="196">IF(BJ10="","",ROUND(BJ14*BJ10,2))</f>
        <v>-98347.18</v>
      </c>
      <c r="BK15" s="64">
        <f t="shared" si="196"/>
        <v>-116084.16</v>
      </c>
      <c r="BL15" s="64">
        <f t="shared" ref="BL15:BM15" si="197">IF(BL10="","",ROUND(BL14*BL10,2))</f>
        <v>-72696.31</v>
      </c>
      <c r="BM15" s="64">
        <f t="shared" si="197"/>
        <v>-3930.01</v>
      </c>
      <c r="BN15" s="64">
        <f t="shared" ref="BN15:BO15" si="198">IF(BN10="","",ROUND(BN14*BN10,2))</f>
        <v>-3532.61</v>
      </c>
      <c r="BO15" s="64">
        <f t="shared" si="198"/>
        <v>-3250.65</v>
      </c>
      <c r="BP15" s="64">
        <f t="shared" ref="BP15:BQ15" si="199">IF(BP10="","",ROUND(BP14*BP10,2))</f>
        <v>-3684.79</v>
      </c>
      <c r="BQ15" s="64">
        <f t="shared" si="199"/>
        <v>-4244.25</v>
      </c>
      <c r="BR15" s="64">
        <f t="shared" ref="BR15:BS15" si="200">IF(BR10="","",ROUND(BR14*BR10,2))</f>
        <v>-4450.8100000000004</v>
      </c>
      <c r="BS15" s="64">
        <f t="shared" si="200"/>
        <v>-4045.9</v>
      </c>
      <c r="BT15" s="64">
        <f t="shared" ref="BT15:BU15" si="201">IF(BT10="","",ROUND(BT14*BT10,2))</f>
        <v>-3372.86</v>
      </c>
      <c r="BU15" s="64">
        <f t="shared" si="201"/>
        <v>-3221.24</v>
      </c>
      <c r="BV15" s="64">
        <f t="shared" ref="BV15:BW15" si="202">IF(BV10="","",ROUND(BV14*BV10,2))</f>
        <v>-3921.68</v>
      </c>
      <c r="BW15" s="64">
        <f t="shared" si="202"/>
        <v>-4514.43</v>
      </c>
      <c r="BX15" s="64">
        <f t="shared" ref="BX15:BY15" si="203">IF(BX10="","",ROUND(BX14*BX10,2))</f>
        <v>-58.87</v>
      </c>
      <c r="BY15" s="64">
        <f t="shared" si="203"/>
        <v>4613.01</v>
      </c>
      <c r="BZ15" s="64">
        <f t="shared" ref="BZ15:CA15" si="204">IF(BZ10="","",ROUND(BZ14*BZ10,2))</f>
        <v>4219.75</v>
      </c>
      <c r="CA15" s="64">
        <f t="shared" si="204"/>
        <v>3905.78</v>
      </c>
      <c r="CB15" s="64">
        <f t="shared" ref="CB15:CC15" si="205">IF(CB10="","",ROUND(CB14*CB10,2))</f>
        <v>4751.55</v>
      </c>
      <c r="CC15" s="64">
        <f t="shared" si="205"/>
        <v>5463.54</v>
      </c>
      <c r="CD15" s="64">
        <f t="shared" ref="CD15:CE15" si="206">IF(CD10="","",ROUND(CD14*CD10,2))</f>
        <v>5606.45</v>
      </c>
      <c r="CE15" s="64">
        <f t="shared" si="206"/>
        <v>5658.03</v>
      </c>
      <c r="CF15" s="64">
        <f t="shared" ref="CF15:CG15" si="207">IF(CF10="","",ROUND(CF14*CF10,2))</f>
        <v>4599.68</v>
      </c>
      <c r="CG15" s="64">
        <f t="shared" si="207"/>
        <v>4263.49</v>
      </c>
      <c r="CH15" s="64">
        <f t="shared" ref="CH15:CI15" si="208">IF(CH10="","",ROUND(CH14*CH10,2))</f>
        <v>5004.8599999999997</v>
      </c>
      <c r="CI15" s="64">
        <f t="shared" si="208"/>
        <v>5833.09</v>
      </c>
    </row>
    <row r="16" spans="1:87" s="48" customFormat="1" ht="9" customHeight="1" x14ac:dyDescent="0.35">
      <c r="A16" s="77"/>
      <c r="B16" s="7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row>
    <row r="17" spans="1:87" x14ac:dyDescent="0.35">
      <c r="A17" s="309" t="s">
        <v>35</v>
      </c>
      <c r="B17" s="73" t="s">
        <v>53</v>
      </c>
      <c r="C17" s="63">
        <f>+'MEEIA 2 calcs'!O48</f>
        <v>63808.639999999999</v>
      </c>
      <c r="D17" s="63">
        <f>+'MEEIA 2 calcs'!P48</f>
        <v>334912.75</v>
      </c>
      <c r="E17" s="63">
        <f>+'MEEIA 2 calcs'!Q48</f>
        <v>311859.65000000002</v>
      </c>
      <c r="F17" s="63">
        <f>+'M2 Allocations - TD'!Q52</f>
        <v>306431.03999999998</v>
      </c>
      <c r="G17" s="63">
        <f>IF(+'M2 Allocations - TD'!R52="","",'M2 Allocations - TD'!R52)</f>
        <v>315079.21999999997</v>
      </c>
      <c r="H17" s="63">
        <f>IF(+'M2 Allocations - TD'!S52="","",'M2 Allocations - TD'!S52)</f>
        <v>357143.49</v>
      </c>
      <c r="I17" s="63">
        <f>IF(+'M2 Allocations - TD'!T52="","",'M2 Allocations - TD'!T52)</f>
        <v>388918.74</v>
      </c>
      <c r="J17" s="63">
        <f>IF(+'M2 Allocations - TD'!U52="","",'M2 Allocations - TD'!U52)</f>
        <v>396209.91</v>
      </c>
      <c r="K17" s="63">
        <f>IF(+'M2 Allocations - TD'!V52="","",'M2 Allocations - TD'!V52)</f>
        <v>373506.75</v>
      </c>
      <c r="L17" s="63">
        <f>IF(+'M2 Allocations - TD'!W52="","",'M2 Allocations - TD'!W52)</f>
        <v>358646.38</v>
      </c>
      <c r="M17" s="63">
        <f>IF(+'M2 Allocations - TD'!X52="","",'M2 Allocations - TD'!X52)</f>
        <v>321927.84000000003</v>
      </c>
      <c r="N17" s="63">
        <f>IF(+'M2 Allocations - TD'!Y52="","",'M2 Allocations - TD'!Y52)</f>
        <v>337190.07</v>
      </c>
      <c r="O17" s="63">
        <f>IF(+'M2 Allocations - TD'!Z52="","",'M2 Allocations - TD'!Z52)</f>
        <v>406112.33</v>
      </c>
      <c r="P17" s="63">
        <f>IF(+'M2 Allocations - TD'!AA52="","",'M2 Allocations - TD'!AA52)</f>
        <v>569283.56999999995</v>
      </c>
      <c r="Q17" s="63">
        <f>IF(+'M2 Allocations - TD'!AB52="","",'M2 Allocations - TD'!AB52)</f>
        <v>530638.37</v>
      </c>
      <c r="R17" s="63">
        <f>IF(+'M2 Allocations - TD'!AC52="","",'M2 Allocations - TD'!AC52)</f>
        <v>535419.43000000005</v>
      </c>
      <c r="S17" s="63">
        <f>IF(+'M2 Allocations - TD'!AD52="","",'M2 Allocations - TD'!AD52)</f>
        <v>530865.09</v>
      </c>
      <c r="T17" s="63">
        <f>IF(+'M2 Allocations - TD'!AE52="","",'M2 Allocations - TD'!AE52)</f>
        <v>632987.31999999995</v>
      </c>
      <c r="U17" s="63">
        <f>IF(+'M2 Allocations - TD'!AF52="","",'M2 Allocations - TD'!AF52)</f>
        <v>672168.03</v>
      </c>
      <c r="V17" s="63">
        <f>IF(+'M2 Allocations - TD'!AG52="","",'M2 Allocations - TD'!AG52)</f>
        <v>636130.80000000005</v>
      </c>
      <c r="W17" s="63">
        <f>IF(+'M2 Allocations - TD'!AH52="","",'M2 Allocations - TD'!AH52)</f>
        <v>647286.31999999995</v>
      </c>
      <c r="X17" s="63">
        <f>IF(+'M2 Allocations - TD'!AI52="","",'M2 Allocations - TD'!AI52)</f>
        <v>588134.43000000005</v>
      </c>
      <c r="Y17" s="63">
        <f>IF(+'M2 Allocations - TD'!AJ52="","",'M2 Allocations - TD'!AJ52)</f>
        <v>523066.9</v>
      </c>
      <c r="Z17" s="63">
        <f>IF(+'M2 Allocations - TD'!AK52="","",'M2 Allocations - TD'!AK52)</f>
        <v>569652.57999999996</v>
      </c>
      <c r="AA17" s="63">
        <f>IF(+'M2 Allocations - TD'!AL52="","",'M2 Allocations - TD'!AL52)</f>
        <v>622149.86</v>
      </c>
      <c r="AB17" s="63">
        <f>IF(+'M2 Allocations - TD'!AM52="","",'M2 Allocations - TD'!AM52)</f>
        <v>1121084.3899999999</v>
      </c>
      <c r="AC17" s="63">
        <f>IF(+'M2 Allocations - TD'!AN52="","",'M2 Allocations - TD'!AN52)</f>
        <v>1064143.96</v>
      </c>
      <c r="AD17" s="63">
        <f>IF(+'M2 Allocations - TD'!AO52="","",'M2 Allocations - TD'!AO52)</f>
        <v>956310.33</v>
      </c>
      <c r="AE17" s="63">
        <f>IF(+'M2 Allocations - TD'!AP52="","",'M2 Allocations - TD'!AP52)</f>
        <v>988397.62</v>
      </c>
      <c r="AF17" s="63">
        <f>IF(+'M2 Allocations - TD'!AQ52="","",'M2 Allocations - TD'!AQ52)</f>
        <v>1099738.51</v>
      </c>
      <c r="AG17" s="63">
        <f>IF(+'M2 Allocations - TD'!AR52="","",'M2 Allocations - TD'!AR52)</f>
        <v>1183208.1399999999</v>
      </c>
      <c r="AH17" s="63">
        <f>IF(+'M2 Allocations - TD'!AS52="","",'M2 Allocations - TD'!AS52)</f>
        <v>1210589.8</v>
      </c>
      <c r="AI17" s="63">
        <f>IF(+'M2 Allocations - TD'!AT52="","",'M2 Allocations - TD'!AT52)</f>
        <v>1222150.02</v>
      </c>
      <c r="AJ17" s="63">
        <f>IF(+'M2 Allocations - TD'!AU52="","",'M2 Allocations - TD'!AU52)</f>
        <v>1122226.3600000001</v>
      </c>
      <c r="AK17" s="63">
        <f>IF(+'M2 Allocations - TD'!AV52="","",'M2 Allocations - TD'!AV52)</f>
        <v>990572.78</v>
      </c>
      <c r="AL17" s="63">
        <f>IF(+'M2 Allocations - TD'!AW52="","",'M2 Allocations - TD'!AW52)</f>
        <v>1074771.6100000001</v>
      </c>
      <c r="AM17" s="63">
        <f>IF(+'M2 Allocations - TD'!AX52="","",'M2 Allocations - TD'!AX52)</f>
        <v>1111703.5</v>
      </c>
      <c r="AN17" s="63">
        <f>IF(+'M2 Allocations - TD'!AY52="","",'M2 Allocations - TD'!AY52)</f>
        <v>772025.26</v>
      </c>
      <c r="AO17" s="63">
        <f>IF(+'M2 Allocations - TD'!AZ52="","",'M2 Allocations - TD'!AZ52)</f>
        <v>319798.53000000003</v>
      </c>
      <c r="AP17" s="63">
        <f>IF(+'M2 Allocations - TD'!BA52="","",'M2 Allocations - TD'!BA52)</f>
        <v>269033.2</v>
      </c>
      <c r="AQ17" s="63">
        <f>IF(+'M2 Allocations - TD'!BB52="","",'M2 Allocations - TD'!BB52)</f>
        <v>249777.14</v>
      </c>
      <c r="AR17" s="63">
        <f>IF(+'M2 Allocations - TD'!BC52="","",'M2 Allocations - TD'!BC52)</f>
        <v>297315.93</v>
      </c>
      <c r="AS17" s="63">
        <f>IF(+'M2 Allocations - TD'!BD52="","",'M2 Allocations - TD'!BD52)</f>
        <v>347144.51</v>
      </c>
      <c r="AT17" s="63">
        <f>IF(+'M2 Allocations - TD'!BE52="","",'M2 Allocations - TD'!BE52)</f>
        <v>345440.09</v>
      </c>
      <c r="AU17" s="63">
        <f>IF(+'M2 Allocations - TD'!BF52="","",'M2 Allocations - TD'!BF52)</f>
        <v>344230.11</v>
      </c>
      <c r="AV17" s="63">
        <f>IF(+'M2 Allocations - TD'!BG52="","",'M2 Allocations - TD'!BG52)</f>
        <v>293731.96999999997</v>
      </c>
      <c r="AW17" s="63">
        <f>IF(+'M2 Allocations - TD'!BH52="","",'M2 Allocations - TD'!BH52)</f>
        <v>286094.82</v>
      </c>
      <c r="AX17" s="63">
        <f>IF(+'M2 Allocations - TD'!BI52="","",'M2 Allocations - TD'!BI52)</f>
        <v>307534.57</v>
      </c>
      <c r="AY17" s="63">
        <f>IF(+'M2 Allocations - TD'!BJ52="","",'M2 Allocations - TD'!BJ52)</f>
        <v>329595.59000000003</v>
      </c>
      <c r="AZ17" s="63">
        <f>IF(+'M2 Allocations - TD'!BK52="","",'M2 Allocations - TD'!BK52)</f>
        <v>128230.92</v>
      </c>
      <c r="BA17" s="63">
        <f>IF(+'M2 Allocations - TD'!BL52="","",'M2 Allocations - TD'!BL52)</f>
        <v>-119113.36</v>
      </c>
      <c r="BB17" s="63">
        <f>IF(+'M2 Allocations - TD'!BM52="","",'M2 Allocations - TD'!BM52)</f>
        <v>-106709.26</v>
      </c>
      <c r="BC17" s="63">
        <f>IF(+'M2 Allocations - TD'!BN52="","",'M2 Allocations - TD'!BN52)</f>
        <v>-108656.28</v>
      </c>
      <c r="BD17" s="63">
        <f>IF(+'M2 Allocations - TD'!BO52="","",'M2 Allocations - TD'!BO52)</f>
        <v>-121205.96</v>
      </c>
      <c r="BE17" s="63">
        <f>IF(+'M2 Allocations - TD'!BP52="","",'M2 Allocations - TD'!BP52)</f>
        <v>-141073.82999999999</v>
      </c>
      <c r="BF17" s="63">
        <f>IF(+'M2 Allocations - TD'!BQ52="","",'M2 Allocations - TD'!BQ52)</f>
        <v>-140301.07</v>
      </c>
      <c r="BG17" s="63">
        <f>IF(+'M2 Allocations - TD'!BR52="","",'M2 Allocations - TD'!BR52)</f>
        <v>-142985.78</v>
      </c>
      <c r="BH17" s="63">
        <f>IF(+'M2 Allocations - TD'!BS52="","",'M2 Allocations - TD'!BS52)</f>
        <v>-125672.79</v>
      </c>
      <c r="BI17" s="63">
        <f>IF(+'M2 Allocations - TD'!BT52="","",'M2 Allocations - TD'!BT52)</f>
        <v>-111672.41</v>
      </c>
      <c r="BJ17" s="63">
        <f>IF(+'M2 Allocations - TD'!BU52="","",'M2 Allocations - TD'!BU52)</f>
        <v>-122048.8</v>
      </c>
      <c r="BK17" s="63">
        <f>IF(+'M2 Allocations - TD'!BV52="","",'M2 Allocations - TD'!BV52)</f>
        <v>-130402.9</v>
      </c>
      <c r="BL17" s="63">
        <f>IF(+'M2 Allocations - TD'!BW52="","",'M2 Allocations - TD'!BW52)</f>
        <v>-91979.27</v>
      </c>
      <c r="BM17" s="63">
        <f>IF(+'M2 Allocations - TD'!BX52="","",'M2 Allocations - TD'!BX52)</f>
        <v>-29965.9</v>
      </c>
      <c r="BN17" s="63">
        <f>IF(+'M2 Allocations - TD'!BY52="","",'M2 Allocations - TD'!BY52)</f>
        <v>-27757.9</v>
      </c>
      <c r="BO17" s="63">
        <f>IF(+'M2 Allocations - TD'!BZ52="","",'M2 Allocations - TD'!BZ52)</f>
        <v>-28438.25</v>
      </c>
      <c r="BP17" s="63">
        <f>IF(+'M2 Allocations - TD'!CA52="","",'M2 Allocations - TD'!CA52)</f>
        <v>-31790.6</v>
      </c>
      <c r="BQ17" s="63">
        <f>IF(+'M2 Allocations - TD'!CB52="","",'M2 Allocations - TD'!CB52)</f>
        <v>-36362.75</v>
      </c>
      <c r="BR17" s="63">
        <f>IF(+'M2 Allocations - TD'!CC52="","",'M2 Allocations - TD'!CC52)</f>
        <v>-35481.11</v>
      </c>
      <c r="BS17" s="63">
        <f>IF(+'M2 Allocations - TD'!CD52="","",'M2 Allocations - TD'!CD52)</f>
        <v>-33868.720000000001</v>
      </c>
      <c r="BT17" s="63">
        <f>IF(+'M2 Allocations - TD'!CE52="","",'M2 Allocations - TD'!CE52)</f>
        <v>-29154.44</v>
      </c>
      <c r="BU17" s="63">
        <f>IF(+'M2 Allocations - TD'!CF52="","",'M2 Allocations - TD'!CF52)</f>
        <v>-27512.63</v>
      </c>
      <c r="BV17" s="63">
        <f>IF(+'M2 Allocations - TD'!CG52="","",'M2 Allocations - TD'!CG52)</f>
        <v>-31793.77</v>
      </c>
      <c r="BW17" s="63">
        <f>IF(+'M2 Allocations - TD'!CH52="","",'M2 Allocations - TD'!CH52)</f>
        <v>-32743.360000000001</v>
      </c>
      <c r="BX17" s="63">
        <f>IF(+'M2 Allocations - TD'!CI52="","",'M2 Allocations - TD'!CI52)</f>
        <v>-16554.349999999999</v>
      </c>
      <c r="BY17" s="63">
        <f>IF(+'M2 Allocations - TD'!CJ52="","",'M2 Allocations - TD'!CJ52)</f>
        <v>3415.88</v>
      </c>
      <c r="BZ17" s="63">
        <f>IF(+'M2 Allocations - TD'!CK52="","",'M2 Allocations - TD'!CK52)</f>
        <v>3374.69</v>
      </c>
      <c r="CA17" s="63">
        <f>IF(+'M2 Allocations - TD'!CL52="","",'M2 Allocations - TD'!CL52)</f>
        <v>3515.72</v>
      </c>
      <c r="CB17" s="63">
        <f>IF(+'M2 Allocations - TD'!CM52="","",'M2 Allocations - TD'!CM52)</f>
        <v>3850.08</v>
      </c>
      <c r="CC17" s="63">
        <f>IF(+'M2 Allocations - TD'!CN52="","",'M2 Allocations - TD'!CN52)</f>
        <v>4146.47</v>
      </c>
      <c r="CD17" s="63">
        <f>IF(+'M2 Allocations - TD'!CO52="","",'M2 Allocations - TD'!CO52)</f>
        <v>4258.54</v>
      </c>
      <c r="CE17" s="63">
        <f>IF(+'M2 Allocations - TD'!CP52="","",'M2 Allocations - TD'!CP52)</f>
        <v>4280.59</v>
      </c>
      <c r="CF17" s="63">
        <f>IF(+'M2 Allocations - TD'!CQ52="","",'M2 Allocations - TD'!CQ52)</f>
        <v>3781.21</v>
      </c>
      <c r="CG17" s="63">
        <f>IF(+'M2 Allocations - TD'!CR52="","",'M2 Allocations - TD'!CR52)</f>
        <v>3536.9286456207337</v>
      </c>
      <c r="CH17" s="63">
        <f>IF(+'M2 Allocations - TD'!CS52="","",'M2 Allocations - TD'!CS52)</f>
        <v>3801.920804358962</v>
      </c>
      <c r="CI17" s="63">
        <f>IF(+'M2 Allocations - TD'!CT52="","",'M2 Allocations - TD'!CT52)</f>
        <v>4236.5350336752745</v>
      </c>
    </row>
    <row r="18" spans="1:87" x14ac:dyDescent="0.35">
      <c r="A18" s="309"/>
      <c r="B18" s="73" t="s">
        <v>55</v>
      </c>
      <c r="C18" s="87">
        <v>6.2000000000000003E-5</v>
      </c>
      <c r="D18" s="87">
        <v>4.28E-4</v>
      </c>
      <c r="E18" s="71">
        <f>+D18</f>
        <v>4.28E-4</v>
      </c>
      <c r="F18" s="71">
        <f>IF(F17="","",E18)</f>
        <v>4.28E-4</v>
      </c>
      <c r="G18" s="71">
        <f t="shared" ref="G18:Z18" si="209">IF(G17="","",F18)</f>
        <v>4.28E-4</v>
      </c>
      <c r="H18" s="71">
        <f t="shared" si="209"/>
        <v>4.28E-4</v>
      </c>
      <c r="I18" s="71">
        <f t="shared" si="209"/>
        <v>4.28E-4</v>
      </c>
      <c r="J18" s="71">
        <f t="shared" si="209"/>
        <v>4.28E-4</v>
      </c>
      <c r="K18" s="71">
        <f t="shared" si="209"/>
        <v>4.28E-4</v>
      </c>
      <c r="L18" s="71">
        <f t="shared" si="209"/>
        <v>4.28E-4</v>
      </c>
      <c r="M18" s="71">
        <f t="shared" si="209"/>
        <v>4.28E-4</v>
      </c>
      <c r="N18" s="71">
        <f t="shared" si="209"/>
        <v>4.28E-4</v>
      </c>
      <c r="O18" s="71">
        <f t="shared" si="209"/>
        <v>4.28E-4</v>
      </c>
      <c r="P18" s="87">
        <v>9.6322685443095489E-4</v>
      </c>
      <c r="Q18" s="71">
        <f t="shared" si="209"/>
        <v>9.6322685443095489E-4</v>
      </c>
      <c r="R18" s="90">
        <f t="shared" si="209"/>
        <v>9.6322685443095489E-4</v>
      </c>
      <c r="S18" s="90">
        <f t="shared" si="209"/>
        <v>9.6322685443095489E-4</v>
      </c>
      <c r="T18" s="90">
        <f t="shared" si="209"/>
        <v>9.6322685443095489E-4</v>
      </c>
      <c r="U18" s="90">
        <f t="shared" si="209"/>
        <v>9.6322685443095489E-4</v>
      </c>
      <c r="V18" s="90">
        <f t="shared" si="209"/>
        <v>9.6322685443095489E-4</v>
      </c>
      <c r="W18" s="90">
        <f t="shared" si="209"/>
        <v>9.6322685443095489E-4</v>
      </c>
      <c r="X18" s="90">
        <f t="shared" si="209"/>
        <v>9.6322685443095489E-4</v>
      </c>
      <c r="Y18" s="90">
        <f t="shared" si="209"/>
        <v>9.6322685443095489E-4</v>
      </c>
      <c r="Z18" s="90">
        <f t="shared" si="209"/>
        <v>9.6322685443095489E-4</v>
      </c>
      <c r="AA18" s="90">
        <f t="shared" ref="AA18" si="210">IF(AA17="","",Z18)</f>
        <v>9.6322685443095489E-4</v>
      </c>
      <c r="AB18" s="87">
        <v>1.7376912608362781E-3</v>
      </c>
      <c r="AC18" s="71">
        <f t="shared" ref="AC18" si="211">IF(AC17="","",AB18)</f>
        <v>1.7376912608362781E-3</v>
      </c>
      <c r="AD18" s="71">
        <f t="shared" ref="AD18" si="212">IF(AD17="","",AC18)</f>
        <v>1.7376912608362781E-3</v>
      </c>
      <c r="AE18" s="71">
        <f t="shared" ref="AE18" si="213">IF(AE17="","",AD18)</f>
        <v>1.7376912608362781E-3</v>
      </c>
      <c r="AF18" s="71">
        <f t="shared" ref="AF18" si="214">IF(AF17="","",AE18)</f>
        <v>1.7376912608362781E-3</v>
      </c>
      <c r="AG18" s="71">
        <f t="shared" ref="AG18" si="215">IF(AG17="","",AF18)</f>
        <v>1.7376912608362781E-3</v>
      </c>
      <c r="AH18" s="71">
        <f t="shared" ref="AH18" si="216">IF(AH17="","",AG18)</f>
        <v>1.7376912608362781E-3</v>
      </c>
      <c r="AI18" s="71">
        <f t="shared" ref="AI18" si="217">IF(AI17="","",AH18)</f>
        <v>1.7376912608362781E-3</v>
      </c>
      <c r="AJ18" s="71">
        <f t="shared" ref="AJ18" si="218">IF(AJ17="","",AI18)</f>
        <v>1.7376912608362781E-3</v>
      </c>
      <c r="AK18" s="71">
        <f t="shared" ref="AK18" si="219">IF(AK17="","",AJ18)</f>
        <v>1.7376912608362781E-3</v>
      </c>
      <c r="AL18" s="71">
        <f t="shared" ref="AL18" si="220">IF(AL17="","",AK18)</f>
        <v>1.7376912608362781E-3</v>
      </c>
      <c r="AM18" s="71">
        <f t="shared" ref="AM18" si="221">IF(AM17="","",AL18)</f>
        <v>1.7376912608362781E-3</v>
      </c>
      <c r="AN18" s="119">
        <v>4.5805746473138027E-4</v>
      </c>
      <c r="AO18" s="71">
        <f t="shared" ref="AO18:BK18" si="222">IF(AO17="","",AN18)</f>
        <v>4.5805746473138027E-4</v>
      </c>
      <c r="AP18" s="71">
        <f t="shared" si="222"/>
        <v>4.5805746473138027E-4</v>
      </c>
      <c r="AQ18" s="71">
        <f t="shared" si="222"/>
        <v>4.5805746473138027E-4</v>
      </c>
      <c r="AR18" s="71">
        <f t="shared" si="222"/>
        <v>4.5805746473138027E-4</v>
      </c>
      <c r="AS18" s="71">
        <f t="shared" si="222"/>
        <v>4.5805746473138027E-4</v>
      </c>
      <c r="AT18" s="71">
        <f t="shared" si="222"/>
        <v>4.5805746473138027E-4</v>
      </c>
      <c r="AU18" s="71">
        <f t="shared" si="222"/>
        <v>4.5805746473138027E-4</v>
      </c>
      <c r="AV18" s="71">
        <f t="shared" si="222"/>
        <v>4.5805746473138027E-4</v>
      </c>
      <c r="AW18" s="71">
        <f t="shared" si="222"/>
        <v>4.5805746473138027E-4</v>
      </c>
      <c r="AX18" s="71">
        <f t="shared" si="222"/>
        <v>4.5805746473138027E-4</v>
      </c>
      <c r="AY18" s="71">
        <f t="shared" si="222"/>
        <v>4.5805746473138027E-4</v>
      </c>
      <c r="AZ18" s="119">
        <v>4.6536199470864085E-5</v>
      </c>
      <c r="BA18" s="71">
        <f t="shared" si="222"/>
        <v>4.6536199470864085E-5</v>
      </c>
      <c r="BB18" s="71">
        <f t="shared" si="222"/>
        <v>4.6536199470864085E-5</v>
      </c>
      <c r="BC18" s="71">
        <f t="shared" si="222"/>
        <v>4.6536199470864085E-5</v>
      </c>
      <c r="BD18" s="71">
        <f t="shared" si="222"/>
        <v>4.6536199470864085E-5</v>
      </c>
      <c r="BE18" s="71">
        <f t="shared" si="222"/>
        <v>4.6536199470864085E-5</v>
      </c>
      <c r="BF18" s="71">
        <f t="shared" si="222"/>
        <v>4.6536199470864085E-5</v>
      </c>
      <c r="BG18" s="71">
        <f t="shared" si="222"/>
        <v>4.6536199470864085E-5</v>
      </c>
      <c r="BH18" s="71">
        <f t="shared" si="222"/>
        <v>4.6536199470864085E-5</v>
      </c>
      <c r="BI18" s="71">
        <f t="shared" si="222"/>
        <v>4.6536199470864085E-5</v>
      </c>
      <c r="BJ18" s="71">
        <f t="shared" si="222"/>
        <v>4.6536199470864085E-5</v>
      </c>
      <c r="BK18" s="71">
        <f t="shared" si="222"/>
        <v>4.6536199470864085E-5</v>
      </c>
      <c r="BL18" s="119">
        <v>1.4822440071275399E-6</v>
      </c>
      <c r="BM18" s="71">
        <f t="shared" ref="BM18:CI18" si="223">IF(BM17="","",BL18)</f>
        <v>1.4822440071275399E-6</v>
      </c>
      <c r="BN18" s="71">
        <f t="shared" si="223"/>
        <v>1.4822440071275399E-6</v>
      </c>
      <c r="BO18" s="71">
        <f t="shared" si="223"/>
        <v>1.4822440071275399E-6</v>
      </c>
      <c r="BP18" s="71">
        <f t="shared" si="223"/>
        <v>1.4822440071275399E-6</v>
      </c>
      <c r="BQ18" s="71">
        <f t="shared" si="223"/>
        <v>1.4822440071275399E-6</v>
      </c>
      <c r="BR18" s="71">
        <f t="shared" si="223"/>
        <v>1.4822440071275399E-6</v>
      </c>
      <c r="BS18" s="71">
        <f t="shared" si="223"/>
        <v>1.4822440071275399E-6</v>
      </c>
      <c r="BT18" s="71">
        <f t="shared" si="223"/>
        <v>1.4822440071275399E-6</v>
      </c>
      <c r="BU18" s="71">
        <f t="shared" si="223"/>
        <v>1.4822440071275399E-6</v>
      </c>
      <c r="BV18" s="71">
        <f t="shared" si="223"/>
        <v>1.4822440071275399E-6</v>
      </c>
      <c r="BW18" s="71">
        <f t="shared" si="223"/>
        <v>1.4822440071275399E-6</v>
      </c>
      <c r="BX18" s="119">
        <v>0</v>
      </c>
      <c r="BY18" s="71">
        <f t="shared" si="223"/>
        <v>0</v>
      </c>
      <c r="BZ18" s="71">
        <f t="shared" si="223"/>
        <v>0</v>
      </c>
      <c r="CA18" s="71">
        <f t="shared" si="223"/>
        <v>0</v>
      </c>
      <c r="CB18" s="71">
        <f t="shared" si="223"/>
        <v>0</v>
      </c>
      <c r="CC18" s="71">
        <f t="shared" si="223"/>
        <v>0</v>
      </c>
      <c r="CD18" s="71">
        <f t="shared" si="223"/>
        <v>0</v>
      </c>
      <c r="CE18" s="71">
        <f t="shared" si="223"/>
        <v>0</v>
      </c>
      <c r="CF18" s="71">
        <f t="shared" si="223"/>
        <v>0</v>
      </c>
      <c r="CG18" s="71">
        <f t="shared" si="223"/>
        <v>0</v>
      </c>
      <c r="CH18" s="71">
        <f t="shared" si="223"/>
        <v>0</v>
      </c>
      <c r="CI18" s="71">
        <f t="shared" si="223"/>
        <v>0</v>
      </c>
    </row>
    <row r="19" spans="1:87" x14ac:dyDescent="0.35">
      <c r="A19" s="309"/>
      <c r="B19" s="73" t="s">
        <v>54</v>
      </c>
      <c r="C19" s="42">
        <v>0</v>
      </c>
      <c r="D19" s="87">
        <v>1.17E-4</v>
      </c>
      <c r="E19" s="71">
        <f>+D19</f>
        <v>1.17E-4</v>
      </c>
      <c r="F19" s="71">
        <f>IF(F17="","",E19)</f>
        <v>1.17E-4</v>
      </c>
      <c r="G19" s="71">
        <f t="shared" ref="G19:Z19" si="224">IF(G17="","",F19)</f>
        <v>1.17E-4</v>
      </c>
      <c r="H19" s="71">
        <f t="shared" si="224"/>
        <v>1.17E-4</v>
      </c>
      <c r="I19" s="71">
        <f t="shared" si="224"/>
        <v>1.17E-4</v>
      </c>
      <c r="J19" s="71">
        <f t="shared" si="224"/>
        <v>1.17E-4</v>
      </c>
      <c r="K19" s="71">
        <f t="shared" si="224"/>
        <v>1.17E-4</v>
      </c>
      <c r="L19" s="71">
        <f t="shared" si="224"/>
        <v>1.17E-4</v>
      </c>
      <c r="M19" s="71">
        <f t="shared" si="224"/>
        <v>1.17E-4</v>
      </c>
      <c r="N19" s="71">
        <f t="shared" si="224"/>
        <v>1.17E-4</v>
      </c>
      <c r="O19" s="71">
        <f t="shared" si="224"/>
        <v>1.17E-4</v>
      </c>
      <c r="P19" s="91">
        <v>-6.5977518462868702E-5</v>
      </c>
      <c r="Q19" s="90">
        <f t="shared" si="224"/>
        <v>-6.5977518462868702E-5</v>
      </c>
      <c r="R19" s="90">
        <f t="shared" si="224"/>
        <v>-6.5977518462868702E-5</v>
      </c>
      <c r="S19" s="90">
        <f t="shared" si="224"/>
        <v>-6.5977518462868702E-5</v>
      </c>
      <c r="T19" s="90">
        <f t="shared" si="224"/>
        <v>-6.5977518462868702E-5</v>
      </c>
      <c r="U19" s="90">
        <f t="shared" si="224"/>
        <v>-6.5977518462868702E-5</v>
      </c>
      <c r="V19" s="90">
        <f t="shared" si="224"/>
        <v>-6.5977518462868702E-5</v>
      </c>
      <c r="W19" s="90">
        <f t="shared" si="224"/>
        <v>-6.5977518462868702E-5</v>
      </c>
      <c r="X19" s="90">
        <f t="shared" si="224"/>
        <v>-6.5977518462868702E-5</v>
      </c>
      <c r="Y19" s="90">
        <f t="shared" si="224"/>
        <v>-6.5977518462868702E-5</v>
      </c>
      <c r="Z19" s="90">
        <f t="shared" si="224"/>
        <v>-6.5977518462868702E-5</v>
      </c>
      <c r="AA19" s="90">
        <f t="shared" ref="AA19" si="225">IF(AA17="","",Z19)</f>
        <v>-6.5977518462868702E-5</v>
      </c>
      <c r="AB19" s="91">
        <v>6.4203213386111483E-5</v>
      </c>
      <c r="AC19" s="90">
        <f t="shared" ref="AC19" si="226">IF(AC17="","",AB19)</f>
        <v>6.4203213386111483E-5</v>
      </c>
      <c r="AD19" s="90">
        <f t="shared" ref="AD19" si="227">IF(AD17="","",AC19)</f>
        <v>6.4203213386111483E-5</v>
      </c>
      <c r="AE19" s="90">
        <f t="shared" ref="AE19" si="228">IF(AE17="","",AD19)</f>
        <v>6.4203213386111483E-5</v>
      </c>
      <c r="AF19" s="90">
        <f t="shared" ref="AF19" si="229">IF(AF17="","",AE19)</f>
        <v>6.4203213386111483E-5</v>
      </c>
      <c r="AG19" s="90">
        <f t="shared" ref="AG19" si="230">IF(AG17="","",AF19)</f>
        <v>6.4203213386111483E-5</v>
      </c>
      <c r="AH19" s="90">
        <f t="shared" ref="AH19" si="231">IF(AH17="","",AG19)</f>
        <v>6.4203213386111483E-5</v>
      </c>
      <c r="AI19" s="90">
        <f t="shared" ref="AI19" si="232">IF(AI17="","",AH19)</f>
        <v>6.4203213386111483E-5</v>
      </c>
      <c r="AJ19" s="90">
        <f t="shared" ref="AJ19" si="233">IF(AJ17="","",AI19)</f>
        <v>6.4203213386111483E-5</v>
      </c>
      <c r="AK19" s="90">
        <f t="shared" ref="AK19" si="234">IF(AK17="","",AJ19)</f>
        <v>6.4203213386111483E-5</v>
      </c>
      <c r="AL19" s="90">
        <f t="shared" ref="AL19" si="235">IF(AL17="","",AK19)</f>
        <v>6.4203213386111483E-5</v>
      </c>
      <c r="AM19" s="90">
        <f t="shared" ref="AM19" si="236">IF(AM17="","",AL19)</f>
        <v>6.4203213386111483E-5</v>
      </c>
      <c r="AN19" s="120">
        <v>9.7754935298837687E-5</v>
      </c>
      <c r="AO19" s="90">
        <f t="shared" ref="AO19:BK19" si="237">IF(AO17="","",AN19)</f>
        <v>9.7754935298837687E-5</v>
      </c>
      <c r="AP19" s="90">
        <f t="shared" si="237"/>
        <v>9.7754935298837687E-5</v>
      </c>
      <c r="AQ19" s="90">
        <f t="shared" si="237"/>
        <v>9.7754935298837687E-5</v>
      </c>
      <c r="AR19" s="90">
        <f t="shared" si="237"/>
        <v>9.7754935298837687E-5</v>
      </c>
      <c r="AS19" s="90">
        <f t="shared" si="237"/>
        <v>9.7754935298837687E-5</v>
      </c>
      <c r="AT19" s="90">
        <f t="shared" si="237"/>
        <v>9.7754935298837687E-5</v>
      </c>
      <c r="AU19" s="90">
        <f t="shared" si="237"/>
        <v>9.7754935298837687E-5</v>
      </c>
      <c r="AV19" s="90">
        <f t="shared" si="237"/>
        <v>9.7754935298837687E-5</v>
      </c>
      <c r="AW19" s="90">
        <f t="shared" si="237"/>
        <v>9.7754935298837687E-5</v>
      </c>
      <c r="AX19" s="90">
        <f t="shared" si="237"/>
        <v>9.7754935298837687E-5</v>
      </c>
      <c r="AY19" s="90">
        <f t="shared" si="237"/>
        <v>9.7754935298837687E-5</v>
      </c>
      <c r="AZ19" s="120">
        <v>-2.6792444489892511E-4</v>
      </c>
      <c r="BA19" s="90">
        <f t="shared" si="237"/>
        <v>-2.6792444489892511E-4</v>
      </c>
      <c r="BB19" s="90">
        <f>IF(BB17="","",BA19)</f>
        <v>-2.6792444489892511E-4</v>
      </c>
      <c r="BC19" s="90">
        <f t="shared" si="237"/>
        <v>-2.6792444489892511E-4</v>
      </c>
      <c r="BD19" s="90">
        <f t="shared" si="237"/>
        <v>-2.6792444489892511E-4</v>
      </c>
      <c r="BE19" s="90">
        <f t="shared" si="237"/>
        <v>-2.6792444489892511E-4</v>
      </c>
      <c r="BF19" s="90">
        <f t="shared" si="237"/>
        <v>-2.6792444489892511E-4</v>
      </c>
      <c r="BG19" s="90">
        <f t="shared" si="237"/>
        <v>-2.6792444489892511E-4</v>
      </c>
      <c r="BH19" s="90">
        <f t="shared" si="237"/>
        <v>-2.6792444489892511E-4</v>
      </c>
      <c r="BI19" s="90">
        <f t="shared" si="237"/>
        <v>-2.6792444489892511E-4</v>
      </c>
      <c r="BJ19" s="90">
        <f t="shared" si="237"/>
        <v>-2.6792444489892511E-4</v>
      </c>
      <c r="BK19" s="90">
        <f t="shared" si="237"/>
        <v>-2.6792444489892511E-4</v>
      </c>
      <c r="BL19" s="120">
        <v>-5.6490430642213007E-5</v>
      </c>
      <c r="BM19" s="90">
        <f t="shared" ref="BM19:CI19" si="238">IF(BM17="","",BL19)</f>
        <v>-5.6490430642213007E-5</v>
      </c>
      <c r="BN19" s="90">
        <f t="shared" si="238"/>
        <v>-5.6490430642213007E-5</v>
      </c>
      <c r="BO19" s="90">
        <f t="shared" si="238"/>
        <v>-5.6490430642213007E-5</v>
      </c>
      <c r="BP19" s="90">
        <f t="shared" si="238"/>
        <v>-5.6490430642213007E-5</v>
      </c>
      <c r="BQ19" s="90">
        <f t="shared" si="238"/>
        <v>-5.6490430642213007E-5</v>
      </c>
      <c r="BR19" s="90">
        <f t="shared" si="238"/>
        <v>-5.6490430642213007E-5</v>
      </c>
      <c r="BS19" s="90">
        <f t="shared" si="238"/>
        <v>-5.6490430642213007E-5</v>
      </c>
      <c r="BT19" s="90">
        <f t="shared" si="238"/>
        <v>-5.6490430642213007E-5</v>
      </c>
      <c r="BU19" s="90">
        <f t="shared" si="238"/>
        <v>-5.6490430642213007E-5</v>
      </c>
      <c r="BV19" s="90">
        <f t="shared" si="238"/>
        <v>-5.6490430642213007E-5</v>
      </c>
      <c r="BW19" s="90">
        <f t="shared" si="238"/>
        <v>-5.6490430642213007E-5</v>
      </c>
      <c r="BX19" s="120">
        <v>6.7396509981982239E-6</v>
      </c>
      <c r="BY19" s="90">
        <f t="shared" si="238"/>
        <v>6.7396509981982239E-6</v>
      </c>
      <c r="BZ19" s="90">
        <f t="shared" si="238"/>
        <v>6.7396509981982239E-6</v>
      </c>
      <c r="CA19" s="90">
        <f t="shared" si="238"/>
        <v>6.7396509981982239E-6</v>
      </c>
      <c r="CB19" s="90">
        <f t="shared" si="238"/>
        <v>6.7396509981982239E-6</v>
      </c>
      <c r="CC19" s="90">
        <f t="shared" si="238"/>
        <v>6.7396509981982239E-6</v>
      </c>
      <c r="CD19" s="90">
        <f t="shared" si="238"/>
        <v>6.7396509981982239E-6</v>
      </c>
      <c r="CE19" s="90">
        <f t="shared" si="238"/>
        <v>6.7396509981982239E-6</v>
      </c>
      <c r="CF19" s="90">
        <f t="shared" si="238"/>
        <v>6.7396509981982239E-6</v>
      </c>
      <c r="CG19" s="90">
        <f t="shared" si="238"/>
        <v>6.7396509981982239E-6</v>
      </c>
      <c r="CH19" s="90">
        <f t="shared" si="238"/>
        <v>6.7396509981982239E-6</v>
      </c>
      <c r="CI19" s="90">
        <f t="shared" si="238"/>
        <v>6.7396509981982239E-6</v>
      </c>
    </row>
    <row r="20" spans="1:87" x14ac:dyDescent="0.35">
      <c r="A20" s="309"/>
      <c r="B20" s="73" t="s">
        <v>63</v>
      </c>
      <c r="C20" s="62">
        <f>SUM(C18:C19)</f>
        <v>6.2000000000000003E-5</v>
      </c>
      <c r="D20" s="62">
        <f t="shared" ref="D20:E20" si="239">SUM(D18:D19)</f>
        <v>5.4500000000000002E-4</v>
      </c>
      <c r="E20" s="62">
        <f t="shared" si="239"/>
        <v>5.4500000000000002E-4</v>
      </c>
      <c r="F20" s="62">
        <f>IF(F17="","",SUM(F18:F19))</f>
        <v>5.4500000000000002E-4</v>
      </c>
      <c r="G20" s="62">
        <f t="shared" ref="G20:Z20" si="240">IF(G17="","",SUM(G18:G19))</f>
        <v>5.4500000000000002E-4</v>
      </c>
      <c r="H20" s="62">
        <f t="shared" si="240"/>
        <v>5.4500000000000002E-4</v>
      </c>
      <c r="I20" s="62">
        <f t="shared" si="240"/>
        <v>5.4500000000000002E-4</v>
      </c>
      <c r="J20" s="62">
        <f t="shared" si="240"/>
        <v>5.4500000000000002E-4</v>
      </c>
      <c r="K20" s="62">
        <f t="shared" si="240"/>
        <v>5.4500000000000002E-4</v>
      </c>
      <c r="L20" s="62">
        <f t="shared" si="240"/>
        <v>5.4500000000000002E-4</v>
      </c>
      <c r="M20" s="62">
        <f t="shared" si="240"/>
        <v>5.4500000000000002E-4</v>
      </c>
      <c r="N20" s="62">
        <f t="shared" si="240"/>
        <v>5.4500000000000002E-4</v>
      </c>
      <c r="O20" s="62">
        <f t="shared" si="240"/>
        <v>5.4500000000000002E-4</v>
      </c>
      <c r="P20" s="62">
        <f t="shared" si="240"/>
        <v>8.9724933596808617E-4</v>
      </c>
      <c r="Q20" s="62">
        <f t="shared" si="240"/>
        <v>8.9724933596808617E-4</v>
      </c>
      <c r="R20" s="62">
        <f t="shared" si="240"/>
        <v>8.9724933596808617E-4</v>
      </c>
      <c r="S20" s="62">
        <f t="shared" si="240"/>
        <v>8.9724933596808617E-4</v>
      </c>
      <c r="T20" s="62">
        <f t="shared" si="240"/>
        <v>8.9724933596808617E-4</v>
      </c>
      <c r="U20" s="62">
        <f t="shared" si="240"/>
        <v>8.9724933596808617E-4</v>
      </c>
      <c r="V20" s="62">
        <f t="shared" si="240"/>
        <v>8.9724933596808617E-4</v>
      </c>
      <c r="W20" s="62">
        <f t="shared" si="240"/>
        <v>8.9724933596808617E-4</v>
      </c>
      <c r="X20" s="62">
        <f t="shared" si="240"/>
        <v>8.9724933596808617E-4</v>
      </c>
      <c r="Y20" s="62">
        <f t="shared" si="240"/>
        <v>8.9724933596808617E-4</v>
      </c>
      <c r="Z20" s="62">
        <f t="shared" si="240"/>
        <v>8.9724933596808617E-4</v>
      </c>
      <c r="AA20" s="62">
        <f t="shared" ref="AA20:AC20" si="241">IF(AA17="","",SUM(AA18:AA19))</f>
        <v>8.9724933596808617E-4</v>
      </c>
      <c r="AB20" s="62">
        <f t="shared" si="241"/>
        <v>1.8018944742223895E-3</v>
      </c>
      <c r="AC20" s="62">
        <f t="shared" si="241"/>
        <v>1.8018944742223895E-3</v>
      </c>
      <c r="AD20" s="62">
        <f t="shared" ref="AD20:AM20" si="242">IF(AD17="","",SUM(AD18:AD19))</f>
        <v>1.8018944742223895E-3</v>
      </c>
      <c r="AE20" s="62">
        <f t="shared" si="242"/>
        <v>1.8018944742223895E-3</v>
      </c>
      <c r="AF20" s="62">
        <f t="shared" si="242"/>
        <v>1.8018944742223895E-3</v>
      </c>
      <c r="AG20" s="62">
        <f t="shared" si="242"/>
        <v>1.8018944742223895E-3</v>
      </c>
      <c r="AH20" s="62">
        <f t="shared" si="242"/>
        <v>1.8018944742223895E-3</v>
      </c>
      <c r="AI20" s="62">
        <f t="shared" si="242"/>
        <v>1.8018944742223895E-3</v>
      </c>
      <c r="AJ20" s="62">
        <f t="shared" si="242"/>
        <v>1.8018944742223895E-3</v>
      </c>
      <c r="AK20" s="62">
        <f t="shared" si="242"/>
        <v>1.8018944742223895E-3</v>
      </c>
      <c r="AL20" s="62">
        <f t="shared" si="242"/>
        <v>1.8018944742223895E-3</v>
      </c>
      <c r="AM20" s="62">
        <f t="shared" si="242"/>
        <v>1.8018944742223895E-3</v>
      </c>
      <c r="AN20" s="62">
        <f t="shared" ref="AN20:AO20" si="243">IF(AN17="","",SUM(AN18:AN19))</f>
        <v>5.5581240003021797E-4</v>
      </c>
      <c r="AO20" s="62">
        <f t="shared" si="243"/>
        <v>5.5581240003021797E-4</v>
      </c>
      <c r="AP20" s="62">
        <f t="shared" ref="AP20:AQ20" si="244">IF(AP17="","",SUM(AP18:AP19))</f>
        <v>5.5581240003021797E-4</v>
      </c>
      <c r="AQ20" s="62">
        <f t="shared" si="244"/>
        <v>5.5581240003021797E-4</v>
      </c>
      <c r="AR20" s="62">
        <f t="shared" ref="AR20:AS20" si="245">IF(AR17="","",SUM(AR18:AR19))</f>
        <v>5.5581240003021797E-4</v>
      </c>
      <c r="AS20" s="62">
        <f t="shared" si="245"/>
        <v>5.5581240003021797E-4</v>
      </c>
      <c r="AT20" s="62">
        <f t="shared" ref="AT20:AU20" si="246">IF(AT17="","",SUM(AT18:AT19))</f>
        <v>5.5581240003021797E-4</v>
      </c>
      <c r="AU20" s="62">
        <f t="shared" si="246"/>
        <v>5.5581240003021797E-4</v>
      </c>
      <c r="AV20" s="62">
        <f t="shared" ref="AV20:AW20" si="247">IF(AV17="","",SUM(AV18:AV19))</f>
        <v>5.5581240003021797E-4</v>
      </c>
      <c r="AW20" s="62">
        <f t="shared" si="247"/>
        <v>5.5581240003021797E-4</v>
      </c>
      <c r="AX20" s="62">
        <f t="shared" ref="AX20:AY20" si="248">IF(AX17="","",SUM(AX18:AX19))</f>
        <v>5.5581240003021797E-4</v>
      </c>
      <c r="AY20" s="62">
        <f t="shared" si="248"/>
        <v>5.5581240003021797E-4</v>
      </c>
      <c r="AZ20" s="62">
        <f t="shared" ref="AZ20:BA20" si="249">IF(AZ17="","",SUM(AZ18:AZ19))</f>
        <v>-2.2138824542806103E-4</v>
      </c>
      <c r="BA20" s="62">
        <f t="shared" si="249"/>
        <v>-2.2138824542806103E-4</v>
      </c>
      <c r="BB20" s="62">
        <f t="shared" ref="BB20:BC20" si="250">IF(BB17="","",SUM(BB18:BB19))</f>
        <v>-2.2138824542806103E-4</v>
      </c>
      <c r="BC20" s="62">
        <f t="shared" si="250"/>
        <v>-2.2138824542806103E-4</v>
      </c>
      <c r="BD20" s="62">
        <f t="shared" ref="BD20:BE20" si="251">IF(BD17="","",SUM(BD18:BD19))</f>
        <v>-2.2138824542806103E-4</v>
      </c>
      <c r="BE20" s="62">
        <f t="shared" si="251"/>
        <v>-2.2138824542806103E-4</v>
      </c>
      <c r="BF20" s="62">
        <f t="shared" ref="BF20:BG20" si="252">IF(BF17="","",SUM(BF18:BF19))</f>
        <v>-2.2138824542806103E-4</v>
      </c>
      <c r="BG20" s="62">
        <f t="shared" si="252"/>
        <v>-2.2138824542806103E-4</v>
      </c>
      <c r="BH20" s="62">
        <f t="shared" ref="BH20:BI20" si="253">IF(BH17="","",SUM(BH18:BH19))</f>
        <v>-2.2138824542806103E-4</v>
      </c>
      <c r="BI20" s="62">
        <f t="shared" si="253"/>
        <v>-2.2138824542806103E-4</v>
      </c>
      <c r="BJ20" s="62">
        <f t="shared" ref="BJ20:BK20" si="254">IF(BJ17="","",SUM(BJ18:BJ19))</f>
        <v>-2.2138824542806103E-4</v>
      </c>
      <c r="BK20" s="62">
        <f t="shared" si="254"/>
        <v>-2.2138824542806103E-4</v>
      </c>
      <c r="BL20" s="62">
        <f t="shared" ref="BL20:BM20" si="255">IF(BL17="","",SUM(BL18:BL19))</f>
        <v>-5.5008186635085464E-5</v>
      </c>
      <c r="BM20" s="62">
        <f t="shared" si="255"/>
        <v>-5.5008186635085464E-5</v>
      </c>
      <c r="BN20" s="62">
        <f t="shared" ref="BN20:BO20" si="256">IF(BN17="","",SUM(BN18:BN19))</f>
        <v>-5.5008186635085464E-5</v>
      </c>
      <c r="BO20" s="62">
        <f t="shared" si="256"/>
        <v>-5.5008186635085464E-5</v>
      </c>
      <c r="BP20" s="62">
        <f t="shared" ref="BP20:BQ20" si="257">IF(BP17="","",SUM(BP18:BP19))</f>
        <v>-5.5008186635085464E-5</v>
      </c>
      <c r="BQ20" s="62">
        <f t="shared" si="257"/>
        <v>-5.5008186635085464E-5</v>
      </c>
      <c r="BR20" s="62">
        <f t="shared" ref="BR20:BS20" si="258">IF(BR17="","",SUM(BR18:BR19))</f>
        <v>-5.5008186635085464E-5</v>
      </c>
      <c r="BS20" s="62">
        <f t="shared" si="258"/>
        <v>-5.5008186635085464E-5</v>
      </c>
      <c r="BT20" s="62">
        <f t="shared" ref="BT20:BU20" si="259">IF(BT17="","",SUM(BT18:BT19))</f>
        <v>-5.5008186635085464E-5</v>
      </c>
      <c r="BU20" s="62">
        <f t="shared" si="259"/>
        <v>-5.5008186635085464E-5</v>
      </c>
      <c r="BV20" s="62">
        <f t="shared" ref="BV20:BW20" si="260">IF(BV17="","",SUM(BV18:BV19))</f>
        <v>-5.5008186635085464E-5</v>
      </c>
      <c r="BW20" s="62">
        <f t="shared" si="260"/>
        <v>-5.5008186635085464E-5</v>
      </c>
      <c r="BX20" s="62">
        <f t="shared" ref="BX20:BY20" si="261">IF(BX17="","",SUM(BX18:BX19))</f>
        <v>6.7396509981982239E-6</v>
      </c>
      <c r="BY20" s="62">
        <f t="shared" si="261"/>
        <v>6.7396509981982239E-6</v>
      </c>
      <c r="BZ20" s="62">
        <f t="shared" ref="BZ20:CA20" si="262">IF(BZ17="","",SUM(BZ18:BZ19))</f>
        <v>6.7396509981982239E-6</v>
      </c>
      <c r="CA20" s="62">
        <f t="shared" si="262"/>
        <v>6.7396509981982239E-6</v>
      </c>
      <c r="CB20" s="62">
        <f t="shared" ref="CB20:CC20" si="263">IF(CB17="","",SUM(CB18:CB19))</f>
        <v>6.7396509981982239E-6</v>
      </c>
      <c r="CC20" s="62">
        <f t="shared" si="263"/>
        <v>6.7396509981982239E-6</v>
      </c>
      <c r="CD20" s="62">
        <f t="shared" ref="CD20:CE20" si="264">IF(CD17="","",SUM(CD18:CD19))</f>
        <v>6.7396509981982239E-6</v>
      </c>
      <c r="CE20" s="62">
        <f t="shared" si="264"/>
        <v>6.7396509981982239E-6</v>
      </c>
      <c r="CF20" s="62">
        <f t="shared" ref="CF20:CG20" si="265">IF(CF17="","",SUM(CF18:CF19))</f>
        <v>6.7396509981982239E-6</v>
      </c>
      <c r="CG20" s="62">
        <f t="shared" si="265"/>
        <v>6.7396509981982239E-6</v>
      </c>
      <c r="CH20" s="62">
        <f t="shared" ref="CH20:CI20" si="266">IF(CH17="","",SUM(CH18:CH19))</f>
        <v>6.7396509981982239E-6</v>
      </c>
      <c r="CI20" s="62">
        <f t="shared" si="266"/>
        <v>6.7396509981982239E-6</v>
      </c>
    </row>
    <row r="21" spans="1:87" x14ac:dyDescent="0.35">
      <c r="A21" s="309"/>
      <c r="B21" s="73" t="s">
        <v>56</v>
      </c>
      <c r="C21" s="66">
        <f>+C19/C20</f>
        <v>0</v>
      </c>
      <c r="D21" s="66">
        <f>+IFERROR(D19/D20,"")</f>
        <v>0.21467889908256879</v>
      </c>
      <c r="E21" s="66">
        <f>+IFERROR(E19/E20,"")</f>
        <v>0.21467889908256879</v>
      </c>
      <c r="F21" s="66">
        <f>IF(F17="","",IFERROR(F19/F20,""))</f>
        <v>0.21467889908256879</v>
      </c>
      <c r="G21" s="66">
        <f t="shared" ref="G21:Z21" si="267">IF(G17="","",IFERROR(G19/G20,""))</f>
        <v>0.21467889908256879</v>
      </c>
      <c r="H21" s="66">
        <f t="shared" si="267"/>
        <v>0.21467889908256879</v>
      </c>
      <c r="I21" s="66">
        <f t="shared" si="267"/>
        <v>0.21467889908256879</v>
      </c>
      <c r="J21" s="66">
        <f t="shared" si="267"/>
        <v>0.21467889908256879</v>
      </c>
      <c r="K21" s="66">
        <f t="shared" si="267"/>
        <v>0.21467889908256879</v>
      </c>
      <c r="L21" s="66">
        <f t="shared" si="267"/>
        <v>0.21467889908256879</v>
      </c>
      <c r="M21" s="66">
        <f t="shared" si="267"/>
        <v>0.21467889908256879</v>
      </c>
      <c r="N21" s="66">
        <f t="shared" si="267"/>
        <v>0.21467889908256879</v>
      </c>
      <c r="O21" s="66">
        <f t="shared" si="267"/>
        <v>0.21467889908256879</v>
      </c>
      <c r="P21" s="66">
        <f t="shared" si="267"/>
        <v>-7.3533092550781692E-2</v>
      </c>
      <c r="Q21" s="66">
        <f t="shared" si="267"/>
        <v>-7.3533092550781692E-2</v>
      </c>
      <c r="R21" s="66">
        <f t="shared" si="267"/>
        <v>-7.3533092550781692E-2</v>
      </c>
      <c r="S21" s="66">
        <f t="shared" si="267"/>
        <v>-7.3533092550781692E-2</v>
      </c>
      <c r="T21" s="66">
        <f t="shared" si="267"/>
        <v>-7.3533092550781692E-2</v>
      </c>
      <c r="U21" s="66">
        <f t="shared" si="267"/>
        <v>-7.3533092550781692E-2</v>
      </c>
      <c r="V21" s="66">
        <f t="shared" si="267"/>
        <v>-7.3533092550781692E-2</v>
      </c>
      <c r="W21" s="66">
        <f t="shared" si="267"/>
        <v>-7.3533092550781692E-2</v>
      </c>
      <c r="X21" s="66">
        <f t="shared" si="267"/>
        <v>-7.3533092550781692E-2</v>
      </c>
      <c r="Y21" s="66">
        <f t="shared" si="267"/>
        <v>-7.3533092550781692E-2</v>
      </c>
      <c r="Z21" s="66">
        <f t="shared" si="267"/>
        <v>-7.3533092550781692E-2</v>
      </c>
      <c r="AA21" s="66">
        <f t="shared" ref="AA21:AC21" si="268">IF(AA17="","",IFERROR(AA19/AA20,""))</f>
        <v>-7.3533092550781692E-2</v>
      </c>
      <c r="AB21" s="66">
        <f t="shared" si="268"/>
        <v>3.5630950815706608E-2</v>
      </c>
      <c r="AC21" s="66">
        <f t="shared" si="268"/>
        <v>3.5630950815706608E-2</v>
      </c>
      <c r="AD21" s="66">
        <f t="shared" ref="AD21:AM21" si="269">IF(AD17="","",IFERROR(AD19/AD20,""))</f>
        <v>3.5630950815706608E-2</v>
      </c>
      <c r="AE21" s="66">
        <f t="shared" si="269"/>
        <v>3.5630950815706608E-2</v>
      </c>
      <c r="AF21" s="66">
        <f t="shared" si="269"/>
        <v>3.5630950815706608E-2</v>
      </c>
      <c r="AG21" s="66">
        <f t="shared" si="269"/>
        <v>3.5630950815706608E-2</v>
      </c>
      <c r="AH21" s="66">
        <f t="shared" si="269"/>
        <v>3.5630950815706608E-2</v>
      </c>
      <c r="AI21" s="66">
        <f t="shared" si="269"/>
        <v>3.5630950815706608E-2</v>
      </c>
      <c r="AJ21" s="66">
        <f t="shared" si="269"/>
        <v>3.5630950815706608E-2</v>
      </c>
      <c r="AK21" s="66">
        <f t="shared" si="269"/>
        <v>3.5630950815706608E-2</v>
      </c>
      <c r="AL21" s="66">
        <f t="shared" si="269"/>
        <v>3.5630950815706608E-2</v>
      </c>
      <c r="AM21" s="66">
        <f t="shared" si="269"/>
        <v>3.5630950815706608E-2</v>
      </c>
      <c r="AN21" s="66">
        <f t="shared" ref="AN21:AO21" si="270">IF(AN17="","",IFERROR(AN19/AN20,""))</f>
        <v>0.17587757180934255</v>
      </c>
      <c r="AO21" s="66">
        <f t="shared" si="270"/>
        <v>0.17587757180934255</v>
      </c>
      <c r="AP21" s="66">
        <f t="shared" ref="AP21:AQ21" si="271">IF(AP17="","",IFERROR(AP19/AP20,""))</f>
        <v>0.17587757180934255</v>
      </c>
      <c r="AQ21" s="66">
        <f t="shared" si="271"/>
        <v>0.17587757180934255</v>
      </c>
      <c r="AR21" s="66">
        <f t="shared" ref="AR21:AS21" si="272">IF(AR17="","",IFERROR(AR19/AR20,""))</f>
        <v>0.17587757180934255</v>
      </c>
      <c r="AS21" s="66">
        <f t="shared" si="272"/>
        <v>0.17587757180934255</v>
      </c>
      <c r="AT21" s="66">
        <f t="shared" ref="AT21:AU21" si="273">IF(AT17="","",IFERROR(AT19/AT20,""))</f>
        <v>0.17587757180934255</v>
      </c>
      <c r="AU21" s="66">
        <f t="shared" si="273"/>
        <v>0.17587757180934255</v>
      </c>
      <c r="AV21" s="66">
        <f t="shared" ref="AV21:AW21" si="274">IF(AV17="","",IFERROR(AV19/AV20,""))</f>
        <v>0.17587757180934255</v>
      </c>
      <c r="AW21" s="66">
        <f t="shared" si="274"/>
        <v>0.17587757180934255</v>
      </c>
      <c r="AX21" s="66">
        <f t="shared" ref="AX21:AY21" si="275">IF(AX17="","",IFERROR(AX19/AX20,""))</f>
        <v>0.17587757180934255</v>
      </c>
      <c r="AY21" s="66">
        <f t="shared" si="275"/>
        <v>0.17587757180934255</v>
      </c>
      <c r="AZ21" s="66">
        <f t="shared" ref="AZ21:BA21" si="276">IF(AZ17="","",IFERROR(AZ19/AZ20,""))</f>
        <v>1.2102017628844066</v>
      </c>
      <c r="BA21" s="66">
        <f t="shared" si="276"/>
        <v>1.2102017628844066</v>
      </c>
      <c r="BB21" s="66">
        <f t="shared" ref="BB21:BC21" si="277">IF(BB17="","",IFERROR(BB19/BB20,""))</f>
        <v>1.2102017628844066</v>
      </c>
      <c r="BC21" s="66">
        <f t="shared" si="277"/>
        <v>1.2102017628844066</v>
      </c>
      <c r="BD21" s="66">
        <f t="shared" ref="BD21:BE21" si="278">IF(BD17="","",IFERROR(BD19/BD20,""))</f>
        <v>1.2102017628844066</v>
      </c>
      <c r="BE21" s="66">
        <f t="shared" si="278"/>
        <v>1.2102017628844066</v>
      </c>
      <c r="BF21" s="66">
        <f t="shared" ref="BF21:BG21" si="279">IF(BF17="","",IFERROR(BF19/BF20,""))</f>
        <v>1.2102017628844066</v>
      </c>
      <c r="BG21" s="66">
        <f t="shared" si="279"/>
        <v>1.2102017628844066</v>
      </c>
      <c r="BH21" s="66">
        <f t="shared" ref="BH21:BI21" si="280">IF(BH17="","",IFERROR(BH19/BH20,""))</f>
        <v>1.2102017628844066</v>
      </c>
      <c r="BI21" s="66">
        <f t="shared" si="280"/>
        <v>1.2102017628844066</v>
      </c>
      <c r="BJ21" s="66">
        <f t="shared" ref="BJ21:BK21" si="281">IF(BJ17="","",IFERROR(BJ19/BJ20,""))</f>
        <v>1.2102017628844066</v>
      </c>
      <c r="BK21" s="66">
        <f t="shared" si="281"/>
        <v>1.2102017628844066</v>
      </c>
      <c r="BL21" s="66">
        <f t="shared" ref="BL21:BM21" si="282">IF(BL17="","",IFERROR(BL19/BL20,""))</f>
        <v>1.0269458802007143</v>
      </c>
      <c r="BM21" s="66">
        <f t="shared" si="282"/>
        <v>1.0269458802007143</v>
      </c>
      <c r="BN21" s="66">
        <f t="shared" ref="BN21:BO21" si="283">IF(BN17="","",IFERROR(BN19/BN20,""))</f>
        <v>1.0269458802007143</v>
      </c>
      <c r="BO21" s="66">
        <f t="shared" si="283"/>
        <v>1.0269458802007143</v>
      </c>
      <c r="BP21" s="66">
        <f t="shared" ref="BP21:BQ21" si="284">IF(BP17="","",IFERROR(BP19/BP20,""))</f>
        <v>1.0269458802007143</v>
      </c>
      <c r="BQ21" s="66">
        <f t="shared" si="284"/>
        <v>1.0269458802007143</v>
      </c>
      <c r="BR21" s="66">
        <f t="shared" ref="BR21:BS21" si="285">IF(BR17="","",IFERROR(BR19/BR20,""))</f>
        <v>1.0269458802007143</v>
      </c>
      <c r="BS21" s="66">
        <f t="shared" si="285"/>
        <v>1.0269458802007143</v>
      </c>
      <c r="BT21" s="66">
        <f t="shared" ref="BT21:BU21" si="286">IF(BT17="","",IFERROR(BT19/BT20,""))</f>
        <v>1.0269458802007143</v>
      </c>
      <c r="BU21" s="66">
        <f t="shared" si="286"/>
        <v>1.0269458802007143</v>
      </c>
      <c r="BV21" s="66">
        <f t="shared" ref="BV21:BW21" si="287">IF(BV17="","",IFERROR(BV19/BV20,""))</f>
        <v>1.0269458802007143</v>
      </c>
      <c r="BW21" s="66">
        <f t="shared" si="287"/>
        <v>1.0269458802007143</v>
      </c>
      <c r="BX21" s="66">
        <f t="shared" ref="BX21:BY21" si="288">IF(BX17="","",IFERROR(BX19/BX20,""))</f>
        <v>1</v>
      </c>
      <c r="BY21" s="66">
        <f t="shared" si="288"/>
        <v>1</v>
      </c>
      <c r="BZ21" s="66">
        <f t="shared" ref="BZ21:CA21" si="289">IF(BZ17="","",IFERROR(BZ19/BZ20,""))</f>
        <v>1</v>
      </c>
      <c r="CA21" s="66">
        <f t="shared" si="289"/>
        <v>1</v>
      </c>
      <c r="CB21" s="66">
        <f t="shared" ref="CB21:CC21" si="290">IF(CB17="","",IFERROR(CB19/CB20,""))</f>
        <v>1</v>
      </c>
      <c r="CC21" s="66">
        <f t="shared" si="290"/>
        <v>1</v>
      </c>
      <c r="CD21" s="66">
        <f t="shared" ref="CD21:CE21" si="291">IF(CD17="","",IFERROR(CD19/CD20,""))</f>
        <v>1</v>
      </c>
      <c r="CE21" s="66">
        <f t="shared" si="291"/>
        <v>1</v>
      </c>
      <c r="CF21" s="66">
        <f t="shared" ref="CF21:CG21" si="292">IF(CF17="","",IFERROR(CF19/CF20,""))</f>
        <v>1</v>
      </c>
      <c r="CG21" s="66">
        <f t="shared" si="292"/>
        <v>1</v>
      </c>
      <c r="CH21" s="66">
        <f t="shared" ref="CH21:CI21" si="293">IF(CH17="","",IFERROR(CH19/CH20,""))</f>
        <v>1</v>
      </c>
      <c r="CI21" s="66">
        <f t="shared" si="293"/>
        <v>1</v>
      </c>
    </row>
    <row r="22" spans="1:87" s="48" customFormat="1" x14ac:dyDescent="0.35">
      <c r="A22" s="309"/>
      <c r="B22" s="74" t="s">
        <v>57</v>
      </c>
      <c r="C22" s="64">
        <f>+C21*C17</f>
        <v>0</v>
      </c>
      <c r="D22" s="64">
        <f>+ROUND(D21*D17,2)</f>
        <v>71898.7</v>
      </c>
      <c r="E22" s="64">
        <f>+ROUND(E21*E17,2)</f>
        <v>66949.69</v>
      </c>
      <c r="F22" s="64">
        <f>IF(F17="","",ROUND(F21*F17,2))</f>
        <v>65784.28</v>
      </c>
      <c r="G22" s="64">
        <f t="shared" ref="G22:Z22" si="294">IF(G17="","",ROUND(G21*G17,2))</f>
        <v>67640.86</v>
      </c>
      <c r="H22" s="64">
        <f t="shared" si="294"/>
        <v>76671.17</v>
      </c>
      <c r="I22" s="64">
        <f t="shared" si="294"/>
        <v>83492.649999999994</v>
      </c>
      <c r="J22" s="64">
        <f t="shared" si="294"/>
        <v>85057.91</v>
      </c>
      <c r="K22" s="64">
        <f t="shared" si="294"/>
        <v>80184.02</v>
      </c>
      <c r="L22" s="64">
        <f t="shared" si="294"/>
        <v>76993.81</v>
      </c>
      <c r="M22" s="64">
        <f t="shared" si="294"/>
        <v>69111.11</v>
      </c>
      <c r="N22" s="64">
        <f t="shared" si="294"/>
        <v>72387.59</v>
      </c>
      <c r="O22" s="64">
        <f t="shared" si="294"/>
        <v>87183.75</v>
      </c>
      <c r="P22" s="64">
        <f t="shared" si="294"/>
        <v>-41861.18</v>
      </c>
      <c r="Q22" s="64">
        <f t="shared" si="294"/>
        <v>-39019.480000000003</v>
      </c>
      <c r="R22" s="64">
        <f t="shared" si="294"/>
        <v>-39371.050000000003</v>
      </c>
      <c r="S22" s="64">
        <f t="shared" si="294"/>
        <v>-39036.15</v>
      </c>
      <c r="T22" s="64">
        <f t="shared" si="294"/>
        <v>-46545.52</v>
      </c>
      <c r="U22" s="64">
        <f t="shared" si="294"/>
        <v>-49426.59</v>
      </c>
      <c r="V22" s="64">
        <f t="shared" si="294"/>
        <v>-46776.66</v>
      </c>
      <c r="W22" s="64">
        <f t="shared" si="294"/>
        <v>-47596.959999999999</v>
      </c>
      <c r="X22" s="64">
        <f t="shared" si="294"/>
        <v>-43247.34</v>
      </c>
      <c r="Y22" s="64">
        <f t="shared" si="294"/>
        <v>-38462.730000000003</v>
      </c>
      <c r="Z22" s="64">
        <f t="shared" si="294"/>
        <v>-41888.32</v>
      </c>
      <c r="AA22" s="64">
        <f t="shared" ref="AA22:AC22" si="295">IF(AA17="","",ROUND(AA21*AA17,2))</f>
        <v>-45748.6</v>
      </c>
      <c r="AB22" s="64">
        <f t="shared" si="295"/>
        <v>39945.300000000003</v>
      </c>
      <c r="AC22" s="64">
        <f t="shared" si="295"/>
        <v>37916.46</v>
      </c>
      <c r="AD22" s="64">
        <f t="shared" ref="AD22:AM22" si="296">IF(AD17="","",ROUND(AD21*AD17,2))</f>
        <v>34074.25</v>
      </c>
      <c r="AE22" s="64">
        <f t="shared" si="296"/>
        <v>35217.550000000003</v>
      </c>
      <c r="AF22" s="64">
        <f t="shared" si="296"/>
        <v>39184.730000000003</v>
      </c>
      <c r="AG22" s="64">
        <f t="shared" si="296"/>
        <v>42158.83</v>
      </c>
      <c r="AH22" s="64">
        <f t="shared" si="296"/>
        <v>43134.47</v>
      </c>
      <c r="AI22" s="64">
        <f t="shared" si="296"/>
        <v>43546.37</v>
      </c>
      <c r="AJ22" s="64">
        <f t="shared" si="296"/>
        <v>39985.99</v>
      </c>
      <c r="AK22" s="64">
        <f t="shared" si="296"/>
        <v>35295.050000000003</v>
      </c>
      <c r="AL22" s="64">
        <f t="shared" si="296"/>
        <v>38295.129999999997</v>
      </c>
      <c r="AM22" s="64">
        <f t="shared" si="296"/>
        <v>39611.050000000003</v>
      </c>
      <c r="AN22" s="64">
        <f t="shared" ref="AN22:AO22" si="297">IF(AN17="","",ROUND(AN21*AN17,2))</f>
        <v>135781.93</v>
      </c>
      <c r="AO22" s="64">
        <f t="shared" si="297"/>
        <v>56245.39</v>
      </c>
      <c r="AP22" s="64">
        <f t="shared" ref="AP22:AQ22" si="298">IF(AP17="","",ROUND(AP21*AP17,2))</f>
        <v>47316.91</v>
      </c>
      <c r="AQ22" s="64">
        <f t="shared" si="298"/>
        <v>43930.2</v>
      </c>
      <c r="AR22" s="64">
        <f t="shared" ref="AR22:AS22" si="299">IF(AR17="","",ROUND(AR21*AR17,2))</f>
        <v>52291.199999999997</v>
      </c>
      <c r="AS22" s="64">
        <f t="shared" si="299"/>
        <v>61054.93</v>
      </c>
      <c r="AT22" s="64">
        <f t="shared" ref="AT22:AU22" si="300">IF(AT17="","",ROUND(AT21*AT17,2))</f>
        <v>60755.16</v>
      </c>
      <c r="AU22" s="64">
        <f t="shared" si="300"/>
        <v>60542.36</v>
      </c>
      <c r="AV22" s="64">
        <f t="shared" ref="AV22:AW22" si="301">IF(AV17="","",ROUND(AV21*AV17,2))</f>
        <v>51660.87</v>
      </c>
      <c r="AW22" s="64">
        <f t="shared" si="301"/>
        <v>50317.66</v>
      </c>
      <c r="AX22" s="64">
        <f t="shared" ref="AX22:AY22" si="302">IF(AX17="","",ROUND(AX21*AX17,2))</f>
        <v>54088.43</v>
      </c>
      <c r="AY22" s="64">
        <f t="shared" si="302"/>
        <v>57968.47</v>
      </c>
      <c r="AZ22" s="64">
        <f t="shared" ref="AZ22:BA22" si="303">IF(AZ17="","",ROUND(AZ21*AZ17,2))</f>
        <v>155185.29</v>
      </c>
      <c r="BA22" s="64">
        <f t="shared" si="303"/>
        <v>-144151.20000000001</v>
      </c>
      <c r="BB22" s="64">
        <f t="shared" ref="BB22:BC22" si="304">IF(BB17="","",ROUND(BB21*BB17,2))</f>
        <v>-129139.73</v>
      </c>
      <c r="BC22" s="64">
        <f t="shared" si="304"/>
        <v>-131496.01999999999</v>
      </c>
      <c r="BD22" s="64">
        <f t="shared" ref="BD22:BE22" si="305">IF(BD17="","",ROUND(BD21*BD17,2))</f>
        <v>-146683.67000000001</v>
      </c>
      <c r="BE22" s="64">
        <f t="shared" si="305"/>
        <v>-170727.8</v>
      </c>
      <c r="BF22" s="64">
        <f t="shared" ref="BF22:BG22" si="306">IF(BF17="","",ROUND(BF21*BF17,2))</f>
        <v>-169792.6</v>
      </c>
      <c r="BG22" s="64">
        <f t="shared" si="306"/>
        <v>-173041.64</v>
      </c>
      <c r="BH22" s="64">
        <f t="shared" ref="BH22:BI22" si="307">IF(BH17="","",ROUND(BH21*BH17,2))</f>
        <v>-152089.43</v>
      </c>
      <c r="BI22" s="64">
        <f t="shared" si="307"/>
        <v>-135146.15</v>
      </c>
      <c r="BJ22" s="64">
        <f t="shared" ref="BJ22:BK22" si="308">IF(BJ17="","",ROUND(BJ21*BJ17,2))</f>
        <v>-147703.67000000001</v>
      </c>
      <c r="BK22" s="64">
        <f t="shared" si="308"/>
        <v>-157813.82</v>
      </c>
      <c r="BL22" s="64">
        <f t="shared" ref="BL22:BM22" si="309">IF(BL17="","",ROUND(BL21*BL17,2))</f>
        <v>-94457.73</v>
      </c>
      <c r="BM22" s="64">
        <f t="shared" si="309"/>
        <v>-30773.360000000001</v>
      </c>
      <c r="BN22" s="64">
        <f t="shared" ref="BN22:BO22" si="310">IF(BN17="","",ROUND(BN21*BN17,2))</f>
        <v>-28505.86</v>
      </c>
      <c r="BO22" s="64">
        <f t="shared" si="310"/>
        <v>-29204.54</v>
      </c>
      <c r="BP22" s="64">
        <f t="shared" ref="BP22:BQ22" si="311">IF(BP17="","",ROUND(BP21*BP17,2))</f>
        <v>-32647.23</v>
      </c>
      <c r="BQ22" s="64">
        <f t="shared" si="311"/>
        <v>-37342.58</v>
      </c>
      <c r="BR22" s="64">
        <f t="shared" ref="BR22:BS22" si="312">IF(BR17="","",ROUND(BR21*BR17,2))</f>
        <v>-36437.18</v>
      </c>
      <c r="BS22" s="64">
        <f t="shared" si="312"/>
        <v>-34781.339999999997</v>
      </c>
      <c r="BT22" s="64">
        <f t="shared" ref="BT22:BU22" si="313">IF(BT17="","",ROUND(BT21*BT17,2))</f>
        <v>-29940.03</v>
      </c>
      <c r="BU22" s="64">
        <f t="shared" si="313"/>
        <v>-28253.98</v>
      </c>
      <c r="BV22" s="64">
        <f t="shared" ref="BV22:BW22" si="314">IF(BV17="","",ROUND(BV21*BV17,2))</f>
        <v>-32650.48</v>
      </c>
      <c r="BW22" s="64">
        <f t="shared" si="314"/>
        <v>-33625.660000000003</v>
      </c>
      <c r="BX22" s="64">
        <f t="shared" ref="BX22:BY22" si="315">IF(BX17="","",ROUND(BX21*BX17,2))</f>
        <v>-16554.349999999999</v>
      </c>
      <c r="BY22" s="64">
        <f t="shared" si="315"/>
        <v>3415.88</v>
      </c>
      <c r="BZ22" s="64">
        <f t="shared" ref="BZ22:CA22" si="316">IF(BZ17="","",ROUND(BZ21*BZ17,2))</f>
        <v>3374.69</v>
      </c>
      <c r="CA22" s="64">
        <f t="shared" si="316"/>
        <v>3515.72</v>
      </c>
      <c r="CB22" s="64">
        <f t="shared" ref="CB22:CC22" si="317">IF(CB17="","",ROUND(CB21*CB17,2))</f>
        <v>3850.08</v>
      </c>
      <c r="CC22" s="64">
        <f t="shared" si="317"/>
        <v>4146.47</v>
      </c>
      <c r="CD22" s="64">
        <f t="shared" ref="CD22:CE22" si="318">IF(CD17="","",ROUND(CD21*CD17,2))</f>
        <v>4258.54</v>
      </c>
      <c r="CE22" s="64">
        <f t="shared" si="318"/>
        <v>4280.59</v>
      </c>
      <c r="CF22" s="64">
        <f t="shared" ref="CF22:CG22" si="319">IF(CF17="","",ROUND(CF21*CF17,2))</f>
        <v>3781.21</v>
      </c>
      <c r="CG22" s="64">
        <f t="shared" si="319"/>
        <v>3536.93</v>
      </c>
      <c r="CH22" s="64">
        <f t="shared" ref="CH22:CI22" si="320">IF(CH17="","",ROUND(CH21*CH17,2))</f>
        <v>3801.92</v>
      </c>
      <c r="CI22" s="64">
        <f t="shared" si="320"/>
        <v>4236.54</v>
      </c>
    </row>
    <row r="23" spans="1:87" s="48" customFormat="1" ht="9" customHeight="1" x14ac:dyDescent="0.35">
      <c r="A23" s="77"/>
      <c r="B23" s="7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row>
    <row r="24" spans="1:87" x14ac:dyDescent="0.35">
      <c r="A24" s="309" t="s">
        <v>36</v>
      </c>
      <c r="B24" s="73" t="s">
        <v>53</v>
      </c>
      <c r="C24" s="63">
        <f>+'MEEIA 2 calcs'!O58</f>
        <v>31958.9</v>
      </c>
      <c r="D24" s="63">
        <f>+'MEEIA 2 calcs'!P58</f>
        <v>328456.91000000003</v>
      </c>
      <c r="E24" s="63">
        <f>+'MEEIA 2 calcs'!Q58</f>
        <v>267175.5</v>
      </c>
      <c r="F24" s="63">
        <f>+'M2 Allocations - TD'!Q53</f>
        <v>287500.39</v>
      </c>
      <c r="G24" s="63">
        <f>IF(+'M2 Allocations - TD'!R53="","",'M2 Allocations - TD'!R53)</f>
        <v>291239.59000000003</v>
      </c>
      <c r="H24" s="63">
        <f>IF(+'M2 Allocations - TD'!S53="","",'M2 Allocations - TD'!S53)</f>
        <v>334700.84000000003</v>
      </c>
      <c r="I24" s="63">
        <f>IF(+'M2 Allocations - TD'!T53="","",'M2 Allocations - TD'!T53)</f>
        <v>327858.78000000003</v>
      </c>
      <c r="J24" s="63">
        <f>IF(+'M2 Allocations - TD'!U53="","",'M2 Allocations - TD'!U53)</f>
        <v>345877.98</v>
      </c>
      <c r="K24" s="63">
        <f>IF(+'M2 Allocations - TD'!V53="","",'M2 Allocations - TD'!V53)</f>
        <v>332796.82</v>
      </c>
      <c r="L24" s="63">
        <f>IF(+'M2 Allocations - TD'!W53="","",'M2 Allocations - TD'!W53)</f>
        <v>325738.77</v>
      </c>
      <c r="M24" s="63">
        <f>IF(+'M2 Allocations - TD'!X53="","",'M2 Allocations - TD'!X53)</f>
        <v>293261.37</v>
      </c>
      <c r="N24" s="63">
        <f>IF(+'M2 Allocations - TD'!Y53="","",'M2 Allocations - TD'!Y53)</f>
        <v>307322.53000000003</v>
      </c>
      <c r="O24" s="63">
        <f>IF(+'M2 Allocations - TD'!Z53="","",'M2 Allocations - TD'!Z53)</f>
        <v>339565.96</v>
      </c>
      <c r="P24" s="63">
        <f>IF(+'M2 Allocations - TD'!AA53="","",'M2 Allocations - TD'!AA53)</f>
        <v>307869.25</v>
      </c>
      <c r="Q24" s="63">
        <f>IF(+'M2 Allocations - TD'!AB53="","",'M2 Allocations - TD'!AB53)</f>
        <v>306963.45</v>
      </c>
      <c r="R24" s="63">
        <f>IF(+'M2 Allocations - TD'!AC53="","",'M2 Allocations - TD'!AC53)</f>
        <v>283370.14</v>
      </c>
      <c r="S24" s="63">
        <f>IF(+'M2 Allocations - TD'!AD53="","",'M2 Allocations - TD'!AD53)</f>
        <v>326351.34000000003</v>
      </c>
      <c r="T24" s="63">
        <f>IF(+'M2 Allocations - TD'!AE53="","",'M2 Allocations - TD'!AE53)</f>
        <v>353914.84</v>
      </c>
      <c r="U24" s="63">
        <f>IF(+'M2 Allocations - TD'!AF53="","",'M2 Allocations - TD'!AF53)</f>
        <v>366503.78</v>
      </c>
      <c r="V24" s="63">
        <f>IF(+'M2 Allocations - TD'!AG53="","",'M2 Allocations - TD'!AG53)</f>
        <v>360257.72</v>
      </c>
      <c r="W24" s="63">
        <f>IF(+'M2 Allocations - TD'!AH53="","",'M2 Allocations - TD'!AH53)</f>
        <v>350605.05</v>
      </c>
      <c r="X24" s="63">
        <f>IF(+'M2 Allocations - TD'!AI53="","",'M2 Allocations - TD'!AI53)</f>
        <v>328773.59000000003</v>
      </c>
      <c r="Y24" s="63">
        <f>IF(+'M2 Allocations - TD'!AJ53="","",'M2 Allocations - TD'!AJ53)</f>
        <v>305971.46999999997</v>
      </c>
      <c r="Z24" s="63">
        <f>IF(+'M2 Allocations - TD'!AK53="","",'M2 Allocations - TD'!AK53)</f>
        <v>329009.21000000002</v>
      </c>
      <c r="AA24" s="63">
        <f>IF(+'M2 Allocations - TD'!AL53="","",'M2 Allocations - TD'!AL53)</f>
        <v>301972.13</v>
      </c>
      <c r="AB24" s="63">
        <f>IF(+'M2 Allocations - TD'!AM53="","",'M2 Allocations - TD'!AM53)</f>
        <v>361271.84</v>
      </c>
      <c r="AC24" s="63">
        <f>IF(+'M2 Allocations - TD'!AN53="","",'M2 Allocations - TD'!AN53)</f>
        <v>357649</v>
      </c>
      <c r="AD24" s="63">
        <f>IF(+'M2 Allocations - TD'!AO53="","",'M2 Allocations - TD'!AO53)</f>
        <v>342832.09</v>
      </c>
      <c r="AE24" s="63">
        <f>IF(+'M2 Allocations - TD'!AP53="","",'M2 Allocations - TD'!AP53)</f>
        <v>342002.7</v>
      </c>
      <c r="AF24" s="63">
        <f>IF(+'M2 Allocations - TD'!AQ53="","",'M2 Allocations - TD'!AQ53)</f>
        <v>397393.17</v>
      </c>
      <c r="AG24" s="63">
        <f>IF(+'M2 Allocations - TD'!AR53="","",'M2 Allocations - TD'!AR53)</f>
        <v>399370.7</v>
      </c>
      <c r="AH24" s="63">
        <f>IF(+'M2 Allocations - TD'!AS53="","",'M2 Allocations - TD'!AS53)</f>
        <v>419257.53</v>
      </c>
      <c r="AI24" s="63">
        <f>IF(+'M2 Allocations - TD'!AT53="","",'M2 Allocations - TD'!AT53)</f>
        <v>416719</v>
      </c>
      <c r="AJ24" s="63">
        <f>IF(+'M2 Allocations - TD'!AU53="","",'M2 Allocations - TD'!AU53)</f>
        <v>386141.21</v>
      </c>
      <c r="AK24" s="63">
        <f>IF(+'M2 Allocations - TD'!AV53="","",'M2 Allocations - TD'!AV53)</f>
        <v>357086.62</v>
      </c>
      <c r="AL24" s="63">
        <f>IF(+'M2 Allocations - TD'!AW53="","",'M2 Allocations - TD'!AW53)</f>
        <v>359534.39</v>
      </c>
      <c r="AM24" s="63">
        <f>IF(+'M2 Allocations - TD'!AX53="","",'M2 Allocations - TD'!AX53)</f>
        <v>369865.83</v>
      </c>
      <c r="AN24" s="63">
        <f>IF(+'M2 Allocations - TD'!AY53="","",'M2 Allocations - TD'!AY53)</f>
        <v>293791.12</v>
      </c>
      <c r="AO24" s="63">
        <f>IF(+'M2 Allocations - TD'!AZ53="","",'M2 Allocations - TD'!AZ53)</f>
        <v>123483.39</v>
      </c>
      <c r="AP24" s="63">
        <f>IF(+'M2 Allocations - TD'!BA53="","",'M2 Allocations - TD'!BA53)</f>
        <v>118999.09</v>
      </c>
      <c r="AQ24" s="63">
        <f>IF(+'M2 Allocations - TD'!BB53="","",'M2 Allocations - TD'!BB53)</f>
        <v>112027.34</v>
      </c>
      <c r="AR24" s="63">
        <f>IF(+'M2 Allocations - TD'!BC53="","",'M2 Allocations - TD'!BC53)</f>
        <v>130470.39999999999</v>
      </c>
      <c r="AS24" s="63">
        <f>IF(+'M2 Allocations - TD'!BD53="","",'M2 Allocations - TD'!BD53)</f>
        <v>137323.88</v>
      </c>
      <c r="AT24" s="63">
        <f>IF(+'M2 Allocations - TD'!BE53="","",'M2 Allocations - TD'!BE53)</f>
        <v>143937.82999999999</v>
      </c>
      <c r="AU24" s="63">
        <f>IF(+'M2 Allocations - TD'!BF53="","",'M2 Allocations - TD'!BF53)</f>
        <v>143974.57</v>
      </c>
      <c r="AV24" s="63">
        <f>IF(+'M2 Allocations - TD'!BG53="","",'M2 Allocations - TD'!BG53)</f>
        <v>127974.65</v>
      </c>
      <c r="AW24" s="63">
        <f>IF(+'M2 Allocations - TD'!BH53="","",'M2 Allocations - TD'!BH53)</f>
        <v>127068.08</v>
      </c>
      <c r="AX24" s="63">
        <f>IF(+'M2 Allocations - TD'!BI53="","",'M2 Allocations - TD'!BI53)</f>
        <v>132955.76999999999</v>
      </c>
      <c r="AY24" s="63">
        <f>IF(+'M2 Allocations - TD'!BJ53="","",'M2 Allocations - TD'!BJ53)</f>
        <v>130544.63</v>
      </c>
      <c r="AZ24" s="63">
        <f>IF(+'M2 Allocations - TD'!BK53="","",'M2 Allocations - TD'!BK53)</f>
        <v>73117.320000000007</v>
      </c>
      <c r="BA24" s="63">
        <f>IF(+'M2 Allocations - TD'!BL53="","",'M2 Allocations - TD'!BL53)</f>
        <v>-23752.07</v>
      </c>
      <c r="BB24" s="63">
        <f>IF(+'M2 Allocations - TD'!BM53="","",'M2 Allocations - TD'!BM53)</f>
        <v>-25347.52</v>
      </c>
      <c r="BC24" s="63">
        <f>IF(+'M2 Allocations - TD'!BN53="","",'M2 Allocations - TD'!BN53)</f>
        <v>-27081.25</v>
      </c>
      <c r="BD24" s="63">
        <f>IF(+'M2 Allocations - TD'!BO53="","",'M2 Allocations - TD'!BO53)</f>
        <v>-24437.95</v>
      </c>
      <c r="BE24" s="63">
        <f>IF(+'M2 Allocations - TD'!BP53="","",'M2 Allocations - TD'!BP53)</f>
        <v>-33816.269999999997</v>
      </c>
      <c r="BF24" s="63">
        <f>IF(+'M2 Allocations - TD'!BQ53="","",'M2 Allocations - TD'!BQ53)</f>
        <v>-31047.43</v>
      </c>
      <c r="BG24" s="63">
        <f>IF(+'M2 Allocations - TD'!BR53="","",'M2 Allocations - TD'!BR53)</f>
        <v>-31441.61</v>
      </c>
      <c r="BH24" s="63">
        <f>IF(+'M2 Allocations - TD'!BS53="","",'M2 Allocations - TD'!BS53)</f>
        <v>-27149.439999999999</v>
      </c>
      <c r="BI24" s="63">
        <f>IF(+'M2 Allocations - TD'!BT53="","",'M2 Allocations - TD'!BT53)</f>
        <v>-23682.34</v>
      </c>
      <c r="BJ24" s="63">
        <f>IF(+'M2 Allocations - TD'!BU53="","",'M2 Allocations - TD'!BU53)</f>
        <v>-31128.82</v>
      </c>
      <c r="BK24" s="63">
        <f>IF(+'M2 Allocations - TD'!BV53="","",'M2 Allocations - TD'!BV53)</f>
        <v>-30061.68</v>
      </c>
      <c r="BL24" s="63">
        <f>IF(+'M2 Allocations - TD'!BW53="","",'M2 Allocations - TD'!BW53)</f>
        <v>-21727.82</v>
      </c>
      <c r="BM24" s="63">
        <f>IF(+'M2 Allocations - TD'!BX53="","",'M2 Allocations - TD'!BX53)</f>
        <v>-9411.08</v>
      </c>
      <c r="BN24" s="63">
        <f>IF(+'M2 Allocations - TD'!BY53="","",'M2 Allocations - TD'!BY53)</f>
        <v>-9472.94</v>
      </c>
      <c r="BO24" s="63">
        <f>IF(+'M2 Allocations - TD'!BZ53="","",'M2 Allocations - TD'!BZ53)</f>
        <v>-9265.9</v>
      </c>
      <c r="BP24" s="63">
        <f>IF(+'M2 Allocations - TD'!CA53="","",'M2 Allocations - TD'!CA53)</f>
        <v>-10540.89</v>
      </c>
      <c r="BQ24" s="63">
        <f>IF(+'M2 Allocations - TD'!CB53="","",'M2 Allocations - TD'!CB53)</f>
        <v>-10967.71</v>
      </c>
      <c r="BR24" s="63">
        <f>IF(+'M2 Allocations - TD'!CC53="","",'M2 Allocations - TD'!CC53)</f>
        <v>-10879.65</v>
      </c>
      <c r="BS24" s="63">
        <f>IF(+'M2 Allocations - TD'!CD53="","",'M2 Allocations - TD'!CD53)</f>
        <v>-10597.96</v>
      </c>
      <c r="BT24" s="63">
        <f>IF(+'M2 Allocations - TD'!CE53="","",'M2 Allocations - TD'!CE53)</f>
        <v>-9396.31</v>
      </c>
      <c r="BU24" s="63">
        <f>IF(+'M2 Allocations - TD'!CF53="","",'M2 Allocations - TD'!CF53)</f>
        <v>-9489.08</v>
      </c>
      <c r="BV24" s="63">
        <f>IF(+'M2 Allocations - TD'!CG53="","",'M2 Allocations - TD'!CG53)</f>
        <v>-9849.86</v>
      </c>
      <c r="BW24" s="63">
        <f>IF(+'M2 Allocations - TD'!CH53="","",'M2 Allocations - TD'!CH53)</f>
        <v>-9377.19</v>
      </c>
      <c r="BX24" s="63">
        <f>IF(+'M2 Allocations - TD'!CI53="","",'M2 Allocations - TD'!CI53)</f>
        <v>-6080.44</v>
      </c>
      <c r="BY24" s="63">
        <f>IF(+'M2 Allocations - TD'!CJ53="","",'M2 Allocations - TD'!CJ53)</f>
        <v>667.65</v>
      </c>
      <c r="BZ24" s="63">
        <f>IF(+'M2 Allocations - TD'!CK53="","",'M2 Allocations - TD'!CK53)</f>
        <v>877.65</v>
      </c>
      <c r="CA24" s="63">
        <f>IF(+'M2 Allocations - TD'!CL53="","",'M2 Allocations - TD'!CL53)</f>
        <v>877.06</v>
      </c>
      <c r="CB24" s="63">
        <f>IF(+'M2 Allocations - TD'!CM53="","",'M2 Allocations - TD'!CM53)</f>
        <v>917.12</v>
      </c>
      <c r="CC24" s="63">
        <f>IF(+'M2 Allocations - TD'!CN53="","",'M2 Allocations - TD'!CN53)</f>
        <v>941.31</v>
      </c>
      <c r="CD24" s="63">
        <f>IF(+'M2 Allocations - TD'!CO53="","",'M2 Allocations - TD'!CO53)</f>
        <v>1063.3</v>
      </c>
      <c r="CE24" s="63">
        <f>IF(+'M2 Allocations - TD'!CP53="","",'M2 Allocations - TD'!CP53)</f>
        <v>1016.76</v>
      </c>
      <c r="CF24" s="63">
        <f>IF(+'M2 Allocations - TD'!CQ53="","",'M2 Allocations - TD'!CQ53)</f>
        <v>882.85</v>
      </c>
      <c r="CG24" s="63">
        <f>IF(+'M2 Allocations - TD'!CR53="","",'M2 Allocations - TD'!CR53)</f>
        <v>878.74388864205071</v>
      </c>
      <c r="CH24" s="63">
        <f>IF(+'M2 Allocations - TD'!CS53="","",'M2 Allocations - TD'!CS53)</f>
        <v>910.56149167686794</v>
      </c>
      <c r="CI24" s="63">
        <f>IF(+'M2 Allocations - TD'!CT53="","",'M2 Allocations - TD'!CT53)</f>
        <v>955.17976544380974</v>
      </c>
    </row>
    <row r="25" spans="1:87" x14ac:dyDescent="0.35">
      <c r="A25" s="309"/>
      <c r="B25" s="73" t="s">
        <v>55</v>
      </c>
      <c r="C25" s="87">
        <v>6.2000000000000003E-5</v>
      </c>
      <c r="D25" s="87">
        <v>3.6699999999999998E-4</v>
      </c>
      <c r="E25" s="71">
        <f>+D25</f>
        <v>3.6699999999999998E-4</v>
      </c>
      <c r="F25" s="71">
        <f>IF(F24="","",E25)</f>
        <v>3.6699999999999998E-4</v>
      </c>
      <c r="G25" s="71">
        <f t="shared" ref="G25:Z25" si="321">IF(G24="","",F25)</f>
        <v>3.6699999999999998E-4</v>
      </c>
      <c r="H25" s="71">
        <f t="shared" si="321"/>
        <v>3.6699999999999998E-4</v>
      </c>
      <c r="I25" s="71">
        <f t="shared" si="321"/>
        <v>3.6699999999999998E-4</v>
      </c>
      <c r="J25" s="71">
        <f t="shared" si="321"/>
        <v>3.6699999999999998E-4</v>
      </c>
      <c r="K25" s="71">
        <f t="shared" si="321"/>
        <v>3.6699999999999998E-4</v>
      </c>
      <c r="L25" s="71">
        <f t="shared" si="321"/>
        <v>3.6699999999999998E-4</v>
      </c>
      <c r="M25" s="71">
        <f t="shared" si="321"/>
        <v>3.6699999999999998E-4</v>
      </c>
      <c r="N25" s="71">
        <f t="shared" si="321"/>
        <v>3.6699999999999998E-4</v>
      </c>
      <c r="O25" s="71">
        <f t="shared" si="321"/>
        <v>3.6699999999999998E-4</v>
      </c>
      <c r="P25" s="87">
        <v>1.1375575439833872E-3</v>
      </c>
      <c r="Q25" s="71">
        <f t="shared" si="321"/>
        <v>1.1375575439833872E-3</v>
      </c>
      <c r="R25" s="90">
        <f t="shared" si="321"/>
        <v>1.1375575439833872E-3</v>
      </c>
      <c r="S25" s="90">
        <f t="shared" si="321"/>
        <v>1.1375575439833872E-3</v>
      </c>
      <c r="T25" s="90">
        <f t="shared" si="321"/>
        <v>1.1375575439833872E-3</v>
      </c>
      <c r="U25" s="90">
        <f t="shared" si="321"/>
        <v>1.1375575439833872E-3</v>
      </c>
      <c r="V25" s="90">
        <f t="shared" si="321"/>
        <v>1.1375575439833872E-3</v>
      </c>
      <c r="W25" s="90">
        <f t="shared" si="321"/>
        <v>1.1375575439833872E-3</v>
      </c>
      <c r="X25" s="90">
        <f t="shared" si="321"/>
        <v>1.1375575439833872E-3</v>
      </c>
      <c r="Y25" s="90">
        <f t="shared" si="321"/>
        <v>1.1375575439833872E-3</v>
      </c>
      <c r="Z25" s="90">
        <f t="shared" si="321"/>
        <v>1.1375575439833872E-3</v>
      </c>
      <c r="AA25" s="90">
        <f t="shared" ref="AA25" si="322">IF(AA24="","",Z25)</f>
        <v>1.1375575439833872E-3</v>
      </c>
      <c r="AB25" s="87">
        <v>1.6772626739548866E-3</v>
      </c>
      <c r="AC25" s="71">
        <f t="shared" ref="AC25" si="323">IF(AC24="","",AB25)</f>
        <v>1.6772626739548866E-3</v>
      </c>
      <c r="AD25" s="71">
        <f t="shared" ref="AD25" si="324">IF(AD24="","",AC25)</f>
        <v>1.6772626739548866E-3</v>
      </c>
      <c r="AE25" s="71">
        <f t="shared" ref="AE25" si="325">IF(AE24="","",AD25)</f>
        <v>1.6772626739548866E-3</v>
      </c>
      <c r="AF25" s="71">
        <f t="shared" ref="AF25" si="326">IF(AF24="","",AE25)</f>
        <v>1.6772626739548866E-3</v>
      </c>
      <c r="AG25" s="71">
        <f t="shared" ref="AG25" si="327">IF(AG24="","",AF25)</f>
        <v>1.6772626739548866E-3</v>
      </c>
      <c r="AH25" s="71">
        <f t="shared" ref="AH25" si="328">IF(AH24="","",AG25)</f>
        <v>1.6772626739548866E-3</v>
      </c>
      <c r="AI25" s="71">
        <f t="shared" ref="AI25" si="329">IF(AI24="","",AH25)</f>
        <v>1.6772626739548866E-3</v>
      </c>
      <c r="AJ25" s="71">
        <f t="shared" ref="AJ25" si="330">IF(AJ24="","",AI25)</f>
        <v>1.6772626739548866E-3</v>
      </c>
      <c r="AK25" s="71">
        <f t="shared" ref="AK25" si="331">IF(AK24="","",AJ25)</f>
        <v>1.6772626739548866E-3</v>
      </c>
      <c r="AL25" s="71">
        <f t="shared" ref="AL25" si="332">IF(AL24="","",AK25)</f>
        <v>1.6772626739548866E-3</v>
      </c>
      <c r="AM25" s="71">
        <f t="shared" ref="AM25" si="333">IF(AM24="","",AL25)</f>
        <v>1.6772626739548866E-3</v>
      </c>
      <c r="AN25" s="119">
        <v>3.8823682673368192E-4</v>
      </c>
      <c r="AO25" s="71">
        <f t="shared" ref="AO25:BK25" si="334">IF(AO24="","",AN25)</f>
        <v>3.8823682673368192E-4</v>
      </c>
      <c r="AP25" s="71">
        <f t="shared" si="334"/>
        <v>3.8823682673368192E-4</v>
      </c>
      <c r="AQ25" s="71">
        <f t="shared" si="334"/>
        <v>3.8823682673368192E-4</v>
      </c>
      <c r="AR25" s="71">
        <f t="shared" si="334"/>
        <v>3.8823682673368192E-4</v>
      </c>
      <c r="AS25" s="71">
        <f t="shared" si="334"/>
        <v>3.8823682673368192E-4</v>
      </c>
      <c r="AT25" s="71">
        <f t="shared" si="334"/>
        <v>3.8823682673368192E-4</v>
      </c>
      <c r="AU25" s="71">
        <f t="shared" si="334"/>
        <v>3.8823682673368192E-4</v>
      </c>
      <c r="AV25" s="71">
        <f t="shared" si="334"/>
        <v>3.8823682673368192E-4</v>
      </c>
      <c r="AW25" s="71">
        <f t="shared" si="334"/>
        <v>3.8823682673368192E-4</v>
      </c>
      <c r="AX25" s="71">
        <f t="shared" si="334"/>
        <v>3.8823682673368192E-4</v>
      </c>
      <c r="AY25" s="71">
        <f t="shared" si="334"/>
        <v>3.8823682673368192E-4</v>
      </c>
      <c r="AZ25" s="119">
        <v>8.085325899005284E-5</v>
      </c>
      <c r="BA25" s="71">
        <f t="shared" si="334"/>
        <v>8.085325899005284E-5</v>
      </c>
      <c r="BB25" s="71">
        <f t="shared" si="334"/>
        <v>8.085325899005284E-5</v>
      </c>
      <c r="BC25" s="71">
        <f t="shared" si="334"/>
        <v>8.085325899005284E-5</v>
      </c>
      <c r="BD25" s="71">
        <f t="shared" si="334"/>
        <v>8.085325899005284E-5</v>
      </c>
      <c r="BE25" s="71">
        <f t="shared" si="334"/>
        <v>8.085325899005284E-5</v>
      </c>
      <c r="BF25" s="71">
        <f t="shared" si="334"/>
        <v>8.085325899005284E-5</v>
      </c>
      <c r="BG25" s="71">
        <f t="shared" si="334"/>
        <v>8.085325899005284E-5</v>
      </c>
      <c r="BH25" s="71">
        <f t="shared" si="334"/>
        <v>8.085325899005284E-5</v>
      </c>
      <c r="BI25" s="71">
        <f t="shared" si="334"/>
        <v>8.085325899005284E-5</v>
      </c>
      <c r="BJ25" s="71">
        <f t="shared" si="334"/>
        <v>8.085325899005284E-5</v>
      </c>
      <c r="BK25" s="71">
        <f t="shared" si="334"/>
        <v>8.085325899005284E-5</v>
      </c>
      <c r="BL25" s="119">
        <v>3.5509283656928357E-6</v>
      </c>
      <c r="BM25" s="71">
        <f t="shared" ref="BM25:CI25" si="335">IF(BM24="","",BL25)</f>
        <v>3.5509283656928357E-6</v>
      </c>
      <c r="BN25" s="71">
        <f t="shared" si="335"/>
        <v>3.5509283656928357E-6</v>
      </c>
      <c r="BO25" s="71">
        <f t="shared" si="335"/>
        <v>3.5509283656928357E-6</v>
      </c>
      <c r="BP25" s="71">
        <f t="shared" si="335"/>
        <v>3.5509283656928357E-6</v>
      </c>
      <c r="BQ25" s="71">
        <f t="shared" si="335"/>
        <v>3.5509283656928357E-6</v>
      </c>
      <c r="BR25" s="71">
        <f t="shared" si="335"/>
        <v>3.5509283656928357E-6</v>
      </c>
      <c r="BS25" s="71">
        <f t="shared" si="335"/>
        <v>3.5509283656928357E-6</v>
      </c>
      <c r="BT25" s="71">
        <f t="shared" si="335"/>
        <v>3.5509283656928357E-6</v>
      </c>
      <c r="BU25" s="71">
        <f t="shared" si="335"/>
        <v>3.5509283656928357E-6</v>
      </c>
      <c r="BV25" s="71">
        <f t="shared" si="335"/>
        <v>3.5509283656928357E-6</v>
      </c>
      <c r="BW25" s="71">
        <f t="shared" si="335"/>
        <v>3.5509283656928357E-6</v>
      </c>
      <c r="BX25" s="119">
        <v>0</v>
      </c>
      <c r="BY25" s="71">
        <f t="shared" si="335"/>
        <v>0</v>
      </c>
      <c r="BZ25" s="71">
        <f t="shared" si="335"/>
        <v>0</v>
      </c>
      <c r="CA25" s="71">
        <f t="shared" si="335"/>
        <v>0</v>
      </c>
      <c r="CB25" s="71">
        <f t="shared" si="335"/>
        <v>0</v>
      </c>
      <c r="CC25" s="71">
        <f t="shared" si="335"/>
        <v>0</v>
      </c>
      <c r="CD25" s="71">
        <f t="shared" si="335"/>
        <v>0</v>
      </c>
      <c r="CE25" s="71">
        <f t="shared" si="335"/>
        <v>0</v>
      </c>
      <c r="CF25" s="71">
        <f t="shared" si="335"/>
        <v>0</v>
      </c>
      <c r="CG25" s="71">
        <f t="shared" si="335"/>
        <v>0</v>
      </c>
      <c r="CH25" s="71">
        <f t="shared" si="335"/>
        <v>0</v>
      </c>
      <c r="CI25" s="71">
        <f t="shared" si="335"/>
        <v>0</v>
      </c>
    </row>
    <row r="26" spans="1:87" x14ac:dyDescent="0.35">
      <c r="A26" s="309"/>
      <c r="B26" s="73" t="s">
        <v>54</v>
      </c>
      <c r="C26" s="42">
        <v>0</v>
      </c>
      <c r="D26" s="87">
        <v>7.2900000000000005E-4</v>
      </c>
      <c r="E26" s="71">
        <f>+D26</f>
        <v>7.2900000000000005E-4</v>
      </c>
      <c r="F26" s="71">
        <f>IF(F24="","",E26)</f>
        <v>7.2900000000000005E-4</v>
      </c>
      <c r="G26" s="71">
        <f t="shared" ref="G26:Z26" si="336">IF(G24="","",F26)</f>
        <v>7.2900000000000005E-4</v>
      </c>
      <c r="H26" s="71">
        <f t="shared" si="336"/>
        <v>7.2900000000000005E-4</v>
      </c>
      <c r="I26" s="71">
        <f t="shared" si="336"/>
        <v>7.2900000000000005E-4</v>
      </c>
      <c r="J26" s="71">
        <f t="shared" si="336"/>
        <v>7.2900000000000005E-4</v>
      </c>
      <c r="K26" s="71">
        <f t="shared" si="336"/>
        <v>7.2900000000000005E-4</v>
      </c>
      <c r="L26" s="71">
        <f t="shared" si="336"/>
        <v>7.2900000000000005E-4</v>
      </c>
      <c r="M26" s="71">
        <f t="shared" si="336"/>
        <v>7.2900000000000005E-4</v>
      </c>
      <c r="N26" s="71">
        <f t="shared" si="336"/>
        <v>7.2900000000000005E-4</v>
      </c>
      <c r="O26" s="71">
        <f t="shared" si="336"/>
        <v>7.2900000000000005E-4</v>
      </c>
      <c r="P26" s="91">
        <v>-1.0652584799076657E-5</v>
      </c>
      <c r="Q26" s="90">
        <f t="shared" si="336"/>
        <v>-1.0652584799076657E-5</v>
      </c>
      <c r="R26" s="90">
        <f t="shared" si="336"/>
        <v>-1.0652584799076657E-5</v>
      </c>
      <c r="S26" s="90">
        <f t="shared" si="336"/>
        <v>-1.0652584799076657E-5</v>
      </c>
      <c r="T26" s="90">
        <f t="shared" si="336"/>
        <v>-1.0652584799076657E-5</v>
      </c>
      <c r="U26" s="90">
        <f t="shared" si="336"/>
        <v>-1.0652584799076657E-5</v>
      </c>
      <c r="V26" s="90">
        <f t="shared" si="336"/>
        <v>-1.0652584799076657E-5</v>
      </c>
      <c r="W26" s="90">
        <f t="shared" si="336"/>
        <v>-1.0652584799076657E-5</v>
      </c>
      <c r="X26" s="90">
        <f t="shared" si="336"/>
        <v>-1.0652584799076657E-5</v>
      </c>
      <c r="Y26" s="90">
        <f t="shared" si="336"/>
        <v>-1.0652584799076657E-5</v>
      </c>
      <c r="Z26" s="90">
        <f t="shared" si="336"/>
        <v>-1.0652584799076657E-5</v>
      </c>
      <c r="AA26" s="90">
        <f t="shared" ref="AA26" si="337">IF(AA24="","",Z26)</f>
        <v>-1.0652584799076657E-5</v>
      </c>
      <c r="AB26" s="91">
        <v>-1.8549729178825712E-4</v>
      </c>
      <c r="AC26" s="90">
        <f t="shared" ref="AC26" si="338">IF(AC24="","",AB26)</f>
        <v>-1.8549729178825712E-4</v>
      </c>
      <c r="AD26" s="90">
        <f t="shared" ref="AD26" si="339">IF(AD24="","",AC26)</f>
        <v>-1.8549729178825712E-4</v>
      </c>
      <c r="AE26" s="90">
        <f t="shared" ref="AE26" si="340">IF(AE24="","",AD26)</f>
        <v>-1.8549729178825712E-4</v>
      </c>
      <c r="AF26" s="90">
        <f t="shared" ref="AF26" si="341">IF(AF24="","",AE26)</f>
        <v>-1.8549729178825712E-4</v>
      </c>
      <c r="AG26" s="90">
        <f t="shared" ref="AG26" si="342">IF(AG24="","",AF26)</f>
        <v>-1.8549729178825712E-4</v>
      </c>
      <c r="AH26" s="90">
        <f t="shared" ref="AH26" si="343">IF(AH24="","",AG26)</f>
        <v>-1.8549729178825712E-4</v>
      </c>
      <c r="AI26" s="90">
        <f t="shared" ref="AI26" si="344">IF(AI24="","",AH26)</f>
        <v>-1.8549729178825712E-4</v>
      </c>
      <c r="AJ26" s="90">
        <f t="shared" ref="AJ26" si="345">IF(AJ24="","",AI26)</f>
        <v>-1.8549729178825712E-4</v>
      </c>
      <c r="AK26" s="90">
        <f t="shared" ref="AK26" si="346">IF(AK24="","",AJ26)</f>
        <v>-1.8549729178825712E-4</v>
      </c>
      <c r="AL26" s="90">
        <f t="shared" ref="AL26" si="347">IF(AL24="","",AK26)</f>
        <v>-1.8549729178825712E-4</v>
      </c>
      <c r="AM26" s="90">
        <f t="shared" ref="AM26" si="348">IF(AM24="","",AL26)</f>
        <v>-1.8549729178825712E-4</v>
      </c>
      <c r="AN26" s="120">
        <v>1.5247620220748583E-4</v>
      </c>
      <c r="AO26" s="90">
        <f t="shared" ref="AO26:BK26" si="349">IF(AO24="","",AN26)</f>
        <v>1.5247620220748583E-4</v>
      </c>
      <c r="AP26" s="90">
        <f t="shared" si="349"/>
        <v>1.5247620220748583E-4</v>
      </c>
      <c r="AQ26" s="90">
        <f t="shared" si="349"/>
        <v>1.5247620220748583E-4</v>
      </c>
      <c r="AR26" s="90">
        <f t="shared" si="349"/>
        <v>1.5247620220748583E-4</v>
      </c>
      <c r="AS26" s="90">
        <f t="shared" si="349"/>
        <v>1.5247620220748583E-4</v>
      </c>
      <c r="AT26" s="90">
        <f t="shared" si="349"/>
        <v>1.5247620220748583E-4</v>
      </c>
      <c r="AU26" s="90">
        <f t="shared" si="349"/>
        <v>1.5247620220748583E-4</v>
      </c>
      <c r="AV26" s="90">
        <f t="shared" si="349"/>
        <v>1.5247620220748583E-4</v>
      </c>
      <c r="AW26" s="90">
        <f t="shared" si="349"/>
        <v>1.5247620220748583E-4</v>
      </c>
      <c r="AX26" s="90">
        <f t="shared" si="349"/>
        <v>1.5247620220748583E-4</v>
      </c>
      <c r="AY26" s="90">
        <f t="shared" si="349"/>
        <v>1.5247620220748583E-4</v>
      </c>
      <c r="AZ26" s="120">
        <v>-1.9899392382553466E-4</v>
      </c>
      <c r="BA26" s="90">
        <f t="shared" si="349"/>
        <v>-1.9899392382553466E-4</v>
      </c>
      <c r="BB26" s="90">
        <f t="shared" si="349"/>
        <v>-1.9899392382553466E-4</v>
      </c>
      <c r="BC26" s="90">
        <f t="shared" si="349"/>
        <v>-1.9899392382553466E-4</v>
      </c>
      <c r="BD26" s="90">
        <f t="shared" si="349"/>
        <v>-1.9899392382553466E-4</v>
      </c>
      <c r="BE26" s="90">
        <f t="shared" si="349"/>
        <v>-1.9899392382553466E-4</v>
      </c>
      <c r="BF26" s="90">
        <f t="shared" si="349"/>
        <v>-1.9899392382553466E-4</v>
      </c>
      <c r="BG26" s="90">
        <f t="shared" si="349"/>
        <v>-1.9899392382553466E-4</v>
      </c>
      <c r="BH26" s="90">
        <f t="shared" si="349"/>
        <v>-1.9899392382553466E-4</v>
      </c>
      <c r="BI26" s="90">
        <f t="shared" si="349"/>
        <v>-1.9899392382553466E-4</v>
      </c>
      <c r="BJ26" s="90">
        <f t="shared" si="349"/>
        <v>-1.9899392382553466E-4</v>
      </c>
      <c r="BK26" s="90">
        <f t="shared" si="349"/>
        <v>-1.9899392382553466E-4</v>
      </c>
      <c r="BL26" s="120">
        <v>-4.4098973354007227E-5</v>
      </c>
      <c r="BM26" s="90">
        <f t="shared" ref="BM26:CI26" si="350">IF(BM24="","",BL26)</f>
        <v>-4.4098973354007227E-5</v>
      </c>
      <c r="BN26" s="90">
        <f t="shared" si="350"/>
        <v>-4.4098973354007227E-5</v>
      </c>
      <c r="BO26" s="90">
        <f t="shared" si="350"/>
        <v>-4.4098973354007227E-5</v>
      </c>
      <c r="BP26" s="90">
        <f t="shared" si="350"/>
        <v>-4.4098973354007227E-5</v>
      </c>
      <c r="BQ26" s="90">
        <f t="shared" si="350"/>
        <v>-4.4098973354007227E-5</v>
      </c>
      <c r="BR26" s="90">
        <f t="shared" si="350"/>
        <v>-4.4098973354007227E-5</v>
      </c>
      <c r="BS26" s="90">
        <f t="shared" si="350"/>
        <v>-4.4098973354007227E-5</v>
      </c>
      <c r="BT26" s="90">
        <f t="shared" si="350"/>
        <v>-4.4098973354007227E-5</v>
      </c>
      <c r="BU26" s="90">
        <f t="shared" si="350"/>
        <v>-4.4098973354007227E-5</v>
      </c>
      <c r="BV26" s="90">
        <f t="shared" si="350"/>
        <v>-4.4098973354007227E-5</v>
      </c>
      <c r="BW26" s="90">
        <f t="shared" si="350"/>
        <v>-4.4098973354007227E-5</v>
      </c>
      <c r="BX26" s="120">
        <v>3.5567583786550491E-6</v>
      </c>
      <c r="BY26" s="90">
        <f t="shared" si="350"/>
        <v>3.5567583786550491E-6</v>
      </c>
      <c r="BZ26" s="90">
        <f t="shared" si="350"/>
        <v>3.5567583786550491E-6</v>
      </c>
      <c r="CA26" s="90">
        <f t="shared" si="350"/>
        <v>3.5567583786550491E-6</v>
      </c>
      <c r="CB26" s="90">
        <f t="shared" si="350"/>
        <v>3.5567583786550491E-6</v>
      </c>
      <c r="CC26" s="90">
        <f t="shared" si="350"/>
        <v>3.5567583786550491E-6</v>
      </c>
      <c r="CD26" s="90">
        <f t="shared" si="350"/>
        <v>3.5567583786550491E-6</v>
      </c>
      <c r="CE26" s="90">
        <f t="shared" si="350"/>
        <v>3.5567583786550491E-6</v>
      </c>
      <c r="CF26" s="90">
        <f t="shared" si="350"/>
        <v>3.5567583786550491E-6</v>
      </c>
      <c r="CG26" s="90">
        <f t="shared" si="350"/>
        <v>3.5567583786550491E-6</v>
      </c>
      <c r="CH26" s="90">
        <f t="shared" si="350"/>
        <v>3.5567583786550491E-6</v>
      </c>
      <c r="CI26" s="90">
        <f t="shared" si="350"/>
        <v>3.5567583786550491E-6</v>
      </c>
    </row>
    <row r="27" spans="1:87" x14ac:dyDescent="0.35">
      <c r="A27" s="309"/>
      <c r="B27" s="73" t="s">
        <v>63</v>
      </c>
      <c r="C27" s="62">
        <f>SUM(C25:C26)</f>
        <v>6.2000000000000003E-5</v>
      </c>
      <c r="D27" s="62">
        <f t="shared" ref="D27:E27" si="351">SUM(D25:D26)</f>
        <v>1.096E-3</v>
      </c>
      <c r="E27" s="62">
        <f t="shared" si="351"/>
        <v>1.096E-3</v>
      </c>
      <c r="F27" s="62">
        <f>IF(F24="","",SUM(F25:F26))</f>
        <v>1.096E-3</v>
      </c>
      <c r="G27" s="62">
        <f t="shared" ref="G27:Z27" si="352">IF(G24="","",SUM(G25:G26))</f>
        <v>1.096E-3</v>
      </c>
      <c r="H27" s="62">
        <f t="shared" si="352"/>
        <v>1.096E-3</v>
      </c>
      <c r="I27" s="62">
        <f t="shared" si="352"/>
        <v>1.096E-3</v>
      </c>
      <c r="J27" s="62">
        <f t="shared" si="352"/>
        <v>1.096E-3</v>
      </c>
      <c r="K27" s="62">
        <f t="shared" si="352"/>
        <v>1.096E-3</v>
      </c>
      <c r="L27" s="62">
        <f t="shared" si="352"/>
        <v>1.096E-3</v>
      </c>
      <c r="M27" s="62">
        <f t="shared" si="352"/>
        <v>1.096E-3</v>
      </c>
      <c r="N27" s="62">
        <f t="shared" si="352"/>
        <v>1.096E-3</v>
      </c>
      <c r="O27" s="62">
        <f t="shared" si="352"/>
        <v>1.096E-3</v>
      </c>
      <c r="P27" s="62">
        <f t="shared" si="352"/>
        <v>1.1269049591843105E-3</v>
      </c>
      <c r="Q27" s="62">
        <f t="shared" si="352"/>
        <v>1.1269049591843105E-3</v>
      </c>
      <c r="R27" s="62">
        <f t="shared" si="352"/>
        <v>1.1269049591843105E-3</v>
      </c>
      <c r="S27" s="62">
        <f t="shared" si="352"/>
        <v>1.1269049591843105E-3</v>
      </c>
      <c r="T27" s="62">
        <f t="shared" si="352"/>
        <v>1.1269049591843105E-3</v>
      </c>
      <c r="U27" s="62">
        <f t="shared" si="352"/>
        <v>1.1269049591843105E-3</v>
      </c>
      <c r="V27" s="62">
        <f t="shared" si="352"/>
        <v>1.1269049591843105E-3</v>
      </c>
      <c r="W27" s="62">
        <f t="shared" si="352"/>
        <v>1.1269049591843105E-3</v>
      </c>
      <c r="X27" s="62">
        <f t="shared" si="352"/>
        <v>1.1269049591843105E-3</v>
      </c>
      <c r="Y27" s="62">
        <f t="shared" si="352"/>
        <v>1.1269049591843105E-3</v>
      </c>
      <c r="Z27" s="62">
        <f t="shared" si="352"/>
        <v>1.1269049591843105E-3</v>
      </c>
      <c r="AA27" s="62">
        <f t="shared" ref="AA27:AC27" si="353">IF(AA24="","",SUM(AA25:AA26))</f>
        <v>1.1269049591843105E-3</v>
      </c>
      <c r="AB27" s="62">
        <f t="shared" si="353"/>
        <v>1.4917653821666294E-3</v>
      </c>
      <c r="AC27" s="62">
        <f t="shared" si="353"/>
        <v>1.4917653821666294E-3</v>
      </c>
      <c r="AD27" s="62">
        <f t="shared" ref="AD27:AM27" si="354">IF(AD24="","",SUM(AD25:AD26))</f>
        <v>1.4917653821666294E-3</v>
      </c>
      <c r="AE27" s="62">
        <f t="shared" si="354"/>
        <v>1.4917653821666294E-3</v>
      </c>
      <c r="AF27" s="62">
        <f t="shared" si="354"/>
        <v>1.4917653821666294E-3</v>
      </c>
      <c r="AG27" s="62">
        <f t="shared" si="354"/>
        <v>1.4917653821666294E-3</v>
      </c>
      <c r="AH27" s="62">
        <f t="shared" si="354"/>
        <v>1.4917653821666294E-3</v>
      </c>
      <c r="AI27" s="62">
        <f t="shared" si="354"/>
        <v>1.4917653821666294E-3</v>
      </c>
      <c r="AJ27" s="62">
        <f t="shared" si="354"/>
        <v>1.4917653821666294E-3</v>
      </c>
      <c r="AK27" s="62">
        <f t="shared" si="354"/>
        <v>1.4917653821666294E-3</v>
      </c>
      <c r="AL27" s="62">
        <f t="shared" si="354"/>
        <v>1.4917653821666294E-3</v>
      </c>
      <c r="AM27" s="62">
        <f t="shared" si="354"/>
        <v>1.4917653821666294E-3</v>
      </c>
      <c r="AN27" s="62">
        <f t="shared" ref="AN27:AO27" si="355">IF(AN24="","",SUM(AN25:AN26))</f>
        <v>5.4071302894116778E-4</v>
      </c>
      <c r="AO27" s="62">
        <f t="shared" si="355"/>
        <v>5.4071302894116778E-4</v>
      </c>
      <c r="AP27" s="62">
        <f t="shared" ref="AP27:AQ27" si="356">IF(AP24="","",SUM(AP25:AP26))</f>
        <v>5.4071302894116778E-4</v>
      </c>
      <c r="AQ27" s="62">
        <f t="shared" si="356"/>
        <v>5.4071302894116778E-4</v>
      </c>
      <c r="AR27" s="62">
        <f t="shared" ref="AR27:AS27" si="357">IF(AR24="","",SUM(AR25:AR26))</f>
        <v>5.4071302894116778E-4</v>
      </c>
      <c r="AS27" s="62">
        <f t="shared" si="357"/>
        <v>5.4071302894116778E-4</v>
      </c>
      <c r="AT27" s="62">
        <f t="shared" ref="AT27:AU27" si="358">IF(AT24="","",SUM(AT25:AT26))</f>
        <v>5.4071302894116778E-4</v>
      </c>
      <c r="AU27" s="62">
        <f t="shared" si="358"/>
        <v>5.4071302894116778E-4</v>
      </c>
      <c r="AV27" s="62">
        <f t="shared" ref="AV27:AW27" si="359">IF(AV24="","",SUM(AV25:AV26))</f>
        <v>5.4071302894116778E-4</v>
      </c>
      <c r="AW27" s="62">
        <f t="shared" si="359"/>
        <v>5.4071302894116778E-4</v>
      </c>
      <c r="AX27" s="62">
        <f t="shared" ref="AX27:AY27" si="360">IF(AX24="","",SUM(AX25:AX26))</f>
        <v>5.4071302894116778E-4</v>
      </c>
      <c r="AY27" s="62">
        <f t="shared" si="360"/>
        <v>5.4071302894116778E-4</v>
      </c>
      <c r="AZ27" s="62">
        <f t="shared" ref="AZ27:BA27" si="361">IF(AZ24="","",SUM(AZ25:AZ26))</f>
        <v>-1.1814066483548182E-4</v>
      </c>
      <c r="BA27" s="62">
        <f t="shared" si="361"/>
        <v>-1.1814066483548182E-4</v>
      </c>
      <c r="BB27" s="62">
        <f t="shared" ref="BB27:BC27" si="362">IF(BB24="","",SUM(BB25:BB26))</f>
        <v>-1.1814066483548182E-4</v>
      </c>
      <c r="BC27" s="62">
        <f t="shared" si="362"/>
        <v>-1.1814066483548182E-4</v>
      </c>
      <c r="BD27" s="62">
        <f t="shared" ref="BD27:BE27" si="363">IF(BD24="","",SUM(BD25:BD26))</f>
        <v>-1.1814066483548182E-4</v>
      </c>
      <c r="BE27" s="62">
        <f t="shared" si="363"/>
        <v>-1.1814066483548182E-4</v>
      </c>
      <c r="BF27" s="62">
        <f t="shared" ref="BF27:BG27" si="364">IF(BF24="","",SUM(BF25:BF26))</f>
        <v>-1.1814066483548182E-4</v>
      </c>
      <c r="BG27" s="62">
        <f t="shared" si="364"/>
        <v>-1.1814066483548182E-4</v>
      </c>
      <c r="BH27" s="62">
        <f t="shared" ref="BH27:BI27" si="365">IF(BH24="","",SUM(BH25:BH26))</f>
        <v>-1.1814066483548182E-4</v>
      </c>
      <c r="BI27" s="62">
        <f t="shared" si="365"/>
        <v>-1.1814066483548182E-4</v>
      </c>
      <c r="BJ27" s="62">
        <f t="shared" ref="BJ27:BK27" si="366">IF(BJ24="","",SUM(BJ25:BJ26))</f>
        <v>-1.1814066483548182E-4</v>
      </c>
      <c r="BK27" s="62">
        <f t="shared" si="366"/>
        <v>-1.1814066483548182E-4</v>
      </c>
      <c r="BL27" s="62">
        <f t="shared" ref="BL27:BM27" si="367">IF(BL24="","",SUM(BL25:BL26))</f>
        <v>-4.054804498831439E-5</v>
      </c>
      <c r="BM27" s="62">
        <f t="shared" si="367"/>
        <v>-4.054804498831439E-5</v>
      </c>
      <c r="BN27" s="62">
        <f t="shared" ref="BN27:BO27" si="368">IF(BN24="","",SUM(BN25:BN26))</f>
        <v>-4.054804498831439E-5</v>
      </c>
      <c r="BO27" s="62">
        <f t="shared" si="368"/>
        <v>-4.054804498831439E-5</v>
      </c>
      <c r="BP27" s="62">
        <f t="shared" ref="BP27:BQ27" si="369">IF(BP24="","",SUM(BP25:BP26))</f>
        <v>-4.054804498831439E-5</v>
      </c>
      <c r="BQ27" s="62">
        <f t="shared" si="369"/>
        <v>-4.054804498831439E-5</v>
      </c>
      <c r="BR27" s="62">
        <f t="shared" ref="BR27:BS27" si="370">IF(BR24="","",SUM(BR25:BR26))</f>
        <v>-4.054804498831439E-5</v>
      </c>
      <c r="BS27" s="62">
        <f t="shared" si="370"/>
        <v>-4.054804498831439E-5</v>
      </c>
      <c r="BT27" s="62">
        <f t="shared" ref="BT27:BU27" si="371">IF(BT24="","",SUM(BT25:BT26))</f>
        <v>-4.054804498831439E-5</v>
      </c>
      <c r="BU27" s="62">
        <f t="shared" si="371"/>
        <v>-4.054804498831439E-5</v>
      </c>
      <c r="BV27" s="62">
        <f t="shared" ref="BV27:BW27" si="372">IF(BV24="","",SUM(BV25:BV26))</f>
        <v>-4.054804498831439E-5</v>
      </c>
      <c r="BW27" s="62">
        <f t="shared" si="372"/>
        <v>-4.054804498831439E-5</v>
      </c>
      <c r="BX27" s="62">
        <f t="shared" ref="BX27:BY27" si="373">IF(BX24="","",SUM(BX25:BX26))</f>
        <v>3.5567583786550491E-6</v>
      </c>
      <c r="BY27" s="62">
        <f t="shared" si="373"/>
        <v>3.5567583786550491E-6</v>
      </c>
      <c r="BZ27" s="62">
        <f t="shared" ref="BZ27:CA27" si="374">IF(BZ24="","",SUM(BZ25:BZ26))</f>
        <v>3.5567583786550491E-6</v>
      </c>
      <c r="CA27" s="62">
        <f t="shared" si="374"/>
        <v>3.5567583786550491E-6</v>
      </c>
      <c r="CB27" s="62">
        <f t="shared" ref="CB27:CC27" si="375">IF(CB24="","",SUM(CB25:CB26))</f>
        <v>3.5567583786550491E-6</v>
      </c>
      <c r="CC27" s="62">
        <f t="shared" si="375"/>
        <v>3.5567583786550491E-6</v>
      </c>
      <c r="CD27" s="62">
        <f t="shared" ref="CD27:CE27" si="376">IF(CD24="","",SUM(CD25:CD26))</f>
        <v>3.5567583786550491E-6</v>
      </c>
      <c r="CE27" s="62">
        <f t="shared" si="376"/>
        <v>3.5567583786550491E-6</v>
      </c>
      <c r="CF27" s="62">
        <f t="shared" ref="CF27:CG27" si="377">IF(CF24="","",SUM(CF25:CF26))</f>
        <v>3.5567583786550491E-6</v>
      </c>
      <c r="CG27" s="62">
        <f t="shared" si="377"/>
        <v>3.5567583786550491E-6</v>
      </c>
      <c r="CH27" s="62">
        <f t="shared" ref="CH27:CI27" si="378">IF(CH24="","",SUM(CH25:CH26))</f>
        <v>3.5567583786550491E-6</v>
      </c>
      <c r="CI27" s="62">
        <f t="shared" si="378"/>
        <v>3.5567583786550491E-6</v>
      </c>
    </row>
    <row r="28" spans="1:87" x14ac:dyDescent="0.35">
      <c r="A28" s="309"/>
      <c r="B28" s="73" t="s">
        <v>56</v>
      </c>
      <c r="C28" s="66">
        <f>+C26/C27</f>
        <v>0</v>
      </c>
      <c r="D28" s="66">
        <f>+IFERROR(D26/D27,"")</f>
        <v>0.66514598540145986</v>
      </c>
      <c r="E28" s="66">
        <f>+IFERROR(E26/E27,"")</f>
        <v>0.66514598540145986</v>
      </c>
      <c r="F28" s="66">
        <f>IF(F24="","",IFERROR(F26/F27,""))</f>
        <v>0.66514598540145986</v>
      </c>
      <c r="G28" s="66">
        <f t="shared" ref="G28:Z28" si="379">IF(G24="","",IFERROR(G26/G27,""))</f>
        <v>0.66514598540145986</v>
      </c>
      <c r="H28" s="66">
        <f t="shared" si="379"/>
        <v>0.66514598540145986</v>
      </c>
      <c r="I28" s="66">
        <f t="shared" si="379"/>
        <v>0.66514598540145986</v>
      </c>
      <c r="J28" s="66">
        <f t="shared" si="379"/>
        <v>0.66514598540145986</v>
      </c>
      <c r="K28" s="66">
        <f t="shared" si="379"/>
        <v>0.66514598540145986</v>
      </c>
      <c r="L28" s="66">
        <f t="shared" si="379"/>
        <v>0.66514598540145986</v>
      </c>
      <c r="M28" s="66">
        <f t="shared" si="379"/>
        <v>0.66514598540145986</v>
      </c>
      <c r="N28" s="66">
        <f t="shared" si="379"/>
        <v>0.66514598540145986</v>
      </c>
      <c r="O28" s="66">
        <f t="shared" si="379"/>
        <v>0.66514598540145986</v>
      </c>
      <c r="P28" s="66">
        <f t="shared" si="379"/>
        <v>-9.4529576006013288E-3</v>
      </c>
      <c r="Q28" s="66">
        <f t="shared" si="379"/>
        <v>-9.4529576006013288E-3</v>
      </c>
      <c r="R28" s="66">
        <f t="shared" si="379"/>
        <v>-9.4529576006013288E-3</v>
      </c>
      <c r="S28" s="66">
        <f t="shared" si="379"/>
        <v>-9.4529576006013288E-3</v>
      </c>
      <c r="T28" s="66">
        <f t="shared" si="379"/>
        <v>-9.4529576006013288E-3</v>
      </c>
      <c r="U28" s="66">
        <f t="shared" si="379"/>
        <v>-9.4529576006013288E-3</v>
      </c>
      <c r="V28" s="66">
        <f t="shared" si="379"/>
        <v>-9.4529576006013288E-3</v>
      </c>
      <c r="W28" s="66">
        <f t="shared" si="379"/>
        <v>-9.4529576006013288E-3</v>
      </c>
      <c r="X28" s="66">
        <f t="shared" si="379"/>
        <v>-9.4529576006013288E-3</v>
      </c>
      <c r="Y28" s="66">
        <f t="shared" si="379"/>
        <v>-9.4529576006013288E-3</v>
      </c>
      <c r="Z28" s="66">
        <f t="shared" si="379"/>
        <v>-9.4529576006013288E-3</v>
      </c>
      <c r="AA28" s="66">
        <f t="shared" ref="AA28:AC28" si="380">IF(AA24="","",IFERROR(AA26/AA27,""))</f>
        <v>-9.4529576006013288E-3</v>
      </c>
      <c r="AB28" s="66">
        <f t="shared" si="380"/>
        <v>-0.12434749727121444</v>
      </c>
      <c r="AC28" s="66">
        <f t="shared" si="380"/>
        <v>-0.12434749727121444</v>
      </c>
      <c r="AD28" s="66">
        <f t="shared" ref="AD28:AM28" si="381">IF(AD24="","",IFERROR(AD26/AD27,""))</f>
        <v>-0.12434749727121444</v>
      </c>
      <c r="AE28" s="66">
        <f t="shared" si="381"/>
        <v>-0.12434749727121444</v>
      </c>
      <c r="AF28" s="66">
        <f t="shared" si="381"/>
        <v>-0.12434749727121444</v>
      </c>
      <c r="AG28" s="66">
        <f t="shared" si="381"/>
        <v>-0.12434749727121444</v>
      </c>
      <c r="AH28" s="66">
        <f t="shared" si="381"/>
        <v>-0.12434749727121444</v>
      </c>
      <c r="AI28" s="66">
        <f t="shared" si="381"/>
        <v>-0.12434749727121444</v>
      </c>
      <c r="AJ28" s="66">
        <f t="shared" si="381"/>
        <v>-0.12434749727121444</v>
      </c>
      <c r="AK28" s="66">
        <f t="shared" si="381"/>
        <v>-0.12434749727121444</v>
      </c>
      <c r="AL28" s="66">
        <f t="shared" si="381"/>
        <v>-0.12434749727121444</v>
      </c>
      <c r="AM28" s="66">
        <f t="shared" si="381"/>
        <v>-0.12434749727121444</v>
      </c>
      <c r="AN28" s="66">
        <f t="shared" ref="AN28:AO28" si="382">IF(AN24="","",IFERROR(AN26/AN27,""))</f>
        <v>0.2819909897604409</v>
      </c>
      <c r="AO28" s="66">
        <f t="shared" si="382"/>
        <v>0.2819909897604409</v>
      </c>
      <c r="AP28" s="66">
        <f t="shared" ref="AP28:AQ28" si="383">IF(AP24="","",IFERROR(AP26/AP27,""))</f>
        <v>0.2819909897604409</v>
      </c>
      <c r="AQ28" s="66">
        <f t="shared" si="383"/>
        <v>0.2819909897604409</v>
      </c>
      <c r="AR28" s="66">
        <f t="shared" ref="AR28:AS28" si="384">IF(AR24="","",IFERROR(AR26/AR27,""))</f>
        <v>0.2819909897604409</v>
      </c>
      <c r="AS28" s="66">
        <f t="shared" si="384"/>
        <v>0.2819909897604409</v>
      </c>
      <c r="AT28" s="66">
        <f t="shared" ref="AT28:AU28" si="385">IF(AT24="","",IFERROR(AT26/AT27,""))</f>
        <v>0.2819909897604409</v>
      </c>
      <c r="AU28" s="66">
        <f t="shared" si="385"/>
        <v>0.2819909897604409</v>
      </c>
      <c r="AV28" s="66">
        <f t="shared" ref="AV28:AW28" si="386">IF(AV24="","",IFERROR(AV26/AV27,""))</f>
        <v>0.2819909897604409</v>
      </c>
      <c r="AW28" s="66">
        <f t="shared" si="386"/>
        <v>0.2819909897604409</v>
      </c>
      <c r="AX28" s="66">
        <f t="shared" ref="AX28:AY28" si="387">IF(AX24="","",IFERROR(AX26/AX27,""))</f>
        <v>0.2819909897604409</v>
      </c>
      <c r="AY28" s="66">
        <f t="shared" si="387"/>
        <v>0.2819909897604409</v>
      </c>
      <c r="AZ28" s="66">
        <f t="shared" ref="AZ28:BA28" si="388">IF(AZ24="","",IFERROR(AZ26/AZ27,""))</f>
        <v>1.6843812763593806</v>
      </c>
      <c r="BA28" s="66">
        <f t="shared" si="388"/>
        <v>1.6843812763593806</v>
      </c>
      <c r="BB28" s="66">
        <f t="shared" ref="BB28:BC28" si="389">IF(BB24="","",IFERROR(BB26/BB27,""))</f>
        <v>1.6843812763593806</v>
      </c>
      <c r="BC28" s="66">
        <f t="shared" si="389"/>
        <v>1.6843812763593806</v>
      </c>
      <c r="BD28" s="66">
        <f t="shared" ref="BD28:BE28" si="390">IF(BD24="","",IFERROR(BD26/BD27,""))</f>
        <v>1.6843812763593806</v>
      </c>
      <c r="BE28" s="66">
        <f t="shared" si="390"/>
        <v>1.6843812763593806</v>
      </c>
      <c r="BF28" s="66">
        <f t="shared" ref="BF28:BG28" si="391">IF(BF24="","",IFERROR(BF26/BF27,""))</f>
        <v>1.6843812763593806</v>
      </c>
      <c r="BG28" s="66">
        <f t="shared" si="391"/>
        <v>1.6843812763593806</v>
      </c>
      <c r="BH28" s="66">
        <f t="shared" ref="BH28:BI28" si="392">IF(BH24="","",IFERROR(BH26/BH27,""))</f>
        <v>1.6843812763593806</v>
      </c>
      <c r="BI28" s="66">
        <f t="shared" si="392"/>
        <v>1.6843812763593806</v>
      </c>
      <c r="BJ28" s="66">
        <f t="shared" ref="BJ28:BK28" si="393">IF(BJ24="","",IFERROR(BJ26/BJ27,""))</f>
        <v>1.6843812763593806</v>
      </c>
      <c r="BK28" s="66">
        <f t="shared" si="393"/>
        <v>1.6843812763593806</v>
      </c>
      <c r="BL28" s="66">
        <f t="shared" ref="BL28:BM28" si="394">IF(BL24="","",IFERROR(BL26/BL27,""))</f>
        <v>1.0875733556751301</v>
      </c>
      <c r="BM28" s="66">
        <f t="shared" si="394"/>
        <v>1.0875733556751301</v>
      </c>
      <c r="BN28" s="66">
        <f t="shared" ref="BN28:BO28" si="395">IF(BN24="","",IFERROR(BN26/BN27,""))</f>
        <v>1.0875733556751301</v>
      </c>
      <c r="BO28" s="66">
        <f t="shared" si="395"/>
        <v>1.0875733556751301</v>
      </c>
      <c r="BP28" s="66">
        <f t="shared" ref="BP28:BQ28" si="396">IF(BP24="","",IFERROR(BP26/BP27,""))</f>
        <v>1.0875733556751301</v>
      </c>
      <c r="BQ28" s="66">
        <f t="shared" si="396"/>
        <v>1.0875733556751301</v>
      </c>
      <c r="BR28" s="66">
        <f t="shared" ref="BR28:BS28" si="397">IF(BR24="","",IFERROR(BR26/BR27,""))</f>
        <v>1.0875733556751301</v>
      </c>
      <c r="BS28" s="66">
        <f t="shared" si="397"/>
        <v>1.0875733556751301</v>
      </c>
      <c r="BT28" s="66">
        <f t="shared" ref="BT28:BU28" si="398">IF(BT24="","",IFERROR(BT26/BT27,""))</f>
        <v>1.0875733556751301</v>
      </c>
      <c r="BU28" s="66">
        <f t="shared" si="398"/>
        <v>1.0875733556751301</v>
      </c>
      <c r="BV28" s="66">
        <f t="shared" ref="BV28:BW28" si="399">IF(BV24="","",IFERROR(BV26/BV27,""))</f>
        <v>1.0875733556751301</v>
      </c>
      <c r="BW28" s="66">
        <f t="shared" si="399"/>
        <v>1.0875733556751301</v>
      </c>
      <c r="BX28" s="66">
        <f t="shared" ref="BX28:BY28" si="400">IF(BX24="","",IFERROR(BX26/BX27,""))</f>
        <v>1</v>
      </c>
      <c r="BY28" s="66">
        <f t="shared" si="400"/>
        <v>1</v>
      </c>
      <c r="BZ28" s="66">
        <f t="shared" ref="BZ28:CA28" si="401">IF(BZ24="","",IFERROR(BZ26/BZ27,""))</f>
        <v>1</v>
      </c>
      <c r="CA28" s="66">
        <f t="shared" si="401"/>
        <v>1</v>
      </c>
      <c r="CB28" s="66">
        <f t="shared" ref="CB28:CC28" si="402">IF(CB24="","",IFERROR(CB26/CB27,""))</f>
        <v>1</v>
      </c>
      <c r="CC28" s="66">
        <f t="shared" si="402"/>
        <v>1</v>
      </c>
      <c r="CD28" s="66">
        <f t="shared" ref="CD28:CE28" si="403">IF(CD24="","",IFERROR(CD26/CD27,""))</f>
        <v>1</v>
      </c>
      <c r="CE28" s="66">
        <f t="shared" si="403"/>
        <v>1</v>
      </c>
      <c r="CF28" s="66">
        <f t="shared" ref="CF28:CG28" si="404">IF(CF24="","",IFERROR(CF26/CF27,""))</f>
        <v>1</v>
      </c>
      <c r="CG28" s="66">
        <f t="shared" si="404"/>
        <v>1</v>
      </c>
      <c r="CH28" s="66">
        <f t="shared" ref="CH28:CI28" si="405">IF(CH24="","",IFERROR(CH26/CH27,""))</f>
        <v>1</v>
      </c>
      <c r="CI28" s="66">
        <f t="shared" si="405"/>
        <v>1</v>
      </c>
    </row>
    <row r="29" spans="1:87" s="48" customFormat="1" x14ac:dyDescent="0.35">
      <c r="A29" s="309"/>
      <c r="B29" s="74" t="s">
        <v>57</v>
      </c>
      <c r="C29" s="64">
        <f>+C28*C24</f>
        <v>0</v>
      </c>
      <c r="D29" s="64">
        <f>+ROUND(D28*D24,2)</f>
        <v>218471.8</v>
      </c>
      <c r="E29" s="64">
        <f>+ROUND(E28*E24,2)</f>
        <v>177710.71</v>
      </c>
      <c r="F29" s="64">
        <f>IF(F24="","",ROUND(F28*F24,2))</f>
        <v>191229.73</v>
      </c>
      <c r="G29" s="64">
        <f t="shared" ref="G29:Z29" si="406">IF(G24="","",ROUND(G28*G24,2))</f>
        <v>193716.84</v>
      </c>
      <c r="H29" s="64">
        <f t="shared" si="406"/>
        <v>222624.92</v>
      </c>
      <c r="I29" s="64">
        <f t="shared" si="406"/>
        <v>218073.95</v>
      </c>
      <c r="J29" s="64">
        <f t="shared" si="406"/>
        <v>230059.35</v>
      </c>
      <c r="K29" s="64">
        <f t="shared" si="406"/>
        <v>221358.47</v>
      </c>
      <c r="L29" s="64">
        <f t="shared" si="406"/>
        <v>216663.84</v>
      </c>
      <c r="M29" s="64">
        <f t="shared" si="406"/>
        <v>195061.62</v>
      </c>
      <c r="N29" s="64">
        <f t="shared" si="406"/>
        <v>204414.35</v>
      </c>
      <c r="O29" s="64">
        <f t="shared" si="406"/>
        <v>225860.94</v>
      </c>
      <c r="P29" s="64">
        <f t="shared" si="406"/>
        <v>-2910.27</v>
      </c>
      <c r="Q29" s="64">
        <f t="shared" si="406"/>
        <v>-2901.71</v>
      </c>
      <c r="R29" s="64">
        <f t="shared" si="406"/>
        <v>-2678.69</v>
      </c>
      <c r="S29" s="64">
        <f t="shared" si="406"/>
        <v>-3084.99</v>
      </c>
      <c r="T29" s="64">
        <f t="shared" si="406"/>
        <v>-3345.54</v>
      </c>
      <c r="U29" s="64">
        <f t="shared" si="406"/>
        <v>-3464.54</v>
      </c>
      <c r="V29" s="64">
        <f t="shared" si="406"/>
        <v>-3405.5</v>
      </c>
      <c r="W29" s="64">
        <f t="shared" si="406"/>
        <v>-3314.25</v>
      </c>
      <c r="X29" s="64">
        <f t="shared" si="406"/>
        <v>-3107.88</v>
      </c>
      <c r="Y29" s="64">
        <f t="shared" si="406"/>
        <v>-2892.34</v>
      </c>
      <c r="Z29" s="64">
        <f t="shared" si="406"/>
        <v>-3110.11</v>
      </c>
      <c r="AA29" s="64">
        <f t="shared" ref="AA29:AC29" si="407">IF(AA24="","",ROUND(AA28*AA24,2))</f>
        <v>-2854.53</v>
      </c>
      <c r="AB29" s="64">
        <f t="shared" si="407"/>
        <v>-44923.25</v>
      </c>
      <c r="AC29" s="64">
        <f t="shared" si="407"/>
        <v>-44472.76</v>
      </c>
      <c r="AD29" s="64">
        <f t="shared" ref="AD29:AM29" si="408">IF(AD24="","",ROUND(AD28*AD24,2))</f>
        <v>-42630.31</v>
      </c>
      <c r="AE29" s="64">
        <f t="shared" si="408"/>
        <v>-42527.18</v>
      </c>
      <c r="AF29" s="64">
        <f t="shared" si="408"/>
        <v>-49414.85</v>
      </c>
      <c r="AG29" s="64">
        <f t="shared" si="408"/>
        <v>-49660.75</v>
      </c>
      <c r="AH29" s="64">
        <f t="shared" si="408"/>
        <v>-52133.62</v>
      </c>
      <c r="AI29" s="64">
        <f t="shared" si="408"/>
        <v>-51817.96</v>
      </c>
      <c r="AJ29" s="64">
        <f t="shared" si="408"/>
        <v>-48015.69</v>
      </c>
      <c r="AK29" s="64">
        <f t="shared" si="408"/>
        <v>-44402.83</v>
      </c>
      <c r="AL29" s="64">
        <f t="shared" si="408"/>
        <v>-44707.199999999997</v>
      </c>
      <c r="AM29" s="64">
        <f t="shared" si="408"/>
        <v>-45991.89</v>
      </c>
      <c r="AN29" s="64">
        <f t="shared" ref="AN29:AO29" si="409">IF(AN24="","",ROUND(AN28*AN24,2))</f>
        <v>82846.45</v>
      </c>
      <c r="AO29" s="64">
        <f t="shared" si="409"/>
        <v>34821.199999999997</v>
      </c>
      <c r="AP29" s="64">
        <f t="shared" ref="AP29:AQ29" si="410">IF(AP24="","",ROUND(AP28*AP24,2))</f>
        <v>33556.67</v>
      </c>
      <c r="AQ29" s="64">
        <f t="shared" si="410"/>
        <v>31590.7</v>
      </c>
      <c r="AR29" s="64">
        <f t="shared" ref="AR29:AS29" si="411">IF(AR24="","",ROUND(AR28*AR24,2))</f>
        <v>36791.480000000003</v>
      </c>
      <c r="AS29" s="64">
        <f t="shared" si="411"/>
        <v>38724.1</v>
      </c>
      <c r="AT29" s="64">
        <f t="shared" ref="AT29:AU29" si="412">IF(AT24="","",ROUND(AT28*AT24,2))</f>
        <v>40589.17</v>
      </c>
      <c r="AU29" s="64">
        <f t="shared" si="412"/>
        <v>40599.53</v>
      </c>
      <c r="AV29" s="64">
        <f t="shared" ref="AV29:AW29" si="413">IF(AV24="","",ROUND(AV28*AV24,2))</f>
        <v>36087.699999999997</v>
      </c>
      <c r="AW29" s="64">
        <f t="shared" si="413"/>
        <v>35832.050000000003</v>
      </c>
      <c r="AX29" s="64">
        <f t="shared" ref="AX29:AY29" si="414">IF(AX24="","",ROUND(AX28*AX24,2))</f>
        <v>37492.33</v>
      </c>
      <c r="AY29" s="64">
        <f t="shared" si="414"/>
        <v>36812.410000000003</v>
      </c>
      <c r="AZ29" s="64">
        <f t="shared" ref="AZ29:BA29" si="415">IF(AZ24="","",ROUND(AZ28*AZ24,2))</f>
        <v>123157.44</v>
      </c>
      <c r="BA29" s="64">
        <f t="shared" si="415"/>
        <v>-40007.54</v>
      </c>
      <c r="BB29" s="64">
        <f t="shared" ref="BB29:BC29" si="416">IF(BB24="","",ROUND(BB28*BB24,2))</f>
        <v>-42694.89</v>
      </c>
      <c r="BC29" s="64">
        <f t="shared" si="416"/>
        <v>-45615.15</v>
      </c>
      <c r="BD29" s="64">
        <f t="shared" ref="BD29:BE29" si="417">IF(BD24="","",ROUND(BD28*BD24,2))</f>
        <v>-41162.83</v>
      </c>
      <c r="BE29" s="64">
        <f t="shared" si="417"/>
        <v>-56959.49</v>
      </c>
      <c r="BF29" s="64">
        <f t="shared" ref="BF29:BG29" si="418">IF(BF24="","",ROUND(BF28*BF24,2))</f>
        <v>-52295.71</v>
      </c>
      <c r="BG29" s="64">
        <f t="shared" si="418"/>
        <v>-52959.66</v>
      </c>
      <c r="BH29" s="64">
        <f t="shared" ref="BH29:BI29" si="419">IF(BH24="","",ROUND(BH28*BH24,2))</f>
        <v>-45730.01</v>
      </c>
      <c r="BI29" s="64">
        <f t="shared" si="419"/>
        <v>-39890.089999999997</v>
      </c>
      <c r="BJ29" s="64">
        <f t="shared" ref="BJ29:BK29" si="420">IF(BJ24="","",ROUND(BJ28*BJ24,2))</f>
        <v>-52432.800000000003</v>
      </c>
      <c r="BK29" s="64">
        <f t="shared" si="420"/>
        <v>-50635.33</v>
      </c>
      <c r="BL29" s="64">
        <f t="shared" ref="BL29:BM29" si="421">IF(BL24="","",ROUND(BL28*BL24,2))</f>
        <v>-23630.6</v>
      </c>
      <c r="BM29" s="64">
        <f t="shared" si="421"/>
        <v>-10235.24</v>
      </c>
      <c r="BN29" s="64">
        <f t="shared" ref="BN29:BO29" si="422">IF(BN24="","",ROUND(BN28*BN24,2))</f>
        <v>-10302.52</v>
      </c>
      <c r="BO29" s="64">
        <f t="shared" si="422"/>
        <v>-10077.35</v>
      </c>
      <c r="BP29" s="64">
        <f t="shared" ref="BP29:BQ29" si="423">IF(BP24="","",ROUND(BP28*BP24,2))</f>
        <v>-11463.99</v>
      </c>
      <c r="BQ29" s="64">
        <f t="shared" si="423"/>
        <v>-11928.19</v>
      </c>
      <c r="BR29" s="64">
        <f t="shared" ref="BR29:BS29" si="424">IF(BR24="","",ROUND(BR28*BR24,2))</f>
        <v>-11832.42</v>
      </c>
      <c r="BS29" s="64">
        <f t="shared" si="424"/>
        <v>-11526.06</v>
      </c>
      <c r="BT29" s="64">
        <f t="shared" ref="BT29:BU29" si="425">IF(BT24="","",ROUND(BT28*BT24,2))</f>
        <v>-10219.18</v>
      </c>
      <c r="BU29" s="64">
        <f t="shared" si="425"/>
        <v>-10320.07</v>
      </c>
      <c r="BV29" s="64">
        <f t="shared" ref="BV29:BW29" si="426">IF(BV24="","",ROUND(BV28*BV24,2))</f>
        <v>-10712.45</v>
      </c>
      <c r="BW29" s="64">
        <f t="shared" si="426"/>
        <v>-10198.379999999999</v>
      </c>
      <c r="BX29" s="64">
        <f t="shared" ref="BX29:BY29" si="427">IF(BX24="","",ROUND(BX28*BX24,2))</f>
        <v>-6080.44</v>
      </c>
      <c r="BY29" s="64">
        <f t="shared" si="427"/>
        <v>667.65</v>
      </c>
      <c r="BZ29" s="64">
        <f t="shared" ref="BZ29:CA29" si="428">IF(BZ24="","",ROUND(BZ28*BZ24,2))</f>
        <v>877.65</v>
      </c>
      <c r="CA29" s="64">
        <f t="shared" si="428"/>
        <v>877.06</v>
      </c>
      <c r="CB29" s="64">
        <f t="shared" ref="CB29:CC29" si="429">IF(CB24="","",ROUND(CB28*CB24,2))</f>
        <v>917.12</v>
      </c>
      <c r="CC29" s="64">
        <f t="shared" si="429"/>
        <v>941.31</v>
      </c>
      <c r="CD29" s="64">
        <f t="shared" ref="CD29:CE29" si="430">IF(CD24="","",ROUND(CD28*CD24,2))</f>
        <v>1063.3</v>
      </c>
      <c r="CE29" s="64">
        <f t="shared" si="430"/>
        <v>1016.76</v>
      </c>
      <c r="CF29" s="64">
        <f t="shared" ref="CF29:CG29" si="431">IF(CF24="","",ROUND(CF28*CF24,2))</f>
        <v>882.85</v>
      </c>
      <c r="CG29" s="64">
        <f t="shared" si="431"/>
        <v>878.74</v>
      </c>
      <c r="CH29" s="64">
        <f t="shared" ref="CH29:CI29" si="432">IF(CH24="","",ROUND(CH28*CH24,2))</f>
        <v>910.56</v>
      </c>
      <c r="CI29" s="64">
        <f t="shared" si="432"/>
        <v>955.18</v>
      </c>
    </row>
    <row r="30" spans="1:87" s="48" customFormat="1" ht="9" customHeight="1" x14ac:dyDescent="0.35">
      <c r="A30" s="77"/>
      <c r="B30" s="7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row>
    <row r="31" spans="1:87" x14ac:dyDescent="0.35">
      <c r="A31" s="309" t="s">
        <v>37</v>
      </c>
      <c r="B31" s="73" t="s">
        <v>53</v>
      </c>
      <c r="C31" s="63">
        <f>+'MEEIA 2 calcs'!O68</f>
        <v>7958.8</v>
      </c>
      <c r="D31" s="63">
        <f>+'MEEIA 2 calcs'!P68</f>
        <v>202699.47</v>
      </c>
      <c r="E31" s="63">
        <f>+'MEEIA 2 calcs'!Q68</f>
        <v>167678.56</v>
      </c>
      <c r="F31" s="63">
        <f>+'M2 Allocations - TD'!Q54</f>
        <v>185826.61</v>
      </c>
      <c r="G31" s="63">
        <f>IF(+'M2 Allocations - TD'!R54="","",'M2 Allocations - TD'!R54)</f>
        <v>189002.31</v>
      </c>
      <c r="H31" s="63">
        <f>IF(+'M2 Allocations - TD'!S54="","",'M2 Allocations - TD'!S54)</f>
        <v>225674.13</v>
      </c>
      <c r="I31" s="63">
        <f>IF(+'M2 Allocations - TD'!T54="","",'M2 Allocations - TD'!T54)</f>
        <v>213450.91</v>
      </c>
      <c r="J31" s="63">
        <f>IF(+'M2 Allocations - TD'!U54="","",'M2 Allocations - TD'!U54)</f>
        <v>236566.37</v>
      </c>
      <c r="K31" s="63">
        <f>IF(+'M2 Allocations - TD'!V54="","",'M2 Allocations - TD'!V54)</f>
        <v>225419.26</v>
      </c>
      <c r="L31" s="63">
        <f>IF(+'M2 Allocations - TD'!W54="","",'M2 Allocations - TD'!W54)</f>
        <v>214922.7</v>
      </c>
      <c r="M31" s="63">
        <f>IF(+'M2 Allocations - TD'!X54="","",'M2 Allocations - TD'!X54)</f>
        <v>204773.48</v>
      </c>
      <c r="N31" s="63">
        <f>IF(+'M2 Allocations - TD'!Y54="","",'M2 Allocations - TD'!Y54)</f>
        <v>187770.83</v>
      </c>
      <c r="O31" s="63">
        <f>IF(+'M2 Allocations - TD'!Z54="","",'M2 Allocations - TD'!Z54)</f>
        <v>190411.74</v>
      </c>
      <c r="P31" s="63">
        <f>IF(+'M2 Allocations - TD'!AA54="","",'M2 Allocations - TD'!AA54)</f>
        <v>104692.59</v>
      </c>
      <c r="Q31" s="63">
        <f>IF(+'M2 Allocations - TD'!AB54="","",'M2 Allocations - TD'!AB54)</f>
        <v>18094.560000000001</v>
      </c>
      <c r="R31" s="63">
        <f>IF(+'M2 Allocations - TD'!AC54="","",'M2 Allocations - TD'!AC54)</f>
        <v>17212.91</v>
      </c>
      <c r="S31" s="63">
        <f>IF(+'M2 Allocations - TD'!AD54="","",'M2 Allocations - TD'!AD54)</f>
        <v>19682.41</v>
      </c>
      <c r="T31" s="63">
        <f>IF(+'M2 Allocations - TD'!AE54="","",'M2 Allocations - TD'!AE54)</f>
        <v>21781.17</v>
      </c>
      <c r="U31" s="63">
        <f>IF(+'M2 Allocations - TD'!AF54="","",'M2 Allocations - TD'!AF54)</f>
        <v>13233.54</v>
      </c>
      <c r="V31" s="63">
        <f>IF(+'M2 Allocations - TD'!AG54="","",'M2 Allocations - TD'!AG54)</f>
        <v>22431.52</v>
      </c>
      <c r="W31" s="63">
        <f>IF(+'M2 Allocations - TD'!AH54="","",'M2 Allocations - TD'!AH54)</f>
        <v>21067.32</v>
      </c>
      <c r="X31" s="63">
        <f>IF(+'M2 Allocations - TD'!AI54="","",'M2 Allocations - TD'!AI54)</f>
        <v>20801.22</v>
      </c>
      <c r="Y31" s="63">
        <f>IF(+'M2 Allocations - TD'!AJ54="","",'M2 Allocations - TD'!AJ54)</f>
        <v>19547.939999999999</v>
      </c>
      <c r="Z31" s="63">
        <f>IF(+'M2 Allocations - TD'!AK54="","",'M2 Allocations - TD'!AK54)</f>
        <v>19036.14</v>
      </c>
      <c r="AA31" s="63">
        <f>IF(+'M2 Allocations - TD'!AL54="","",'M2 Allocations - TD'!AL54)</f>
        <v>21300.85</v>
      </c>
      <c r="AB31" s="63">
        <f>IF(+'M2 Allocations - TD'!AM54="","",'M2 Allocations - TD'!AM54)</f>
        <v>41051.660000000003</v>
      </c>
      <c r="AC31" s="63">
        <f>IF(+'M2 Allocations - TD'!AN54="","",'M2 Allocations - TD'!AN54)</f>
        <v>64352.88</v>
      </c>
      <c r="AD31" s="63">
        <f>IF(+'M2 Allocations - TD'!AO54="","",'M2 Allocations - TD'!AO54)</f>
        <v>64072.1</v>
      </c>
      <c r="AE31" s="63">
        <f>IF(+'M2 Allocations - TD'!AP54="","",'M2 Allocations - TD'!AP54)</f>
        <v>62519.33</v>
      </c>
      <c r="AF31" s="63">
        <f>IF(+'M2 Allocations - TD'!AQ54="","",'M2 Allocations - TD'!AQ54)</f>
        <v>78748.960000000006</v>
      </c>
      <c r="AG31" s="63">
        <f>IF(+'M2 Allocations - TD'!AR54="","",'M2 Allocations - TD'!AR54)</f>
        <v>73304.259999999995</v>
      </c>
      <c r="AH31" s="63">
        <f>IF(+'M2 Allocations - TD'!AS54="","",'M2 Allocations - TD'!AS54)</f>
        <v>81170.33</v>
      </c>
      <c r="AI31" s="63">
        <f>IF(+'M2 Allocations - TD'!AT54="","",'M2 Allocations - TD'!AT54)</f>
        <v>82260.42</v>
      </c>
      <c r="AJ31" s="63">
        <f>IF(+'M2 Allocations - TD'!AU54="","",'M2 Allocations - TD'!AU54)</f>
        <v>77599.5</v>
      </c>
      <c r="AK31" s="63">
        <f>IF(+'M2 Allocations - TD'!AV54="","",'M2 Allocations - TD'!AV54)</f>
        <v>68913.850000000006</v>
      </c>
      <c r="AL31" s="63">
        <f>IF(+'M2 Allocations - TD'!AW54="","",'M2 Allocations - TD'!AW54)</f>
        <v>64843.48</v>
      </c>
      <c r="AM31" s="63">
        <f>IF(+'M2 Allocations - TD'!AX54="","",'M2 Allocations - TD'!AX54)</f>
        <v>68622.929999999993</v>
      </c>
      <c r="AN31" s="63">
        <f>IF(+'M2 Allocations - TD'!AY54="","",'M2 Allocations - TD'!AY54)</f>
        <v>67842.5</v>
      </c>
      <c r="AO31" s="63">
        <f>IF(+'M2 Allocations - TD'!AZ54="","",'M2 Allocations - TD'!AZ54)</f>
        <v>38688.33</v>
      </c>
      <c r="AP31" s="63">
        <f>IF(+'M2 Allocations - TD'!BA54="","",'M2 Allocations - TD'!BA54)</f>
        <v>44298.87</v>
      </c>
      <c r="AQ31" s="63">
        <f>IF(+'M2 Allocations - TD'!BB54="","",'M2 Allocations - TD'!BB54)</f>
        <v>44976.56</v>
      </c>
      <c r="AR31" s="63">
        <f>IF(+'M2 Allocations - TD'!BC54="","",'M2 Allocations - TD'!BC54)</f>
        <v>11431.37</v>
      </c>
      <c r="AS31" s="63">
        <f>IF(+'M2 Allocations - TD'!BD54="","",'M2 Allocations - TD'!BD54)</f>
        <v>50558.239999999998</v>
      </c>
      <c r="AT31" s="63">
        <f>IF(+'M2 Allocations - TD'!BE54="","",'M2 Allocations - TD'!BE54)</f>
        <v>52075.91</v>
      </c>
      <c r="AU31" s="63">
        <f>IF(+'M2 Allocations - TD'!BF54="","",'M2 Allocations - TD'!BF54)</f>
        <v>52816.959999999999</v>
      </c>
      <c r="AV31" s="63">
        <f>IF(+'M2 Allocations - TD'!BG54="","",'M2 Allocations - TD'!BG54)</f>
        <v>46523.24</v>
      </c>
      <c r="AW31" s="63">
        <f>IF(+'M2 Allocations - TD'!BH54="","",'M2 Allocations - TD'!BH54)</f>
        <v>45630.69</v>
      </c>
      <c r="AX31" s="63">
        <f>IF(+'M2 Allocations - TD'!BI54="","",'M2 Allocations - TD'!BI54)</f>
        <v>46596.58</v>
      </c>
      <c r="AY31" s="63">
        <f>IF(+'M2 Allocations - TD'!BJ54="","",'M2 Allocations - TD'!BJ54)</f>
        <v>42614.78</v>
      </c>
      <c r="AZ31" s="63">
        <f>IF(+'M2 Allocations - TD'!BK54="","",'M2 Allocations - TD'!BK54)</f>
        <v>37690.370000000003</v>
      </c>
      <c r="BA31" s="63">
        <f>IF(+'M2 Allocations - TD'!BL54="","",'M2 Allocations - TD'!BL54)</f>
        <v>-999.06</v>
      </c>
      <c r="BB31" s="63">
        <f>IF(+'M2 Allocations - TD'!BM54="","",'M2 Allocations - TD'!BM54)</f>
        <v>1068.3499999999999</v>
      </c>
      <c r="BC31" s="63">
        <f>IF(+'M2 Allocations - TD'!BN54="","",'M2 Allocations - TD'!BN54)</f>
        <v>1085.3800000000001</v>
      </c>
      <c r="BD31" s="63">
        <f>IF(+'M2 Allocations - TD'!BO54="","",'M2 Allocations - TD'!BO54)</f>
        <v>1047.53</v>
      </c>
      <c r="BE31" s="63">
        <f>IF(+'M2 Allocations - TD'!BP54="","",'M2 Allocations - TD'!BP54)</f>
        <v>1336.85</v>
      </c>
      <c r="BF31" s="63">
        <f>IF(+'M2 Allocations - TD'!BQ54="","",'M2 Allocations - TD'!BQ54)</f>
        <v>1272.6199999999999</v>
      </c>
      <c r="BG31" s="63">
        <f>IF(+'M2 Allocations - TD'!BR54="","",'M2 Allocations - TD'!BR54)</f>
        <v>1376.1</v>
      </c>
      <c r="BH31" s="63">
        <f>IF(+'M2 Allocations - TD'!BS54="","",'M2 Allocations - TD'!BS54)</f>
        <v>1261.3</v>
      </c>
      <c r="BI31" s="63">
        <f>IF(+'M2 Allocations - TD'!BT54="","",'M2 Allocations - TD'!BT54)</f>
        <v>837.34</v>
      </c>
      <c r="BJ31" s="63">
        <f>IF(+'M2 Allocations - TD'!BU54="","",'M2 Allocations - TD'!BU54)</f>
        <v>1174.03</v>
      </c>
      <c r="BK31" s="63">
        <f>IF(+'M2 Allocations - TD'!BV54="","",'M2 Allocations - TD'!BV54)</f>
        <v>1093.94</v>
      </c>
      <c r="BL31" s="63">
        <f>IF(+'M2 Allocations - TD'!BW54="","",'M2 Allocations - TD'!BW54)</f>
        <v>596.12</v>
      </c>
      <c r="BM31" s="63">
        <f>IF(+'M2 Allocations - TD'!BX54="","",'M2 Allocations - TD'!BX54)</f>
        <v>-2115.3000000000002</v>
      </c>
      <c r="BN31" s="63">
        <f>IF(+'M2 Allocations - TD'!BY54="","",'M2 Allocations - TD'!BY54)</f>
        <v>-9955.1299999999992</v>
      </c>
      <c r="BO31" s="63">
        <f>IF(+'M2 Allocations - TD'!BZ54="","",'M2 Allocations - TD'!BZ54)</f>
        <v>-1926.46</v>
      </c>
      <c r="BP31" s="63">
        <f>IF(+'M2 Allocations - TD'!CA54="","",'M2 Allocations - TD'!CA54)</f>
        <v>-2348.37</v>
      </c>
      <c r="BQ31" s="63">
        <f>IF(+'M2 Allocations - TD'!CB54="","",'M2 Allocations - TD'!CB54)</f>
        <v>-2694.11</v>
      </c>
      <c r="BR31" s="63">
        <f>IF(+'M2 Allocations - TD'!CC54="","",'M2 Allocations - TD'!CC54)</f>
        <v>-2663.91</v>
      </c>
      <c r="BS31" s="63">
        <f>IF(+'M2 Allocations - TD'!CD54="","",'M2 Allocations - TD'!CD54)</f>
        <v>-2777.2</v>
      </c>
      <c r="BT31" s="63">
        <f>IF(+'M2 Allocations - TD'!CE54="","",'M2 Allocations - TD'!CE54)</f>
        <v>-2385.87</v>
      </c>
      <c r="BU31" s="63">
        <f>IF(+'M2 Allocations - TD'!CF54="","",'M2 Allocations - TD'!CF54)</f>
        <v>-2383.12</v>
      </c>
      <c r="BV31" s="63">
        <f>IF(+'M2 Allocations - TD'!CG54="","",'M2 Allocations - TD'!CG54)</f>
        <v>-2339.5100000000002</v>
      </c>
      <c r="BW31" s="63">
        <f>IF(+'M2 Allocations - TD'!CH54="","",'M2 Allocations - TD'!CH54)</f>
        <v>-1974.96</v>
      </c>
      <c r="BX31" s="63">
        <f>IF(+'M2 Allocations - TD'!CI54="","",'M2 Allocations - TD'!CI54)</f>
        <v>-1623.82</v>
      </c>
      <c r="BY31" s="63">
        <f>IF(+'M2 Allocations - TD'!CJ54="","",'M2 Allocations - TD'!CJ54)</f>
        <v>-8.4700000000000006</v>
      </c>
      <c r="BZ31" s="63">
        <f>IF(+'M2 Allocations - TD'!CK54="","",'M2 Allocations - TD'!CK54)</f>
        <v>0</v>
      </c>
      <c r="CA31" s="63">
        <f>IF(+'M2 Allocations - TD'!CL54="","",'M2 Allocations - TD'!CL54)</f>
        <v>0</v>
      </c>
      <c r="CB31" s="63">
        <f>IF(+'M2 Allocations - TD'!CM54="","",'M2 Allocations - TD'!CM54)</f>
        <v>0</v>
      </c>
      <c r="CC31" s="63">
        <f>IF(+'M2 Allocations - TD'!CN54="","",'M2 Allocations - TD'!CN54)</f>
        <v>0</v>
      </c>
      <c r="CD31" s="63">
        <f>IF(+'M2 Allocations - TD'!CO54="","",'M2 Allocations - TD'!CO54)</f>
        <v>0</v>
      </c>
      <c r="CE31" s="63">
        <f>IF(+'M2 Allocations - TD'!CP54="","",'M2 Allocations - TD'!CP54)</f>
        <v>0</v>
      </c>
      <c r="CF31" s="63">
        <f>IF(+'M2 Allocations - TD'!CQ54="","",'M2 Allocations - TD'!CQ54)</f>
        <v>0</v>
      </c>
      <c r="CG31" s="63">
        <f>IF(+'M2 Allocations - TD'!CR54="","",'M2 Allocations - TD'!CR54)</f>
        <v>0</v>
      </c>
      <c r="CH31" s="63">
        <f>IF(+'M2 Allocations - TD'!CS54="","",'M2 Allocations - TD'!CS54)</f>
        <v>0</v>
      </c>
      <c r="CI31" s="63">
        <f>IF(+'M2 Allocations - TD'!CT54="","",'M2 Allocations - TD'!CT54)</f>
        <v>0</v>
      </c>
    </row>
    <row r="32" spans="1:87" x14ac:dyDescent="0.35">
      <c r="A32" s="309"/>
      <c r="B32" s="73" t="s">
        <v>55</v>
      </c>
      <c r="C32" s="87">
        <v>6.0000000000000002E-5</v>
      </c>
      <c r="D32" s="87">
        <v>3.8400000000000001E-4</v>
      </c>
      <c r="E32" s="71">
        <f>+D32</f>
        <v>3.8400000000000001E-4</v>
      </c>
      <c r="F32" s="71">
        <f>IF(F31="","",E32)</f>
        <v>3.8400000000000001E-4</v>
      </c>
      <c r="G32" s="71">
        <f t="shared" ref="G32:Z32" si="433">IF(G31="","",F32)</f>
        <v>3.8400000000000001E-4</v>
      </c>
      <c r="H32" s="71">
        <f t="shared" si="433"/>
        <v>3.8400000000000001E-4</v>
      </c>
      <c r="I32" s="71">
        <f t="shared" si="433"/>
        <v>3.8400000000000001E-4</v>
      </c>
      <c r="J32" s="71">
        <f t="shared" si="433"/>
        <v>3.8400000000000001E-4</v>
      </c>
      <c r="K32" s="71">
        <f t="shared" si="433"/>
        <v>3.8400000000000001E-4</v>
      </c>
      <c r="L32" s="71">
        <f t="shared" si="433"/>
        <v>3.8400000000000001E-4</v>
      </c>
      <c r="M32" s="71">
        <f t="shared" si="433"/>
        <v>3.8400000000000001E-4</v>
      </c>
      <c r="N32" s="71">
        <f t="shared" si="433"/>
        <v>3.8400000000000001E-4</v>
      </c>
      <c r="O32" s="71">
        <f t="shared" si="433"/>
        <v>3.8400000000000001E-4</v>
      </c>
      <c r="P32" s="87">
        <v>3.5731019249486359E-4</v>
      </c>
      <c r="Q32" s="71">
        <f t="shared" si="433"/>
        <v>3.5731019249486359E-4</v>
      </c>
      <c r="R32" s="90">
        <f t="shared" si="433"/>
        <v>3.5731019249486359E-4</v>
      </c>
      <c r="S32" s="90">
        <f t="shared" si="433"/>
        <v>3.5731019249486359E-4</v>
      </c>
      <c r="T32" s="90">
        <f t="shared" si="433"/>
        <v>3.5731019249486359E-4</v>
      </c>
      <c r="U32" s="90">
        <f t="shared" si="433"/>
        <v>3.5731019249486359E-4</v>
      </c>
      <c r="V32" s="90">
        <f t="shared" si="433"/>
        <v>3.5731019249486359E-4</v>
      </c>
      <c r="W32" s="90">
        <f t="shared" si="433"/>
        <v>3.5731019249486359E-4</v>
      </c>
      <c r="X32" s="90">
        <f t="shared" si="433"/>
        <v>3.5731019249486359E-4</v>
      </c>
      <c r="Y32" s="90">
        <f t="shared" si="433"/>
        <v>3.5731019249486359E-4</v>
      </c>
      <c r="Z32" s="90">
        <f t="shared" si="433"/>
        <v>3.5731019249486359E-4</v>
      </c>
      <c r="AA32" s="90">
        <f t="shared" ref="AA32" si="434">IF(AA31="","",Z32)</f>
        <v>3.5731019249486359E-4</v>
      </c>
      <c r="AB32" s="87">
        <v>6.7202311992673749E-4</v>
      </c>
      <c r="AC32" s="71">
        <f t="shared" ref="AC32" si="435">IF(AC31="","",AB32)</f>
        <v>6.7202311992673749E-4</v>
      </c>
      <c r="AD32" s="71">
        <f t="shared" ref="AD32" si="436">IF(AD31="","",AC32)</f>
        <v>6.7202311992673749E-4</v>
      </c>
      <c r="AE32" s="71">
        <f t="shared" ref="AE32" si="437">IF(AE31="","",AD32)</f>
        <v>6.7202311992673749E-4</v>
      </c>
      <c r="AF32" s="71">
        <f t="shared" ref="AF32" si="438">IF(AF31="","",AE32)</f>
        <v>6.7202311992673749E-4</v>
      </c>
      <c r="AG32" s="71">
        <f t="shared" ref="AG32" si="439">IF(AG31="","",AF32)</f>
        <v>6.7202311992673749E-4</v>
      </c>
      <c r="AH32" s="71">
        <f t="shared" ref="AH32" si="440">IF(AH31="","",AG32)</f>
        <v>6.7202311992673749E-4</v>
      </c>
      <c r="AI32" s="71">
        <f t="shared" ref="AI32" si="441">IF(AI31="","",AH32)</f>
        <v>6.7202311992673749E-4</v>
      </c>
      <c r="AJ32" s="71">
        <f t="shared" ref="AJ32" si="442">IF(AJ31="","",AI32)</f>
        <v>6.7202311992673749E-4</v>
      </c>
      <c r="AK32" s="71">
        <f t="shared" ref="AK32" si="443">IF(AK31="","",AJ32)</f>
        <v>6.7202311992673749E-4</v>
      </c>
      <c r="AL32" s="71">
        <f t="shared" ref="AL32" si="444">IF(AL31="","",AK32)</f>
        <v>6.7202311992673749E-4</v>
      </c>
      <c r="AM32" s="71">
        <f t="shared" ref="AM32" si="445">IF(AM31="","",AL32)</f>
        <v>6.7202311992673749E-4</v>
      </c>
      <c r="AN32" s="119">
        <v>1.712590854401589E-4</v>
      </c>
      <c r="AO32" s="71">
        <f t="shared" ref="AO32:AS32" si="446">IF(AO31="","",AN32)</f>
        <v>1.712590854401589E-4</v>
      </c>
      <c r="AP32" s="71">
        <f t="shared" si="446"/>
        <v>1.712590854401589E-4</v>
      </c>
      <c r="AQ32" s="71">
        <f t="shared" si="446"/>
        <v>1.712590854401589E-4</v>
      </c>
      <c r="AR32" s="71">
        <f t="shared" si="446"/>
        <v>1.712590854401589E-4</v>
      </c>
      <c r="AS32" s="71">
        <f t="shared" si="446"/>
        <v>1.712590854401589E-4</v>
      </c>
      <c r="AT32" s="71">
        <f t="shared" ref="AT32:BK32" si="447">IF(AT31="","",AS32)</f>
        <v>1.712590854401589E-4</v>
      </c>
      <c r="AU32" s="71">
        <f t="shared" si="447"/>
        <v>1.712590854401589E-4</v>
      </c>
      <c r="AV32" s="71">
        <f t="shared" si="447"/>
        <v>1.712590854401589E-4</v>
      </c>
      <c r="AW32" s="71">
        <f t="shared" si="447"/>
        <v>1.712590854401589E-4</v>
      </c>
      <c r="AX32" s="71">
        <f t="shared" si="447"/>
        <v>1.712590854401589E-4</v>
      </c>
      <c r="AY32" s="71">
        <f t="shared" si="447"/>
        <v>1.712590854401589E-4</v>
      </c>
      <c r="AZ32" s="119">
        <v>0</v>
      </c>
      <c r="BA32" s="71">
        <f t="shared" si="447"/>
        <v>0</v>
      </c>
      <c r="BB32" s="71">
        <f t="shared" si="447"/>
        <v>0</v>
      </c>
      <c r="BC32" s="71">
        <f t="shared" si="447"/>
        <v>0</v>
      </c>
      <c r="BD32" s="71">
        <f t="shared" si="447"/>
        <v>0</v>
      </c>
      <c r="BE32" s="71">
        <f t="shared" si="447"/>
        <v>0</v>
      </c>
      <c r="BF32" s="71">
        <f t="shared" si="447"/>
        <v>0</v>
      </c>
      <c r="BG32" s="71">
        <f t="shared" si="447"/>
        <v>0</v>
      </c>
      <c r="BH32" s="71">
        <f t="shared" si="447"/>
        <v>0</v>
      </c>
      <c r="BI32" s="71">
        <f t="shared" si="447"/>
        <v>0</v>
      </c>
      <c r="BJ32" s="71">
        <f t="shared" si="447"/>
        <v>0</v>
      </c>
      <c r="BK32" s="71">
        <f t="shared" si="447"/>
        <v>0</v>
      </c>
      <c r="BL32" s="120">
        <v>-4.1979797794062399E-8</v>
      </c>
      <c r="BM32" s="71">
        <f t="shared" ref="BM32:CI32" si="448">IF(BM31="","",BL32)</f>
        <v>-4.1979797794062399E-8</v>
      </c>
      <c r="BN32" s="71">
        <f t="shared" si="448"/>
        <v>-4.1979797794062399E-8</v>
      </c>
      <c r="BO32" s="71">
        <f t="shared" si="448"/>
        <v>-4.1979797794062399E-8</v>
      </c>
      <c r="BP32" s="71">
        <f t="shared" si="448"/>
        <v>-4.1979797794062399E-8</v>
      </c>
      <c r="BQ32" s="71">
        <f t="shared" si="448"/>
        <v>-4.1979797794062399E-8</v>
      </c>
      <c r="BR32" s="71">
        <f t="shared" si="448"/>
        <v>-4.1979797794062399E-8</v>
      </c>
      <c r="BS32" s="71">
        <f t="shared" si="448"/>
        <v>-4.1979797794062399E-8</v>
      </c>
      <c r="BT32" s="71">
        <f t="shared" si="448"/>
        <v>-4.1979797794062399E-8</v>
      </c>
      <c r="BU32" s="71">
        <f t="shared" si="448"/>
        <v>-4.1979797794062399E-8</v>
      </c>
      <c r="BV32" s="71">
        <f t="shared" si="448"/>
        <v>-4.1979797794062399E-8</v>
      </c>
      <c r="BW32" s="71">
        <f t="shared" si="448"/>
        <v>-4.1979797794062399E-8</v>
      </c>
      <c r="BX32" s="119">
        <v>0</v>
      </c>
      <c r="BY32" s="71">
        <f t="shared" si="448"/>
        <v>0</v>
      </c>
      <c r="BZ32" s="71">
        <f t="shared" si="448"/>
        <v>0</v>
      </c>
      <c r="CA32" s="71">
        <f t="shared" si="448"/>
        <v>0</v>
      </c>
      <c r="CB32" s="71">
        <f t="shared" si="448"/>
        <v>0</v>
      </c>
      <c r="CC32" s="71">
        <f t="shared" si="448"/>
        <v>0</v>
      </c>
      <c r="CD32" s="71">
        <f t="shared" si="448"/>
        <v>0</v>
      </c>
      <c r="CE32" s="71">
        <f t="shared" si="448"/>
        <v>0</v>
      </c>
      <c r="CF32" s="71">
        <f t="shared" si="448"/>
        <v>0</v>
      </c>
      <c r="CG32" s="71">
        <f t="shared" si="448"/>
        <v>0</v>
      </c>
      <c r="CH32" s="71">
        <f t="shared" si="448"/>
        <v>0</v>
      </c>
      <c r="CI32" s="71">
        <f t="shared" si="448"/>
        <v>0</v>
      </c>
    </row>
    <row r="33" spans="1:87" x14ac:dyDescent="0.35">
      <c r="A33" s="309"/>
      <c r="B33" s="73" t="s">
        <v>54</v>
      </c>
      <c r="C33" s="42">
        <v>0</v>
      </c>
      <c r="D33" s="87">
        <v>1.0369999999999999E-3</v>
      </c>
      <c r="E33" s="71">
        <f>+D33</f>
        <v>1.0369999999999999E-3</v>
      </c>
      <c r="F33" s="71">
        <f>IF(F31="","",E33)</f>
        <v>1.0369999999999999E-3</v>
      </c>
      <c r="G33" s="71">
        <f t="shared" ref="G33:Z33" si="449">IF(G31="","",F33)</f>
        <v>1.0369999999999999E-3</v>
      </c>
      <c r="H33" s="71">
        <f t="shared" si="449"/>
        <v>1.0369999999999999E-3</v>
      </c>
      <c r="I33" s="71">
        <f t="shared" si="449"/>
        <v>1.0369999999999999E-3</v>
      </c>
      <c r="J33" s="71">
        <f t="shared" si="449"/>
        <v>1.0369999999999999E-3</v>
      </c>
      <c r="K33" s="71">
        <f t="shared" si="449"/>
        <v>1.0369999999999999E-3</v>
      </c>
      <c r="L33" s="71">
        <f t="shared" si="449"/>
        <v>1.0369999999999999E-3</v>
      </c>
      <c r="M33" s="71">
        <f t="shared" si="449"/>
        <v>1.0369999999999999E-3</v>
      </c>
      <c r="N33" s="71">
        <f t="shared" si="449"/>
        <v>1.0369999999999999E-3</v>
      </c>
      <c r="O33" s="71">
        <f t="shared" si="449"/>
        <v>1.0369999999999999E-3</v>
      </c>
      <c r="P33" s="91">
        <v>-2.1760723836864655E-4</v>
      </c>
      <c r="Q33" s="90">
        <f t="shared" si="449"/>
        <v>-2.1760723836864655E-4</v>
      </c>
      <c r="R33" s="90">
        <f t="shared" si="449"/>
        <v>-2.1760723836864655E-4</v>
      </c>
      <c r="S33" s="90">
        <f t="shared" si="449"/>
        <v>-2.1760723836864655E-4</v>
      </c>
      <c r="T33" s="90">
        <f t="shared" si="449"/>
        <v>-2.1760723836864655E-4</v>
      </c>
      <c r="U33" s="90">
        <f t="shared" si="449"/>
        <v>-2.1760723836864655E-4</v>
      </c>
      <c r="V33" s="90">
        <f t="shared" si="449"/>
        <v>-2.1760723836864655E-4</v>
      </c>
      <c r="W33" s="90">
        <f t="shared" si="449"/>
        <v>-2.1760723836864655E-4</v>
      </c>
      <c r="X33" s="90">
        <f t="shared" si="449"/>
        <v>-2.1760723836864655E-4</v>
      </c>
      <c r="Y33" s="90">
        <f t="shared" si="449"/>
        <v>-2.1760723836864655E-4</v>
      </c>
      <c r="Z33" s="90">
        <f t="shared" si="449"/>
        <v>-2.1760723836864655E-4</v>
      </c>
      <c r="AA33" s="90">
        <f t="shared" ref="AA33" si="450">IF(AA31="","",Z33)</f>
        <v>-2.1760723836864655E-4</v>
      </c>
      <c r="AB33" s="91">
        <v>-2.3696165881846651E-5</v>
      </c>
      <c r="AC33" s="90">
        <f t="shared" ref="AC33" si="451">IF(AC31="","",AB33)</f>
        <v>-2.3696165881846651E-5</v>
      </c>
      <c r="AD33" s="90">
        <f t="shared" ref="AD33" si="452">IF(AD31="","",AC33)</f>
        <v>-2.3696165881846651E-5</v>
      </c>
      <c r="AE33" s="90">
        <f t="shared" ref="AE33" si="453">IF(AE31="","",AD33)</f>
        <v>-2.3696165881846651E-5</v>
      </c>
      <c r="AF33" s="90">
        <f t="shared" ref="AF33" si="454">IF(AF31="","",AE33)</f>
        <v>-2.3696165881846651E-5</v>
      </c>
      <c r="AG33" s="90">
        <f t="shared" ref="AG33" si="455">IF(AG31="","",AF33)</f>
        <v>-2.3696165881846651E-5</v>
      </c>
      <c r="AH33" s="90">
        <f t="shared" ref="AH33" si="456">IF(AH31="","",AG33)</f>
        <v>-2.3696165881846651E-5</v>
      </c>
      <c r="AI33" s="90">
        <f t="shared" ref="AI33" si="457">IF(AI31="","",AH33)</f>
        <v>-2.3696165881846651E-5</v>
      </c>
      <c r="AJ33" s="90">
        <f t="shared" ref="AJ33" si="458">IF(AJ31="","",AI33)</f>
        <v>-2.3696165881846651E-5</v>
      </c>
      <c r="AK33" s="90">
        <f t="shared" ref="AK33" si="459">IF(AK31="","",AJ33)</f>
        <v>-2.3696165881846651E-5</v>
      </c>
      <c r="AL33" s="90">
        <f t="shared" ref="AL33" si="460">IF(AL31="","",AK33)</f>
        <v>-2.3696165881846651E-5</v>
      </c>
      <c r="AM33" s="90">
        <f t="shared" ref="AM33" si="461">IF(AM31="","",AL33)</f>
        <v>-2.3696165881846651E-5</v>
      </c>
      <c r="AN33" s="120">
        <v>3.0940916964556395E-4</v>
      </c>
      <c r="AO33" s="90">
        <f t="shared" ref="AO33:AS33" si="462">IF(AO31="","",AN33)</f>
        <v>3.0940916964556395E-4</v>
      </c>
      <c r="AP33" s="90">
        <f t="shared" si="462"/>
        <v>3.0940916964556395E-4</v>
      </c>
      <c r="AQ33" s="90">
        <f t="shared" si="462"/>
        <v>3.0940916964556395E-4</v>
      </c>
      <c r="AR33" s="90">
        <f t="shared" si="462"/>
        <v>3.0940916964556395E-4</v>
      </c>
      <c r="AS33" s="90">
        <f t="shared" si="462"/>
        <v>3.0940916964556395E-4</v>
      </c>
      <c r="AT33" s="90">
        <f t="shared" ref="AT33:BA33" si="463">IF(AT31="","",AS33)</f>
        <v>3.0940916964556395E-4</v>
      </c>
      <c r="AU33" s="90">
        <f t="shared" si="463"/>
        <v>3.0940916964556395E-4</v>
      </c>
      <c r="AV33" s="90">
        <f t="shared" si="463"/>
        <v>3.0940916964556395E-4</v>
      </c>
      <c r="AW33" s="90">
        <f t="shared" si="463"/>
        <v>3.0940916964556395E-4</v>
      </c>
      <c r="AX33" s="90">
        <f t="shared" si="463"/>
        <v>3.0940916964556395E-4</v>
      </c>
      <c r="AY33" s="90">
        <f t="shared" si="463"/>
        <v>3.0940916964556395E-4</v>
      </c>
      <c r="AZ33" s="120">
        <v>1.2474670529833156E-5</v>
      </c>
      <c r="BA33" s="90">
        <f t="shared" si="463"/>
        <v>1.2474670529833156E-5</v>
      </c>
      <c r="BB33" s="90">
        <f t="shared" ref="BB33:BK33" si="464">IF(BB31="","",BA33)</f>
        <v>1.2474670529833156E-5</v>
      </c>
      <c r="BC33" s="90">
        <f t="shared" si="464"/>
        <v>1.2474670529833156E-5</v>
      </c>
      <c r="BD33" s="90">
        <f t="shared" si="464"/>
        <v>1.2474670529833156E-5</v>
      </c>
      <c r="BE33" s="90">
        <f t="shared" si="464"/>
        <v>1.2474670529833156E-5</v>
      </c>
      <c r="BF33" s="90">
        <f t="shared" si="464"/>
        <v>1.2474670529833156E-5</v>
      </c>
      <c r="BG33" s="90">
        <f t="shared" si="464"/>
        <v>1.2474670529833156E-5</v>
      </c>
      <c r="BH33" s="90">
        <f t="shared" si="464"/>
        <v>1.2474670529833156E-5</v>
      </c>
      <c r="BI33" s="90">
        <f t="shared" si="464"/>
        <v>1.2474670529833156E-5</v>
      </c>
      <c r="BJ33" s="90">
        <f t="shared" si="464"/>
        <v>1.2474670529833156E-5</v>
      </c>
      <c r="BK33" s="90">
        <f t="shared" si="464"/>
        <v>1.2474670529833156E-5</v>
      </c>
      <c r="BL33" s="120">
        <v>-2.6627233071059429E-5</v>
      </c>
      <c r="BM33" s="90">
        <f t="shared" ref="BM33:CI33" si="465">IF(BM31="","",BL33)</f>
        <v>-2.6627233071059429E-5</v>
      </c>
      <c r="BN33" s="90">
        <f t="shared" si="465"/>
        <v>-2.6627233071059429E-5</v>
      </c>
      <c r="BO33" s="90">
        <f t="shared" si="465"/>
        <v>-2.6627233071059429E-5</v>
      </c>
      <c r="BP33" s="90">
        <f t="shared" si="465"/>
        <v>-2.6627233071059429E-5</v>
      </c>
      <c r="BQ33" s="90">
        <f t="shared" si="465"/>
        <v>-2.6627233071059429E-5</v>
      </c>
      <c r="BR33" s="90">
        <f t="shared" si="465"/>
        <v>-2.6627233071059429E-5</v>
      </c>
      <c r="BS33" s="90">
        <f t="shared" si="465"/>
        <v>-2.6627233071059429E-5</v>
      </c>
      <c r="BT33" s="90">
        <f t="shared" si="465"/>
        <v>-2.6627233071059429E-5</v>
      </c>
      <c r="BU33" s="90">
        <f t="shared" si="465"/>
        <v>-2.6627233071059429E-5</v>
      </c>
      <c r="BV33" s="90">
        <f t="shared" si="465"/>
        <v>-2.6627233071059429E-5</v>
      </c>
      <c r="BW33" s="90">
        <f t="shared" si="465"/>
        <v>-2.6627233071059429E-5</v>
      </c>
      <c r="BX33" s="120">
        <v>-2.4783906963725389E-7</v>
      </c>
      <c r="BY33" s="90">
        <f t="shared" si="465"/>
        <v>-2.4783906963725389E-7</v>
      </c>
      <c r="BZ33" s="90">
        <f t="shared" si="465"/>
        <v>-2.4783906963725389E-7</v>
      </c>
      <c r="CA33" s="90">
        <f t="shared" si="465"/>
        <v>-2.4783906963725389E-7</v>
      </c>
      <c r="CB33" s="90">
        <f t="shared" si="465"/>
        <v>-2.4783906963725389E-7</v>
      </c>
      <c r="CC33" s="90">
        <f t="shared" si="465"/>
        <v>-2.4783906963725389E-7</v>
      </c>
      <c r="CD33" s="90">
        <f t="shared" si="465"/>
        <v>-2.4783906963725389E-7</v>
      </c>
      <c r="CE33" s="90">
        <f t="shared" si="465"/>
        <v>-2.4783906963725389E-7</v>
      </c>
      <c r="CF33" s="90">
        <f t="shared" si="465"/>
        <v>-2.4783906963725389E-7</v>
      </c>
      <c r="CG33" s="90">
        <f t="shared" si="465"/>
        <v>-2.4783906963725389E-7</v>
      </c>
      <c r="CH33" s="90">
        <f t="shared" si="465"/>
        <v>-2.4783906963725389E-7</v>
      </c>
      <c r="CI33" s="90">
        <f t="shared" si="465"/>
        <v>-2.4783906963725389E-7</v>
      </c>
    </row>
    <row r="34" spans="1:87" x14ac:dyDescent="0.35">
      <c r="A34" s="309"/>
      <c r="B34" s="73" t="s">
        <v>63</v>
      </c>
      <c r="C34" s="62">
        <f>SUM(C32:C33)</f>
        <v>6.0000000000000002E-5</v>
      </c>
      <c r="D34" s="62">
        <f t="shared" ref="D34:E34" si="466">SUM(D32:D33)</f>
        <v>1.421E-3</v>
      </c>
      <c r="E34" s="62">
        <f t="shared" si="466"/>
        <v>1.421E-3</v>
      </c>
      <c r="F34" s="62">
        <f>IF(F31="","",SUM(F32:F33))</f>
        <v>1.421E-3</v>
      </c>
      <c r="G34" s="62">
        <f t="shared" ref="G34:Z34" si="467">IF(G31="","",SUM(G32:G33))</f>
        <v>1.421E-3</v>
      </c>
      <c r="H34" s="62">
        <f t="shared" si="467"/>
        <v>1.421E-3</v>
      </c>
      <c r="I34" s="62">
        <f t="shared" si="467"/>
        <v>1.421E-3</v>
      </c>
      <c r="J34" s="62">
        <f t="shared" si="467"/>
        <v>1.421E-3</v>
      </c>
      <c r="K34" s="62">
        <f t="shared" si="467"/>
        <v>1.421E-3</v>
      </c>
      <c r="L34" s="62">
        <f t="shared" si="467"/>
        <v>1.421E-3</v>
      </c>
      <c r="M34" s="62">
        <f t="shared" si="467"/>
        <v>1.421E-3</v>
      </c>
      <c r="N34" s="62">
        <f t="shared" si="467"/>
        <v>1.421E-3</v>
      </c>
      <c r="O34" s="62">
        <f t="shared" si="467"/>
        <v>1.421E-3</v>
      </c>
      <c r="P34" s="62">
        <f t="shared" si="467"/>
        <v>1.3970295412621704E-4</v>
      </c>
      <c r="Q34" s="62">
        <f t="shared" si="467"/>
        <v>1.3970295412621704E-4</v>
      </c>
      <c r="R34" s="62">
        <f t="shared" si="467"/>
        <v>1.3970295412621704E-4</v>
      </c>
      <c r="S34" s="62">
        <f t="shared" si="467"/>
        <v>1.3970295412621704E-4</v>
      </c>
      <c r="T34" s="62">
        <f t="shared" si="467"/>
        <v>1.3970295412621704E-4</v>
      </c>
      <c r="U34" s="62">
        <f t="shared" si="467"/>
        <v>1.3970295412621704E-4</v>
      </c>
      <c r="V34" s="62">
        <f t="shared" si="467"/>
        <v>1.3970295412621704E-4</v>
      </c>
      <c r="W34" s="62">
        <f t="shared" si="467"/>
        <v>1.3970295412621704E-4</v>
      </c>
      <c r="X34" s="62">
        <f t="shared" si="467"/>
        <v>1.3970295412621704E-4</v>
      </c>
      <c r="Y34" s="62">
        <f t="shared" si="467"/>
        <v>1.3970295412621704E-4</v>
      </c>
      <c r="Z34" s="62">
        <f t="shared" si="467"/>
        <v>1.3970295412621704E-4</v>
      </c>
      <c r="AA34" s="62">
        <f t="shared" ref="AA34:AC34" si="468">IF(AA31="","",SUM(AA32:AA33))</f>
        <v>1.3970295412621704E-4</v>
      </c>
      <c r="AB34" s="62">
        <f t="shared" si="468"/>
        <v>6.4832695404489079E-4</v>
      </c>
      <c r="AC34" s="62">
        <f t="shared" si="468"/>
        <v>6.4832695404489079E-4</v>
      </c>
      <c r="AD34" s="62">
        <f t="shared" ref="AD34:AM34" si="469">IF(AD31="","",SUM(AD32:AD33))</f>
        <v>6.4832695404489079E-4</v>
      </c>
      <c r="AE34" s="62">
        <f t="shared" si="469"/>
        <v>6.4832695404489079E-4</v>
      </c>
      <c r="AF34" s="62">
        <f t="shared" si="469"/>
        <v>6.4832695404489079E-4</v>
      </c>
      <c r="AG34" s="62">
        <f t="shared" si="469"/>
        <v>6.4832695404489079E-4</v>
      </c>
      <c r="AH34" s="62">
        <f t="shared" si="469"/>
        <v>6.4832695404489079E-4</v>
      </c>
      <c r="AI34" s="62">
        <f t="shared" si="469"/>
        <v>6.4832695404489079E-4</v>
      </c>
      <c r="AJ34" s="62">
        <f t="shared" si="469"/>
        <v>6.4832695404489079E-4</v>
      </c>
      <c r="AK34" s="62">
        <f t="shared" si="469"/>
        <v>6.4832695404489079E-4</v>
      </c>
      <c r="AL34" s="62">
        <f t="shared" si="469"/>
        <v>6.4832695404489079E-4</v>
      </c>
      <c r="AM34" s="62">
        <f t="shared" si="469"/>
        <v>6.4832695404489079E-4</v>
      </c>
      <c r="AN34" s="62">
        <f t="shared" ref="AN34:AO34" si="470">IF(AN31="","",SUM(AN32:AN33))</f>
        <v>4.8066825508572285E-4</v>
      </c>
      <c r="AO34" s="62">
        <f t="shared" si="470"/>
        <v>4.8066825508572285E-4</v>
      </c>
      <c r="AP34" s="62">
        <f t="shared" ref="AP34:AQ34" si="471">IF(AP31="","",SUM(AP32:AP33))</f>
        <v>4.8066825508572285E-4</v>
      </c>
      <c r="AQ34" s="62">
        <f t="shared" si="471"/>
        <v>4.8066825508572285E-4</v>
      </c>
      <c r="AR34" s="62">
        <f t="shared" ref="AR34:AS34" si="472">IF(AR31="","",SUM(AR32:AR33))</f>
        <v>4.8066825508572285E-4</v>
      </c>
      <c r="AS34" s="62">
        <f t="shared" si="472"/>
        <v>4.8066825508572285E-4</v>
      </c>
      <c r="AT34" s="62">
        <f t="shared" ref="AT34:AU34" si="473">IF(AT31="","",SUM(AT32:AT33))</f>
        <v>4.8066825508572285E-4</v>
      </c>
      <c r="AU34" s="62">
        <f t="shared" si="473"/>
        <v>4.8066825508572285E-4</v>
      </c>
      <c r="AV34" s="62">
        <f t="shared" ref="AV34:AW34" si="474">IF(AV31="","",SUM(AV32:AV33))</f>
        <v>4.8066825508572285E-4</v>
      </c>
      <c r="AW34" s="62">
        <f t="shared" si="474"/>
        <v>4.8066825508572285E-4</v>
      </c>
      <c r="AX34" s="62">
        <f t="shared" ref="AX34:AY34" si="475">IF(AX31="","",SUM(AX32:AX33))</f>
        <v>4.8066825508572285E-4</v>
      </c>
      <c r="AY34" s="62">
        <f t="shared" si="475"/>
        <v>4.8066825508572285E-4</v>
      </c>
      <c r="AZ34" s="62">
        <f t="shared" ref="AZ34:BA34" si="476">IF(AZ31="","",SUM(AZ32:AZ33))</f>
        <v>1.2474670529833156E-5</v>
      </c>
      <c r="BA34" s="62">
        <f t="shared" si="476"/>
        <v>1.2474670529833156E-5</v>
      </c>
      <c r="BB34" s="62">
        <f t="shared" ref="BB34:BC34" si="477">IF(BB31="","",SUM(BB32:BB33))</f>
        <v>1.2474670529833156E-5</v>
      </c>
      <c r="BC34" s="62">
        <f t="shared" si="477"/>
        <v>1.2474670529833156E-5</v>
      </c>
      <c r="BD34" s="62">
        <f t="shared" ref="BD34:BE34" si="478">IF(BD31="","",SUM(BD32:BD33))</f>
        <v>1.2474670529833156E-5</v>
      </c>
      <c r="BE34" s="62">
        <f t="shared" si="478"/>
        <v>1.2474670529833156E-5</v>
      </c>
      <c r="BF34" s="62">
        <f t="shared" ref="BF34:BG34" si="479">IF(BF31="","",SUM(BF32:BF33))</f>
        <v>1.2474670529833156E-5</v>
      </c>
      <c r="BG34" s="62">
        <f t="shared" si="479"/>
        <v>1.2474670529833156E-5</v>
      </c>
      <c r="BH34" s="62">
        <f t="shared" ref="BH34:BI34" si="480">IF(BH31="","",SUM(BH32:BH33))</f>
        <v>1.2474670529833156E-5</v>
      </c>
      <c r="BI34" s="62">
        <f t="shared" si="480"/>
        <v>1.2474670529833156E-5</v>
      </c>
      <c r="BJ34" s="62">
        <f t="shared" ref="BJ34:BK34" si="481">IF(BJ31="","",SUM(BJ32:BJ33))</f>
        <v>1.2474670529833156E-5</v>
      </c>
      <c r="BK34" s="62">
        <f t="shared" si="481"/>
        <v>1.2474670529833156E-5</v>
      </c>
      <c r="BL34" s="62">
        <f t="shared" ref="BL34:BM34" si="482">IF(BL31="","",SUM(BL32:BL33))</f>
        <v>-2.666921286885349E-5</v>
      </c>
      <c r="BM34" s="62">
        <f t="shared" si="482"/>
        <v>-2.666921286885349E-5</v>
      </c>
      <c r="BN34" s="62">
        <f t="shared" ref="BN34:BO34" si="483">IF(BN31="","",SUM(BN32:BN33))</f>
        <v>-2.666921286885349E-5</v>
      </c>
      <c r="BO34" s="62">
        <f t="shared" si="483"/>
        <v>-2.666921286885349E-5</v>
      </c>
      <c r="BP34" s="62">
        <f t="shared" ref="BP34:BQ34" si="484">IF(BP31="","",SUM(BP32:BP33))</f>
        <v>-2.666921286885349E-5</v>
      </c>
      <c r="BQ34" s="62">
        <f t="shared" si="484"/>
        <v>-2.666921286885349E-5</v>
      </c>
      <c r="BR34" s="62">
        <f t="shared" ref="BR34:BS34" si="485">IF(BR31="","",SUM(BR32:BR33))</f>
        <v>-2.666921286885349E-5</v>
      </c>
      <c r="BS34" s="62">
        <f t="shared" si="485"/>
        <v>-2.666921286885349E-5</v>
      </c>
      <c r="BT34" s="62">
        <f t="shared" ref="BT34:BU34" si="486">IF(BT31="","",SUM(BT32:BT33))</f>
        <v>-2.666921286885349E-5</v>
      </c>
      <c r="BU34" s="62">
        <f t="shared" si="486"/>
        <v>-2.666921286885349E-5</v>
      </c>
      <c r="BV34" s="62">
        <f t="shared" ref="BV34:BW34" si="487">IF(BV31="","",SUM(BV32:BV33))</f>
        <v>-2.666921286885349E-5</v>
      </c>
      <c r="BW34" s="62">
        <f t="shared" si="487"/>
        <v>-2.666921286885349E-5</v>
      </c>
      <c r="BX34" s="62">
        <f t="shared" ref="BX34:BY34" si="488">IF(BX31="","",SUM(BX32:BX33))</f>
        <v>-2.4783906963725389E-7</v>
      </c>
      <c r="BY34" s="62">
        <f t="shared" si="488"/>
        <v>-2.4783906963725389E-7</v>
      </c>
      <c r="BZ34" s="62">
        <f t="shared" ref="BZ34:CA34" si="489">IF(BZ31="","",SUM(BZ32:BZ33))</f>
        <v>-2.4783906963725389E-7</v>
      </c>
      <c r="CA34" s="62">
        <f t="shared" si="489"/>
        <v>-2.4783906963725389E-7</v>
      </c>
      <c r="CB34" s="62">
        <f t="shared" ref="CB34:CC34" si="490">IF(CB31="","",SUM(CB32:CB33))</f>
        <v>-2.4783906963725389E-7</v>
      </c>
      <c r="CC34" s="62">
        <f t="shared" si="490"/>
        <v>-2.4783906963725389E-7</v>
      </c>
      <c r="CD34" s="62">
        <f t="shared" ref="CD34:CE34" si="491">IF(CD31="","",SUM(CD32:CD33))</f>
        <v>-2.4783906963725389E-7</v>
      </c>
      <c r="CE34" s="62">
        <f t="shared" si="491"/>
        <v>-2.4783906963725389E-7</v>
      </c>
      <c r="CF34" s="62">
        <f t="shared" ref="CF34:CG34" si="492">IF(CF31="","",SUM(CF32:CF33))</f>
        <v>-2.4783906963725389E-7</v>
      </c>
      <c r="CG34" s="62">
        <f t="shared" si="492"/>
        <v>-2.4783906963725389E-7</v>
      </c>
      <c r="CH34" s="62">
        <f t="shared" ref="CH34:CI34" si="493">IF(CH31="","",SUM(CH32:CH33))</f>
        <v>-2.4783906963725389E-7</v>
      </c>
      <c r="CI34" s="62">
        <f t="shared" si="493"/>
        <v>-2.4783906963725389E-7</v>
      </c>
    </row>
    <row r="35" spans="1:87" x14ac:dyDescent="0.35">
      <c r="A35" s="309"/>
      <c r="B35" s="73" t="s">
        <v>56</v>
      </c>
      <c r="C35" s="66">
        <f>+C33/C34</f>
        <v>0</v>
      </c>
      <c r="D35" s="66">
        <f>+IFERROR(D33/D34,"")</f>
        <v>0.72976776917663611</v>
      </c>
      <c r="E35" s="66">
        <f>+IFERROR(E33/E34,"")</f>
        <v>0.72976776917663611</v>
      </c>
      <c r="F35" s="66">
        <f>IF(F31="","",IFERROR(F33/F34,""))</f>
        <v>0.72976776917663611</v>
      </c>
      <c r="G35" s="66">
        <f t="shared" ref="G35:Z35" si="494">IF(G31="","",IFERROR(G33/G34,""))</f>
        <v>0.72976776917663611</v>
      </c>
      <c r="H35" s="66">
        <f t="shared" si="494"/>
        <v>0.72976776917663611</v>
      </c>
      <c r="I35" s="66">
        <f t="shared" si="494"/>
        <v>0.72976776917663611</v>
      </c>
      <c r="J35" s="66">
        <f t="shared" si="494"/>
        <v>0.72976776917663611</v>
      </c>
      <c r="K35" s="66">
        <f t="shared" si="494"/>
        <v>0.72976776917663611</v>
      </c>
      <c r="L35" s="66">
        <f t="shared" si="494"/>
        <v>0.72976776917663611</v>
      </c>
      <c r="M35" s="66">
        <f t="shared" si="494"/>
        <v>0.72976776917663611</v>
      </c>
      <c r="N35" s="66">
        <f t="shared" si="494"/>
        <v>0.72976776917663611</v>
      </c>
      <c r="O35" s="66">
        <f t="shared" si="494"/>
        <v>0.72976776917663611</v>
      </c>
      <c r="P35" s="66">
        <f>IF(P31="","",IFERROR(P33/P34,""))</f>
        <v>-1.5576423543058764</v>
      </c>
      <c r="Q35" s="66">
        <f t="shared" si="494"/>
        <v>-1.5576423543058764</v>
      </c>
      <c r="R35" s="66">
        <f t="shared" si="494"/>
        <v>-1.5576423543058764</v>
      </c>
      <c r="S35" s="66">
        <f t="shared" si="494"/>
        <v>-1.5576423543058764</v>
      </c>
      <c r="T35" s="66">
        <f t="shared" si="494"/>
        <v>-1.5576423543058764</v>
      </c>
      <c r="U35" s="66">
        <f t="shared" si="494"/>
        <v>-1.5576423543058764</v>
      </c>
      <c r="V35" s="66">
        <f t="shared" si="494"/>
        <v>-1.5576423543058764</v>
      </c>
      <c r="W35" s="66">
        <f t="shared" si="494"/>
        <v>-1.5576423543058764</v>
      </c>
      <c r="X35" s="66">
        <f t="shared" si="494"/>
        <v>-1.5576423543058764</v>
      </c>
      <c r="Y35" s="66">
        <f t="shared" si="494"/>
        <v>-1.5576423543058764</v>
      </c>
      <c r="Z35" s="66">
        <f t="shared" si="494"/>
        <v>-1.5576423543058764</v>
      </c>
      <c r="AA35" s="66">
        <f t="shared" ref="AA35:AC35" si="495">IF(AA31="","",IFERROR(AA33/AA34,""))</f>
        <v>-1.5576423543058764</v>
      </c>
      <c r="AB35" s="66">
        <f t="shared" si="495"/>
        <v>-3.6549715747597786E-2</v>
      </c>
      <c r="AC35" s="66">
        <f t="shared" si="495"/>
        <v>-3.6549715747597786E-2</v>
      </c>
      <c r="AD35" s="66">
        <f t="shared" ref="AD35:AM35" si="496">IF(AD31="","",IFERROR(AD33/AD34,""))</f>
        <v>-3.6549715747597786E-2</v>
      </c>
      <c r="AE35" s="66">
        <f t="shared" si="496"/>
        <v>-3.6549715747597786E-2</v>
      </c>
      <c r="AF35" s="66">
        <f t="shared" si="496"/>
        <v>-3.6549715747597786E-2</v>
      </c>
      <c r="AG35" s="66">
        <f t="shared" si="496"/>
        <v>-3.6549715747597786E-2</v>
      </c>
      <c r="AH35" s="66">
        <f t="shared" si="496"/>
        <v>-3.6549715747597786E-2</v>
      </c>
      <c r="AI35" s="66">
        <f t="shared" si="496"/>
        <v>-3.6549715747597786E-2</v>
      </c>
      <c r="AJ35" s="66">
        <f t="shared" si="496"/>
        <v>-3.6549715747597786E-2</v>
      </c>
      <c r="AK35" s="66">
        <f t="shared" si="496"/>
        <v>-3.6549715747597786E-2</v>
      </c>
      <c r="AL35" s="66">
        <f t="shared" si="496"/>
        <v>-3.6549715747597786E-2</v>
      </c>
      <c r="AM35" s="66">
        <f t="shared" si="496"/>
        <v>-3.6549715747597786E-2</v>
      </c>
      <c r="AN35" s="66">
        <f t="shared" ref="AN35:AO35" si="497">IF(AN31="","",IFERROR(AN33/AN34,""))</f>
        <v>0.6437062701184284</v>
      </c>
      <c r="AO35" s="66">
        <f t="shared" si="497"/>
        <v>0.6437062701184284</v>
      </c>
      <c r="AP35" s="66">
        <f t="shared" ref="AP35:AQ35" si="498">IF(AP31="","",IFERROR(AP33/AP34,""))</f>
        <v>0.6437062701184284</v>
      </c>
      <c r="AQ35" s="66">
        <f t="shared" si="498"/>
        <v>0.6437062701184284</v>
      </c>
      <c r="AR35" s="66">
        <f t="shared" ref="AR35:AS35" si="499">IF(AR31="","",IFERROR(AR33/AR34,""))</f>
        <v>0.6437062701184284</v>
      </c>
      <c r="AS35" s="66">
        <f t="shared" si="499"/>
        <v>0.6437062701184284</v>
      </c>
      <c r="AT35" s="66">
        <f t="shared" ref="AT35:AY35" si="500">IF(AT31="","",IFERROR(AT33/AT34,""))</f>
        <v>0.6437062701184284</v>
      </c>
      <c r="AU35" s="66">
        <f t="shared" si="500"/>
        <v>0.6437062701184284</v>
      </c>
      <c r="AV35" s="66">
        <f t="shared" si="500"/>
        <v>0.6437062701184284</v>
      </c>
      <c r="AW35" s="66">
        <f t="shared" si="500"/>
        <v>0.6437062701184284</v>
      </c>
      <c r="AX35" s="66">
        <f t="shared" si="500"/>
        <v>0.6437062701184284</v>
      </c>
      <c r="AY35" s="66">
        <f t="shared" si="500"/>
        <v>0.6437062701184284</v>
      </c>
      <c r="AZ35" s="66">
        <f t="shared" ref="AZ35:BA35" si="501">IF(AZ31="","",IFERROR(AZ33/AZ34,""))</f>
        <v>1</v>
      </c>
      <c r="BA35" s="66">
        <f t="shared" si="501"/>
        <v>1</v>
      </c>
      <c r="BB35" s="66">
        <f t="shared" ref="BB35:BC35" si="502">IF(BB31="","",IFERROR(BB33/BB34,""))</f>
        <v>1</v>
      </c>
      <c r="BC35" s="66">
        <f t="shared" si="502"/>
        <v>1</v>
      </c>
      <c r="BD35" s="66">
        <f t="shared" ref="BD35:BE35" si="503">IF(BD31="","",IFERROR(BD33/BD34,""))</f>
        <v>1</v>
      </c>
      <c r="BE35" s="66">
        <f t="shared" si="503"/>
        <v>1</v>
      </c>
      <c r="BF35" s="66">
        <f t="shared" ref="BF35:BG35" si="504">IF(BF31="","",IFERROR(BF33/BF34,""))</f>
        <v>1</v>
      </c>
      <c r="BG35" s="66">
        <f t="shared" si="504"/>
        <v>1</v>
      </c>
      <c r="BH35" s="66">
        <f t="shared" ref="BH35:BI35" si="505">IF(BH31="","",IFERROR(BH33/BH34,""))</f>
        <v>1</v>
      </c>
      <c r="BI35" s="66">
        <f t="shared" si="505"/>
        <v>1</v>
      </c>
      <c r="BJ35" s="66">
        <f t="shared" ref="BJ35:BK35" si="506">IF(BJ31="","",IFERROR(BJ33/BJ34,""))</f>
        <v>1</v>
      </c>
      <c r="BK35" s="66">
        <f t="shared" si="506"/>
        <v>1</v>
      </c>
      <c r="BL35" s="66">
        <f t="shared" ref="BL35:BM35" si="507">IF(BL31="","",IFERROR(BL33/BL34,""))</f>
        <v>0.99842590788110253</v>
      </c>
      <c r="BM35" s="66">
        <f t="shared" si="507"/>
        <v>0.99842590788110253</v>
      </c>
      <c r="BN35" s="66">
        <f t="shared" ref="BN35:BO35" si="508">IF(BN31="","",IFERROR(BN33/BN34,""))</f>
        <v>0.99842590788110253</v>
      </c>
      <c r="BO35" s="66">
        <f t="shared" si="508"/>
        <v>0.99842590788110253</v>
      </c>
      <c r="BP35" s="66">
        <f t="shared" ref="BP35:BQ35" si="509">IF(BP31="","",IFERROR(BP33/BP34,""))</f>
        <v>0.99842590788110253</v>
      </c>
      <c r="BQ35" s="66">
        <f t="shared" si="509"/>
        <v>0.99842590788110253</v>
      </c>
      <c r="BR35" s="66">
        <f t="shared" ref="BR35:BS35" si="510">IF(BR31="","",IFERROR(BR33/BR34,""))</f>
        <v>0.99842590788110253</v>
      </c>
      <c r="BS35" s="66">
        <f t="shared" si="510"/>
        <v>0.99842590788110253</v>
      </c>
      <c r="BT35" s="66">
        <f t="shared" ref="BT35:BU35" si="511">IF(BT31="","",IFERROR(BT33/BT34,""))</f>
        <v>0.99842590788110253</v>
      </c>
      <c r="BU35" s="66">
        <f t="shared" si="511"/>
        <v>0.99842590788110253</v>
      </c>
      <c r="BV35" s="66">
        <f t="shared" ref="BV35:BW35" si="512">IF(BV31="","",IFERROR(BV33/BV34,""))</f>
        <v>0.99842590788110253</v>
      </c>
      <c r="BW35" s="66">
        <f t="shared" si="512"/>
        <v>0.99842590788110253</v>
      </c>
      <c r="BX35" s="66">
        <f t="shared" ref="BX35:BY35" si="513">IF(BX31="","",IFERROR(BX33/BX34,""))</f>
        <v>1</v>
      </c>
      <c r="BY35" s="66">
        <f t="shared" si="513"/>
        <v>1</v>
      </c>
      <c r="BZ35" s="66">
        <f t="shared" ref="BZ35:CA35" si="514">IF(BZ31="","",IFERROR(BZ33/BZ34,""))</f>
        <v>1</v>
      </c>
      <c r="CA35" s="66">
        <f t="shared" si="514"/>
        <v>1</v>
      </c>
      <c r="CB35" s="66">
        <f t="shared" ref="CB35:CC35" si="515">IF(CB31="","",IFERROR(CB33/CB34,""))</f>
        <v>1</v>
      </c>
      <c r="CC35" s="66">
        <f t="shared" si="515"/>
        <v>1</v>
      </c>
      <c r="CD35" s="66">
        <f t="shared" ref="CD35:CE35" si="516">IF(CD31="","",IFERROR(CD33/CD34,""))</f>
        <v>1</v>
      </c>
      <c r="CE35" s="66">
        <f t="shared" si="516"/>
        <v>1</v>
      </c>
      <c r="CF35" s="66">
        <f t="shared" ref="CF35:CG35" si="517">IF(CF31="","",IFERROR(CF33/CF34,""))</f>
        <v>1</v>
      </c>
      <c r="CG35" s="66">
        <f t="shared" si="517"/>
        <v>1</v>
      </c>
      <c r="CH35" s="66">
        <f t="shared" ref="CH35:CI35" si="518">IF(CH31="","",IFERROR(CH33/CH34,""))</f>
        <v>1</v>
      </c>
      <c r="CI35" s="66">
        <f t="shared" si="518"/>
        <v>1</v>
      </c>
    </row>
    <row r="36" spans="1:87" s="48" customFormat="1" x14ac:dyDescent="0.35">
      <c r="A36" s="309"/>
      <c r="B36" s="74" t="s">
        <v>57</v>
      </c>
      <c r="C36" s="64">
        <f>+C35*C31</f>
        <v>0</v>
      </c>
      <c r="D36" s="64">
        <f>+ROUND(D35*D31,2)</f>
        <v>147923.54</v>
      </c>
      <c r="E36" s="64">
        <f>+ROUND(E35*E31,2)</f>
        <v>122366.41</v>
      </c>
      <c r="F36" s="64">
        <f>IF(F31="","",ROUND(F35*F31,2))</f>
        <v>135610.26999999999</v>
      </c>
      <c r="G36" s="64">
        <f t="shared" ref="G36:Z36" si="519">IF(G31="","",ROUND(G35*G31,2))</f>
        <v>137927.79</v>
      </c>
      <c r="H36" s="64">
        <f t="shared" si="519"/>
        <v>164689.71</v>
      </c>
      <c r="I36" s="64">
        <f t="shared" si="519"/>
        <v>155769.59</v>
      </c>
      <c r="J36" s="64">
        <f t="shared" si="519"/>
        <v>172638.51</v>
      </c>
      <c r="K36" s="64">
        <f t="shared" si="519"/>
        <v>164503.71</v>
      </c>
      <c r="L36" s="64">
        <f t="shared" si="519"/>
        <v>156843.66</v>
      </c>
      <c r="M36" s="64">
        <f t="shared" si="519"/>
        <v>149437.09</v>
      </c>
      <c r="N36" s="64">
        <f t="shared" si="519"/>
        <v>137029.1</v>
      </c>
      <c r="O36" s="64">
        <f t="shared" si="519"/>
        <v>138956.35</v>
      </c>
      <c r="P36" s="64">
        <f t="shared" si="519"/>
        <v>-163073.60999999999</v>
      </c>
      <c r="Q36" s="64">
        <f t="shared" si="519"/>
        <v>-28184.85</v>
      </c>
      <c r="R36" s="64">
        <f t="shared" si="519"/>
        <v>-26811.56</v>
      </c>
      <c r="S36" s="64">
        <f t="shared" si="519"/>
        <v>-30658.16</v>
      </c>
      <c r="T36" s="64">
        <f t="shared" si="519"/>
        <v>-33927.269999999997</v>
      </c>
      <c r="U36" s="64">
        <f t="shared" si="519"/>
        <v>-20613.12</v>
      </c>
      <c r="V36" s="64">
        <f t="shared" si="519"/>
        <v>-34940.29</v>
      </c>
      <c r="W36" s="64">
        <f t="shared" si="519"/>
        <v>-32815.35</v>
      </c>
      <c r="X36" s="64">
        <f t="shared" si="519"/>
        <v>-32400.86</v>
      </c>
      <c r="Y36" s="64">
        <f t="shared" si="519"/>
        <v>-30448.7</v>
      </c>
      <c r="Z36" s="64">
        <f t="shared" si="519"/>
        <v>-29651.5</v>
      </c>
      <c r="AA36" s="64">
        <f t="shared" ref="AA36:AC36" si="520">IF(AA31="","",ROUND(AA35*AA31,2))</f>
        <v>-33179.11</v>
      </c>
      <c r="AB36" s="64">
        <f t="shared" si="520"/>
        <v>-1500.43</v>
      </c>
      <c r="AC36" s="64">
        <f t="shared" si="520"/>
        <v>-2352.08</v>
      </c>
      <c r="AD36" s="64">
        <f t="shared" ref="AD36:AM36" si="521">IF(AD31="","",ROUND(AD35*AD31,2))</f>
        <v>-2341.8200000000002</v>
      </c>
      <c r="AE36" s="64">
        <f t="shared" si="521"/>
        <v>-2285.06</v>
      </c>
      <c r="AF36" s="64">
        <f t="shared" si="521"/>
        <v>-2878.25</v>
      </c>
      <c r="AG36" s="64">
        <f t="shared" si="521"/>
        <v>-2679.25</v>
      </c>
      <c r="AH36" s="64">
        <f t="shared" si="521"/>
        <v>-2966.75</v>
      </c>
      <c r="AI36" s="64">
        <f t="shared" si="521"/>
        <v>-3006.59</v>
      </c>
      <c r="AJ36" s="64">
        <f t="shared" si="521"/>
        <v>-2836.24</v>
      </c>
      <c r="AK36" s="64">
        <f t="shared" si="521"/>
        <v>-2518.7800000000002</v>
      </c>
      <c r="AL36" s="64">
        <f t="shared" si="521"/>
        <v>-2370.0100000000002</v>
      </c>
      <c r="AM36" s="64">
        <f t="shared" si="521"/>
        <v>-2508.15</v>
      </c>
      <c r="AN36" s="64">
        <f t="shared" ref="AN36:AO36" si="522">IF(AN31="","",ROUND(AN35*AN31,2))</f>
        <v>43670.64</v>
      </c>
      <c r="AO36" s="64">
        <f t="shared" si="522"/>
        <v>24903.919999999998</v>
      </c>
      <c r="AP36" s="64">
        <f t="shared" ref="AP36:AQ36" si="523">IF(AP31="","",ROUND(AP35*AP31,2))</f>
        <v>28515.46</v>
      </c>
      <c r="AQ36" s="64">
        <f t="shared" si="523"/>
        <v>28951.69</v>
      </c>
      <c r="AR36" s="64">
        <f t="shared" ref="AR36:AS36" si="524">IF(AR31="","",ROUND(AR35*AR31,2))</f>
        <v>7358.44</v>
      </c>
      <c r="AS36" s="64">
        <f t="shared" si="524"/>
        <v>32544.66</v>
      </c>
      <c r="AT36" s="64">
        <f t="shared" ref="AT36:AY36" si="525">IF(AT31="","",ROUND(AT35*AT31,2))</f>
        <v>33521.589999999997</v>
      </c>
      <c r="AU36" s="64">
        <f t="shared" si="525"/>
        <v>33998.61</v>
      </c>
      <c r="AV36" s="64">
        <f t="shared" si="525"/>
        <v>29947.3</v>
      </c>
      <c r="AW36" s="64">
        <f t="shared" si="525"/>
        <v>29372.76</v>
      </c>
      <c r="AX36" s="64">
        <f t="shared" si="525"/>
        <v>29994.51</v>
      </c>
      <c r="AY36" s="64">
        <f t="shared" si="525"/>
        <v>27431.4</v>
      </c>
      <c r="AZ36" s="64">
        <f t="shared" ref="AZ36:BA36" si="526">IF(AZ31="","",ROUND(AZ35*AZ31,2))</f>
        <v>37690.370000000003</v>
      </c>
      <c r="BA36" s="64">
        <f t="shared" si="526"/>
        <v>-999.06</v>
      </c>
      <c r="BB36" s="64">
        <f t="shared" ref="BB36:BC36" si="527">IF(BB31="","",ROUND(BB35*BB31,2))</f>
        <v>1068.3499999999999</v>
      </c>
      <c r="BC36" s="64">
        <f t="shared" si="527"/>
        <v>1085.3800000000001</v>
      </c>
      <c r="BD36" s="64">
        <f t="shared" ref="BD36:BE36" si="528">IF(BD31="","",ROUND(BD35*BD31,2))</f>
        <v>1047.53</v>
      </c>
      <c r="BE36" s="64">
        <f t="shared" si="528"/>
        <v>1336.85</v>
      </c>
      <c r="BF36" s="64">
        <f t="shared" ref="BF36:BG36" si="529">IF(BF31="","",ROUND(BF35*BF31,2))</f>
        <v>1272.6199999999999</v>
      </c>
      <c r="BG36" s="64">
        <f t="shared" si="529"/>
        <v>1376.1</v>
      </c>
      <c r="BH36" s="64">
        <f t="shared" ref="BH36:BI36" si="530">IF(BH31="","",ROUND(BH35*BH31,2))</f>
        <v>1261.3</v>
      </c>
      <c r="BI36" s="64">
        <f t="shared" si="530"/>
        <v>837.34</v>
      </c>
      <c r="BJ36" s="64">
        <f t="shared" ref="BJ36:BK36" si="531">IF(BJ31="","",ROUND(BJ35*BJ31,2))</f>
        <v>1174.03</v>
      </c>
      <c r="BK36" s="64">
        <f t="shared" si="531"/>
        <v>1093.94</v>
      </c>
      <c r="BL36" s="64">
        <f t="shared" ref="BL36:BM36" si="532">IF(BL31="","",ROUND(BL35*BL31,2))</f>
        <v>595.17999999999995</v>
      </c>
      <c r="BM36" s="64">
        <f t="shared" si="532"/>
        <v>-2111.9699999999998</v>
      </c>
      <c r="BN36" s="64">
        <f t="shared" ref="BN36:BO36" si="533">IF(BN31="","",ROUND(BN35*BN31,2))</f>
        <v>-9939.4599999999991</v>
      </c>
      <c r="BO36" s="64">
        <f t="shared" si="533"/>
        <v>-1923.43</v>
      </c>
      <c r="BP36" s="64">
        <f t="shared" ref="BP36:BQ36" si="534">IF(BP31="","",ROUND(BP35*BP31,2))</f>
        <v>-2344.67</v>
      </c>
      <c r="BQ36" s="64">
        <f t="shared" si="534"/>
        <v>-2689.87</v>
      </c>
      <c r="BR36" s="64">
        <f t="shared" ref="BR36:BS36" si="535">IF(BR31="","",ROUND(BR35*BR31,2))</f>
        <v>-2659.72</v>
      </c>
      <c r="BS36" s="64">
        <f t="shared" si="535"/>
        <v>-2772.83</v>
      </c>
      <c r="BT36" s="64">
        <f t="shared" ref="BT36:BU36" si="536">IF(BT31="","",ROUND(BT35*BT31,2))</f>
        <v>-2382.11</v>
      </c>
      <c r="BU36" s="64">
        <f t="shared" si="536"/>
        <v>-2379.37</v>
      </c>
      <c r="BV36" s="64">
        <f t="shared" ref="BV36:BW36" si="537">IF(BV31="","",ROUND(BV35*BV31,2))</f>
        <v>-2335.83</v>
      </c>
      <c r="BW36" s="64">
        <f t="shared" si="537"/>
        <v>-1971.85</v>
      </c>
      <c r="BX36" s="64">
        <f t="shared" ref="BX36:BY36" si="538">IF(BX31="","",ROUND(BX35*BX31,2))</f>
        <v>-1623.82</v>
      </c>
      <c r="BY36" s="64">
        <f t="shared" si="538"/>
        <v>-8.4700000000000006</v>
      </c>
      <c r="BZ36" s="64">
        <f t="shared" ref="BZ36:CA36" si="539">IF(BZ31="","",ROUND(BZ35*BZ31,2))</f>
        <v>0</v>
      </c>
      <c r="CA36" s="64">
        <f t="shared" si="539"/>
        <v>0</v>
      </c>
      <c r="CB36" s="64">
        <f t="shared" ref="CB36:CC36" si="540">IF(CB31="","",ROUND(CB35*CB31,2))</f>
        <v>0</v>
      </c>
      <c r="CC36" s="64">
        <f t="shared" si="540"/>
        <v>0</v>
      </c>
      <c r="CD36" s="64">
        <f t="shared" ref="CD36:CE36" si="541">IF(CD31="","",ROUND(CD35*CD31,2))</f>
        <v>0</v>
      </c>
      <c r="CE36" s="64">
        <f t="shared" si="541"/>
        <v>0</v>
      </c>
      <c r="CF36" s="64">
        <f t="shared" ref="CF36:CG36" si="542">IF(CF31="","",ROUND(CF35*CF31,2))</f>
        <v>0</v>
      </c>
      <c r="CG36" s="64">
        <f t="shared" si="542"/>
        <v>0</v>
      </c>
      <c r="CH36" s="64">
        <f t="shared" ref="CH36:CI36" si="543">IF(CH31="","",ROUND(CH35*CH31,2))</f>
        <v>0</v>
      </c>
      <c r="CI36" s="64">
        <f t="shared" si="543"/>
        <v>0</v>
      </c>
    </row>
    <row r="37" spans="1:87" s="48" customFormat="1" ht="9" customHeight="1" x14ac:dyDescent="0.35">
      <c r="A37" s="78"/>
      <c r="B37" s="76"/>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row>
    <row r="38" spans="1:87" x14ac:dyDescent="0.35">
      <c r="P38" s="83"/>
    </row>
  </sheetData>
  <mergeCells count="5">
    <mergeCell ref="A3:A8"/>
    <mergeCell ref="A10:A15"/>
    <mergeCell ref="A17:A22"/>
    <mergeCell ref="A24:A29"/>
    <mergeCell ref="A31:A36"/>
  </mergeCells>
  <pageMargins left="0.7" right="0.7" top="0.75" bottom="0.75" header="0.3" footer="0.3"/>
  <pageSetup orientation="portrait" r:id="rId1"/>
  <headerFooter>
    <oddFooter>&amp;RSchedule JNG-D3</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omments xmlns="$ListId:Library;"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B4CCAA-8671-4113-8547-D2C93347025B}">
  <ds:schemaRefs>
    <ds:schemaRef ds:uri="http://schemas.microsoft.com/sharepoint/v3/contenttype/forms"/>
  </ds:schemaRefs>
</ds:datastoreItem>
</file>

<file path=customXml/itemProps2.xml><?xml version="1.0" encoding="utf-8"?>
<ds:datastoreItem xmlns:ds="http://schemas.openxmlformats.org/officeDocument/2006/customXml" ds:itemID="{02F07B67-19EB-4B96-A323-3D485BBA4FF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ListId:Library;"/>
  </ds:schemaRefs>
</ds:datastoreItem>
</file>

<file path=customXml/itemProps3.xml><?xml version="1.0" encoding="utf-8"?>
<ds:datastoreItem xmlns:ds="http://schemas.openxmlformats.org/officeDocument/2006/customXml" ds:itemID="{C4BD4D8D-DE97-4FC3-94D1-2A909613F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MEEIA 3 calcs</vt:lpstr>
      <vt:lpstr>PAYS interest calculation</vt:lpstr>
      <vt:lpstr>MEEIA 3 adjs</vt:lpstr>
      <vt:lpstr>M3 Allocations - TD</vt:lpstr>
      <vt:lpstr>M3 TD amort</vt:lpstr>
      <vt:lpstr>MEEIA 2 calcs</vt:lpstr>
      <vt:lpstr>MEEIA 2 adjs</vt:lpstr>
      <vt:lpstr>M2 Allocations - TD</vt:lpstr>
      <vt:lpstr>M2 TD amort</vt:lpstr>
      <vt:lpstr>'MEEIA 2 adjs'!Print_Area</vt:lpstr>
      <vt:lpstr>'MEEIA 2 calcs'!Print_Area</vt:lpstr>
      <vt:lpstr>'MEEIA 3 adjs'!Print_Area</vt:lpstr>
      <vt:lpstr>'MEEIA 3 calcs'!Print_Area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Keenoy, Erin</cp:lastModifiedBy>
  <cp:lastPrinted>2023-12-01T20:12:28Z</cp:lastPrinted>
  <dcterms:created xsi:type="dcterms:W3CDTF">2013-01-09T19:50:07Z</dcterms:created>
  <dcterms:modified xsi:type="dcterms:W3CDTF">2023-12-01T20:12:33Z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