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vergynas\finplan\TREASURY\Debt\Issuances\Taxable\2024-02 MO West Securitization\Final Filing Support\"/>
    </mc:Choice>
  </mc:AlternateContent>
  <xr:revisionPtr revIDLastSave="0" documentId="13_ncr:1_{82EE4E8B-9BDB-4BBC-AB15-D69295B49D97}" xr6:coauthVersionLast="47" xr6:coauthVersionMax="47" xr10:uidLastSave="{00000000-0000-0000-0000-000000000000}"/>
  <bookViews>
    <workbookView xWindow="-120" yWindow="-120" windowWidth="29040" windowHeight="15840" xr2:uid="{92699750-8EAB-4862-AD72-4D2E60D0462F}"/>
  </bookViews>
  <sheets>
    <sheet name="Feb 2024 Estimat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F64" i="1"/>
  <c r="F63" i="1"/>
  <c r="F62" i="1"/>
  <c r="F59" i="1"/>
  <c r="F58" i="1"/>
  <c r="F57" i="1"/>
  <c r="F56" i="1"/>
  <c r="F40" i="1" l="1"/>
  <c r="G40" i="1" s="1"/>
  <c r="G64" i="1" l="1"/>
  <c r="G63" i="1" l="1"/>
  <c r="G62" i="1"/>
  <c r="B63" i="1"/>
  <c r="B62" i="1"/>
  <c r="B65" i="1"/>
  <c r="B64" i="1"/>
  <c r="B61" i="1"/>
  <c r="B60" i="1"/>
  <c r="G59" i="1"/>
  <c r="B59" i="1"/>
  <c r="G58" i="1"/>
  <c r="B58" i="1"/>
  <c r="G57" i="1"/>
  <c r="B57" i="1"/>
  <c r="G56" i="1"/>
  <c r="B56" i="1"/>
  <c r="B55" i="1"/>
  <c r="B54" i="1"/>
  <c r="B53" i="1"/>
  <c r="N34" i="1" l="1"/>
  <c r="N30" i="1"/>
  <c r="N31" i="1" s="1"/>
  <c r="N35" i="1" s="1"/>
  <c r="N26" i="1"/>
  <c r="N36" i="1" l="1"/>
  <c r="B41" i="1" l="1"/>
  <c r="B29" i="1"/>
  <c r="K30" i="1"/>
  <c r="K33" i="1"/>
  <c r="B49" i="1"/>
  <c r="B48" i="1"/>
  <c r="B47" i="1"/>
  <c r="B46" i="1"/>
  <c r="B45" i="1"/>
  <c r="B44" i="1"/>
  <c r="B43" i="1"/>
  <c r="B42" i="1"/>
  <c r="B40" i="1"/>
  <c r="B38" i="1"/>
  <c r="B37" i="1"/>
  <c r="B36" i="1"/>
  <c r="B35" i="1"/>
  <c r="B34" i="1"/>
  <c r="B33" i="1"/>
  <c r="B32" i="1"/>
  <c r="B28" i="1"/>
  <c r="B27" i="1"/>
  <c r="B26" i="1"/>
  <c r="B25" i="1"/>
  <c r="B24" i="1"/>
  <c r="B23" i="1"/>
  <c r="B17" i="1"/>
  <c r="B16" i="1"/>
  <c r="B15" i="1"/>
  <c r="B14" i="1"/>
  <c r="F14" i="1"/>
  <c r="D45" i="1" l="1"/>
  <c r="J19" i="1"/>
  <c r="BD17" i="1"/>
  <c r="BC17" i="1"/>
  <c r="BB17" i="1"/>
  <c r="BA17" i="1"/>
  <c r="AZ17" i="1"/>
  <c r="AY17" i="1"/>
  <c r="AX17" i="1"/>
  <c r="AW17" i="1"/>
  <c r="AV17" i="1"/>
  <c r="AU17" i="1"/>
  <c r="AT17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F13" i="1"/>
  <c r="J15" i="1"/>
  <c r="K35" i="1"/>
  <c r="B19" i="1"/>
  <c r="B18" i="1"/>
  <c r="K13" i="1"/>
  <c r="K15" i="1" s="1"/>
  <c r="B13" i="1"/>
  <c r="J17" i="1" l="1"/>
  <c r="J18" i="1" s="1"/>
  <c r="K17" i="1"/>
  <c r="L13" i="1"/>
  <c r="K18" i="1" l="1"/>
  <c r="M13" i="1"/>
  <c r="M15" i="1" s="1"/>
  <c r="L15" i="1"/>
  <c r="N13" i="1" l="1"/>
  <c r="L17" i="1"/>
  <c r="L18" i="1" s="1"/>
  <c r="M17" i="1"/>
  <c r="M18" i="1" l="1"/>
  <c r="N15" i="1"/>
  <c r="O13" i="1"/>
  <c r="N17" i="1" l="1"/>
  <c r="N18" i="1" s="1"/>
  <c r="O15" i="1"/>
  <c r="P13" i="1"/>
  <c r="O17" i="1" l="1"/>
  <c r="O18" i="1" s="1"/>
  <c r="P15" i="1"/>
  <c r="Q13" i="1"/>
  <c r="P17" i="1" l="1"/>
  <c r="P18" i="1" s="1"/>
  <c r="Q15" i="1"/>
  <c r="R13" i="1"/>
  <c r="Q17" i="1" l="1"/>
  <c r="Q18" i="1" s="1"/>
  <c r="R15" i="1"/>
  <c r="S13" i="1"/>
  <c r="R17" i="1" l="1"/>
  <c r="R18" i="1" s="1"/>
  <c r="S15" i="1"/>
  <c r="T13" i="1"/>
  <c r="S17" i="1" l="1"/>
  <c r="S18" i="1" s="1"/>
  <c r="T15" i="1"/>
  <c r="U13" i="1"/>
  <c r="T17" i="1" l="1"/>
  <c r="T18" i="1" s="1"/>
  <c r="U15" i="1"/>
  <c r="V13" i="1"/>
  <c r="U17" i="1" l="1"/>
  <c r="U18" i="1" s="1"/>
  <c r="V15" i="1"/>
  <c r="W13" i="1"/>
  <c r="V17" i="1" l="1"/>
  <c r="V18" i="1" s="1"/>
  <c r="W15" i="1"/>
  <c r="X13" i="1"/>
  <c r="W17" i="1" l="1"/>
  <c r="W18" i="1" s="1"/>
  <c r="X15" i="1"/>
  <c r="Y13" i="1"/>
  <c r="X17" i="1" l="1"/>
  <c r="X18" i="1" s="1"/>
  <c r="Y15" i="1"/>
  <c r="Z13" i="1"/>
  <c r="Y17" i="1" l="1"/>
  <c r="Y18" i="1" s="1"/>
  <c r="Z15" i="1"/>
  <c r="AA13" i="1"/>
  <c r="Z17" i="1" l="1"/>
  <c r="Z18" i="1" s="1"/>
  <c r="AA15" i="1"/>
  <c r="AB13" i="1"/>
  <c r="AA17" i="1" l="1"/>
  <c r="AA18" i="1" s="1"/>
  <c r="AB15" i="1"/>
  <c r="AC13" i="1"/>
  <c r="AB17" i="1" l="1"/>
  <c r="AB18" i="1" s="1"/>
  <c r="AC15" i="1"/>
  <c r="AD13" i="1"/>
  <c r="AC17" i="1" l="1"/>
  <c r="AC18" i="1" s="1"/>
  <c r="AD15" i="1"/>
  <c r="AE13" i="1"/>
  <c r="AD17" i="1" l="1"/>
  <c r="AD18" i="1" s="1"/>
  <c r="AE15" i="1"/>
  <c r="AF13" i="1"/>
  <c r="AE17" i="1" l="1"/>
  <c r="AE18" i="1" s="1"/>
  <c r="AF15" i="1"/>
  <c r="AG13" i="1"/>
  <c r="AF17" i="1" l="1"/>
  <c r="AF18" i="1" s="1"/>
  <c r="AG15" i="1"/>
  <c r="AH13" i="1"/>
  <c r="AG17" i="1" l="1"/>
  <c r="AG18" i="1" s="1"/>
  <c r="AH15" i="1"/>
  <c r="AI13" i="1"/>
  <c r="AH17" i="1" l="1"/>
  <c r="AH18" i="1" s="1"/>
  <c r="AI15" i="1"/>
  <c r="AJ13" i="1"/>
  <c r="AI17" i="1" l="1"/>
  <c r="AI18" i="1" s="1"/>
  <c r="AJ15" i="1"/>
  <c r="AK13" i="1"/>
  <c r="AJ17" i="1" l="1"/>
  <c r="AJ18" i="1" s="1"/>
  <c r="AK15" i="1"/>
  <c r="AL13" i="1"/>
  <c r="AK17" i="1" l="1"/>
  <c r="AK18" i="1" s="1"/>
  <c r="AL15" i="1"/>
  <c r="AM13" i="1"/>
  <c r="AL17" i="1" l="1"/>
  <c r="AL18" i="1" s="1"/>
  <c r="AM15" i="1"/>
  <c r="AN13" i="1"/>
  <c r="AM17" i="1" l="1"/>
  <c r="AM18" i="1" s="1"/>
  <c r="AN15" i="1"/>
  <c r="AO13" i="1"/>
  <c r="AN17" i="1" l="1"/>
  <c r="AN18" i="1" s="1"/>
  <c r="AO15" i="1"/>
  <c r="AP13" i="1"/>
  <c r="AO17" i="1" l="1"/>
  <c r="AO18" i="1" s="1"/>
  <c r="AP15" i="1"/>
  <c r="AQ13" i="1"/>
  <c r="AP17" i="1" l="1"/>
  <c r="AP18" i="1" s="1"/>
  <c r="AQ15" i="1"/>
  <c r="AR13" i="1"/>
  <c r="AQ17" i="1" l="1"/>
  <c r="AQ18" i="1" s="1"/>
  <c r="AR15" i="1"/>
  <c r="AS13" i="1"/>
  <c r="AR17" i="1" l="1"/>
  <c r="AR18" i="1" s="1"/>
  <c r="AS15" i="1"/>
  <c r="AT13" i="1"/>
  <c r="AS17" i="1" l="1"/>
  <c r="AS18" i="1" s="1"/>
  <c r="AT15" i="1"/>
  <c r="AU13" i="1"/>
  <c r="F17" i="1" l="1"/>
  <c r="F24" i="1" s="1"/>
  <c r="AT18" i="1"/>
  <c r="AV13" i="1"/>
  <c r="AU15" i="1"/>
  <c r="AU18" i="1" s="1"/>
  <c r="AW13" i="1" l="1"/>
  <c r="AV15" i="1"/>
  <c r="AV18" i="1" s="1"/>
  <c r="AX13" i="1" l="1"/>
  <c r="AW15" i="1"/>
  <c r="AW18" i="1" s="1"/>
  <c r="AY13" i="1" l="1"/>
  <c r="AX15" i="1"/>
  <c r="AX18" i="1" s="1"/>
  <c r="AZ13" i="1" l="1"/>
  <c r="AY15" i="1"/>
  <c r="AY18" i="1" s="1"/>
  <c r="BA13" i="1" l="1"/>
  <c r="AZ15" i="1"/>
  <c r="AZ18" i="1" s="1"/>
  <c r="BB13" i="1" l="1"/>
  <c r="BA15" i="1"/>
  <c r="BA18" i="1" s="1"/>
  <c r="BC13" i="1" l="1"/>
  <c r="BB15" i="1"/>
  <c r="BB18" i="1" s="1"/>
  <c r="BD13" i="1" l="1"/>
  <c r="BD15" i="1" s="1"/>
  <c r="BD18" i="1" s="1"/>
  <c r="F18" i="1" s="1"/>
  <c r="BC15" i="1"/>
  <c r="BC18" i="1" s="1"/>
  <c r="F15" i="1" l="1"/>
  <c r="F23" i="1" s="1"/>
  <c r="F25" i="1" s="1"/>
  <c r="F32" i="1" l="1"/>
  <c r="G32" i="1" s="1"/>
  <c r="G25" i="1"/>
  <c r="F39" i="1" l="1"/>
  <c r="G39" i="1" s="1"/>
  <c r="F36" i="1"/>
  <c r="G36" i="1" s="1"/>
  <c r="F60" i="1" l="1"/>
  <c r="G60" i="1" s="1"/>
  <c r="F35" i="1"/>
  <c r="G35" i="1" s="1"/>
  <c r="F46" i="1" l="1"/>
  <c r="F37" i="1"/>
  <c r="G37" i="1" s="1"/>
  <c r="F38" i="1"/>
  <c r="G38" i="1" s="1"/>
  <c r="F34" i="1" l="1"/>
  <c r="G34" i="1" s="1"/>
  <c r="G46" i="1"/>
  <c r="F47" i="1"/>
  <c r="F42" i="1" l="1"/>
  <c r="G42" i="1" s="1"/>
  <c r="F41" i="1"/>
  <c r="F43" i="1" l="1"/>
  <c r="G41" i="1"/>
  <c r="G43" i="1" s="1"/>
  <c r="G45" i="1" l="1"/>
  <c r="G47" i="1" s="1"/>
  <c r="G49" i="1" s="1"/>
  <c r="G27" i="1" s="1"/>
  <c r="G28" i="1" s="1"/>
  <c r="F53" i="1" l="1"/>
  <c r="G53" i="1" s="1"/>
  <c r="F55" i="1" l="1"/>
  <c r="G55" i="1" s="1"/>
  <c r="F61" i="1"/>
  <c r="G61" i="1" s="1"/>
  <c r="G65" i="1" l="1"/>
</calcChain>
</file>

<file path=xl/sharedStrings.xml><?xml version="1.0" encoding="utf-8"?>
<sst xmlns="http://schemas.openxmlformats.org/spreadsheetml/2006/main" count="80" uniqueCount="73">
  <si>
    <t>$ USD</t>
  </si>
  <si>
    <t>Total</t>
  </si>
  <si>
    <t>Fuel &amp; Purchased Power</t>
  </si>
  <si>
    <t>Carrying Costs</t>
  </si>
  <si>
    <t xml:space="preserve">    Fuel &amp; Purchased Power</t>
  </si>
  <si>
    <t xml:space="preserve">    Carrying Costs through 1/31/2023</t>
  </si>
  <si>
    <t xml:space="preserve">      Total Securitized Costs (before upfront fees)</t>
  </si>
  <si>
    <t>Total Securitized Costs (before upfront fees)</t>
  </si>
  <si>
    <t xml:space="preserve">  Incremental Carrying Costs</t>
  </si>
  <si>
    <t xml:space="preserve">    Monthly Carrying Costs</t>
  </si>
  <si>
    <t xml:space="preserve">      Total Incremental Carrying Costs</t>
  </si>
  <si>
    <t>Legal Fees</t>
  </si>
  <si>
    <t>Auditor Fee</t>
  </si>
  <si>
    <t>Structuring Advisor</t>
  </si>
  <si>
    <t>IT Programming Costs</t>
  </si>
  <si>
    <t>Commission Advisors</t>
  </si>
  <si>
    <t>Original Issuance Discount</t>
  </si>
  <si>
    <t>Miscellaneous</t>
  </si>
  <si>
    <t>MO West Winter Weather Securitization Amount</t>
  </si>
  <si>
    <t>Beginning Balance (excl. carrying costs)</t>
  </si>
  <si>
    <t>Ending Balance (excl. carrying costs)</t>
  </si>
  <si>
    <t>Ending Balance (incl. carrying costs)</t>
  </si>
  <si>
    <t>Total Securitized Costs (incl. carrying costs)</t>
  </si>
  <si>
    <t>Interest Rate for Carry Costs</t>
  </si>
  <si>
    <t>Securitization Walkforward from Amended Financing Order Estimate (11-17-2022)</t>
  </si>
  <si>
    <t xml:space="preserve">  Estimated Balance as of 1/31/2023</t>
  </si>
  <si>
    <t>Assumptions</t>
  </si>
  <si>
    <t>Annualized Interest Rate for Carrying Costs</t>
  </si>
  <si>
    <t>Estimated Securitization Financing Date</t>
  </si>
  <si>
    <t>Estimated Securitization Amount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</si>
  <si>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</si>
  <si>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</si>
  <si>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</si>
  <si>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</si>
  <si>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</si>
  <si>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</si>
  <si>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</si>
  <si>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</si>
  <si>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</si>
  <si>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</si>
  <si>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</si>
  <si>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</si>
  <si>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</si>
  <si>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</si>
  <si>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</si>
  <si>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>Changes in Fuel &amp; Purchased Power Balance</t>
  </si>
  <si>
    <t>Total Estimated Securitization Amount</t>
  </si>
  <si>
    <t>Plus: Estimated Upfront Fees</t>
  </si>
  <si>
    <t>Estimated Upfront Fees</t>
  </si>
  <si>
    <t>Total Estimated Upfront Fees</t>
  </si>
  <si>
    <t>Subtotal Estimated Fixed Upfront Fees</t>
  </si>
  <si>
    <t>Subtotal Estimated Variable Upfront Fees</t>
  </si>
  <si>
    <t>Bond Rating Fees</t>
  </si>
  <si>
    <t>Unrounded Data</t>
  </si>
  <si>
    <t>Rounded</t>
  </si>
  <si>
    <t>&lt;-- unrounded</t>
  </si>
  <si>
    <t>SEC Registration Fees</t>
  </si>
  <si>
    <t>Cost of Commission Staff</t>
  </si>
  <si>
    <t>Servicing Fee</t>
  </si>
  <si>
    <t>Printing / EDGAR Fees</t>
  </si>
  <si>
    <t>Estimated Ongoing Costs</t>
  </si>
  <si>
    <t>Total Securitization Amount</t>
  </si>
  <si>
    <t>Upfront Underwriters Fee Rate</t>
  </si>
  <si>
    <t>Administation Fee</t>
  </si>
  <si>
    <t>Trustee's Fee</t>
  </si>
  <si>
    <t>Auditing / Accountant's Fee</t>
  </si>
  <si>
    <t>Rating Agency Surveillance Fees</t>
  </si>
  <si>
    <t>Return on Capital Account</t>
  </si>
  <si>
    <t>Independent Manager Fee</t>
  </si>
  <si>
    <t>Subtotal Estimated Ongoing Costs</t>
  </si>
  <si>
    <t>&lt;-- $(564) plug applied to round bond amount to $1,000</t>
  </si>
  <si>
    <t>MO West Winter Storm Securitization Analysis -- Securitization Amount, Upfront Fees, and Ongoing Costs</t>
  </si>
  <si>
    <t>&lt;-- $(97) plug applied to round bond amount to $1,000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</si>
</sst>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(#,##0\);\-\-"/>
    <numFmt numFmtId="165" formatCode="[$-409]mmm\-yy;@"/>
    <numFmt numFmtId="166" formatCode="_(#,##0.00%_);\(#,##0.00%\);_(&quot;–&quot;_)_%;_(@_)_%"/>
    <numFmt numFmtId="167" formatCode="#,##0.00;\(#,##0.00\);\-\-"/>
    <numFmt numFmtId="168" formatCode="#,##0.00000000;\(#,##0.00000000\);\-\-"/>
    <numFmt numFmtId="169" formatCode="_(#,##0.0000%_);\(#,##0.0000%\);_(&quot;–&quot;_)_%;_(@_)_%"/>
    <numFmt numFmtId="176" formatCode="_(#,##0.00000%_);\(#,##0.00000%\);_(&quot;–&quot;_)_%;_(@_)_%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0000"/>
      </patternFill>
    </fill>
    <fill>
      <patternFill patternType="solid">
        <fgColor rgb="FFFCE5CD"/>
        <bgColor rgb="FF000000"/>
      </patternFill>
    </fill>
    <fill>
      <patternFill patternType="solid">
        <fgColor rgb="FFD2F2FF"/>
        <bgColor rgb="FF000000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3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65" fontId="4" fillId="2" borderId="0" xfId="0" applyNumberFormat="1" applyFont="1" applyFill="1" applyAlignment="1">
      <alignment horizontal="center"/>
    </xf>
    <xf numFmtId="164" fontId="5" fillId="0" borderId="0" xfId="0" applyNumberFormat="1" applyFont="1"/>
    <xf numFmtId="164" fontId="2" fillId="0" borderId="0" xfId="0" applyNumberFormat="1" applyFont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6" fontId="2" fillId="0" borderId="0" xfId="0" applyNumberFormat="1" applyFont="1"/>
    <xf numFmtId="164" fontId="5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4" fontId="2" fillId="0" borderId="0" xfId="0" applyNumberFormat="1" applyFont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8" fillId="0" borderId="0" xfId="0" applyNumberFormat="1" applyFont="1" applyAlignment="1">
      <alignment horizontal="center"/>
    </xf>
    <xf numFmtId="164" fontId="5" fillId="0" borderId="5" xfId="0" applyNumberFormat="1" applyFont="1" applyBorder="1"/>
    <xf numFmtId="167" fontId="2" fillId="0" borderId="0" xfId="0" applyNumberFormat="1" applyFont="1" applyAlignment="1">
      <alignment horizontal="center"/>
    </xf>
    <xf numFmtId="168" fontId="2" fillId="0" borderId="6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10" fillId="0" borderId="0" xfId="0" applyNumberFormat="1" applyFont="1"/>
    <xf numFmtId="164" fontId="2" fillId="4" borderId="7" xfId="0" applyNumberFormat="1" applyFont="1" applyFill="1" applyBorder="1"/>
    <xf numFmtId="164" fontId="5" fillId="4" borderId="8" xfId="0" applyNumberFormat="1" applyFont="1" applyFill="1" applyBorder="1"/>
    <xf numFmtId="164" fontId="5" fillId="4" borderId="8" xfId="0" applyNumberFormat="1" applyFont="1" applyFill="1" applyBorder="1" applyAlignment="1">
      <alignment horizontal="center"/>
    </xf>
    <xf numFmtId="164" fontId="2" fillId="4" borderId="9" xfId="0" applyNumberFormat="1" applyFont="1" applyFill="1" applyBorder="1"/>
    <xf numFmtId="164" fontId="5" fillId="5" borderId="1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169" fontId="5" fillId="0" borderId="0" xfId="0" applyNumberFormat="1" applyFont="1" applyBorder="1" applyAlignment="1">
      <alignment horizontal="center"/>
    </xf>
    <xf numFmtId="164" fontId="2" fillId="0" borderId="0" xfId="0" applyNumberFormat="1" applyFont="1" applyFill="1" applyBorder="1"/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5" fillId="0" borderId="0" xfId="0" applyNumberFormat="1" applyFont="1" applyBorder="1"/>
    <xf numFmtId="164" fontId="5" fillId="0" borderId="6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6" fontId="6" fillId="3" borderId="3" xfId="0" applyNumberFormat="1" applyFont="1" applyFill="1" applyBorder="1" applyAlignment="1">
      <alignment horizontal="center"/>
    </xf>
    <xf numFmtId="14" fontId="6" fillId="3" borderId="0" xfId="0" applyNumberFormat="1" applyFont="1" applyFill="1" applyBorder="1" applyAlignment="1">
      <alignment horizontal="center"/>
    </xf>
    <xf numFmtId="164" fontId="5" fillId="0" borderId="3" xfId="0" applyNumberFormat="1" applyFont="1" applyBorder="1"/>
    <xf numFmtId="164" fontId="5" fillId="0" borderId="3" xfId="0" applyNumberFormat="1" applyFont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/>
    </xf>
    <xf numFmtId="164" fontId="12" fillId="0" borderId="8" xfId="0" applyNumberFormat="1" applyFont="1" applyBorder="1"/>
    <xf numFmtId="166" fontId="12" fillId="0" borderId="8" xfId="0" applyNumberFormat="1" applyFont="1" applyBorder="1" applyAlignment="1">
      <alignment horizontal="center"/>
    </xf>
    <xf numFmtId="166" fontId="12" fillId="0" borderId="9" xfId="0" applyNumberFormat="1" applyFont="1" applyBorder="1" applyAlignment="1">
      <alignment horizontal="center"/>
    </xf>
    <xf numFmtId="164" fontId="2" fillId="0" borderId="10" xfId="0" applyNumberFormat="1" applyFont="1" applyBorder="1"/>
    <xf numFmtId="164" fontId="14" fillId="0" borderId="0" xfId="0" applyNumberFormat="1" applyFont="1"/>
    <xf numFmtId="164" fontId="2" fillId="4" borderId="8" xfId="0" applyNumberFormat="1" applyFont="1" applyFill="1" applyBorder="1"/>
    <xf numFmtId="176" fontId="2" fillId="0" borderId="0" xfId="0" applyNumberFormat="1" applyFont="1"/>
    <xf numFmtId="164" fontId="9" fillId="0" borderId="0" xfId="0" applyNumberFormat="1" applyFont="1" applyFill="1" applyBorder="1" applyAlignment="1">
      <alignment horizontal="center"/>
    </xf>
    <xf numFmtId="169" fontId="6" fillId="3" borderId="8" xfId="0" applyNumberFormat="1" applyFont="1" applyFill="1" applyBorder="1" applyAlignment="1">
      <alignment horizontal="center"/>
    </xf>
  </cellXfs>
  <cellStyles count="2">
    <cellStyle name="Normal" xfId="0" builtinId="0"/>
    <cellStyle name="Percent 2" xfId="1" xr:uid="{043E63DD-95CF-4BCF-B556-C0BF531D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vergynas\finplan\TREASURY\Debt\Issuances\Taxable\2024-02%20MO%20West%20Securitization\Final%20Filing%20Support\EMW%20Storm%20Bond%20-%20Cost%20Estimates%20(BL%20DRAFT%202024-02-14).xlsx" TargetMode="External"/><Relationship Id="rId1" Type="http://schemas.openxmlformats.org/officeDocument/2006/relationships/externalLinkPath" Target="EMW%20Storm%20Bond%20-%20Cost%20Estimates%20(BL%20DRAFT%202024-02-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 Summaries"/>
      <sheetName val="Upfront Costs"/>
      <sheetName val="Ongoing Costs"/>
    </sheetNames>
    <sheetDataSet>
      <sheetData sheetId="0">
        <row r="18">
          <cell r="F18">
            <v>2393501</v>
          </cell>
        </row>
        <row r="19">
          <cell r="F19">
            <v>200000</v>
          </cell>
        </row>
        <row r="20">
          <cell r="F20">
            <v>200000</v>
          </cell>
        </row>
        <row r="21">
          <cell r="F21">
            <v>1043519</v>
          </cell>
        </row>
        <row r="22">
          <cell r="F22">
            <v>2213737.2200000002</v>
          </cell>
        </row>
        <row r="23">
          <cell r="F23">
            <v>250000</v>
          </cell>
        </row>
        <row r="24">
          <cell r="F24">
            <v>21589.480399995857</v>
          </cell>
        </row>
        <row r="25">
          <cell r="F25">
            <v>410000</v>
          </cell>
        </row>
        <row r="26">
          <cell r="F26">
            <v>68410.52</v>
          </cell>
        </row>
        <row r="30">
          <cell r="F30">
            <v>48996.56</v>
          </cell>
        </row>
        <row r="39">
          <cell r="F39">
            <v>165563.50000020082</v>
          </cell>
        </row>
        <row r="40">
          <cell r="F40">
            <v>50000</v>
          </cell>
        </row>
        <row r="41">
          <cell r="F41">
            <v>5500</v>
          </cell>
        </row>
        <row r="42">
          <cell r="F42">
            <v>75000</v>
          </cell>
        </row>
        <row r="43">
          <cell r="F43">
            <v>25000</v>
          </cell>
        </row>
        <row r="44">
          <cell r="F44">
            <v>48000</v>
          </cell>
        </row>
        <row r="45">
          <cell r="F45">
            <v>147351.51500017871</v>
          </cell>
        </row>
        <row r="46">
          <cell r="F46">
            <v>10000</v>
          </cell>
        </row>
        <row r="47">
          <cell r="F47">
            <v>3650</v>
          </cell>
        </row>
        <row r="48">
          <cell r="F48">
            <v>10000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D5C5-C2A8-48D1-B0D3-5E21CC59665F}">
  <dimension ref="A1:BD65"/>
  <sheetViews>
    <sheetView showGridLines="0" tabSelected="1" workbookViewId="0">
      <pane xSplit="9" ySplit="11" topLeftCell="J12" activePane="bottomRight" state="frozen"/>
      <selection pane="topRight" activeCell="I1" sqref="I1"/>
      <selection pane="bottomLeft" activeCell="A6" sqref="A6"/>
      <selection pane="bottomRight" activeCell="A12" sqref="A12"/>
    </sheetView>
  </sheetViews>
  <sheetFormatPr defaultRowHeight="12.75" x14ac:dyDescent="0.2"/>
  <cols>
    <col min="1" max="1" width="2.7109375" style="2" customWidth="1"/>
    <col min="2" max="2" width="3.7109375" style="2" customWidth="1"/>
    <col min="3" max="4" width="2.7109375" style="2" customWidth="1"/>
    <col min="5" max="5" width="50.7109375" style="2" customWidth="1"/>
    <col min="6" max="7" width="15.7109375" style="2" customWidth="1"/>
    <col min="8" max="9" width="1.7109375" style="2" customWidth="1"/>
    <col min="10" max="56" width="15.7109375" style="2" customWidth="1"/>
    <col min="57" max="16384" width="9.140625" style="2"/>
  </cols>
  <sheetData>
    <row r="1" spans="1:56" ht="26.25" x14ac:dyDescent="0.4">
      <c r="A1" s="1" t="s">
        <v>71</v>
      </c>
    </row>
    <row r="2" spans="1:56" ht="18.75" x14ac:dyDescent="0.25">
      <c r="A2" s="3" t="s">
        <v>0</v>
      </c>
    </row>
    <row r="5" spans="1:56" x14ac:dyDescent="0.2">
      <c r="C5" s="5" t="s">
        <v>26</v>
      </c>
    </row>
    <row r="6" spans="1:56" x14ac:dyDescent="0.2">
      <c r="C6" s="21"/>
      <c r="D6" s="12" t="s">
        <v>27</v>
      </c>
      <c r="E6" s="12"/>
      <c r="F6" s="45">
        <v>5.0599999999999999E-2</v>
      </c>
      <c r="G6" s="13"/>
    </row>
    <row r="7" spans="1:56" x14ac:dyDescent="0.2">
      <c r="C7" s="15"/>
      <c r="D7" s="32" t="s">
        <v>28</v>
      </c>
      <c r="E7" s="32"/>
      <c r="F7" s="46">
        <v>45345</v>
      </c>
      <c r="G7" s="16"/>
    </row>
    <row r="8" spans="1:56" x14ac:dyDescent="0.2">
      <c r="C8" s="23"/>
      <c r="D8" s="24" t="s">
        <v>62</v>
      </c>
      <c r="E8" s="24"/>
      <c r="F8" s="62">
        <v>4.0000000000000001E-3</v>
      </c>
      <c r="G8" s="25"/>
    </row>
    <row r="11" spans="1:56" x14ac:dyDescent="0.2">
      <c r="F11" s="4" t="s">
        <v>1</v>
      </c>
      <c r="J11" s="4">
        <v>44286</v>
      </c>
      <c r="K11" s="4">
        <v>44316</v>
      </c>
      <c r="L11" s="4">
        <v>44347</v>
      </c>
      <c r="M11" s="4">
        <v>44377</v>
      </c>
      <c r="N11" s="4">
        <v>44408</v>
      </c>
      <c r="O11" s="4">
        <v>44439</v>
      </c>
      <c r="P11" s="4">
        <v>44469</v>
      </c>
      <c r="Q11" s="4">
        <v>44500</v>
      </c>
      <c r="R11" s="4">
        <v>44530</v>
      </c>
      <c r="S11" s="4">
        <v>44561</v>
      </c>
      <c r="T11" s="4">
        <v>44592</v>
      </c>
      <c r="U11" s="4">
        <v>44620</v>
      </c>
      <c r="V11" s="4">
        <v>44651</v>
      </c>
      <c r="W11" s="4">
        <v>44681</v>
      </c>
      <c r="X11" s="4">
        <v>44712</v>
      </c>
      <c r="Y11" s="4">
        <v>44742</v>
      </c>
      <c r="Z11" s="4">
        <v>44773</v>
      </c>
      <c r="AA11" s="4">
        <v>44804</v>
      </c>
      <c r="AB11" s="4">
        <v>44834</v>
      </c>
      <c r="AC11" s="4">
        <v>44865</v>
      </c>
      <c r="AD11" s="4">
        <v>44895</v>
      </c>
      <c r="AE11" s="4">
        <v>44926</v>
      </c>
      <c r="AF11" s="4">
        <v>44957</v>
      </c>
      <c r="AG11" s="4">
        <v>44985</v>
      </c>
      <c r="AH11" s="4">
        <v>45016</v>
      </c>
      <c r="AI11" s="4">
        <v>45046</v>
      </c>
      <c r="AJ11" s="4">
        <v>45077</v>
      </c>
      <c r="AK11" s="4">
        <v>45107</v>
      </c>
      <c r="AL11" s="4">
        <v>45138</v>
      </c>
      <c r="AM11" s="4">
        <v>45169</v>
      </c>
      <c r="AN11" s="4">
        <v>45199</v>
      </c>
      <c r="AO11" s="4">
        <v>45230</v>
      </c>
      <c r="AP11" s="4">
        <v>45260</v>
      </c>
      <c r="AQ11" s="4">
        <v>45291</v>
      </c>
      <c r="AR11" s="4">
        <v>45322</v>
      </c>
      <c r="AS11" s="4">
        <v>45351</v>
      </c>
      <c r="AT11" s="4">
        <v>45382</v>
      </c>
      <c r="AU11" s="4">
        <v>45412</v>
      </c>
      <c r="AV11" s="4">
        <v>45443</v>
      </c>
      <c r="AW11" s="4">
        <v>45473</v>
      </c>
      <c r="AX11" s="4">
        <v>45504</v>
      </c>
      <c r="AY11" s="4">
        <v>45535</v>
      </c>
      <c r="AZ11" s="4">
        <v>45565</v>
      </c>
      <c r="BA11" s="4">
        <v>45596</v>
      </c>
      <c r="BB11" s="4">
        <v>45626</v>
      </c>
      <c r="BC11" s="4">
        <v>45657</v>
      </c>
      <c r="BD11" s="4">
        <v>45688</v>
      </c>
    </row>
    <row r="12" spans="1:56" x14ac:dyDescent="0.2">
      <c r="C12" s="5" t="s">
        <v>18</v>
      </c>
    </row>
    <row r="13" spans="1:56" x14ac:dyDescent="0.2">
      <c r="B13" s="6">
        <f>ROW()</f>
        <v>13</v>
      </c>
      <c r="C13" s="21"/>
      <c r="D13" s="47" t="s">
        <v>19</v>
      </c>
      <c r="E13" s="12"/>
      <c r="F13" s="48">
        <f>+J13</f>
        <v>281307722</v>
      </c>
      <c r="G13" s="48"/>
      <c r="H13" s="12"/>
      <c r="I13" s="12"/>
      <c r="J13" s="49">
        <v>281307722</v>
      </c>
      <c r="K13" s="22">
        <f>+SUM(J13:J14)</f>
        <v>281307722</v>
      </c>
      <c r="L13" s="22">
        <f t="shared" ref="L13:AV13" si="0">+SUM(K13:K14)</f>
        <v>281307722</v>
      </c>
      <c r="M13" s="22">
        <f t="shared" si="0"/>
        <v>281307722</v>
      </c>
      <c r="N13" s="22">
        <f t="shared" si="0"/>
        <v>276938215</v>
      </c>
      <c r="O13" s="22">
        <f t="shared" si="0"/>
        <v>276938215</v>
      </c>
      <c r="P13" s="22">
        <f t="shared" si="0"/>
        <v>277611669</v>
      </c>
      <c r="Q13" s="22">
        <f t="shared" si="0"/>
        <v>277611669</v>
      </c>
      <c r="R13" s="22">
        <f t="shared" si="0"/>
        <v>277611669</v>
      </c>
      <c r="S13" s="22">
        <f t="shared" si="0"/>
        <v>277611669</v>
      </c>
      <c r="T13" s="22">
        <f t="shared" si="0"/>
        <v>280489645</v>
      </c>
      <c r="U13" s="22">
        <f t="shared" si="0"/>
        <v>280489645</v>
      </c>
      <c r="V13" s="22">
        <f t="shared" si="0"/>
        <v>280667566</v>
      </c>
      <c r="W13" s="22">
        <f t="shared" si="0"/>
        <v>280667566</v>
      </c>
      <c r="X13" s="22">
        <f t="shared" si="0"/>
        <v>280667566</v>
      </c>
      <c r="Y13" s="22">
        <f t="shared" si="0"/>
        <v>280667566</v>
      </c>
      <c r="Z13" s="22">
        <f t="shared" si="0"/>
        <v>280667566</v>
      </c>
      <c r="AA13" s="22">
        <f t="shared" si="0"/>
        <v>280667566</v>
      </c>
      <c r="AB13" s="22">
        <f t="shared" si="0"/>
        <v>280667566</v>
      </c>
      <c r="AC13" s="22">
        <f t="shared" si="0"/>
        <v>280667566</v>
      </c>
      <c r="AD13" s="22">
        <f t="shared" si="0"/>
        <v>280667566</v>
      </c>
      <c r="AE13" s="22">
        <f t="shared" si="0"/>
        <v>280667566</v>
      </c>
      <c r="AF13" s="22">
        <f t="shared" si="0"/>
        <v>280667566</v>
      </c>
      <c r="AG13" s="22">
        <f t="shared" si="0"/>
        <v>280667566</v>
      </c>
      <c r="AH13" s="22">
        <f t="shared" si="0"/>
        <v>280667566</v>
      </c>
      <c r="AI13" s="22">
        <f t="shared" si="0"/>
        <v>280667566</v>
      </c>
      <c r="AJ13" s="22">
        <f t="shared" si="0"/>
        <v>280667566</v>
      </c>
      <c r="AK13" s="22">
        <f t="shared" si="0"/>
        <v>280667566</v>
      </c>
      <c r="AL13" s="22">
        <f t="shared" si="0"/>
        <v>280667566</v>
      </c>
      <c r="AM13" s="22">
        <f t="shared" si="0"/>
        <v>280667566</v>
      </c>
      <c r="AN13" s="22">
        <f t="shared" si="0"/>
        <v>280667566</v>
      </c>
      <c r="AO13" s="22">
        <f t="shared" si="0"/>
        <v>280667566</v>
      </c>
      <c r="AP13" s="22">
        <f t="shared" si="0"/>
        <v>280667566</v>
      </c>
      <c r="AQ13" s="22">
        <f t="shared" si="0"/>
        <v>280667566</v>
      </c>
      <c r="AR13" s="22">
        <f t="shared" si="0"/>
        <v>280667566</v>
      </c>
      <c r="AS13" s="22">
        <f t="shared" si="0"/>
        <v>280667566</v>
      </c>
      <c r="AT13" s="22">
        <f t="shared" si="0"/>
        <v>280667566</v>
      </c>
      <c r="AU13" s="22">
        <f t="shared" si="0"/>
        <v>280667566</v>
      </c>
      <c r="AV13" s="22">
        <f t="shared" si="0"/>
        <v>280667566</v>
      </c>
      <c r="AW13" s="22">
        <f t="shared" ref="AW13:BD13" si="1">+SUM(AV13:AV14)</f>
        <v>280667566</v>
      </c>
      <c r="AX13" s="22">
        <f t="shared" si="1"/>
        <v>280667566</v>
      </c>
      <c r="AY13" s="22">
        <f t="shared" si="1"/>
        <v>280667566</v>
      </c>
      <c r="AZ13" s="22">
        <f t="shared" si="1"/>
        <v>280667566</v>
      </c>
      <c r="BA13" s="22">
        <f t="shared" si="1"/>
        <v>280667566</v>
      </c>
      <c r="BB13" s="22">
        <f t="shared" si="1"/>
        <v>280667566</v>
      </c>
      <c r="BC13" s="22">
        <f t="shared" si="1"/>
        <v>280667566</v>
      </c>
      <c r="BD13" s="35">
        <f t="shared" si="1"/>
        <v>280667566</v>
      </c>
    </row>
    <row r="14" spans="1:56" x14ac:dyDescent="0.2">
      <c r="B14" s="6">
        <f>ROW()</f>
        <v>14</v>
      </c>
      <c r="C14" s="15"/>
      <c r="D14" s="32" t="s">
        <v>45</v>
      </c>
      <c r="E14" s="32"/>
      <c r="F14" s="43">
        <f>SUM(J14:BD14)</f>
        <v>-640156</v>
      </c>
      <c r="G14" s="43"/>
      <c r="H14" s="32"/>
      <c r="I14" s="32"/>
      <c r="J14" s="50">
        <v>0</v>
      </c>
      <c r="K14" s="50">
        <v>0</v>
      </c>
      <c r="L14" s="50">
        <v>0</v>
      </c>
      <c r="M14" s="50">
        <v>-4369507</v>
      </c>
      <c r="N14" s="50">
        <v>0</v>
      </c>
      <c r="O14" s="50">
        <v>673454</v>
      </c>
      <c r="P14" s="50">
        <v>0</v>
      </c>
      <c r="Q14" s="50">
        <v>0</v>
      </c>
      <c r="R14" s="50">
        <v>0</v>
      </c>
      <c r="S14" s="50">
        <v>2877976</v>
      </c>
      <c r="T14" s="50">
        <v>0</v>
      </c>
      <c r="U14" s="50">
        <v>177921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1">
        <v>0</v>
      </c>
    </row>
    <row r="15" spans="1:56" x14ac:dyDescent="0.2">
      <c r="B15" s="6">
        <f>ROW()</f>
        <v>15</v>
      </c>
      <c r="C15" s="15"/>
      <c r="D15" s="32"/>
      <c r="E15" s="37" t="s">
        <v>20</v>
      </c>
      <c r="F15" s="44">
        <f>+BD15</f>
        <v>280667566</v>
      </c>
      <c r="G15" s="44"/>
      <c r="H15" s="32"/>
      <c r="I15" s="32"/>
      <c r="J15" s="52">
        <f>SUM(J13:J14)</f>
        <v>281307722</v>
      </c>
      <c r="K15" s="52">
        <f t="shared" ref="K15:BD15" si="2">SUM(K13:K14)</f>
        <v>281307722</v>
      </c>
      <c r="L15" s="52">
        <f t="shared" si="2"/>
        <v>281307722</v>
      </c>
      <c r="M15" s="52">
        <f t="shared" si="2"/>
        <v>276938215</v>
      </c>
      <c r="N15" s="52">
        <f t="shared" si="2"/>
        <v>276938215</v>
      </c>
      <c r="O15" s="52">
        <f t="shared" si="2"/>
        <v>277611669</v>
      </c>
      <c r="P15" s="52">
        <f t="shared" si="2"/>
        <v>277611669</v>
      </c>
      <c r="Q15" s="52">
        <f t="shared" si="2"/>
        <v>277611669</v>
      </c>
      <c r="R15" s="52">
        <f t="shared" si="2"/>
        <v>277611669</v>
      </c>
      <c r="S15" s="52">
        <f t="shared" si="2"/>
        <v>280489645</v>
      </c>
      <c r="T15" s="52">
        <f t="shared" si="2"/>
        <v>280489645</v>
      </c>
      <c r="U15" s="52">
        <f t="shared" si="2"/>
        <v>280667566</v>
      </c>
      <c r="V15" s="52">
        <f t="shared" si="2"/>
        <v>280667566</v>
      </c>
      <c r="W15" s="52">
        <f t="shared" si="2"/>
        <v>280667566</v>
      </c>
      <c r="X15" s="52">
        <f t="shared" si="2"/>
        <v>280667566</v>
      </c>
      <c r="Y15" s="52">
        <f t="shared" si="2"/>
        <v>280667566</v>
      </c>
      <c r="Z15" s="52">
        <f t="shared" si="2"/>
        <v>280667566</v>
      </c>
      <c r="AA15" s="52">
        <f t="shared" si="2"/>
        <v>280667566</v>
      </c>
      <c r="AB15" s="52">
        <f t="shared" si="2"/>
        <v>280667566</v>
      </c>
      <c r="AC15" s="52">
        <f t="shared" si="2"/>
        <v>280667566</v>
      </c>
      <c r="AD15" s="52">
        <f t="shared" si="2"/>
        <v>280667566</v>
      </c>
      <c r="AE15" s="52">
        <f t="shared" si="2"/>
        <v>280667566</v>
      </c>
      <c r="AF15" s="52">
        <f t="shared" si="2"/>
        <v>280667566</v>
      </c>
      <c r="AG15" s="52">
        <f t="shared" si="2"/>
        <v>280667566</v>
      </c>
      <c r="AH15" s="52">
        <f t="shared" si="2"/>
        <v>280667566</v>
      </c>
      <c r="AI15" s="52">
        <f t="shared" si="2"/>
        <v>280667566</v>
      </c>
      <c r="AJ15" s="52">
        <f t="shared" si="2"/>
        <v>280667566</v>
      </c>
      <c r="AK15" s="52">
        <f t="shared" si="2"/>
        <v>280667566</v>
      </c>
      <c r="AL15" s="52">
        <f t="shared" si="2"/>
        <v>280667566</v>
      </c>
      <c r="AM15" s="52">
        <f t="shared" si="2"/>
        <v>280667566</v>
      </c>
      <c r="AN15" s="52">
        <f t="shared" si="2"/>
        <v>280667566</v>
      </c>
      <c r="AO15" s="52">
        <f t="shared" si="2"/>
        <v>280667566</v>
      </c>
      <c r="AP15" s="52">
        <f t="shared" si="2"/>
        <v>280667566</v>
      </c>
      <c r="AQ15" s="52">
        <f t="shared" si="2"/>
        <v>280667566</v>
      </c>
      <c r="AR15" s="52">
        <f t="shared" si="2"/>
        <v>280667566</v>
      </c>
      <c r="AS15" s="52">
        <f t="shared" si="2"/>
        <v>280667566</v>
      </c>
      <c r="AT15" s="52">
        <f t="shared" si="2"/>
        <v>280667566</v>
      </c>
      <c r="AU15" s="52">
        <f t="shared" si="2"/>
        <v>280667566</v>
      </c>
      <c r="AV15" s="52">
        <f t="shared" si="2"/>
        <v>280667566</v>
      </c>
      <c r="AW15" s="52">
        <f t="shared" si="2"/>
        <v>280667566</v>
      </c>
      <c r="AX15" s="52">
        <f t="shared" si="2"/>
        <v>280667566</v>
      </c>
      <c r="AY15" s="52">
        <f t="shared" si="2"/>
        <v>280667566</v>
      </c>
      <c r="AZ15" s="52">
        <f t="shared" si="2"/>
        <v>280667566</v>
      </c>
      <c r="BA15" s="52">
        <f t="shared" si="2"/>
        <v>280667566</v>
      </c>
      <c r="BB15" s="52">
        <f t="shared" si="2"/>
        <v>280667566</v>
      </c>
      <c r="BC15" s="52">
        <f t="shared" si="2"/>
        <v>280667566</v>
      </c>
      <c r="BD15" s="53">
        <f t="shared" si="2"/>
        <v>280667566</v>
      </c>
    </row>
    <row r="16" spans="1:56" x14ac:dyDescent="0.2">
      <c r="B16" s="6">
        <f>ROW()</f>
        <v>16</v>
      </c>
      <c r="C16" s="15"/>
      <c r="D16" s="32"/>
      <c r="E16" s="32"/>
      <c r="F16" s="43"/>
      <c r="G16" s="43"/>
      <c r="H16" s="32"/>
      <c r="I16" s="3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3"/>
    </row>
    <row r="17" spans="2:56" x14ac:dyDescent="0.2">
      <c r="B17" s="6">
        <f>ROW()</f>
        <v>17</v>
      </c>
      <c r="C17" s="15"/>
      <c r="D17" s="32" t="s">
        <v>3</v>
      </c>
      <c r="E17" s="32"/>
      <c r="F17" s="43">
        <f>SUM(J17:BD17)</f>
        <v>42284082.100000009</v>
      </c>
      <c r="G17" s="43"/>
      <c r="H17" s="32"/>
      <c r="I17" s="32"/>
      <c r="J17" s="43">
        <f>ROUND(IF($F$7&gt;J$11,J$15*J$19/12,IF($F$7&gt;EOMONTH(J$11,-1),J$15*J$19/12*_xlfn.DAYS($F$7,EOMONTH(J$11,-1))/_xlfn.DAYS(EOMONTH(J$11,0),EOMONTH(J$11,-1)),0)),2)</f>
        <v>1186180.8899999999</v>
      </c>
      <c r="K17" s="43">
        <f>ROUND(IF($F$7&gt;K$11,K$15*K$19/12,IF($F$7&gt;EOMONTH(K$11,-1),K$15*K$19/12*_xlfn.DAYS($F$7,EOMONTH(K$11,-1))/_xlfn.DAYS(EOMONTH(K$11,0),EOMONTH(K$11,-1)),0)),2)</f>
        <v>1186180.8899999999</v>
      </c>
      <c r="L17" s="43">
        <f>ROUND(IF($F$7&gt;L$11,L$15*L$19/12,IF($F$7&gt;EOMONTH(L$11,-1),L$15*L$19/12*_xlfn.DAYS($F$7,EOMONTH(L$11,-1))/_xlfn.DAYS(EOMONTH(L$11,0),EOMONTH(L$11,-1)),0)),2)</f>
        <v>1186180.8899999999</v>
      </c>
      <c r="M17" s="43">
        <f>ROUND(IF($F$7&gt;M$11,M$15*M$19/12,IF($F$7&gt;EOMONTH(M$11,-1),M$15*M$19/12*_xlfn.DAYS($F$7,EOMONTH(M$11,-1))/_xlfn.DAYS(EOMONTH(M$11,0),EOMONTH(M$11,-1)),0)),2)</f>
        <v>1167756.1399999999</v>
      </c>
      <c r="N17" s="43">
        <f>ROUND(IF($F$7&gt;N$11,N$15*N$19/12,IF($F$7&gt;EOMONTH(N$11,-1),N$15*N$19/12*_xlfn.DAYS($F$7,EOMONTH(N$11,-1))/_xlfn.DAYS(EOMONTH(N$11,0),EOMONTH(N$11,-1)),0)),2)</f>
        <v>1167756.1399999999</v>
      </c>
      <c r="O17" s="43">
        <f>ROUND(IF($F$7&gt;O$11,O$15*O$19/12,IF($F$7&gt;EOMONTH(O$11,-1),O$15*O$19/12*_xlfn.DAYS($F$7,EOMONTH(O$11,-1))/_xlfn.DAYS(EOMONTH(O$11,0),EOMONTH(O$11,-1)),0)),2)</f>
        <v>1170595.8700000001</v>
      </c>
      <c r="P17" s="43">
        <f>ROUND(IF($F$7&gt;P$11,P$15*P$19/12,IF($F$7&gt;EOMONTH(P$11,-1),P$15*P$19/12*_xlfn.DAYS($F$7,EOMONTH(P$11,-1))/_xlfn.DAYS(EOMONTH(P$11,0),EOMONTH(P$11,-1)),0)),2)</f>
        <v>1170595.8700000001</v>
      </c>
      <c r="Q17" s="43">
        <f>ROUND(IF($F$7&gt;Q$11,Q$15*Q$19/12,IF($F$7&gt;EOMONTH(Q$11,-1),Q$15*Q$19/12*_xlfn.DAYS($F$7,EOMONTH(Q$11,-1))/_xlfn.DAYS(EOMONTH(Q$11,0),EOMONTH(Q$11,-1)),0)),2)</f>
        <v>1170595.8700000001</v>
      </c>
      <c r="R17" s="43">
        <f>ROUND(IF($F$7&gt;R$11,R$15*R$19/12,IF($F$7&gt;EOMONTH(R$11,-1),R$15*R$19/12*_xlfn.DAYS($F$7,EOMONTH(R$11,-1))/_xlfn.DAYS(EOMONTH(R$11,0),EOMONTH(R$11,-1)),0)),2)</f>
        <v>1170595.8700000001</v>
      </c>
      <c r="S17" s="43">
        <f>ROUND(IF($F$7&gt;S$11,S$15*S$19/12,IF($F$7&gt;EOMONTH(S$11,-1),S$15*S$19/12*_xlfn.DAYS($F$7,EOMONTH(S$11,-1))/_xlfn.DAYS(EOMONTH(S$11,0),EOMONTH(S$11,-1)),0)),2)</f>
        <v>1182731.3400000001</v>
      </c>
      <c r="T17" s="43">
        <f>ROUND(IF($F$7&gt;T$11,T$15*T$19/12,IF($F$7&gt;EOMONTH(T$11,-1),T$15*T$19/12*_xlfn.DAYS($F$7,EOMONTH(T$11,-1))/_xlfn.DAYS(EOMONTH(T$11,0),EOMONTH(T$11,-1)),0)),2)</f>
        <v>1182731.3400000001</v>
      </c>
      <c r="U17" s="43">
        <f>ROUND(IF($F$7&gt;U$11,U$15*U$19/12,IF($F$7&gt;EOMONTH(U$11,-1),U$15*U$19/12*_xlfn.DAYS($F$7,EOMONTH(U$11,-1))/_xlfn.DAYS(EOMONTH(U$11,0),EOMONTH(U$11,-1)),0)),2)</f>
        <v>1183481.57</v>
      </c>
      <c r="V17" s="43">
        <f>ROUND(IF($F$7&gt;V$11,V$15*V$19/12,IF($F$7&gt;EOMONTH(V$11,-1),V$15*V$19/12*_xlfn.DAYS($F$7,EOMONTH(V$11,-1))/_xlfn.DAYS(EOMONTH(V$11,0),EOMONTH(V$11,-1)),0)),2)</f>
        <v>1183481.57</v>
      </c>
      <c r="W17" s="43">
        <f>ROUND(IF($F$7&gt;W$11,W$15*W$19/12,IF($F$7&gt;EOMONTH(W$11,-1),W$15*W$19/12*_xlfn.DAYS($F$7,EOMONTH(W$11,-1))/_xlfn.DAYS(EOMONTH(W$11,0),EOMONTH(W$11,-1)),0)),2)</f>
        <v>1183481.57</v>
      </c>
      <c r="X17" s="43">
        <f>ROUND(IF($F$7&gt;X$11,X$15*X$19/12,IF($F$7&gt;EOMONTH(X$11,-1),X$15*X$19/12*_xlfn.DAYS($F$7,EOMONTH(X$11,-1))/_xlfn.DAYS(EOMONTH(X$11,0),EOMONTH(X$11,-1)),0)),2)</f>
        <v>1183481.57</v>
      </c>
      <c r="Y17" s="43">
        <f>ROUND(IF($F$7&gt;Y$11,Y$15*Y$19/12,IF($F$7&gt;EOMONTH(Y$11,-1),Y$15*Y$19/12*_xlfn.DAYS($F$7,EOMONTH(Y$11,-1))/_xlfn.DAYS(EOMONTH(Y$11,0),EOMONTH(Y$11,-1)),0)),2)</f>
        <v>1183481.57</v>
      </c>
      <c r="Z17" s="43">
        <f>ROUND(IF($F$7&gt;Z$11,Z$15*Z$19/12,IF($F$7&gt;EOMONTH(Z$11,-1),Z$15*Z$19/12*_xlfn.DAYS($F$7,EOMONTH(Z$11,-1))/_xlfn.DAYS(EOMONTH(Z$11,0),EOMONTH(Z$11,-1)),0)),2)</f>
        <v>1183481.57</v>
      </c>
      <c r="AA17" s="43">
        <f>ROUND(IF($F$7&gt;AA$11,AA$15*AA$19/12,IF($F$7&gt;EOMONTH(AA$11,-1),AA$15*AA$19/12*_xlfn.DAYS($F$7,EOMONTH(AA$11,-1))/_xlfn.DAYS(EOMONTH(AA$11,0),EOMONTH(AA$11,-1)),0)),2)</f>
        <v>1183481.57</v>
      </c>
      <c r="AB17" s="43">
        <f>ROUND(IF($F$7&gt;AB$11,AB$15*AB$19/12,IF($F$7&gt;EOMONTH(AB$11,-1),AB$15*AB$19/12*_xlfn.DAYS($F$7,EOMONTH(AB$11,-1))/_xlfn.DAYS(EOMONTH(AB$11,0),EOMONTH(AB$11,-1)),0)),2)</f>
        <v>1183481.57</v>
      </c>
      <c r="AC17" s="43">
        <f>ROUND(IF($F$7&gt;AC$11,AC$15*AC$19/12,IF($F$7&gt;EOMONTH(AC$11,-1),AC$15*AC$19/12*_xlfn.DAYS($F$7,EOMONTH(AC$11,-1))/_xlfn.DAYS(EOMONTH(AC$11,0),EOMONTH(AC$11,-1)),0)),2)</f>
        <v>1183481.57</v>
      </c>
      <c r="AD17" s="43">
        <f>ROUND(IF($F$7&gt;AD$11,AD$15*AD$19/12,IF($F$7&gt;EOMONTH(AD$11,-1),AD$15*AD$19/12*_xlfn.DAYS($F$7,EOMONTH(AD$11,-1))/_xlfn.DAYS(EOMONTH(AD$11,0),EOMONTH(AD$11,-1)),0)),2)</f>
        <v>1183481.57</v>
      </c>
      <c r="AE17" s="43">
        <f>ROUND(IF($F$7&gt;AE$11,AE$15*AE$19/12,IF($F$7&gt;EOMONTH(AE$11,-1),AE$15*AE$19/12*_xlfn.DAYS($F$7,EOMONTH(AE$11,-1))/_xlfn.DAYS(EOMONTH(AE$11,0),EOMONTH(AE$11,-1)),0)),2)</f>
        <v>1183481.57</v>
      </c>
      <c r="AF17" s="43">
        <f>ROUND(IF($F$7&gt;AF$11,AF$15*AF$19/12,IF($F$7&gt;EOMONTH(AF$11,-1),AF$15*AF$19/12*_xlfn.DAYS($F$7,EOMONTH(AF$11,-1))/_xlfn.DAYS(EOMONTH(AF$11,0),EOMONTH(AF$11,-1)),0)),2)</f>
        <v>1183481.57</v>
      </c>
      <c r="AG17" s="43">
        <f>ROUND(IF($F$7&gt;AG$11,AG$15*AG$19/12,IF($F$7&gt;EOMONTH(AG$11,-1),AG$15*AG$19/12*_xlfn.DAYS($F$7,EOMONTH(AG$11,-1))/_xlfn.DAYS(EOMONTH(AG$11,0),EOMONTH(AG$11,-1)),0)),2)</f>
        <v>1183481.57</v>
      </c>
      <c r="AH17" s="43">
        <f>ROUND(IF($F$7&gt;AH$11,AH$15*AH$19/12,IF($F$7&gt;EOMONTH(AH$11,-1),AH$15*AH$19/12*_xlfn.DAYS($F$7,EOMONTH(AH$11,-1))/_xlfn.DAYS(EOMONTH(AH$11,0),EOMONTH(AH$11,-1)),0)),2)</f>
        <v>1183481.57</v>
      </c>
      <c r="AI17" s="43">
        <f>ROUND(IF($F$7&gt;AI$11,AI$15*AI$19/12,IF($F$7&gt;EOMONTH(AI$11,-1),AI$15*AI$19/12*_xlfn.DAYS($F$7,EOMONTH(AI$11,-1))/_xlfn.DAYS(EOMONTH(AI$11,0),EOMONTH(AI$11,-1)),0)),2)</f>
        <v>1183481.57</v>
      </c>
      <c r="AJ17" s="43">
        <f>ROUND(IF($F$7&gt;AJ$11,AJ$15*AJ$19/12,IF($F$7&gt;EOMONTH(AJ$11,-1),AJ$15*AJ$19/12*_xlfn.DAYS($F$7,EOMONTH(AJ$11,-1))/_xlfn.DAYS(EOMONTH(AJ$11,0),EOMONTH(AJ$11,-1)),0)),2)</f>
        <v>1183481.57</v>
      </c>
      <c r="AK17" s="43">
        <f>ROUND(IF($F$7&gt;AK$11,AK$15*AK$19/12,IF($F$7&gt;EOMONTH(AK$11,-1),AK$15*AK$19/12*_xlfn.DAYS($F$7,EOMONTH(AK$11,-1))/_xlfn.DAYS(EOMONTH(AK$11,0),EOMONTH(AK$11,-1)),0)),2)</f>
        <v>1183481.57</v>
      </c>
      <c r="AL17" s="43">
        <f>ROUND(IF($F$7&gt;AL$11,AL$15*AL$19/12,IF($F$7&gt;EOMONTH(AL$11,-1),AL$15*AL$19/12*_xlfn.DAYS($F$7,EOMONTH(AL$11,-1))/_xlfn.DAYS(EOMONTH(AL$11,0),EOMONTH(AL$11,-1)),0)),2)</f>
        <v>1183481.57</v>
      </c>
      <c r="AM17" s="43">
        <f>ROUND(IF($F$7&gt;AM$11,AM$15*AM$19/12,IF($F$7&gt;EOMONTH(AM$11,-1),AM$15*AM$19/12*_xlfn.DAYS($F$7,EOMONTH(AM$11,-1))/_xlfn.DAYS(EOMONTH(AM$11,0),EOMONTH(AM$11,-1)),0)),2)</f>
        <v>1183481.57</v>
      </c>
      <c r="AN17" s="43">
        <f>ROUND(IF($F$7&gt;AN$11,AN$15*AN$19/12,IF($F$7&gt;EOMONTH(AN$11,-1),AN$15*AN$19/12*_xlfn.DAYS($F$7,EOMONTH(AN$11,-1))/_xlfn.DAYS(EOMONTH(AN$11,0),EOMONTH(AN$11,-1)),0)),2)</f>
        <v>1183481.57</v>
      </c>
      <c r="AO17" s="43">
        <f>ROUND(IF($F$7&gt;AO$11,AO$15*AO$19/12,IF($F$7&gt;EOMONTH(AO$11,-1),AO$15*AO$19/12*_xlfn.DAYS($F$7,EOMONTH(AO$11,-1))/_xlfn.DAYS(EOMONTH(AO$11,0),EOMONTH(AO$11,-1)),0)),2)</f>
        <v>1183481.57</v>
      </c>
      <c r="AP17" s="43">
        <f>ROUND(IF($F$7&gt;AP$11,AP$15*AP$19/12,IF($F$7&gt;EOMONTH(AP$11,-1),AP$15*AP$19/12*_xlfn.DAYS($F$7,EOMONTH(AP$11,-1))/_xlfn.DAYS(EOMONTH(AP$11,0),EOMONTH(AP$11,-1)),0)),2)</f>
        <v>1183481.57</v>
      </c>
      <c r="AQ17" s="43">
        <f>ROUND(IF($F$7&gt;AQ$11,AQ$15*AQ$19/12,IF($F$7&gt;EOMONTH(AQ$11,-1),AQ$15*AQ$19/12*_xlfn.DAYS($F$7,EOMONTH(AQ$11,-1))/_xlfn.DAYS(EOMONTH(AQ$11,0),EOMONTH(AQ$11,-1)),0)),2)</f>
        <v>1183481.57</v>
      </c>
      <c r="AR17" s="43">
        <f>ROUND(IF($F$7&gt;AR$11,AR$15*AR$19/12,IF($F$7&gt;EOMONTH(AR$11,-1),AR$15*AR$19/12*_xlfn.DAYS($F$7,EOMONTH(AR$11,-1))/_xlfn.DAYS(EOMONTH(AR$11,0),EOMONTH(AR$11,-1)),0)),2)</f>
        <v>1183481.57</v>
      </c>
      <c r="AS17" s="43">
        <f>ROUND(IF($F$7&gt;AS$11,AS$15*AS$19/12,IF($F$7&gt;EOMONTH(AS$11,-1),AS$15*AS$19/12*_xlfn.DAYS($F$7,EOMONTH(AS$11,-1))/_xlfn.DAYS(EOMONTH(AS$11,0),EOMONTH(AS$11,-1)),0)),2)</f>
        <v>938623.31</v>
      </c>
      <c r="AT17" s="43">
        <f>ROUND(IF($F$7&gt;AT$11,AT$15*AT$19/12,IF($F$7&gt;EOMONTH(AT$11,-1),AT$15*AT$19/12*_xlfn.DAYS($F$7,EOMONTH(AT$11,-1))/_xlfn.DAYS(EOMONTH(AT$11,0),EOMONTH(AT$11,-1)),0)),2)</f>
        <v>0</v>
      </c>
      <c r="AU17" s="43">
        <f>ROUND(IF($F$7&gt;AU$11,AU$15*AU$19/12,IF($F$7&gt;EOMONTH(AU$11,-1),AU$15*AU$19/12*_xlfn.DAYS($F$7,EOMONTH(AU$11,-1))/_xlfn.DAYS(EOMONTH(AU$11,0),EOMONTH(AU$11,-1)),0)),2)</f>
        <v>0</v>
      </c>
      <c r="AV17" s="43">
        <f>ROUND(IF($F$7&gt;AV$11,AV$15*AV$19/12,IF($F$7&gt;EOMONTH(AV$11,-1),AV$15*AV$19/12*_xlfn.DAYS($F$7,EOMONTH(AV$11,-1))/_xlfn.DAYS(EOMONTH(AV$11,0),EOMONTH(AV$11,-1)),0)),2)</f>
        <v>0</v>
      </c>
      <c r="AW17" s="43">
        <f>ROUND(IF($F$7&gt;AW$11,AW$15*AW$19/12,IF($F$7&gt;EOMONTH(AW$11,-1),AW$15*AW$19/12*_xlfn.DAYS($F$7,EOMONTH(AW$11,-1))/_xlfn.DAYS(EOMONTH(AW$11,0),EOMONTH(AW$11,-1)),0)),2)</f>
        <v>0</v>
      </c>
      <c r="AX17" s="43">
        <f>ROUND(IF($F$7&gt;AX$11,AX$15*AX$19/12,IF($F$7&gt;EOMONTH(AX$11,-1),AX$15*AX$19/12*_xlfn.DAYS($F$7,EOMONTH(AX$11,-1))/_xlfn.DAYS(EOMONTH(AX$11,0),EOMONTH(AX$11,-1)),0)),2)</f>
        <v>0</v>
      </c>
      <c r="AY17" s="43">
        <f>ROUND(IF($F$7&gt;AY$11,AY$15*AY$19/12,IF($F$7&gt;EOMONTH(AY$11,-1),AY$15*AY$19/12*_xlfn.DAYS($F$7,EOMONTH(AY$11,-1))/_xlfn.DAYS(EOMONTH(AY$11,0),EOMONTH(AY$11,-1)),0)),2)</f>
        <v>0</v>
      </c>
      <c r="AZ17" s="43">
        <f>ROUND(IF($F$7&gt;AZ$11,AZ$15*AZ$19/12,IF($F$7&gt;EOMONTH(AZ$11,-1),AZ$15*AZ$19/12*_xlfn.DAYS($F$7,EOMONTH(AZ$11,-1))/_xlfn.DAYS(EOMONTH(AZ$11,0),EOMONTH(AZ$11,-1)),0)),2)</f>
        <v>0</v>
      </c>
      <c r="BA17" s="43">
        <f>ROUND(IF($F$7&gt;BA$11,BA$15*BA$19/12,IF($F$7&gt;EOMONTH(BA$11,-1),BA$15*BA$19/12*_xlfn.DAYS($F$7,EOMONTH(BA$11,-1))/_xlfn.DAYS(EOMONTH(BA$11,0),EOMONTH(BA$11,-1)),0)),2)</f>
        <v>0</v>
      </c>
      <c r="BB17" s="43">
        <f>ROUND(IF($F$7&gt;BB$11,BB$15*BB$19/12,IF($F$7&gt;EOMONTH(BB$11,-1),BB$15*BB$19/12*_xlfn.DAYS($F$7,EOMONTH(BB$11,-1))/_xlfn.DAYS(EOMONTH(BB$11,0),EOMONTH(BB$11,-1)),0)),2)</f>
        <v>0</v>
      </c>
      <c r="BC17" s="43">
        <f>ROUND(IF($F$7&gt;BC$11,BC$15*BC$19/12,IF($F$7&gt;EOMONTH(BC$11,-1),BC$15*BC$19/12*_xlfn.DAYS($F$7,EOMONTH(BC$11,-1))/_xlfn.DAYS(EOMONTH(BC$11,0),EOMONTH(BC$11,-1)),0)),2)</f>
        <v>0</v>
      </c>
      <c r="BD17" s="36">
        <f>ROUND(IF($F$7&gt;BD$11,BD$15*BD$19/12,IF($F$7&gt;EOMONTH(BD$11,-1),BD$15*BD$19/12*_xlfn.DAYS($F$7,EOMONTH(BD$11,-1))/_xlfn.DAYS(EOMONTH(BD$11,0),EOMONTH(BD$11,-1)),0)),2)</f>
        <v>0</v>
      </c>
    </row>
    <row r="18" spans="2:56" x14ac:dyDescent="0.2">
      <c r="B18" s="6">
        <f>ROW()</f>
        <v>18</v>
      </c>
      <c r="C18" s="15"/>
      <c r="D18" s="32"/>
      <c r="E18" s="37" t="s">
        <v>21</v>
      </c>
      <c r="F18" s="44">
        <f>+BD18</f>
        <v>322951648.10000002</v>
      </c>
      <c r="G18" s="44"/>
      <c r="H18" s="37"/>
      <c r="I18" s="37"/>
      <c r="J18" s="44">
        <f>SUM(J15:J17)</f>
        <v>282493902.88999999</v>
      </c>
      <c r="K18" s="44">
        <f>SUM(K15:K17)+SUM($J17:J17)</f>
        <v>283680083.77999997</v>
      </c>
      <c r="L18" s="44">
        <f>SUM(L15:L17)+SUM($J17:K17)</f>
        <v>284866264.66999996</v>
      </c>
      <c r="M18" s="44">
        <f>SUM(M15:M17)+SUM($J17:L17)</f>
        <v>281664513.81</v>
      </c>
      <c r="N18" s="44">
        <f>SUM(N15:N17)+SUM($J17:M17)</f>
        <v>282832269.94999999</v>
      </c>
      <c r="O18" s="44">
        <f>SUM(O15:O17)+SUM($J17:N17)</f>
        <v>284676319.81999999</v>
      </c>
      <c r="P18" s="44">
        <f>SUM(P15:P17)+SUM($J17:O17)</f>
        <v>285846915.69</v>
      </c>
      <c r="Q18" s="44">
        <f>SUM(Q15:Q17)+SUM($J17:P17)</f>
        <v>287017511.56</v>
      </c>
      <c r="R18" s="44">
        <f>SUM(R15:R17)+SUM($J17:Q17)</f>
        <v>288188107.43000001</v>
      </c>
      <c r="S18" s="44">
        <f>SUM(S15:S17)+SUM($J17:R17)</f>
        <v>292248814.76999998</v>
      </c>
      <c r="T18" s="44">
        <f>SUM(T15:T17)+SUM($J17:S17)</f>
        <v>293431546.10999995</v>
      </c>
      <c r="U18" s="44">
        <f>SUM(U15:U17)+SUM($J17:T17)</f>
        <v>294792948.68000001</v>
      </c>
      <c r="V18" s="44">
        <f>SUM(V15:V17)+SUM($J17:U17)</f>
        <v>295976430.25</v>
      </c>
      <c r="W18" s="44">
        <f>SUM(W15:W17)+SUM($J17:V17)</f>
        <v>297159911.81999999</v>
      </c>
      <c r="X18" s="44">
        <f>SUM(X15:X17)+SUM($J17:W17)</f>
        <v>298343393.38999999</v>
      </c>
      <c r="Y18" s="44">
        <f>SUM(Y15:Y17)+SUM($J17:X17)</f>
        <v>299526874.95999998</v>
      </c>
      <c r="Z18" s="44">
        <f>SUM(Z15:Z17)+SUM($J17:Y17)</f>
        <v>300710356.52999997</v>
      </c>
      <c r="AA18" s="44">
        <f>SUM(AA15:AA17)+SUM($J17:Z17)</f>
        <v>301893838.10000002</v>
      </c>
      <c r="AB18" s="44">
        <f>SUM(AB15:AB17)+SUM($J17:AA17)</f>
        <v>303077319.67000002</v>
      </c>
      <c r="AC18" s="44">
        <f>SUM(AC15:AC17)+SUM($J17:AB17)</f>
        <v>304260801.24000001</v>
      </c>
      <c r="AD18" s="44">
        <f>SUM(AD15:AD17)+SUM($J17:AC17)</f>
        <v>305444282.81</v>
      </c>
      <c r="AE18" s="44">
        <f>SUM(AE15:AE17)+SUM($J17:AD17)</f>
        <v>306627764.38</v>
      </c>
      <c r="AF18" s="44">
        <f>SUM(AF15:AF17)+SUM($J17:AE17)</f>
        <v>307811245.94999999</v>
      </c>
      <c r="AG18" s="44">
        <f>SUM(AG15:AG17)+SUM($J17:AF17)</f>
        <v>308994727.51999998</v>
      </c>
      <c r="AH18" s="44">
        <f>SUM(AH15:AH17)+SUM($J17:AG17)</f>
        <v>310178209.08999997</v>
      </c>
      <c r="AI18" s="44">
        <f>SUM(AI15:AI17)+SUM($J17:AH17)</f>
        <v>311361690.65999997</v>
      </c>
      <c r="AJ18" s="44">
        <f>SUM(AJ15:AJ17)+SUM($J17:AI17)</f>
        <v>312545172.23000002</v>
      </c>
      <c r="AK18" s="44">
        <f>SUM(AK15:AK17)+SUM($J17:AJ17)</f>
        <v>313728653.80000001</v>
      </c>
      <c r="AL18" s="44">
        <f>SUM(AL15:AL17)+SUM($J17:AK17)</f>
        <v>314912135.37</v>
      </c>
      <c r="AM18" s="44">
        <f>SUM(AM15:AM17)+SUM($J17:AL17)</f>
        <v>316095616.94</v>
      </c>
      <c r="AN18" s="44">
        <f>SUM(AN15:AN17)+SUM($J17:AM17)</f>
        <v>317279098.50999999</v>
      </c>
      <c r="AO18" s="44">
        <f>SUM(AO15:AO17)+SUM($J17:AN17)</f>
        <v>318462580.07999998</v>
      </c>
      <c r="AP18" s="44">
        <f>SUM(AP15:AP17)+SUM($J17:AO17)</f>
        <v>319646061.64999998</v>
      </c>
      <c r="AQ18" s="44">
        <f>SUM(AQ15:AQ17)+SUM($J17:AP17)</f>
        <v>320829543.22000003</v>
      </c>
      <c r="AR18" s="44">
        <f>SUM(AR15:AR17)+SUM($J17:AQ17)</f>
        <v>322013024.79000002</v>
      </c>
      <c r="AS18" s="44">
        <f>SUM(AS15:AS17)+SUM($J17:AR17)</f>
        <v>322951648.10000002</v>
      </c>
      <c r="AT18" s="44">
        <f>SUM(AT15:AT17)+SUM($J17:AS17)</f>
        <v>322951648.10000002</v>
      </c>
      <c r="AU18" s="44">
        <f>SUM(AU15:AU17)+SUM($J17:AT17)</f>
        <v>322951648.10000002</v>
      </c>
      <c r="AV18" s="44">
        <f>SUM(AV15:AV17)+SUM($J17:AU17)</f>
        <v>322951648.10000002</v>
      </c>
      <c r="AW18" s="44">
        <f>SUM(AW15:AW17)+SUM($J17:AV17)</f>
        <v>322951648.10000002</v>
      </c>
      <c r="AX18" s="44">
        <f>SUM(AX15:AX17)+SUM($J17:AW17)</f>
        <v>322951648.10000002</v>
      </c>
      <c r="AY18" s="44">
        <f>SUM(AY15:AY17)+SUM($J17:AX17)</f>
        <v>322951648.10000002</v>
      </c>
      <c r="AZ18" s="44">
        <f>SUM(AZ15:AZ17)+SUM($J17:AY17)</f>
        <v>322951648.10000002</v>
      </c>
      <c r="BA18" s="44">
        <f>SUM(BA15:BA17)+SUM($J17:AZ17)</f>
        <v>322951648.10000002</v>
      </c>
      <c r="BB18" s="44">
        <f>SUM(BB15:BB17)+SUM($J17:BA17)</f>
        <v>322951648.10000002</v>
      </c>
      <c r="BC18" s="44">
        <f>SUM(BC15:BC17)+SUM($J17:BB17)</f>
        <v>322951648.10000002</v>
      </c>
      <c r="BD18" s="38">
        <f>SUM(BD15:BD17)+SUM($J17:BC17)</f>
        <v>322951648.10000002</v>
      </c>
    </row>
    <row r="19" spans="2:56" x14ac:dyDescent="0.2">
      <c r="B19" s="6">
        <f>ROW()</f>
        <v>19</v>
      </c>
      <c r="C19" s="23"/>
      <c r="D19" s="24"/>
      <c r="E19" s="54" t="s">
        <v>23</v>
      </c>
      <c r="F19" s="54"/>
      <c r="G19" s="54"/>
      <c r="H19" s="54"/>
      <c r="I19" s="54"/>
      <c r="J19" s="55">
        <f>+$F6</f>
        <v>5.0599999999999999E-2</v>
      </c>
      <c r="K19" s="55">
        <f>+$F6</f>
        <v>5.0599999999999999E-2</v>
      </c>
      <c r="L19" s="55">
        <f>+$F6</f>
        <v>5.0599999999999999E-2</v>
      </c>
      <c r="M19" s="55">
        <f>+$F6</f>
        <v>5.0599999999999999E-2</v>
      </c>
      <c r="N19" s="55">
        <f>+$F6</f>
        <v>5.0599999999999999E-2</v>
      </c>
      <c r="O19" s="55">
        <f>+$F6</f>
        <v>5.0599999999999999E-2</v>
      </c>
      <c r="P19" s="55">
        <f>+$F6</f>
        <v>5.0599999999999999E-2</v>
      </c>
      <c r="Q19" s="55">
        <f>+$F6</f>
        <v>5.0599999999999999E-2</v>
      </c>
      <c r="R19" s="55">
        <f>+$F6</f>
        <v>5.0599999999999999E-2</v>
      </c>
      <c r="S19" s="55">
        <f>+$F6</f>
        <v>5.0599999999999999E-2</v>
      </c>
      <c r="T19" s="55">
        <f>+$F6</f>
        <v>5.0599999999999999E-2</v>
      </c>
      <c r="U19" s="55">
        <f>+$F6</f>
        <v>5.0599999999999999E-2</v>
      </c>
      <c r="V19" s="55">
        <f>+$F6</f>
        <v>5.0599999999999999E-2</v>
      </c>
      <c r="W19" s="55">
        <f>+$F6</f>
        <v>5.0599999999999999E-2</v>
      </c>
      <c r="X19" s="55">
        <f>+$F6</f>
        <v>5.0599999999999999E-2</v>
      </c>
      <c r="Y19" s="55">
        <f>+$F6</f>
        <v>5.0599999999999999E-2</v>
      </c>
      <c r="Z19" s="55">
        <f>+$F6</f>
        <v>5.0599999999999999E-2</v>
      </c>
      <c r="AA19" s="55">
        <f>+$F6</f>
        <v>5.0599999999999999E-2</v>
      </c>
      <c r="AB19" s="55">
        <f>+$F6</f>
        <v>5.0599999999999999E-2</v>
      </c>
      <c r="AC19" s="55">
        <f>+$F6</f>
        <v>5.0599999999999999E-2</v>
      </c>
      <c r="AD19" s="55">
        <f>+$F6</f>
        <v>5.0599999999999999E-2</v>
      </c>
      <c r="AE19" s="55">
        <f>+$F6</f>
        <v>5.0599999999999999E-2</v>
      </c>
      <c r="AF19" s="55">
        <f>+$F6</f>
        <v>5.0599999999999999E-2</v>
      </c>
      <c r="AG19" s="55">
        <f>+$F6</f>
        <v>5.0599999999999999E-2</v>
      </c>
      <c r="AH19" s="55">
        <f>+$F6</f>
        <v>5.0599999999999999E-2</v>
      </c>
      <c r="AI19" s="55">
        <f>+$F6</f>
        <v>5.0599999999999999E-2</v>
      </c>
      <c r="AJ19" s="55">
        <f>+$F6</f>
        <v>5.0599999999999999E-2</v>
      </c>
      <c r="AK19" s="55">
        <f>+$F6</f>
        <v>5.0599999999999999E-2</v>
      </c>
      <c r="AL19" s="55">
        <f>+$F6</f>
        <v>5.0599999999999999E-2</v>
      </c>
      <c r="AM19" s="55">
        <f>+$F6</f>
        <v>5.0599999999999999E-2</v>
      </c>
      <c r="AN19" s="55">
        <f>+$F6</f>
        <v>5.0599999999999999E-2</v>
      </c>
      <c r="AO19" s="55">
        <f>+$F6</f>
        <v>5.0599999999999999E-2</v>
      </c>
      <c r="AP19" s="55">
        <f>+$F6</f>
        <v>5.0599999999999999E-2</v>
      </c>
      <c r="AQ19" s="55">
        <f>+$F6</f>
        <v>5.0599999999999999E-2</v>
      </c>
      <c r="AR19" s="55">
        <f>+$F6</f>
        <v>5.0599999999999999E-2</v>
      </c>
      <c r="AS19" s="55">
        <f>+$F6</f>
        <v>5.0599999999999999E-2</v>
      </c>
      <c r="AT19" s="55">
        <f>+$F6</f>
        <v>5.0599999999999999E-2</v>
      </c>
      <c r="AU19" s="55">
        <f>+$F6</f>
        <v>5.0599999999999999E-2</v>
      </c>
      <c r="AV19" s="55">
        <f>+$F6</f>
        <v>5.0599999999999999E-2</v>
      </c>
      <c r="AW19" s="55">
        <f>+$F6</f>
        <v>5.0599999999999999E-2</v>
      </c>
      <c r="AX19" s="55">
        <f>+$F6</f>
        <v>5.0599999999999999E-2</v>
      </c>
      <c r="AY19" s="55">
        <f>+$F6</f>
        <v>5.0599999999999999E-2</v>
      </c>
      <c r="AZ19" s="55">
        <f>+$F6</f>
        <v>5.0599999999999999E-2</v>
      </c>
      <c r="BA19" s="55">
        <f>+$F6</f>
        <v>5.0599999999999999E-2</v>
      </c>
      <c r="BB19" s="55">
        <f>+$F6</f>
        <v>5.0599999999999999E-2</v>
      </c>
      <c r="BC19" s="55">
        <f>+$F6</f>
        <v>5.0599999999999999E-2</v>
      </c>
      <c r="BD19" s="56">
        <f>+$F6</f>
        <v>5.0599999999999999E-2</v>
      </c>
    </row>
    <row r="20" spans="2:56" x14ac:dyDescent="0.2">
      <c r="B20" s="6"/>
      <c r="K20" s="10"/>
    </row>
    <row r="21" spans="2:56" x14ac:dyDescent="0.2">
      <c r="B21" s="6"/>
      <c r="F21" s="4" t="s">
        <v>53</v>
      </c>
      <c r="G21" s="4" t="s">
        <v>54</v>
      </c>
      <c r="K21" s="10"/>
    </row>
    <row r="22" spans="2:56" x14ac:dyDescent="0.2">
      <c r="B22" s="6"/>
      <c r="C22" s="5" t="s">
        <v>29</v>
      </c>
      <c r="J22" s="10"/>
      <c r="K22" s="5" t="s">
        <v>24</v>
      </c>
    </row>
    <row r="23" spans="2:56" x14ac:dyDescent="0.2">
      <c r="B23" s="6">
        <f>ROW()</f>
        <v>23</v>
      </c>
      <c r="C23" s="21"/>
      <c r="D23" s="12" t="s">
        <v>2</v>
      </c>
      <c r="E23" s="12"/>
      <c r="F23" s="39">
        <f>+F15</f>
        <v>280667566</v>
      </c>
      <c r="G23" s="12"/>
      <c r="H23" s="13"/>
      <c r="J23" s="42" t="s">
        <v>30</v>
      </c>
      <c r="K23" s="11" t="s">
        <v>25</v>
      </c>
      <c r="L23" s="12"/>
      <c r="M23" s="12"/>
      <c r="N23" s="12"/>
      <c r="O23" s="13"/>
      <c r="AO23" s="14"/>
    </row>
    <row r="24" spans="2:56" ht="13.5" thickBot="1" x14ac:dyDescent="0.25">
      <c r="B24" s="6">
        <f>ROW()</f>
        <v>24</v>
      </c>
      <c r="C24" s="15"/>
      <c r="D24" s="32" t="s">
        <v>3</v>
      </c>
      <c r="E24" s="32"/>
      <c r="F24" s="40">
        <f>+F17</f>
        <v>42284082.100000009</v>
      </c>
      <c r="H24" s="16"/>
      <c r="J24" s="42" t="s">
        <v>31</v>
      </c>
      <c r="K24" s="15" t="s">
        <v>4</v>
      </c>
      <c r="N24" s="7">
        <v>280667566</v>
      </c>
      <c r="O24" s="16"/>
      <c r="AO24" s="14"/>
    </row>
    <row r="25" spans="2:56" ht="13.5" thickBot="1" x14ac:dyDescent="0.25">
      <c r="B25" s="6">
        <f>ROW()</f>
        <v>25</v>
      </c>
      <c r="C25" s="15"/>
      <c r="D25" s="32"/>
      <c r="E25" s="37" t="s">
        <v>7</v>
      </c>
      <c r="F25" s="9">
        <f>SUM(F23:F24)</f>
        <v>322951648.10000002</v>
      </c>
      <c r="G25" s="8">
        <f>+ROUND(F25,-3)</f>
        <v>322952000</v>
      </c>
      <c r="H25" s="16"/>
      <c r="J25" s="42" t="s">
        <v>32</v>
      </c>
      <c r="K25" s="15" t="s">
        <v>5</v>
      </c>
      <c r="N25" s="7">
        <v>27143680</v>
      </c>
      <c r="O25" s="16"/>
    </row>
    <row r="26" spans="2:56" x14ac:dyDescent="0.2">
      <c r="B26" s="6">
        <f>ROW()</f>
        <v>26</v>
      </c>
      <c r="C26" s="15"/>
      <c r="D26" s="32"/>
      <c r="E26" s="32"/>
      <c r="F26" s="32"/>
      <c r="G26" s="6"/>
      <c r="H26" s="16"/>
      <c r="J26" s="42" t="s">
        <v>33</v>
      </c>
      <c r="K26" s="18" t="s">
        <v>6</v>
      </c>
      <c r="L26" s="5"/>
      <c r="M26" s="5"/>
      <c r="N26" s="8">
        <f>SUM(N24:N25)</f>
        <v>307811246</v>
      </c>
      <c r="O26" s="16"/>
    </row>
    <row r="27" spans="2:56" ht="13.5" thickBot="1" x14ac:dyDescent="0.25">
      <c r="B27" s="6">
        <f>ROW()</f>
        <v>27</v>
      </c>
      <c r="C27" s="15"/>
      <c r="D27" s="32" t="s">
        <v>47</v>
      </c>
      <c r="E27" s="32"/>
      <c r="F27" s="41"/>
      <c r="G27" s="6">
        <f>+G49</f>
        <v>8175000.0004016021</v>
      </c>
      <c r="H27" s="16"/>
      <c r="J27" s="42" t="s">
        <v>34</v>
      </c>
      <c r="K27" s="15"/>
      <c r="O27" s="16"/>
    </row>
    <row r="28" spans="2:56" ht="13.5" thickBot="1" x14ac:dyDescent="0.25">
      <c r="B28" s="6">
        <f>ROW()</f>
        <v>28</v>
      </c>
      <c r="C28" s="15"/>
      <c r="D28" s="32"/>
      <c r="E28" s="37" t="s">
        <v>46</v>
      </c>
      <c r="G28" s="31">
        <f>SUM(G25,G27)</f>
        <v>331127000.00040162</v>
      </c>
      <c r="H28" s="16"/>
      <c r="J28" s="42" t="s">
        <v>35</v>
      </c>
      <c r="K28" s="18" t="s">
        <v>8</v>
      </c>
      <c r="O28" s="16"/>
    </row>
    <row r="29" spans="2:56" x14ac:dyDescent="0.2">
      <c r="B29" s="6">
        <f>ROW()</f>
        <v>29</v>
      </c>
      <c r="C29" s="23"/>
      <c r="D29" s="24"/>
      <c r="E29" s="24"/>
      <c r="F29" s="24"/>
      <c r="G29" s="57"/>
      <c r="H29" s="25"/>
      <c r="J29" s="42" t="s">
        <v>36</v>
      </c>
      <c r="K29" s="15" t="s">
        <v>9</v>
      </c>
      <c r="N29" s="7">
        <v>1183481.57</v>
      </c>
      <c r="O29" s="16"/>
    </row>
    <row r="30" spans="2:56" x14ac:dyDescent="0.2">
      <c r="J30" s="42" t="s">
        <v>37</v>
      </c>
      <c r="K30" s="15" t="str">
        <f>"    Elapsed Time from 1/31/2023 - "&amp;TEXT($F$7,"m/d/yyyy")&amp;" (in months)"</f>
        <v xml:space="preserve">    Elapsed Time from 1/31/2023 - 2/23/2024 (in months)</v>
      </c>
      <c r="N30" s="19">
        <f>DATEDIF("1/31/2023",$F$7,"m")+_xlfn.DAYS($F$7,EOMONTH($F$7,-1))/_xlfn.DAYS(EOMONTH($F$7,0),EOMONTH($F$7,-1))</f>
        <v>12.793103448275861</v>
      </c>
      <c r="O30" s="20"/>
    </row>
    <row r="31" spans="2:56" x14ac:dyDescent="0.2">
      <c r="C31" s="5" t="s">
        <v>48</v>
      </c>
      <c r="J31" s="42" t="s">
        <v>38</v>
      </c>
      <c r="K31" s="18" t="s">
        <v>10</v>
      </c>
      <c r="L31" s="5"/>
      <c r="M31" s="5"/>
      <c r="N31" s="8">
        <f>+N29*N30</f>
        <v>15140402.154137932</v>
      </c>
      <c r="O31" s="16"/>
    </row>
    <row r="32" spans="2:56" x14ac:dyDescent="0.2">
      <c r="B32" s="6">
        <f>ROW()</f>
        <v>32</v>
      </c>
      <c r="C32" s="21"/>
      <c r="D32" s="12" t="s">
        <v>22</v>
      </c>
      <c r="E32" s="12"/>
      <c r="F32" s="22">
        <f>+F25</f>
        <v>322951648.10000002</v>
      </c>
      <c r="G32" s="22">
        <f>+ROUND(F32,-3)</f>
        <v>322952000</v>
      </c>
      <c r="H32" s="13"/>
      <c r="J32" s="42" t="s">
        <v>39</v>
      </c>
      <c r="K32" s="15"/>
      <c r="O32" s="16"/>
    </row>
    <row r="33" spans="2:18" x14ac:dyDescent="0.2">
      <c r="B33" s="6">
        <f>ROW()</f>
        <v>33</v>
      </c>
      <c r="C33" s="15"/>
      <c r="D33" s="32"/>
      <c r="E33" s="32"/>
      <c r="F33" s="43"/>
      <c r="G33" s="6"/>
      <c r="H33" s="16"/>
      <c r="J33" s="42" t="s">
        <v>40</v>
      </c>
      <c r="K33" s="18" t="str">
        <f>"  Estimated Balance as of "&amp;TEXT(F7,"m/d/yyyy")</f>
        <v xml:space="preserve">  Estimated Balance as of 2/23/2024</v>
      </c>
      <c r="O33" s="16"/>
    </row>
    <row r="34" spans="2:18" x14ac:dyDescent="0.2">
      <c r="B34" s="6">
        <f>ROW()</f>
        <v>34</v>
      </c>
      <c r="C34" s="15"/>
      <c r="D34" s="32" t="s">
        <v>11</v>
      </c>
      <c r="E34" s="32"/>
      <c r="F34" s="61">
        <f>+'[1]Cost Summaries'!F18</f>
        <v>2393501</v>
      </c>
      <c r="G34" s="6">
        <f t="shared" ref="G34:G41" si="3">+ROUND(F34,-3)</f>
        <v>2394000</v>
      </c>
      <c r="H34" s="16"/>
      <c r="I34" s="32"/>
      <c r="J34" s="42" t="s">
        <v>41</v>
      </c>
      <c r="K34" s="15" t="s">
        <v>4</v>
      </c>
      <c r="N34" s="17">
        <f>+N24</f>
        <v>280667566</v>
      </c>
      <c r="O34" s="16"/>
    </row>
    <row r="35" spans="2:18" ht="13.5" thickBot="1" x14ac:dyDescent="0.25">
      <c r="B35" s="6">
        <f>ROW()</f>
        <v>35</v>
      </c>
      <c r="C35" s="15"/>
      <c r="D35" s="32" t="s">
        <v>12</v>
      </c>
      <c r="E35" s="32"/>
      <c r="F35" s="61">
        <f>+'[1]Cost Summaries'!F19</f>
        <v>200000</v>
      </c>
      <c r="G35" s="6">
        <f t="shared" si="3"/>
        <v>200000</v>
      </c>
      <c r="H35" s="16"/>
      <c r="I35" s="32"/>
      <c r="J35" s="42" t="s">
        <v>42</v>
      </c>
      <c r="K35" s="15" t="str">
        <f>"    Carrying Costs through "&amp;TEXT($F$7,"m/d/yyyy")</f>
        <v xml:space="preserve">    Carrying Costs through 2/23/2024</v>
      </c>
      <c r="N35" s="17">
        <f>+N25+N31</f>
        <v>42284082.154137932</v>
      </c>
      <c r="O35" s="16"/>
    </row>
    <row r="36" spans="2:18" ht="13.5" thickBot="1" x14ac:dyDescent="0.25">
      <c r="B36" s="6">
        <f>ROW()</f>
        <v>36</v>
      </c>
      <c r="C36" s="15"/>
      <c r="D36" s="32" t="s">
        <v>13</v>
      </c>
      <c r="E36" s="32"/>
      <c r="F36" s="61">
        <f>+'[1]Cost Summaries'!F20</f>
        <v>200000</v>
      </c>
      <c r="G36" s="6">
        <f t="shared" si="3"/>
        <v>200000</v>
      </c>
      <c r="H36" s="16"/>
      <c r="I36" s="32"/>
      <c r="J36" s="42" t="s">
        <v>43</v>
      </c>
      <c r="K36" s="18" t="s">
        <v>6</v>
      </c>
      <c r="L36" s="5"/>
      <c r="M36" s="5"/>
      <c r="N36" s="9">
        <f>SUM(N34:N35)</f>
        <v>322951648.15413791</v>
      </c>
      <c r="O36" s="16"/>
    </row>
    <row r="37" spans="2:18" x14ac:dyDescent="0.2">
      <c r="B37" s="6">
        <f>ROW()</f>
        <v>37</v>
      </c>
      <c r="C37" s="15"/>
      <c r="D37" s="32" t="s">
        <v>14</v>
      </c>
      <c r="E37" s="32"/>
      <c r="F37" s="61">
        <f>+'[1]Cost Summaries'!F21</f>
        <v>1043519</v>
      </c>
      <c r="G37" s="6">
        <f t="shared" si="3"/>
        <v>1044000</v>
      </c>
      <c r="H37" s="16"/>
      <c r="I37" s="32"/>
      <c r="J37" s="42" t="s">
        <v>44</v>
      </c>
      <c r="K37" s="23"/>
      <c r="L37" s="24"/>
      <c r="M37" s="24"/>
      <c r="N37" s="24"/>
      <c r="O37" s="25"/>
    </row>
    <row r="38" spans="2:18" x14ac:dyDescent="0.2">
      <c r="B38" s="6">
        <f>ROW()</f>
        <v>38</v>
      </c>
      <c r="C38" s="15"/>
      <c r="D38" s="2" t="s">
        <v>57</v>
      </c>
      <c r="E38" s="32"/>
      <c r="F38" s="61">
        <f>+'[1]Cost Summaries'!F22</f>
        <v>2213737.2200000002</v>
      </c>
      <c r="G38" s="6">
        <f t="shared" si="3"/>
        <v>2214000</v>
      </c>
      <c r="H38" s="16"/>
      <c r="I38" s="32"/>
      <c r="R38" s="14"/>
    </row>
    <row r="39" spans="2:18" x14ac:dyDescent="0.2">
      <c r="B39" s="6">
        <f>ROW()</f>
        <v>39</v>
      </c>
      <c r="C39" s="15"/>
      <c r="D39" s="2" t="s">
        <v>15</v>
      </c>
      <c r="E39" s="32"/>
      <c r="F39" s="61">
        <f>+'[1]Cost Summaries'!F23</f>
        <v>250000</v>
      </c>
      <c r="G39" s="6">
        <f t="shared" si="3"/>
        <v>250000</v>
      </c>
      <c r="H39" s="16"/>
      <c r="I39" s="32"/>
      <c r="R39" s="14"/>
    </row>
    <row r="40" spans="2:18" x14ac:dyDescent="0.2">
      <c r="B40" s="6">
        <f>ROW()</f>
        <v>40</v>
      </c>
      <c r="C40" s="15"/>
      <c r="D40" s="32" t="s">
        <v>16</v>
      </c>
      <c r="E40" s="32"/>
      <c r="F40" s="61">
        <f>+'[1]Cost Summaries'!F24</f>
        <v>21589.480399995857</v>
      </c>
      <c r="G40" s="6">
        <f>+F40</f>
        <v>21589.480399995857</v>
      </c>
      <c r="H40" s="16"/>
      <c r="I40" s="32"/>
      <c r="J40" s="58" t="s">
        <v>55</v>
      </c>
      <c r="R40" s="14"/>
    </row>
    <row r="41" spans="2:18" x14ac:dyDescent="0.2">
      <c r="B41" s="6">
        <f>ROW()</f>
        <v>41</v>
      </c>
      <c r="C41" s="15"/>
      <c r="D41" s="32" t="s">
        <v>52</v>
      </c>
      <c r="E41" s="32"/>
      <c r="F41" s="61">
        <f>+'[1]Cost Summaries'!F25</f>
        <v>410000</v>
      </c>
      <c r="G41" s="6">
        <f t="shared" si="3"/>
        <v>410000</v>
      </c>
      <c r="H41" s="16"/>
      <c r="I41" s="32"/>
    </row>
    <row r="42" spans="2:18" x14ac:dyDescent="0.2">
      <c r="B42" s="6">
        <f>ROW()</f>
        <v>42</v>
      </c>
      <c r="C42" s="15"/>
      <c r="D42" s="32" t="s">
        <v>17</v>
      </c>
      <c r="E42" s="32"/>
      <c r="F42" s="61">
        <f>+'[1]Cost Summaries'!F26</f>
        <v>68410.52</v>
      </c>
      <c r="G42" s="6">
        <f>+ROUND(F42,-3)-97.48</f>
        <v>67902.52</v>
      </c>
      <c r="H42" s="16"/>
      <c r="J42" s="58" t="s">
        <v>72</v>
      </c>
      <c r="R42" s="14"/>
    </row>
    <row r="43" spans="2:18" x14ac:dyDescent="0.2">
      <c r="B43" s="6">
        <f>ROW()</f>
        <v>43</v>
      </c>
      <c r="C43" s="15"/>
      <c r="D43" s="32"/>
      <c r="E43" s="37" t="s">
        <v>50</v>
      </c>
      <c r="F43" s="44">
        <f>SUM(F34:F42)</f>
        <v>6800757.2203999963</v>
      </c>
      <c r="G43" s="44">
        <f>SUM(G34:G42)</f>
        <v>6801492.0003999956</v>
      </c>
      <c r="H43" s="16"/>
      <c r="I43" s="32"/>
      <c r="R43" s="14"/>
    </row>
    <row r="44" spans="2:18" x14ac:dyDescent="0.2">
      <c r="B44" s="6">
        <f>ROW()</f>
        <v>44</v>
      </c>
      <c r="C44" s="15"/>
      <c r="D44" s="32"/>
      <c r="E44" s="32"/>
      <c r="F44" s="43"/>
      <c r="G44" s="43"/>
      <c r="H44" s="16"/>
      <c r="I44" s="32"/>
      <c r="R44" s="14"/>
    </row>
    <row r="45" spans="2:18" x14ac:dyDescent="0.2">
      <c r="B45" s="6">
        <f>ROW()</f>
        <v>45</v>
      </c>
      <c r="C45" s="15"/>
      <c r="D45" s="32" t="str">
        <f>"Underwriters Fees ("&amp;TEXT($F8,"0.0000%")&amp;")"</f>
        <v>Underwriters Fees (0.4000%)</v>
      </c>
      <c r="E45" s="32"/>
      <c r="F45" s="43"/>
      <c r="G45" s="43">
        <f>+SUM(G32,G43,G46)/(1-$F$8)*$F$8</f>
        <v>1324508.0000016065</v>
      </c>
      <c r="H45" s="16"/>
      <c r="I45" s="32"/>
      <c r="J45" s="58" t="s">
        <v>55</v>
      </c>
      <c r="L45" s="60"/>
      <c r="R45" s="14"/>
    </row>
    <row r="46" spans="2:18" x14ac:dyDescent="0.2">
      <c r="B46" s="6">
        <f>ROW()</f>
        <v>46</v>
      </c>
      <c r="C46" s="15"/>
      <c r="D46" s="32" t="s">
        <v>56</v>
      </c>
      <c r="E46" s="32"/>
      <c r="F46" s="61">
        <f>+'[1]Cost Summaries'!F30</f>
        <v>48996.56</v>
      </c>
      <c r="G46" s="6">
        <f>+ROUND(F46,-3)</f>
        <v>49000</v>
      </c>
      <c r="H46" s="16"/>
      <c r="I46" s="32"/>
    </row>
    <row r="47" spans="2:18" x14ac:dyDescent="0.2">
      <c r="B47" s="6">
        <f>ROW()</f>
        <v>47</v>
      </c>
      <c r="C47" s="15"/>
      <c r="D47" s="32"/>
      <c r="E47" s="37" t="s">
        <v>51</v>
      </c>
      <c r="F47" s="44">
        <f>SUM(F45:F46)</f>
        <v>48996.56</v>
      </c>
      <c r="G47" s="44">
        <f>SUM(G45:G46)</f>
        <v>1373508.0000016065</v>
      </c>
      <c r="H47" s="16"/>
      <c r="I47" s="32"/>
    </row>
    <row r="48" spans="2:18" x14ac:dyDescent="0.2">
      <c r="B48" s="6">
        <f>ROW()</f>
        <v>48</v>
      </c>
      <c r="C48" s="15"/>
      <c r="D48" s="32"/>
      <c r="E48" s="32"/>
      <c r="F48" s="43"/>
      <c r="G48" s="43"/>
      <c r="H48" s="16"/>
      <c r="I48" s="32"/>
    </row>
    <row r="49" spans="2:11" x14ac:dyDescent="0.2">
      <c r="B49" s="6">
        <f>ROW()</f>
        <v>49</v>
      </c>
      <c r="C49" s="27"/>
      <c r="D49" s="28" t="s">
        <v>49</v>
      </c>
      <c r="E49" s="28"/>
      <c r="F49" s="29"/>
      <c r="G49" s="29">
        <f>SUM(G43,G47)</f>
        <v>8175000.0004016021</v>
      </c>
      <c r="H49" s="30"/>
      <c r="I49" s="32"/>
    </row>
    <row r="50" spans="2:11" x14ac:dyDescent="0.2">
      <c r="F50" s="32"/>
      <c r="G50" s="32"/>
      <c r="H50" s="32"/>
      <c r="I50" s="32"/>
      <c r="J50" s="33"/>
    </row>
    <row r="51" spans="2:11" x14ac:dyDescent="0.2">
      <c r="F51" s="32"/>
      <c r="G51" s="32"/>
      <c r="H51" s="34"/>
      <c r="I51" s="34"/>
      <c r="J51" s="32"/>
    </row>
    <row r="52" spans="2:11" x14ac:dyDescent="0.2">
      <c r="C52" s="5" t="s">
        <v>60</v>
      </c>
      <c r="J52" s="34"/>
      <c r="K52" s="26"/>
    </row>
    <row r="53" spans="2:11" x14ac:dyDescent="0.2">
      <c r="B53" s="6">
        <f>ROW()</f>
        <v>53</v>
      </c>
      <c r="C53" s="21"/>
      <c r="D53" s="12" t="s">
        <v>61</v>
      </c>
      <c r="E53" s="12"/>
      <c r="F53" s="22">
        <f>+G28</f>
        <v>331127000.00040162</v>
      </c>
      <c r="G53" s="22">
        <f>+ROUND(F53,-3)</f>
        <v>331127000</v>
      </c>
      <c r="H53" s="13"/>
    </row>
    <row r="54" spans="2:11" x14ac:dyDescent="0.2">
      <c r="B54" s="6">
        <f>ROW()</f>
        <v>54</v>
      </c>
      <c r="C54" s="15"/>
      <c r="D54" s="32"/>
      <c r="E54" s="32"/>
      <c r="F54" s="43"/>
      <c r="G54" s="6"/>
      <c r="H54" s="16"/>
    </row>
    <row r="55" spans="2:11" x14ac:dyDescent="0.2">
      <c r="B55" s="6">
        <f>ROW()</f>
        <v>55</v>
      </c>
      <c r="C55" s="15"/>
      <c r="D55" s="32" t="s">
        <v>58</v>
      </c>
      <c r="E55" s="32"/>
      <c r="F55" s="43">
        <f>+'[1]Cost Summaries'!F39</f>
        <v>165563.50000020082</v>
      </c>
      <c r="G55" s="6">
        <f>+F55</f>
        <v>165563.50000020082</v>
      </c>
      <c r="H55" s="16"/>
      <c r="J55" s="58" t="s">
        <v>55</v>
      </c>
    </row>
    <row r="56" spans="2:11" x14ac:dyDescent="0.2">
      <c r="B56" s="6">
        <f>ROW()</f>
        <v>56</v>
      </c>
      <c r="C56" s="15"/>
      <c r="D56" s="32" t="s">
        <v>63</v>
      </c>
      <c r="E56" s="32"/>
      <c r="F56" s="43">
        <f>+'[1]Cost Summaries'!F40</f>
        <v>50000</v>
      </c>
      <c r="G56" s="6">
        <f t="shared" ref="G56:G63" si="4">+ROUND(F56,-3)</f>
        <v>50000</v>
      </c>
      <c r="H56" s="16"/>
    </row>
    <row r="57" spans="2:11" x14ac:dyDescent="0.2">
      <c r="B57" s="6">
        <f>ROW()</f>
        <v>57</v>
      </c>
      <c r="C57" s="15"/>
      <c r="D57" s="32" t="s">
        <v>64</v>
      </c>
      <c r="E57" s="32"/>
      <c r="F57" s="43">
        <f>+'[1]Cost Summaries'!F41</f>
        <v>5500</v>
      </c>
      <c r="G57" s="6">
        <f t="shared" si="4"/>
        <v>6000</v>
      </c>
      <c r="H57" s="16"/>
    </row>
    <row r="58" spans="2:11" x14ac:dyDescent="0.2">
      <c r="B58" s="6">
        <f>ROW()</f>
        <v>58</v>
      </c>
      <c r="C58" s="15"/>
      <c r="D58" s="32" t="s">
        <v>65</v>
      </c>
      <c r="E58" s="32"/>
      <c r="F58" s="43">
        <f>+'[1]Cost Summaries'!F42</f>
        <v>75000</v>
      </c>
      <c r="G58" s="6">
        <f t="shared" si="4"/>
        <v>75000</v>
      </c>
      <c r="H58" s="16"/>
    </row>
    <row r="59" spans="2:11" x14ac:dyDescent="0.2">
      <c r="B59" s="6">
        <f>ROW()</f>
        <v>59</v>
      </c>
      <c r="C59" s="15"/>
      <c r="D59" s="32" t="s">
        <v>11</v>
      </c>
      <c r="E59" s="32"/>
      <c r="F59" s="43">
        <f>+'[1]Cost Summaries'!F43</f>
        <v>25000</v>
      </c>
      <c r="G59" s="6">
        <f t="shared" si="4"/>
        <v>25000</v>
      </c>
      <c r="H59" s="16"/>
    </row>
    <row r="60" spans="2:11" x14ac:dyDescent="0.2">
      <c r="B60" s="6">
        <f>ROW()</f>
        <v>60</v>
      </c>
      <c r="C60" s="15"/>
      <c r="D60" s="32" t="s">
        <v>66</v>
      </c>
      <c r="E60" s="32"/>
      <c r="F60" s="43">
        <f>+'[1]Cost Summaries'!F44</f>
        <v>48000</v>
      </c>
      <c r="G60" s="6">
        <f t="shared" si="4"/>
        <v>48000</v>
      </c>
      <c r="H60" s="16"/>
    </row>
    <row r="61" spans="2:11" x14ac:dyDescent="0.2">
      <c r="B61" s="6">
        <f>ROW()</f>
        <v>61</v>
      </c>
      <c r="C61" s="15"/>
      <c r="D61" s="32" t="s">
        <v>67</v>
      </c>
      <c r="E61" s="32"/>
      <c r="F61" s="43">
        <f>+'[1]Cost Summaries'!F45</f>
        <v>147351.51500017871</v>
      </c>
      <c r="G61" s="6">
        <f t="shared" si="4"/>
        <v>147000</v>
      </c>
      <c r="H61" s="16"/>
    </row>
    <row r="62" spans="2:11" x14ac:dyDescent="0.2">
      <c r="B62" s="6">
        <f>ROW()</f>
        <v>62</v>
      </c>
      <c r="C62" s="15"/>
      <c r="D62" s="32" t="s">
        <v>59</v>
      </c>
      <c r="E62" s="32"/>
      <c r="F62" s="43">
        <f>+'[1]Cost Summaries'!F46</f>
        <v>10000</v>
      </c>
      <c r="G62" s="6">
        <f t="shared" si="4"/>
        <v>10000</v>
      </c>
      <c r="H62" s="16"/>
    </row>
    <row r="63" spans="2:11" x14ac:dyDescent="0.2">
      <c r="B63" s="6">
        <f>ROW()</f>
        <v>63</v>
      </c>
      <c r="C63" s="15"/>
      <c r="D63" s="32" t="s">
        <v>68</v>
      </c>
      <c r="E63" s="32"/>
      <c r="F63" s="43">
        <f>+'[1]Cost Summaries'!F47</f>
        <v>3650</v>
      </c>
      <c r="G63" s="6">
        <f t="shared" si="4"/>
        <v>4000</v>
      </c>
      <c r="H63" s="16"/>
    </row>
    <row r="64" spans="2:11" x14ac:dyDescent="0.2">
      <c r="B64" s="6">
        <f>ROW()</f>
        <v>64</v>
      </c>
      <c r="C64" s="15"/>
      <c r="D64" s="32" t="s">
        <v>17</v>
      </c>
      <c r="E64" s="32"/>
      <c r="F64" s="43">
        <f>+'[1]Cost Summaries'!F48</f>
        <v>10000</v>
      </c>
      <c r="G64" s="6">
        <f>+ROUND(F64,-3)-564</f>
        <v>9436</v>
      </c>
      <c r="H64" s="16"/>
      <c r="J64" s="58" t="s">
        <v>70</v>
      </c>
    </row>
    <row r="65" spans="2:8" x14ac:dyDescent="0.2">
      <c r="B65" s="6">
        <f>ROW()</f>
        <v>65</v>
      </c>
      <c r="C65" s="27"/>
      <c r="D65" s="59"/>
      <c r="E65" s="28" t="s">
        <v>69</v>
      </c>
      <c r="F65" s="29"/>
      <c r="G65" s="29">
        <f>SUM(G55:G64)</f>
        <v>539999.50000020082</v>
      </c>
      <c r="H65" s="30"/>
    </row>
  </sheetData>
  <pageMargins left="0.7" right="0.7" top="0.75" bottom="0.75" header="0.3" footer="0.3"/>
  <pageSetup orientation="portrait" r:id="rId1"/>
  <headerFooter>
    <oddFooter xml:space="preserve">&amp;R_x000D_&amp;1#&amp;"Calibri"&amp;10&amp;KA80000 Internal Use Only </oddFooter>
  </headerFooter>
  <ignoredErrors>
    <ignoredError sqref="G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2024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Ley</dc:creator>
  <cp:lastModifiedBy>Geoffrey Ley</cp:lastModifiedBy>
  <dcterms:created xsi:type="dcterms:W3CDTF">2023-12-15T03:00:12Z</dcterms:created>
  <dcterms:modified xsi:type="dcterms:W3CDTF">2024-02-15T06:10:37Z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5ac46-98b9-4d64-949f-e82ee8dc823c_Enabled">
    <vt:lpwstr>true</vt:lpwstr>
  </property>
  <property fmtid="{D5CDD505-2E9C-101B-9397-08002B2CF9AE}" pid="3" name="MSIP_Label_d275ac46-98b9-4d64-949f-e82ee8dc823c_SetDate">
    <vt:lpwstr>2023-12-15T03:18:16Z</vt:lpwstr>
  </property>
  <property fmtid="{D5CDD505-2E9C-101B-9397-08002B2CF9AE}" pid="4" name="MSIP_Label_d275ac46-98b9-4d64-949f-e82ee8dc823c_Method">
    <vt:lpwstr>Standard</vt:lpwstr>
  </property>
  <property fmtid="{D5CDD505-2E9C-101B-9397-08002B2CF9AE}" pid="5" name="MSIP_Label_d275ac46-98b9-4d64-949f-e82ee8dc823c_Name">
    <vt:lpwstr>d275ac46-98b9-4d64-949f-e82ee8dc823c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ActionId">
    <vt:lpwstr>55dc2116-49ca-436e-8feb-e0a0470c094b</vt:lpwstr>
  </property>
  <property fmtid="{D5CDD505-2E9C-101B-9397-08002B2CF9AE}" pid="8" name="MSIP_Label_d275ac46-98b9-4d64-949f-e82ee8dc823c_ContentBits">
    <vt:lpwstr>3</vt:lpwstr>
  </property>
  <property fmtid="{D5CDD505-2E9C-101B-9397-08002B2CF9AE}" pid="9" name="MSIP_Label_dd181445-6ec4-4473-9810-00785f082df0_Enabled">
    <vt:lpwstr>true</vt:lpwstr>
  </property>
  <property fmtid="{D5CDD505-2E9C-101B-9397-08002B2CF9AE}" pid="10" name="MSIP_Label_dd181445-6ec4-4473-9810-00785f082df0_SetDate">
    <vt:lpwstr>2024-01-29T18:51:36Z</vt:lpwstr>
  </property>
  <property fmtid="{D5CDD505-2E9C-101B-9397-08002B2CF9AE}" pid="11" name="MSIP_Label_dd181445-6ec4-4473-9810-00785f082df0_Method">
    <vt:lpwstr>Privileged</vt:lpwstr>
  </property>
  <property fmtid="{D5CDD505-2E9C-101B-9397-08002B2CF9AE}" pid="12" name="MSIP_Label_dd181445-6ec4-4473-9810-00785f082df0_Name">
    <vt:lpwstr>Internal</vt:lpwstr>
  </property>
  <property fmtid="{D5CDD505-2E9C-101B-9397-08002B2CF9AE}" pid="13" name="MSIP_Label_dd181445-6ec4-4473-9810-00785f082df0_SiteId">
    <vt:lpwstr>1771ae17-e764-4e0f-a476-d4184d79a5d9</vt:lpwstr>
  </property>
  <property fmtid="{D5CDD505-2E9C-101B-9397-08002B2CF9AE}" pid="14" name="MSIP_Label_dd181445-6ec4-4473-9810-00785f082df0_ActionId">
    <vt:lpwstr>20c5fb95-5da3-454f-a86b-b14768595f3b</vt:lpwstr>
  </property>
  <property fmtid="{D5CDD505-2E9C-101B-9397-08002B2CF9AE}" pid="15" name="MSIP_Label_dd181445-6ec4-4473-9810-00785f082df0_ContentBits">
    <vt:lpwstr>0</vt:lpwstr>
  </property>
</Properties>
</file>