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vergynas\finplan\TREASURY\Debt\Issuances\Taxable\2024-02 MO West Securitization\Final Filing Support\"/>
    </mc:Choice>
  </mc:AlternateContent>
  <xr:revisionPtr revIDLastSave="0" documentId="13_ncr:1_{F8032C06-6442-4E70-9F6E-BF2D42A5D208}" xr6:coauthVersionLast="47" xr6:coauthVersionMax="47" xr10:uidLastSave="{00000000-0000-0000-0000-000000000000}"/>
  <bookViews>
    <workbookView xWindow="28680" yWindow="-120" windowWidth="29040" windowHeight="15840" xr2:uid="{92699750-8EAB-4862-AD72-4D2E60D0462F}"/>
  </bookViews>
  <sheets>
    <sheet name="Cost Summaries" sheetId="4" r:id="rId1"/>
    <sheet name="Upfront Costs" sheetId="2" r:id="rId2"/>
    <sheet name="Ongoing Cost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D4" i="2"/>
  <c r="F48" i="4" l="1"/>
  <c r="F47" i="4"/>
  <c r="F46" i="4"/>
  <c r="F43" i="4"/>
  <c r="F42" i="4"/>
  <c r="F41" i="4"/>
  <c r="F40" i="4"/>
  <c r="F11" i="4"/>
  <c r="F10" i="4"/>
  <c r="F8" i="4"/>
  <c r="F7" i="4"/>
  <c r="B22" i="4" l="1"/>
  <c r="C9" i="2"/>
  <c r="E10" i="2"/>
  <c r="F9" i="4"/>
  <c r="F24" i="4" s="1"/>
  <c r="G24" i="4" l="1"/>
  <c r="F16" i="4" l="1"/>
  <c r="F23" i="4" l="1"/>
  <c r="F20" i="4"/>
  <c r="F19" i="4"/>
  <c r="B49" i="4"/>
  <c r="G48" i="4"/>
  <c r="B48" i="4"/>
  <c r="G47" i="4"/>
  <c r="B47" i="4"/>
  <c r="G46" i="4"/>
  <c r="B46" i="4"/>
  <c r="B45" i="4"/>
  <c r="F44" i="4"/>
  <c r="B44" i="4"/>
  <c r="G43" i="4"/>
  <c r="B43" i="4"/>
  <c r="G42" i="4"/>
  <c r="B42" i="4"/>
  <c r="G41" i="4"/>
  <c r="B41" i="4"/>
  <c r="G40" i="4"/>
  <c r="B40" i="4"/>
  <c r="B39" i="4"/>
  <c r="B38" i="4"/>
  <c r="B37" i="4"/>
  <c r="B33" i="4"/>
  <c r="B32" i="4"/>
  <c r="B31" i="4"/>
  <c r="B30" i="4"/>
  <c r="D29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G44" i="4" l="1"/>
  <c r="G19" i="4"/>
  <c r="G20" i="4"/>
  <c r="G23" i="4"/>
  <c r="D16" i="3" l="1"/>
  <c r="D15" i="3"/>
  <c r="D14" i="3"/>
  <c r="D12" i="3"/>
  <c r="D11" i="3"/>
  <c r="D10" i="3"/>
  <c r="D9" i="3"/>
  <c r="D8" i="3"/>
  <c r="D7" i="3"/>
  <c r="C7" i="2"/>
  <c r="F21" i="4" s="1"/>
  <c r="H12" i="2"/>
  <c r="C12" i="2" s="1"/>
  <c r="F30" i="4" s="1"/>
  <c r="L10" i="2"/>
  <c r="J10" i="2"/>
  <c r="K8" i="2"/>
  <c r="C8" i="2" s="1"/>
  <c r="F22" i="4" s="1"/>
  <c r="J8" i="2"/>
  <c r="K5" i="2"/>
  <c r="J4" i="2"/>
  <c r="K4" i="2" s="1"/>
  <c r="J3" i="2"/>
  <c r="K3" i="2" s="1"/>
  <c r="G30" i="4" l="1"/>
  <c r="F31" i="4"/>
  <c r="G21" i="4"/>
  <c r="L6" i="2"/>
  <c r="C3" i="2" s="1"/>
  <c r="F18" i="4" s="1"/>
  <c r="G22" i="4"/>
  <c r="G16" i="4"/>
  <c r="G18" i="4" l="1"/>
  <c r="C14" i="2" l="1"/>
  <c r="D14" i="2"/>
  <c r="C4" i="2"/>
  <c r="C10" i="2"/>
  <c r="C15" i="2" s="1"/>
  <c r="F26" i="4" s="1"/>
  <c r="D13" i="2"/>
  <c r="C13" i="2"/>
  <c r="F25" i="4" s="1"/>
  <c r="G25" i="4" s="1"/>
  <c r="G26" i="4" l="1"/>
  <c r="G27" i="4"/>
  <c r="F27" i="4"/>
  <c r="G29" i="4" l="1"/>
  <c r="G31" i="4" l="1"/>
  <c r="G33" i="4" s="1"/>
  <c r="F37" i="4" l="1"/>
  <c r="F45" i="4" l="1"/>
  <c r="F39" i="4"/>
  <c r="G37" i="4"/>
  <c r="G39" i="4" l="1"/>
  <c r="F3" i="3"/>
  <c r="C13" i="3" s="1"/>
  <c r="D13" i="3" s="1"/>
  <c r="C6" i="3"/>
  <c r="G45" i="4"/>
  <c r="C3" i="3" l="1"/>
  <c r="D6" i="3"/>
  <c r="D3" i="3" s="1"/>
  <c r="G49" i="4"/>
</calcChain>
</file>

<file path=xl/sharedStrings.xml><?xml version="1.0" encoding="utf-8"?>
<sst xmlns="http://schemas.openxmlformats.org/spreadsheetml/2006/main" count="87" uniqueCount="78">
  <si>
    <t>$ USD</t>
  </si>
  <si>
    <t>Total</t>
  </si>
  <si>
    <t>Legal Fees</t>
  </si>
  <si>
    <t>Auditor Fee</t>
  </si>
  <si>
    <t>Structuring Advisor</t>
  </si>
  <si>
    <t>IT Programming Costs</t>
  </si>
  <si>
    <t>Commission Advisors</t>
  </si>
  <si>
    <t>Original Issuance Discount</t>
  </si>
  <si>
    <t>Miscellaneous</t>
  </si>
  <si>
    <t>Total Securitized Costs (incl. carrying costs)</t>
  </si>
  <si>
    <t>Assumptions</t>
  </si>
  <si>
    <t>Estimated Securitization Financing Date</t>
  </si>
  <si>
    <t>Estimated Upfront Fees</t>
  </si>
  <si>
    <t>Total Estimated Upfront Fees</t>
  </si>
  <si>
    <t>Subtotal Estimated Fixed Upfront Fees</t>
  </si>
  <si>
    <t>Subtotal Estimated Variable Upfront Fees</t>
  </si>
  <si>
    <t>Bond Rating Fees</t>
  </si>
  <si>
    <t>Rounded</t>
  </si>
  <si>
    <t>SEC Registration Fees</t>
  </si>
  <si>
    <t>Legal fees</t>
  </si>
  <si>
    <t>Legal - Hunton Advisory &amp; Transaction</t>
  </si>
  <si>
    <t>Underwriter's Fee</t>
  </si>
  <si>
    <t>Legal - Dentons</t>
  </si>
  <si>
    <t>Auditor Fees</t>
  </si>
  <si>
    <t>Robert Hack Regulatory Consulting</t>
  </si>
  <si>
    <t>Structuring Advisor (incl. discount)</t>
  </si>
  <si>
    <t>Norton Rose</t>
  </si>
  <si>
    <t>Information Tech Programming Costs</t>
  </si>
  <si>
    <t>Cost of Commission Staff</t>
  </si>
  <si>
    <t>Ducera &amp; Paul Weiss    (from Bolin 12/15/2023)</t>
  </si>
  <si>
    <t>Commission Advisor Fees</t>
  </si>
  <si>
    <t>Paul Weiss within Ducera Contract ?</t>
  </si>
  <si>
    <t>Nixon Peabody     (from Bolin 12/15/2023)</t>
  </si>
  <si>
    <t>SEC Filing Fees</t>
  </si>
  <si>
    <t>SEC Fees &amp; 17g5 Site</t>
  </si>
  <si>
    <t>Moody's Bond Rating Fees (0.575%) $210k/no cap</t>
  </si>
  <si>
    <t>SEC Filing Wire 12/19/2022</t>
  </si>
  <si>
    <t>S&amp;P Bond Rating Fees (0. 575%) $200k/$650k</t>
  </si>
  <si>
    <t>SEC Filing Wire 02/02/2024</t>
  </si>
  <si>
    <t>FinSight 17g5 dated x/xx/2023</t>
  </si>
  <si>
    <t>IT Estimate</t>
  </si>
  <si>
    <t>Assumed Bond Amount</t>
  </si>
  <si>
    <t>Ongoing Fees &amp; Costs</t>
  </si>
  <si>
    <t>Assumed Capital Account</t>
  </si>
  <si>
    <t>Moody's</t>
  </si>
  <si>
    <t>Servicing Fee</t>
  </si>
  <si>
    <t>Administration Fee</t>
  </si>
  <si>
    <t>Trustee's Fees</t>
  </si>
  <si>
    <t>Auditing / Accountant's Fees</t>
  </si>
  <si>
    <t>Rating Agency Surveillance Fees - Moody's</t>
  </si>
  <si>
    <t>Rating Agency Surveillance Fees - S&amp;P</t>
  </si>
  <si>
    <t>Return on Capital Account (WACC)</t>
  </si>
  <si>
    <t>Printing / EDGAR Fees</t>
  </si>
  <si>
    <r>
      <t xml:space="preserve">Independent Manager Fee </t>
    </r>
    <r>
      <rPr>
        <i/>
        <sz val="11"/>
        <color theme="1"/>
        <rFont val="Calibri"/>
        <family val="2"/>
        <scheme val="minor"/>
      </rPr>
      <t>(est)</t>
    </r>
  </si>
  <si>
    <t>Misc</t>
  </si>
  <si>
    <t>Unrounded</t>
  </si>
  <si>
    <t>Estimated Ongoing Costs</t>
  </si>
  <si>
    <t>Total Securitization Amount</t>
  </si>
  <si>
    <t>Upfront Underwriters Fee Rate</t>
  </si>
  <si>
    <t>Ongoing Servicing Fee Rate</t>
  </si>
  <si>
    <t>Administation Fee</t>
  </si>
  <si>
    <t>Trustee's Fee</t>
  </si>
  <si>
    <t>Auditing / Accountant's Fee</t>
  </si>
  <si>
    <t>Rating Agency Surveillance Fees</t>
  </si>
  <si>
    <t>Return on Capital Account</t>
  </si>
  <si>
    <t>Independent Manager Fee</t>
  </si>
  <si>
    <t>Ongoing Return on Capital Account (WACC)</t>
  </si>
  <si>
    <t>Subtotal Estimated Ongoing Costs</t>
  </si>
  <si>
    <t>Upfront Fees (excl U/W Fee)</t>
  </si>
  <si>
    <t>Securitization Amount, Upfront Fees, and Ongoing Costs</t>
  </si>
  <si>
    <t>MO West Winter Storm Securitization Analysis</t>
  </si>
  <si>
    <t>Finsight - Deal RoadShow</t>
  </si>
  <si>
    <t>Intex</t>
  </si>
  <si>
    <t>Miscellaneous - to date</t>
  </si>
  <si>
    <t>Incurred</t>
  </si>
  <si>
    <t>Remaining</t>
  </si>
  <si>
    <t>Legal 1/31/2024</t>
  </si>
  <si>
    <t>OID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</si>
</sst>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;\(#,##0\);\-\-"/>
    <numFmt numFmtId="166" formatCode="_(#,##0.0000%_);\(#,##0.0000%\);_(&quot;–&quot;_)_%;_(@_)_%"/>
    <numFmt numFmtId="167" formatCode="_(&quot;$&quot;* #,##0_);_(&quot;$&quot;* \(#,##0\);_(&quot;$&quot;* &quot;-&quot;??_);_(@_)"/>
    <numFmt numFmtId="168" formatCode="&quot;$&quot;#,##0.00"/>
    <numFmt numFmtId="169" formatCode="0.0000%"/>
    <numFmt numFmtId="170" formatCode="_(&quot;$&quot;* #,##0_);_(&quot;$&quot;* \(#,##0\);_(&quot;$&quot;* &quot;-&quot;???_);_(@_)"/>
    <numFmt numFmtId="171" formatCode="0.000%"/>
    <numFmt numFmtId="172" formatCode="0.0%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0000"/>
      </patternFill>
    </fill>
    <fill>
      <patternFill patternType="solid">
        <fgColor rgb="FFFCE5CD"/>
        <bgColor rgb="FF000000"/>
      </patternFill>
    </fill>
    <fill>
      <patternFill patternType="solid">
        <fgColor rgb="FFD2F2FF"/>
        <bgColor rgb="FF00000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1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4" borderId="6" xfId="0" applyNumberFormat="1" applyFont="1" applyFill="1" applyBorder="1"/>
    <xf numFmtId="164" fontId="3" fillId="4" borderId="7" xfId="0" applyNumberFormat="1" applyFont="1" applyFill="1" applyBorder="1"/>
    <xf numFmtId="164" fontId="3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164" fontId="3" fillId="0" borderId="0" xfId="0" applyNumberFormat="1" applyFon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44" fontId="5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44" fontId="0" fillId="0" borderId="0" xfId="0" applyNumberFormat="1"/>
    <xf numFmtId="0" fontId="6" fillId="0" borderId="0" xfId="0" applyFont="1"/>
    <xf numFmtId="10" fontId="0" fillId="0" borderId="0" xfId="1" applyNumberFormat="1" applyFont="1"/>
    <xf numFmtId="44" fontId="6" fillId="0" borderId="0" xfId="0" applyNumberFormat="1" applyFont="1"/>
    <xf numFmtId="167" fontId="0" fillId="0" borderId="0" xfId="0" applyNumberFormat="1"/>
    <xf numFmtId="0" fontId="9" fillId="0" borderId="0" xfId="0" applyFont="1" applyAlignment="1">
      <alignment horizontal="left" indent="2"/>
    </xf>
    <xf numFmtId="168" fontId="0" fillId="0" borderId="0" xfId="0" applyNumberFormat="1"/>
    <xf numFmtId="0" fontId="5" fillId="5" borderId="0" xfId="0" applyFont="1" applyFill="1" applyAlignment="1">
      <alignment vertical="center"/>
    </xf>
    <xf numFmtId="44" fontId="11" fillId="2" borderId="0" xfId="0" applyNumberFormat="1" applyFont="1" applyFill="1" applyAlignment="1">
      <alignment horizontal="center"/>
    </xf>
    <xf numFmtId="164" fontId="2" fillId="4" borderId="7" xfId="0" applyNumberFormat="1" applyFont="1" applyFill="1" applyBorder="1"/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12" fillId="0" borderId="0" xfId="0" applyNumberFormat="1" applyFont="1"/>
    <xf numFmtId="164" fontId="13" fillId="0" borderId="0" xfId="0" applyNumberFormat="1" applyFont="1"/>
    <xf numFmtId="44" fontId="6" fillId="0" borderId="0" xfId="0" applyNumberFormat="1" applyFont="1" applyAlignment="1">
      <alignment horizontal="center"/>
    </xf>
    <xf numFmtId="164" fontId="14" fillId="0" borderId="0" xfId="0" applyNumberFormat="1" applyFont="1" applyFill="1" applyBorder="1" applyAlignment="1">
      <alignment horizontal="right"/>
    </xf>
    <xf numFmtId="164" fontId="14" fillId="0" borderId="7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center"/>
    </xf>
    <xf numFmtId="14" fontId="14" fillId="0" borderId="3" xfId="0" applyNumberFormat="1" applyFont="1" applyFill="1" applyBorder="1" applyAlignment="1">
      <alignment horizontal="center"/>
    </xf>
    <xf numFmtId="166" fontId="14" fillId="0" borderId="7" xfId="0" applyNumberFormat="1" applyFont="1" applyFill="1" applyBorder="1" applyAlignment="1">
      <alignment horizontal="center"/>
    </xf>
    <xf numFmtId="169" fontId="10" fillId="3" borderId="0" xfId="1" applyNumberFormat="1" applyFont="1" applyFill="1" applyAlignment="1">
      <alignment horizontal="center"/>
    </xf>
    <xf numFmtId="44" fontId="10" fillId="3" borderId="0" xfId="0" applyNumberFormat="1" applyFont="1" applyFill="1"/>
    <xf numFmtId="167" fontId="0" fillId="0" borderId="0" xfId="0" applyNumberFormat="1" applyFill="1"/>
    <xf numFmtId="169" fontId="0" fillId="3" borderId="0" xfId="1" applyNumberFormat="1" applyFont="1" applyFill="1" applyAlignment="1">
      <alignment horizontal="center"/>
    </xf>
    <xf numFmtId="44" fontId="0" fillId="0" borderId="0" xfId="0" applyNumberFormat="1" applyFill="1"/>
    <xf numFmtId="170" fontId="10" fillId="3" borderId="0" xfId="0" applyNumberFormat="1" applyFont="1" applyFill="1"/>
    <xf numFmtId="171" fontId="10" fillId="3" borderId="0" xfId="1" applyNumberFormat="1" applyFont="1" applyFill="1"/>
    <xf numFmtId="172" fontId="10" fillId="3" borderId="0" xfId="1" applyNumberFormat="1" applyFont="1" applyFill="1"/>
  </cellXfs>
  <cellStyles count="2">
    <cellStyle name="Normal" xfId="0" builtinId="0"/>
    <cellStyle name="Percent 2" xfId="1" xr:uid="{043E63DD-95CF-4BCF-B556-C0BF531D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135255</xdr:colOff>
      <xdr:row>18</xdr:row>
      <xdr:rowOff>65777</xdr:rowOff>
    </xdr:from>
    <xdr:to>
      <xdr:col>9</xdr:col>
      <xdr:colOff>818186</xdr:colOff>
      <xdr:row>35</xdr:row>
      <xdr:rowOff>17656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1947D-8BC2-4D8F-9743-0C4736778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1530" y="4218677"/>
          <a:ext cx="5454956" cy="3190379"/>
        </a:xfrm>
        <a:prstGeom prst="rect">
          <a:avLst/>
        </a:prstGeom>
      </xdr:spPr>
    </xdr:pic>
    <xdr:clientData/>
  </xdr:twoCellAnchor>
  <xdr:twoCellAnchor editAs="oneCell">
    <xdr:from>
      <xdr:col>10</xdr:col>
      <xdr:colOff>116205</xdr:colOff>
      <xdr:row>18</xdr:row>
      <xdr:rowOff>136515</xdr:rowOff>
    </xdr:from>
    <xdr:to>
      <xdr:col>22</xdr:col>
      <xdr:colOff>111221</xdr:colOff>
      <xdr:row>41</xdr:row>
      <xdr:rowOff>173731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E9B67-D4EC-4A64-8DB5-A9DB08F74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65580" y="4289415"/>
          <a:ext cx="8119841" cy="4418716"/>
        </a:xfrm>
        <a:prstGeom prst="rect">
          <a:avLst/>
        </a:prstGeom>
      </xdr:spPr>
    </xdr:pic>
    <xdr:clientData/>
  </xdr:twoCellAnchor>
  <xdr:twoCellAnchor editAs="oneCell">
    <xdr:from>
      <xdr:col>13</xdr:col>
      <xdr:colOff>46990</xdr:colOff>
      <xdr:row>3</xdr:row>
      <xdr:rowOff>76200</xdr:rowOff>
    </xdr:from>
    <xdr:to>
      <xdr:col>26</xdr:col>
      <xdr:colOff>306705</xdr:colOff>
      <xdr:row>13</xdr:row>
      <xdr:rowOff>123190</xdr:rowOff>
    </xdr:to>
    <xdr:pic>
      <xdr:nvPicPr>
        <xdr:cNvPr id="4" name="Picture 3" descr="image">
          <a:extLst>
            <a:ext uri="{FF2B5EF4-FFF2-40B4-BE49-F238E27FC236}">
              <a16:creationId xmlns:a16="http://schemas.microsoft.com/office/drawing/2014/main" id="{95D36F2C-1626-402D-A7A2-95F27E3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6815" y="933450"/>
          <a:ext cx="8184515" cy="228536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30</xdr:col>
      <xdr:colOff>83819</xdr:colOff>
      <xdr:row>2</xdr:row>
      <xdr:rowOff>95250</xdr:rowOff>
    </xdr:from>
    <xdr:to>
      <xdr:col>39</xdr:col>
      <xdr:colOff>360264</xdr:colOff>
      <xdr:row>24</xdr:row>
      <xdr:rowOff>12065</xdr:rowOff>
    </xdr:to>
    <xdr:pic>
      <xdr:nvPicPr>
        <xdr:cNvPr id="5" name="Picture 4" descr="image">
          <a:extLst>
            <a:ext uri="{FF2B5EF4-FFF2-40B4-BE49-F238E27FC236}">
              <a16:creationId xmlns:a16="http://schemas.microsoft.com/office/drawing/2014/main" id="{C2C0F6D3-0AB3-4FB9-85F6-29904122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4819" y="742950"/>
          <a:ext cx="5762845" cy="456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1149350</xdr:colOff>
      <xdr:row>41</xdr:row>
      <xdr:rowOff>8409</xdr:rowOff>
    </xdr:from>
    <xdr:to>
      <xdr:col>8</xdr:col>
      <xdr:colOff>241299</xdr:colOff>
      <xdr:row>72</xdr:row>
      <xdr:rowOff>161924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7DC4675-79C4-465C-9576-1EC52221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25" y="8266584"/>
          <a:ext cx="11112499" cy="5763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33</xdr:row>
      <xdr:rowOff>25400</xdr:rowOff>
    </xdr:from>
    <xdr:to>
      <xdr:col>4</xdr:col>
      <xdr:colOff>203081</xdr:colOff>
      <xdr:row>39</xdr:row>
      <xdr:rowOff>17873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F5F8660-BB88-C5A8-4920-90FFF775A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4875" y="6835775"/>
          <a:ext cx="6060956" cy="1078323"/>
        </a:xfrm>
        <a:prstGeom prst="rect">
          <a:avLst/>
        </a:prstGeom>
      </xdr:spPr>
    </xdr:pic>
    <xdr:clientData/>
  </xdr:twoCellAnchor>
  <xdr:twoCellAnchor editAs="oneCell">
    <xdr:from>
      <xdr:col>1</xdr:col>
      <xdr:colOff>44451</xdr:colOff>
      <xdr:row>23</xdr:row>
      <xdr:rowOff>111125</xdr:rowOff>
    </xdr:from>
    <xdr:to>
      <xdr:col>3</xdr:col>
      <xdr:colOff>44451</xdr:colOff>
      <xdr:row>32</xdr:row>
      <xdr:rowOff>75336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21C809-80C6-AC6F-2BA4-D2EFC520B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1226" y="5111750"/>
          <a:ext cx="4705350" cy="15929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424815</xdr:colOff>
      <xdr:row>23</xdr:row>
      <xdr:rowOff>167640</xdr:rowOff>
    </xdr:from>
    <xdr:to>
      <xdr:col>18</xdr:col>
      <xdr:colOff>428625</xdr:colOff>
      <xdr:row>28</xdr:row>
      <xdr:rowOff>143081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733799-380E-46B2-AEB7-B0E98343B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6640" y="4549140"/>
          <a:ext cx="7319010" cy="921591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</xdr:row>
      <xdr:rowOff>53340</xdr:rowOff>
    </xdr:from>
    <xdr:to>
      <xdr:col>15</xdr:col>
      <xdr:colOff>238125</xdr:colOff>
      <xdr:row>11</xdr:row>
      <xdr:rowOff>95032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1FBD34-07EC-4B5D-80C7-5142651D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1005840"/>
          <a:ext cx="5229225" cy="1184692"/>
        </a:xfrm>
        <a:prstGeom prst="rect">
          <a:avLst/>
        </a:prstGeom>
      </xdr:spPr>
    </xdr:pic>
    <xdr:clientData/>
  </xdr:twoCellAnchor>
  <xdr:twoCellAnchor editAs="oneCell">
    <xdr:from>
      <xdr:col>6</xdr:col>
      <xdr:colOff>398144</xdr:colOff>
      <xdr:row>12</xdr:row>
      <xdr:rowOff>54259</xdr:rowOff>
    </xdr:from>
    <xdr:to>
      <xdr:col>16</xdr:col>
      <xdr:colOff>399200</xdr:colOff>
      <xdr:row>22</xdr:row>
      <xdr:rowOff>21262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9C5174-26D2-4AF1-A275-E5A984DC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79969" y="2340259"/>
          <a:ext cx="6097056" cy="1872003"/>
        </a:xfrm>
        <a:prstGeom prst="rect">
          <a:avLst/>
        </a:prstGeom>
      </xdr:spPr>
    </xdr:pic>
    <xdr:clientData/>
  </xdr:twoCellAnchor>
  <xdr:twoCellAnchor>
    <xdr:from>
      <xdr:col>6</xdr:col>
      <xdr:colOff>447675</xdr:colOff>
      <xdr:row>29</xdr:row>
      <xdr:rowOff>142875</xdr:rowOff>
    </xdr:from>
    <xdr:to>
      <xdr:col>16</xdr:col>
      <xdr:colOff>571500</xdr:colOff>
      <xdr:row>33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23045-5CA8-16FA-59A7-922E8F01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391150"/>
          <a:ext cx="6219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ppower-my.sharepoint.com/personal/geoffrey_ley_evergy_com/Documents/Documents/EVRG%20Treasury/Debt%20Capital%20Markets/2022-2023%20MO%20West%20Securitization/NPV%20Quantifiable%20Benefits%20per%20Draft%20Issuance%20Advice%20Letter%20(updated%202-14-2024%20Pricing).xlsm" TargetMode="External"/><Relationship Id="rId2" Type="http://schemas.microsoft.com/office/2019/04/relationships/externalLinkLongPath" Target="https://gppower-my.sharepoint.com/personal/geoffrey_ley_evergy_com/Documents/Documents/EVRG%20Treasury/Debt%20Capital%20Markets/2022-2023%20MO%20West%20Securitization/NPV%20Quantifiable%20Benefits%20per%20Draft%20Issuance%20Advice%20Letter%20(updated%202-14-2024%20Pricing).xlsm?E6F276C7" TargetMode="External"/><Relationship Id="rId1" Type="http://schemas.openxmlformats.org/officeDocument/2006/relationships/externalLinkPath" Target="file:///\\E6F276C7\NPV%20Quantifiable%20Benefits%20per%20Draft%20Issuance%20Advice%20Letter%20(updated%202-14-2024%20Pricing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vergynas\finplan\TREASURY\Debt\Issuances\Taxable\2024-02%20MO%20West%20Securitization\Final%20Filing%20Support\2024.02.05%20MO%20West%20Securitization%20Bond%20Amount%20Calculation%20(2-14-2024).xlsx" TargetMode="External"/><Relationship Id="rId1" Type="http://schemas.openxmlformats.org/officeDocument/2006/relationships/externalLinkPath" Target="2024.02.05%20MO%20West%20Securitization%20Bond%20Amount%20Calculation%20(2-14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AK-12 (Revised RAK-4, 8)"/>
      <sheetName val="RAK-11 (Revised RAK-3, 7)"/>
      <sheetName val="Finance Summary"/>
      <sheetName val="Single-Tranche Amort (2.14.24)"/>
      <sheetName val="MO West Securitization Approach"/>
      <sheetName val="MO West FAC Approach"/>
      <sheetName val="MO West AAO Amort Approach-15"/>
      <sheetName val="Other Supporting Schedules --&gt;"/>
      <sheetName val="FAC Dec20-May21 CONF UPD Dec 21"/>
      <sheetName val="RAK-9 (Revised RAK-1, 5)"/>
      <sheetName val="RAK-10 (Revised RAK-2, 6)"/>
      <sheetName val="Carrying costs- Staff"/>
    </sheetNames>
    <sheetDataSet>
      <sheetData sheetId="0" refreshError="1"/>
      <sheetData sheetId="1" refreshError="1"/>
      <sheetData sheetId="2" refreshError="1"/>
      <sheetData sheetId="3">
        <row r="3">
          <cell r="B3">
            <v>45345</v>
          </cell>
        </row>
        <row r="13">
          <cell r="D13">
            <v>331127000</v>
          </cell>
        </row>
        <row r="21">
          <cell r="D21">
            <v>0.99993480000000001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 2024 Estimate"/>
    </sheetNames>
    <sheetDataSet>
      <sheetData sheetId="0">
        <row r="25">
          <cell r="F25">
            <v>322951648.10000002</v>
          </cell>
        </row>
        <row r="28">
          <cell r="G28">
            <v>331127000.00040162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66F5-2B78-4FB9-96F8-DC7C23735A55}">
  <dimension ref="A1:I49"/>
  <sheetViews>
    <sheetView showGridLines="0" tabSelected="1" workbookViewId="0">
      <selection sqref="A1:XFD1"/>
    </sheetView>
  </sheetViews>
  <sheetFormatPr defaultColWidth="9.140625" defaultRowHeight="12.75" x14ac:dyDescent="0.2"/>
  <cols>
    <col min="1" max="1" width="2.5703125" style="2" customWidth="1"/>
    <col min="2" max="2" width="3.5703125" style="2" customWidth="1"/>
    <col min="3" max="4" width="2.5703125" style="2" customWidth="1"/>
    <col min="5" max="5" width="50.5703125" style="2" customWidth="1"/>
    <col min="6" max="7" width="15.5703125" style="2" customWidth="1"/>
    <col min="8" max="8" width="3.85546875" style="2" customWidth="1"/>
    <col min="9" max="9" width="5.140625" style="2" customWidth="1"/>
    <col min="10" max="39" width="15.5703125" style="2" customWidth="1"/>
    <col min="40" max="16384" width="9.140625" style="2"/>
  </cols>
  <sheetData>
    <row r="1" spans="1:8" ht="26.25" x14ac:dyDescent="0.4">
      <c r="A1" s="1" t="s">
        <v>70</v>
      </c>
    </row>
    <row r="2" spans="1:8" ht="23.25" x14ac:dyDescent="0.35">
      <c r="A2" s="39" t="s">
        <v>69</v>
      </c>
    </row>
    <row r="3" spans="1:8" ht="18" x14ac:dyDescent="0.25">
      <c r="A3" s="40" t="s">
        <v>0</v>
      </c>
    </row>
    <row r="6" spans="1:8" x14ac:dyDescent="0.2">
      <c r="C6" s="3" t="s">
        <v>10</v>
      </c>
    </row>
    <row r="7" spans="1:8" x14ac:dyDescent="0.2">
      <c r="C7" s="9"/>
      <c r="D7" s="5" t="s">
        <v>11</v>
      </c>
      <c r="E7" s="5"/>
      <c r="F7" s="45">
        <f>+'[1]Single-Tranche Amort (2.14.24)'!$B$3</f>
        <v>45345</v>
      </c>
      <c r="G7" s="7"/>
    </row>
    <row r="8" spans="1:8" x14ac:dyDescent="0.2">
      <c r="C8" s="7"/>
      <c r="D8" s="16" t="s">
        <v>58</v>
      </c>
      <c r="E8" s="16"/>
      <c r="F8" s="44">
        <f>+'Upfront Costs'!E4</f>
        <v>4.0000000000000001E-3</v>
      </c>
      <c r="G8" s="7"/>
    </row>
    <row r="9" spans="1:8" x14ac:dyDescent="0.2">
      <c r="C9" s="7"/>
      <c r="D9" s="16" t="s">
        <v>77</v>
      </c>
      <c r="E9" s="16"/>
      <c r="F9" s="44">
        <f>1-'[1]Single-Tranche Amort (2.14.24)'!$D$21</f>
        <v>6.519999999998749E-5</v>
      </c>
      <c r="G9" s="7"/>
    </row>
    <row r="10" spans="1:8" x14ac:dyDescent="0.2">
      <c r="C10" s="7"/>
      <c r="D10" s="16" t="s">
        <v>59</v>
      </c>
      <c r="E10" s="16"/>
      <c r="F10" s="44">
        <f>+'Ongoing Costs'!E6</f>
        <v>5.0000000000000001E-4</v>
      </c>
      <c r="G10" s="7"/>
    </row>
    <row r="11" spans="1:8" x14ac:dyDescent="0.2">
      <c r="C11" s="10"/>
      <c r="D11" s="11" t="s">
        <v>66</v>
      </c>
      <c r="E11" s="11"/>
      <c r="F11" s="46">
        <f>+'Ongoing Costs'!E13</f>
        <v>8.8999999999999996E-2</v>
      </c>
      <c r="G11" s="7"/>
    </row>
    <row r="15" spans="1:8" x14ac:dyDescent="0.2">
      <c r="C15" s="3" t="s">
        <v>12</v>
      </c>
    </row>
    <row r="16" spans="1:8" x14ac:dyDescent="0.2">
      <c r="B16" s="4">
        <f>ROW()</f>
        <v>16</v>
      </c>
      <c r="C16" s="9"/>
      <c r="D16" s="5" t="s">
        <v>9</v>
      </c>
      <c r="E16" s="5"/>
      <c r="F16" s="34">
        <f>+'[2]Feb 2024 Estimate'!$F$25</f>
        <v>322951648.10000002</v>
      </c>
      <c r="G16" s="34">
        <f>+ROUND(F16,-3)</f>
        <v>322952000</v>
      </c>
      <c r="H16" s="6"/>
    </row>
    <row r="17" spans="2:9" x14ac:dyDescent="0.2">
      <c r="B17" s="4">
        <f>ROW()</f>
        <v>17</v>
      </c>
      <c r="C17" s="7"/>
      <c r="D17" s="16"/>
      <c r="E17" s="16"/>
      <c r="F17" s="35"/>
      <c r="G17" s="19"/>
      <c r="H17" s="8"/>
    </row>
    <row r="18" spans="2:9" x14ac:dyDescent="0.2">
      <c r="B18" s="4">
        <f>ROW()</f>
        <v>18</v>
      </c>
      <c r="C18" s="7"/>
      <c r="D18" s="16" t="s">
        <v>2</v>
      </c>
      <c r="E18" s="16"/>
      <c r="F18" s="42">
        <f>'Upfront Costs'!C3</f>
        <v>2393501</v>
      </c>
      <c r="G18" s="19">
        <f t="shared" ref="G18:G25" si="0">+ROUND(F18,-3)</f>
        <v>2394000</v>
      </c>
      <c r="H18" s="8"/>
      <c r="I18" s="16"/>
    </row>
    <row r="19" spans="2:9" x14ac:dyDescent="0.2">
      <c r="B19" s="4">
        <f>ROW()</f>
        <v>19</v>
      </c>
      <c r="C19" s="7"/>
      <c r="D19" s="16" t="s">
        <v>3</v>
      </c>
      <c r="E19" s="16"/>
      <c r="F19" s="42">
        <f>'Upfront Costs'!C5</f>
        <v>200000</v>
      </c>
      <c r="G19" s="19">
        <f t="shared" si="0"/>
        <v>200000</v>
      </c>
      <c r="H19" s="8"/>
      <c r="I19" s="16"/>
    </row>
    <row r="20" spans="2:9" x14ac:dyDescent="0.2">
      <c r="B20" s="4">
        <f>ROW()</f>
        <v>20</v>
      </c>
      <c r="C20" s="7"/>
      <c r="D20" s="16" t="s">
        <v>4</v>
      </c>
      <c r="E20" s="16"/>
      <c r="F20" s="42">
        <f>'Upfront Costs'!C6</f>
        <v>200000</v>
      </c>
      <c r="G20" s="19">
        <f t="shared" si="0"/>
        <v>200000</v>
      </c>
      <c r="H20" s="8"/>
      <c r="I20" s="16"/>
    </row>
    <row r="21" spans="2:9" x14ac:dyDescent="0.2">
      <c r="B21" s="4">
        <f>ROW()</f>
        <v>21</v>
      </c>
      <c r="C21" s="7"/>
      <c r="D21" s="16" t="s">
        <v>5</v>
      </c>
      <c r="E21" s="16"/>
      <c r="F21" s="42">
        <f>'Upfront Costs'!C7</f>
        <v>1043519</v>
      </c>
      <c r="G21" s="19">
        <f t="shared" si="0"/>
        <v>1044000</v>
      </c>
      <c r="H21" s="8"/>
      <c r="I21" s="16"/>
    </row>
    <row r="22" spans="2:9" x14ac:dyDescent="0.2">
      <c r="B22" s="4">
        <f>ROW()</f>
        <v>22</v>
      </c>
      <c r="C22" s="7"/>
      <c r="D22" s="16" t="s">
        <v>28</v>
      </c>
      <c r="E22" s="16"/>
      <c r="F22" s="35">
        <f>'Upfront Costs'!C8</f>
        <v>2213737.2200000002</v>
      </c>
      <c r="G22" s="19">
        <f t="shared" ref="G22" si="1">+ROUND(F22,-3)</f>
        <v>2214000</v>
      </c>
      <c r="H22" s="8"/>
      <c r="I22" s="16"/>
    </row>
    <row r="23" spans="2:9" x14ac:dyDescent="0.2">
      <c r="B23" s="4">
        <f>ROW()</f>
        <v>23</v>
      </c>
      <c r="C23" s="7"/>
      <c r="D23" s="16" t="s">
        <v>6</v>
      </c>
      <c r="E23" s="16"/>
      <c r="F23" s="35">
        <f>'Upfront Costs'!C9</f>
        <v>250000</v>
      </c>
      <c r="G23" s="19">
        <f t="shared" si="0"/>
        <v>250000</v>
      </c>
      <c r="H23" s="8"/>
      <c r="I23" s="16"/>
    </row>
    <row r="24" spans="2:9" x14ac:dyDescent="0.2">
      <c r="B24" s="4">
        <f>ROW()</f>
        <v>24</v>
      </c>
      <c r="C24" s="7"/>
      <c r="D24" s="16" t="s">
        <v>7</v>
      </c>
      <c r="E24" s="16"/>
      <c r="F24" s="42">
        <f>+'[1]Single-Tranche Amort (2.14.24)'!$D$13*F9</f>
        <v>21589.480399995857</v>
      </c>
      <c r="G24" s="19">
        <f>+F24</f>
        <v>21589.480399995857</v>
      </c>
      <c r="H24" s="8"/>
      <c r="I24" s="16"/>
    </row>
    <row r="25" spans="2:9" x14ac:dyDescent="0.2">
      <c r="B25" s="4">
        <f>ROW()</f>
        <v>25</v>
      </c>
      <c r="C25" s="7"/>
      <c r="D25" s="16" t="s">
        <v>16</v>
      </c>
      <c r="E25" s="16"/>
      <c r="F25" s="42">
        <f>+'Upfront Costs'!C13+'Upfront Costs'!C14</f>
        <v>410000</v>
      </c>
      <c r="G25" s="19">
        <f t="shared" si="0"/>
        <v>410000</v>
      </c>
      <c r="H25" s="8"/>
      <c r="I25" s="16"/>
    </row>
    <row r="26" spans="2:9" x14ac:dyDescent="0.2">
      <c r="B26" s="4">
        <f>ROW()</f>
        <v>26</v>
      </c>
      <c r="C26" s="7"/>
      <c r="D26" s="16" t="s">
        <v>8</v>
      </c>
      <c r="E26" s="16"/>
      <c r="F26" s="43">
        <f>'Upfront Costs'!C15</f>
        <v>68410.52</v>
      </c>
      <c r="G26" s="38">
        <f>+ROUND(F26,-3)-97.48</f>
        <v>67902.52</v>
      </c>
      <c r="H26" s="8"/>
    </row>
    <row r="27" spans="2:9" x14ac:dyDescent="0.2">
      <c r="B27" s="4">
        <f>ROW()</f>
        <v>27</v>
      </c>
      <c r="C27" s="7"/>
      <c r="D27" s="16"/>
      <c r="E27" s="18" t="s">
        <v>14</v>
      </c>
      <c r="F27" s="36">
        <f>SUM(F18:F26)</f>
        <v>6800757.2203999963</v>
      </c>
      <c r="G27" s="36">
        <f>SUM(G18:G26)</f>
        <v>6801492.0003999956</v>
      </c>
      <c r="H27" s="8"/>
      <c r="I27" s="16"/>
    </row>
    <row r="28" spans="2:9" x14ac:dyDescent="0.2">
      <c r="B28" s="4">
        <f>ROW()</f>
        <v>28</v>
      </c>
      <c r="C28" s="7"/>
      <c r="D28" s="16"/>
      <c r="E28" s="16"/>
      <c r="F28" s="35"/>
      <c r="G28" s="35"/>
      <c r="H28" s="8"/>
      <c r="I28" s="16"/>
    </row>
    <row r="29" spans="2:9" x14ac:dyDescent="0.2">
      <c r="B29" s="4">
        <f>ROW()</f>
        <v>29</v>
      </c>
      <c r="C29" s="7"/>
      <c r="D29" s="16" t="str">
        <f>"Underwriters Fees ("&amp;TEXT($F8,"0.0000%")&amp;")"</f>
        <v>Underwriters Fees (0.4000%)</v>
      </c>
      <c r="E29" s="16"/>
      <c r="F29" s="35"/>
      <c r="G29" s="35">
        <f>+SUM(G16,G27,G30)/(1-$F$8)*$F$8</f>
        <v>1324508.0000016065</v>
      </c>
      <c r="H29" s="8"/>
      <c r="I29" s="16"/>
    </row>
    <row r="30" spans="2:9" x14ac:dyDescent="0.2">
      <c r="B30" s="4">
        <f>ROW()</f>
        <v>30</v>
      </c>
      <c r="C30" s="7"/>
      <c r="D30" s="16" t="s">
        <v>18</v>
      </c>
      <c r="E30" s="16"/>
      <c r="F30" s="43">
        <f>'Upfront Costs'!C12</f>
        <v>48996.56</v>
      </c>
      <c r="G30" s="38">
        <f>+ROUND(F30,-3)</f>
        <v>49000</v>
      </c>
      <c r="H30" s="8"/>
      <c r="I30" s="16"/>
    </row>
    <row r="31" spans="2:9" x14ac:dyDescent="0.2">
      <c r="B31" s="4">
        <f>ROW()</f>
        <v>31</v>
      </c>
      <c r="C31" s="7"/>
      <c r="D31" s="16"/>
      <c r="E31" s="18" t="s">
        <v>15</v>
      </c>
      <c r="F31" s="36">
        <f>SUM(F29:F30)</f>
        <v>48996.56</v>
      </c>
      <c r="G31" s="36">
        <f>SUM(G29:G30)</f>
        <v>1373508.0000016065</v>
      </c>
      <c r="H31" s="8"/>
      <c r="I31" s="16"/>
    </row>
    <row r="32" spans="2:9" x14ac:dyDescent="0.2">
      <c r="B32" s="4">
        <f>ROW()</f>
        <v>32</v>
      </c>
      <c r="C32" s="7"/>
      <c r="D32" s="16"/>
      <c r="E32" s="16"/>
      <c r="F32" s="20"/>
      <c r="G32" s="35"/>
      <c r="H32" s="8"/>
      <c r="I32" s="16"/>
    </row>
    <row r="33" spans="2:9" x14ac:dyDescent="0.2">
      <c r="B33" s="4">
        <f>ROW()</f>
        <v>33</v>
      </c>
      <c r="C33" s="12"/>
      <c r="D33" s="13" t="s">
        <v>13</v>
      </c>
      <c r="E33" s="13"/>
      <c r="F33" s="14"/>
      <c r="G33" s="37">
        <f>SUM(G27,G31)</f>
        <v>8175000.0004016021</v>
      </c>
      <c r="H33" s="15"/>
      <c r="I33" s="16"/>
    </row>
    <row r="34" spans="2:9" x14ac:dyDescent="0.2">
      <c r="F34" s="16"/>
      <c r="G34" s="16"/>
      <c r="H34" s="16"/>
      <c r="I34" s="16"/>
    </row>
    <row r="35" spans="2:9" x14ac:dyDescent="0.2">
      <c r="F35" s="16"/>
      <c r="G35" s="16"/>
      <c r="H35" s="17"/>
      <c r="I35" s="17"/>
    </row>
    <row r="36" spans="2:9" x14ac:dyDescent="0.2">
      <c r="C36" s="3" t="s">
        <v>56</v>
      </c>
    </row>
    <row r="37" spans="2:9" x14ac:dyDescent="0.2">
      <c r="B37" s="4">
        <f>ROW()</f>
        <v>37</v>
      </c>
      <c r="C37" s="9"/>
      <c r="D37" s="5" t="s">
        <v>57</v>
      </c>
      <c r="E37" s="5"/>
      <c r="F37" s="34">
        <f>+'[2]Feb 2024 Estimate'!$G$28</f>
        <v>331127000.00040162</v>
      </c>
      <c r="G37" s="34">
        <f>+ROUND(F37,-3)</f>
        <v>331127000</v>
      </c>
      <c r="H37" s="6"/>
    </row>
    <row r="38" spans="2:9" x14ac:dyDescent="0.2">
      <c r="B38" s="4">
        <f>ROW()</f>
        <v>38</v>
      </c>
      <c r="C38" s="7"/>
      <c r="D38" s="16"/>
      <c r="E38" s="16"/>
      <c r="F38" s="35"/>
      <c r="G38" s="19"/>
      <c r="H38" s="8"/>
    </row>
    <row r="39" spans="2:9" x14ac:dyDescent="0.2">
      <c r="B39" s="4">
        <f>ROW()</f>
        <v>39</v>
      </c>
      <c r="C39" s="7"/>
      <c r="D39" s="16" t="s">
        <v>45</v>
      </c>
      <c r="E39" s="16"/>
      <c r="F39" s="35">
        <f>+F37*F10</f>
        <v>165563.50000020082</v>
      </c>
      <c r="G39" s="19">
        <f>+F39</f>
        <v>165563.50000020082</v>
      </c>
      <c r="H39" s="8"/>
    </row>
    <row r="40" spans="2:9" x14ac:dyDescent="0.2">
      <c r="B40" s="4">
        <f>ROW()</f>
        <v>40</v>
      </c>
      <c r="C40" s="7"/>
      <c r="D40" s="16" t="s">
        <v>60</v>
      </c>
      <c r="E40" s="16"/>
      <c r="F40" s="42">
        <f>+'Ongoing Costs'!C7</f>
        <v>50000</v>
      </c>
      <c r="G40" s="19">
        <f t="shared" ref="G40:G47" si="2">+ROUND(F40,-3)</f>
        <v>50000</v>
      </c>
      <c r="H40" s="8"/>
    </row>
    <row r="41" spans="2:9" x14ac:dyDescent="0.2">
      <c r="B41" s="4">
        <f>ROW()</f>
        <v>41</v>
      </c>
      <c r="C41" s="7"/>
      <c r="D41" s="16" t="s">
        <v>61</v>
      </c>
      <c r="E41" s="16"/>
      <c r="F41" s="42">
        <f>+'Ongoing Costs'!C8</f>
        <v>5500</v>
      </c>
      <c r="G41" s="19">
        <f t="shared" si="2"/>
        <v>6000</v>
      </c>
      <c r="H41" s="8"/>
    </row>
    <row r="42" spans="2:9" x14ac:dyDescent="0.2">
      <c r="B42" s="4">
        <f>ROW()</f>
        <v>42</v>
      </c>
      <c r="C42" s="7"/>
      <c r="D42" s="16" t="s">
        <v>62</v>
      </c>
      <c r="E42" s="16"/>
      <c r="F42" s="42">
        <f>+'Ongoing Costs'!C9</f>
        <v>75000</v>
      </c>
      <c r="G42" s="19">
        <f t="shared" si="2"/>
        <v>75000</v>
      </c>
      <c r="H42" s="8"/>
    </row>
    <row r="43" spans="2:9" x14ac:dyDescent="0.2">
      <c r="B43" s="4">
        <f>ROW()</f>
        <v>43</v>
      </c>
      <c r="C43" s="7"/>
      <c r="D43" s="16" t="s">
        <v>2</v>
      </c>
      <c r="E43" s="16"/>
      <c r="F43" s="42">
        <f>+'Ongoing Costs'!C10</f>
        <v>25000</v>
      </c>
      <c r="G43" s="19">
        <f t="shared" si="2"/>
        <v>25000</v>
      </c>
      <c r="H43" s="8"/>
    </row>
    <row r="44" spans="2:9" x14ac:dyDescent="0.2">
      <c r="B44" s="4">
        <f>ROW()</f>
        <v>44</v>
      </c>
      <c r="C44" s="7"/>
      <c r="D44" s="16" t="s">
        <v>63</v>
      </c>
      <c r="E44" s="16"/>
      <c r="F44" s="42">
        <f>SUM('Ongoing Costs'!C11:C12)</f>
        <v>48000</v>
      </c>
      <c r="G44" s="19">
        <f t="shared" si="2"/>
        <v>48000</v>
      </c>
      <c r="H44" s="8"/>
    </row>
    <row r="45" spans="2:9" x14ac:dyDescent="0.2">
      <c r="B45" s="4">
        <f>ROW()</f>
        <v>45</v>
      </c>
      <c r="C45" s="7"/>
      <c r="D45" s="16" t="s">
        <v>64</v>
      </c>
      <c r="E45" s="16"/>
      <c r="F45" s="42">
        <f>+F37*$F$11*0.5%</f>
        <v>147351.51500017871</v>
      </c>
      <c r="G45" s="19">
        <f t="shared" si="2"/>
        <v>147000</v>
      </c>
      <c r="H45" s="8"/>
    </row>
    <row r="46" spans="2:9" x14ac:dyDescent="0.2">
      <c r="B46" s="4">
        <f>ROW()</f>
        <v>46</v>
      </c>
      <c r="C46" s="7"/>
      <c r="D46" s="16" t="s">
        <v>52</v>
      </c>
      <c r="E46" s="16"/>
      <c r="F46" s="42">
        <f>+'Ongoing Costs'!C14</f>
        <v>10000</v>
      </c>
      <c r="G46" s="19">
        <f t="shared" si="2"/>
        <v>10000</v>
      </c>
      <c r="H46" s="8"/>
    </row>
    <row r="47" spans="2:9" x14ac:dyDescent="0.2">
      <c r="B47" s="4">
        <f>ROW()</f>
        <v>47</v>
      </c>
      <c r="C47" s="7"/>
      <c r="D47" s="16" t="s">
        <v>65</v>
      </c>
      <c r="E47" s="16"/>
      <c r="F47" s="42">
        <f>+'Ongoing Costs'!C15</f>
        <v>3650</v>
      </c>
      <c r="G47" s="19">
        <f t="shared" si="2"/>
        <v>4000</v>
      </c>
      <c r="H47" s="8"/>
    </row>
    <row r="48" spans="2:9" x14ac:dyDescent="0.2">
      <c r="B48" s="4">
        <f>ROW()</f>
        <v>48</v>
      </c>
      <c r="C48" s="7"/>
      <c r="D48" s="16" t="s">
        <v>8</v>
      </c>
      <c r="E48" s="16"/>
      <c r="F48" s="42">
        <f>+'Ongoing Costs'!C16</f>
        <v>10000</v>
      </c>
      <c r="G48" s="38">
        <f>+ROUND(F48,-3)-564</f>
        <v>9436</v>
      </c>
      <c r="H48" s="8"/>
    </row>
    <row r="49" spans="2:8" x14ac:dyDescent="0.2">
      <c r="B49" s="4">
        <f>ROW()</f>
        <v>49</v>
      </c>
      <c r="C49" s="12"/>
      <c r="D49" s="33"/>
      <c r="E49" s="13" t="s">
        <v>67</v>
      </c>
      <c r="F49" s="37"/>
      <c r="G49" s="37">
        <f>SUM(G39:G48)</f>
        <v>539999.50000020082</v>
      </c>
      <c r="H49" s="15"/>
    </row>
  </sheetData>
  <pageMargins left="0.7" right="0.7" top="0.75" bottom="0.75" header="0.3" footer="0.3"/>
  <pageSetup orientation="portrait" r:id="rId1"/>
  <headerFooter>
    <oddFooter xml:space="preserve">&amp;R_x000D_&amp;1#&amp;"Calibri"&amp;10&amp;KA80000 Internal Use Only </oddFooter>
  </headerFooter>
  <ignoredErrors>
    <ignoredError sqref="G24" formula="1"/>
    <ignoredError sqref="F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F8CA-2769-4B23-B114-953BB6BE59D8}">
  <dimension ref="A1:X26"/>
  <sheetViews>
    <sheetView workbookViewId="0">
      <selection sqref="A1:XFD1"/>
    </sheetView>
  </sheetViews>
  <sheetFormatPr defaultRowHeight="15" x14ac:dyDescent="0.25"/>
  <cols>
    <col min="1" max="1" width="12.42578125" customWidth="1"/>
    <col min="2" max="2" width="50" customWidth="1"/>
    <col min="3" max="3" width="17.42578125" style="24" customWidth="1"/>
    <col min="4" max="4" width="17" customWidth="1"/>
    <col min="5" max="5" width="15.85546875" customWidth="1"/>
    <col min="6" max="6" width="15" customWidth="1"/>
    <col min="7" max="7" width="42.140625" customWidth="1"/>
    <col min="8" max="11" width="14.5703125" style="24" customWidth="1"/>
    <col min="12" max="12" width="15.5703125" customWidth="1"/>
  </cols>
  <sheetData>
    <row r="1" spans="1:24" ht="21" customHeight="1" x14ac:dyDescent="0.25">
      <c r="B1" s="21" t="s">
        <v>68</v>
      </c>
      <c r="C1" s="22"/>
      <c r="D1" s="23"/>
    </row>
    <row r="2" spans="1:24" x14ac:dyDescent="0.25">
      <c r="I2" s="41" t="s">
        <v>74</v>
      </c>
      <c r="J2" s="41" t="s">
        <v>75</v>
      </c>
      <c r="K2" s="41" t="s">
        <v>1</v>
      </c>
    </row>
    <row r="3" spans="1:24" ht="18" customHeight="1" x14ac:dyDescent="0.25">
      <c r="B3" t="s">
        <v>19</v>
      </c>
      <c r="C3" s="24">
        <f>L6</f>
        <v>2393501</v>
      </c>
      <c r="G3" t="s">
        <v>20</v>
      </c>
      <c r="I3" s="48">
        <v>510132</v>
      </c>
      <c r="J3" s="48">
        <f>129747+388977</f>
        <v>518724</v>
      </c>
      <c r="K3" s="24">
        <f>+I3+J3</f>
        <v>1028856</v>
      </c>
      <c r="N3" s="25" t="s">
        <v>76</v>
      </c>
    </row>
    <row r="4" spans="1:24" ht="18" customHeight="1" x14ac:dyDescent="0.25">
      <c r="A4" s="26"/>
      <c r="B4" t="s">
        <v>21</v>
      </c>
      <c r="C4" s="24">
        <f>+D4*E4</f>
        <v>1324508</v>
      </c>
      <c r="D4" s="49">
        <f>+'[1]Single-Tranche Amort (2.14.24)'!$D$13</f>
        <v>331127000</v>
      </c>
      <c r="E4" s="47">
        <v>4.0000000000000001E-3</v>
      </c>
      <c r="G4" t="s">
        <v>22</v>
      </c>
      <c r="I4" s="48">
        <v>415710</v>
      </c>
      <c r="J4" s="48">
        <f>137048+46831+225000</f>
        <v>408879</v>
      </c>
      <c r="K4" s="24">
        <f t="shared" ref="K4" si="0">+I4+J4</f>
        <v>824589</v>
      </c>
    </row>
    <row r="5" spans="1:24" ht="18" customHeight="1" x14ac:dyDescent="0.25">
      <c r="B5" t="s">
        <v>23</v>
      </c>
      <c r="C5" s="48">
        <v>200000</v>
      </c>
      <c r="G5" t="s">
        <v>24</v>
      </c>
      <c r="I5" s="48">
        <v>40056</v>
      </c>
      <c r="J5" s="48"/>
      <c r="K5" s="24">
        <f>+I5+J5</f>
        <v>40056</v>
      </c>
    </row>
    <row r="6" spans="1:24" ht="18" customHeight="1" x14ac:dyDescent="0.25">
      <c r="B6" t="s">
        <v>25</v>
      </c>
      <c r="C6" s="48">
        <v>200000</v>
      </c>
      <c r="G6" t="s">
        <v>26</v>
      </c>
      <c r="K6" s="48">
        <v>500000</v>
      </c>
      <c r="L6" s="27">
        <f>SUM(K3:K6)</f>
        <v>2393501</v>
      </c>
    </row>
    <row r="7" spans="1:24" ht="18" customHeight="1" x14ac:dyDescent="0.25">
      <c r="B7" t="s">
        <v>27</v>
      </c>
      <c r="C7" s="24">
        <f>+H17</f>
        <v>1043519</v>
      </c>
    </row>
    <row r="8" spans="1:24" ht="18" customHeight="1" x14ac:dyDescent="0.25">
      <c r="B8" t="s">
        <v>28</v>
      </c>
      <c r="C8" s="24">
        <f>+K8</f>
        <v>2213737.2200000002</v>
      </c>
      <c r="G8" t="s">
        <v>29</v>
      </c>
      <c r="I8" s="48">
        <v>1653835</v>
      </c>
      <c r="J8" s="24">
        <f>+K8-I8</f>
        <v>559902.2200000002</v>
      </c>
      <c r="K8" s="48">
        <f>1560484+650000+1825.5+1427.72</f>
        <v>2213737.2200000002</v>
      </c>
      <c r="L8" s="27"/>
    </row>
    <row r="9" spans="1:24" ht="18" customHeight="1" x14ac:dyDescent="0.25">
      <c r="B9" t="s">
        <v>30</v>
      </c>
      <c r="C9" s="24">
        <f>+K10</f>
        <v>250000</v>
      </c>
      <c r="F9" s="28"/>
      <c r="G9" s="29" t="s">
        <v>31</v>
      </c>
    </row>
    <row r="10" spans="1:24" ht="18" customHeight="1" x14ac:dyDescent="0.25">
      <c r="B10" t="s">
        <v>7</v>
      </c>
      <c r="C10" s="51">
        <f>+ROUND(D4*E10,2)</f>
        <v>21589.48</v>
      </c>
      <c r="E10" s="50">
        <f>1-'[1]Single-Tranche Amort (2.14.24)'!$D$21</f>
        <v>6.519999999998749E-5</v>
      </c>
      <c r="G10" t="s">
        <v>32</v>
      </c>
      <c r="I10" s="24">
        <v>156250</v>
      </c>
      <c r="J10" s="24">
        <f>+K10-I10</f>
        <v>93750</v>
      </c>
      <c r="K10" s="48">
        <v>250000</v>
      </c>
      <c r="L10" s="27">
        <f>SUM(K8:K10)</f>
        <v>2463737.2200000002</v>
      </c>
    </row>
    <row r="12" spans="1:24" ht="18" customHeight="1" x14ac:dyDescent="0.25">
      <c r="B12" t="s">
        <v>33</v>
      </c>
      <c r="C12" s="24">
        <f>+H12</f>
        <v>48996.56</v>
      </c>
      <c r="G12" s="25" t="s">
        <v>34</v>
      </c>
      <c r="H12" s="27">
        <f>SUM(H13:H14)</f>
        <v>48996.56</v>
      </c>
    </row>
    <row r="13" spans="1:24" ht="18" customHeight="1" x14ac:dyDescent="0.25">
      <c r="B13" t="s">
        <v>35</v>
      </c>
      <c r="C13" s="30">
        <f>+MAX(210000,D13)</f>
        <v>210000</v>
      </c>
      <c r="D13" s="30">
        <f>+E13*D4</f>
        <v>190398.02499999999</v>
      </c>
      <c r="E13" s="47">
        <v>5.7499999999999999E-4</v>
      </c>
      <c r="G13" t="s">
        <v>36</v>
      </c>
      <c r="H13" s="48">
        <v>200</v>
      </c>
    </row>
    <row r="14" spans="1:24" ht="18" customHeight="1" x14ac:dyDescent="0.25">
      <c r="B14" t="s">
        <v>37</v>
      </c>
      <c r="C14" s="30">
        <f>MAX(200000,D14)</f>
        <v>200000</v>
      </c>
      <c r="D14" s="30">
        <f>+E14*D4</f>
        <v>190398.02499999999</v>
      </c>
      <c r="E14" s="47">
        <v>5.7499999999999999E-4</v>
      </c>
      <c r="G14" t="s">
        <v>38</v>
      </c>
      <c r="H14" s="48">
        <v>48796.56</v>
      </c>
      <c r="X14" s="25"/>
    </row>
    <row r="15" spans="1:24" ht="18" customHeight="1" x14ac:dyDescent="0.25">
      <c r="B15" t="s">
        <v>8</v>
      </c>
      <c r="C15" s="48">
        <f>90000-C10</f>
        <v>68410.52</v>
      </c>
    </row>
    <row r="16" spans="1:24" x14ac:dyDescent="0.25">
      <c r="G16" t="s">
        <v>39</v>
      </c>
      <c r="H16" s="48">
        <v>4000</v>
      </c>
    </row>
    <row r="17" spans="2:8" x14ac:dyDescent="0.25">
      <c r="G17" t="s">
        <v>40</v>
      </c>
      <c r="H17" s="48">
        <v>1043519</v>
      </c>
    </row>
    <row r="18" spans="2:8" x14ac:dyDescent="0.25">
      <c r="B18" s="25" t="s">
        <v>73</v>
      </c>
    </row>
    <row r="19" spans="2:8" x14ac:dyDescent="0.25">
      <c r="B19" t="s">
        <v>71</v>
      </c>
      <c r="C19" s="48">
        <v>9000</v>
      </c>
    </row>
    <row r="20" spans="2:8" x14ac:dyDescent="0.25">
      <c r="B20" t="s">
        <v>72</v>
      </c>
      <c r="C20" s="48">
        <v>20000</v>
      </c>
    </row>
    <row r="25" spans="2:8" x14ac:dyDescent="0.25">
      <c r="B25" s="25"/>
      <c r="C25" s="27"/>
      <c r="D25" s="26"/>
    </row>
    <row r="26" spans="2:8" x14ac:dyDescent="0.25">
      <c r="C26" s="27"/>
      <c r="D26" s="2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CABA-59C1-4C79-A816-E55D3F73E936}">
  <dimension ref="B1:H21"/>
  <sheetViews>
    <sheetView workbookViewId="0"/>
  </sheetViews>
  <sheetFormatPr defaultRowHeight="15" x14ac:dyDescent="0.25"/>
  <cols>
    <col min="1" max="1" width="12" customWidth="1"/>
    <col min="2" max="2" width="39.42578125" customWidth="1"/>
    <col min="3" max="3" width="15.5703125" style="24" customWidth="1"/>
    <col min="4" max="4" width="13.42578125" customWidth="1"/>
    <col min="6" max="6" width="15.42578125" customWidth="1"/>
  </cols>
  <sheetData>
    <row r="1" spans="2:8" x14ac:dyDescent="0.25">
      <c r="C1" s="32" t="s">
        <v>55</v>
      </c>
      <c r="D1" s="32" t="s">
        <v>17</v>
      </c>
    </row>
    <row r="2" spans="2:8" x14ac:dyDescent="0.25">
      <c r="F2" s="28">
        <f>+'[1]Single-Tranche Amort (2.14.24)'!$D$13</f>
        <v>331127000</v>
      </c>
      <c r="G2" t="s">
        <v>41</v>
      </c>
    </row>
    <row r="3" spans="2:8" x14ac:dyDescent="0.25">
      <c r="B3" s="31" t="s">
        <v>42</v>
      </c>
      <c r="C3" s="22">
        <f>SUM(C4:C16)</f>
        <v>540065.01500000001</v>
      </c>
      <c r="D3" s="22">
        <f>SUM(D4:D16)</f>
        <v>540175.5</v>
      </c>
      <c r="F3" s="52">
        <f>F2*0.5%</f>
        <v>1655635</v>
      </c>
      <c r="G3" t="s">
        <v>43</v>
      </c>
    </row>
    <row r="5" spans="2:8" x14ac:dyDescent="0.25">
      <c r="H5" s="25" t="s">
        <v>44</v>
      </c>
    </row>
    <row r="6" spans="2:8" x14ac:dyDescent="0.25">
      <c r="B6" t="s">
        <v>45</v>
      </c>
      <c r="C6" s="24">
        <f>+E6*F2</f>
        <v>165563.5</v>
      </c>
      <c r="D6" s="24">
        <f>+C6</f>
        <v>165563.5</v>
      </c>
      <c r="E6" s="53">
        <v>5.0000000000000001E-4</v>
      </c>
    </row>
    <row r="7" spans="2:8" x14ac:dyDescent="0.25">
      <c r="B7" t="s">
        <v>46</v>
      </c>
      <c r="C7" s="48">
        <v>50000</v>
      </c>
      <c r="D7" s="24">
        <f t="shared" ref="D7:D15" si="0">ROUND(C7,-3)</f>
        <v>50000</v>
      </c>
    </row>
    <row r="8" spans="2:8" x14ac:dyDescent="0.25">
      <c r="B8" t="s">
        <v>47</v>
      </c>
      <c r="C8" s="48">
        <v>5500</v>
      </c>
      <c r="D8" s="24">
        <f t="shared" si="0"/>
        <v>6000</v>
      </c>
    </row>
    <row r="9" spans="2:8" x14ac:dyDescent="0.25">
      <c r="B9" t="s">
        <v>48</v>
      </c>
      <c r="C9" s="48">
        <v>75000</v>
      </c>
      <c r="D9" s="24">
        <f t="shared" si="0"/>
        <v>75000</v>
      </c>
    </row>
    <row r="10" spans="2:8" x14ac:dyDescent="0.25">
      <c r="B10" t="s">
        <v>2</v>
      </c>
      <c r="C10" s="48">
        <v>25000</v>
      </c>
      <c r="D10" s="24">
        <f t="shared" si="0"/>
        <v>25000</v>
      </c>
    </row>
    <row r="11" spans="2:8" x14ac:dyDescent="0.25">
      <c r="B11" t="s">
        <v>49</v>
      </c>
      <c r="C11" s="48">
        <v>28000</v>
      </c>
      <c r="D11" s="24">
        <f t="shared" si="0"/>
        <v>28000</v>
      </c>
    </row>
    <row r="12" spans="2:8" x14ac:dyDescent="0.25">
      <c r="B12" t="s">
        <v>50</v>
      </c>
      <c r="C12" s="48">
        <v>20000</v>
      </c>
      <c r="D12" s="24">
        <f t="shared" si="0"/>
        <v>20000</v>
      </c>
    </row>
    <row r="13" spans="2:8" x14ac:dyDescent="0.25">
      <c r="B13" t="s">
        <v>51</v>
      </c>
      <c r="C13" s="24">
        <f>+E13*F3</f>
        <v>147351.51499999998</v>
      </c>
      <c r="D13" s="24">
        <f t="shared" si="0"/>
        <v>147000</v>
      </c>
      <c r="E13" s="54">
        <v>8.8999999999999996E-2</v>
      </c>
    </row>
    <row r="14" spans="2:8" x14ac:dyDescent="0.25">
      <c r="B14" t="s">
        <v>52</v>
      </c>
      <c r="C14" s="48">
        <v>10000</v>
      </c>
      <c r="D14" s="24">
        <f t="shared" si="0"/>
        <v>10000</v>
      </c>
    </row>
    <row r="15" spans="2:8" x14ac:dyDescent="0.25">
      <c r="B15" t="s">
        <v>53</v>
      </c>
      <c r="C15" s="48">
        <v>3650</v>
      </c>
      <c r="D15" s="24">
        <f t="shared" si="0"/>
        <v>4000</v>
      </c>
    </row>
    <row r="16" spans="2:8" x14ac:dyDescent="0.25">
      <c r="B16" t="s">
        <v>54</v>
      </c>
      <c r="C16" s="48">
        <v>10000</v>
      </c>
      <c r="D16" s="24">
        <f>ROUND(C16,-3)-388</f>
        <v>9612</v>
      </c>
    </row>
    <row r="18" spans="2:4" x14ac:dyDescent="0.25">
      <c r="D18" s="24"/>
    </row>
    <row r="21" spans="2:4" x14ac:dyDescent="0.25">
      <c r="B21" s="25"/>
      <c r="C21" s="27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Summaries</vt:lpstr>
      <vt:lpstr>Upfront Costs</vt:lpstr>
      <vt:lpstr>Ongoing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Ley</dc:creator>
  <cp:lastModifiedBy>Geoffrey Ley</cp:lastModifiedBy>
  <dcterms:created xsi:type="dcterms:W3CDTF">2023-12-15T03:00:12Z</dcterms:created>
  <dcterms:modified xsi:type="dcterms:W3CDTF">2024-02-15T06:10:47Z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etDate">
    <vt:lpwstr>2023-12-15T03:18:16Z</vt:lpwstr>
  </property>
  <property fmtid="{D5CDD505-2E9C-101B-9397-08002B2CF9AE}" pid="4" name="MSIP_Label_d275ac46-98b9-4d64-949f-e82ee8dc823c_Method">
    <vt:lpwstr>Standard</vt:lpwstr>
  </property>
  <property fmtid="{D5CDD505-2E9C-101B-9397-08002B2CF9AE}" pid="5" name="MSIP_Label_d275ac46-98b9-4d64-949f-e82ee8dc823c_Name">
    <vt:lpwstr>d275ac46-98b9-4d64-949f-e82ee8dc823c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ActionId">
    <vt:lpwstr>55dc2116-49ca-436e-8feb-e0a0470c094b</vt:lpwstr>
  </property>
  <property fmtid="{D5CDD505-2E9C-101B-9397-08002B2CF9AE}" pid="8" name="MSIP_Label_d275ac46-98b9-4d64-949f-e82ee8dc823c_ContentBits">
    <vt:lpwstr>3</vt:lpwstr>
  </property>
  <property fmtid="{D5CDD505-2E9C-101B-9397-08002B2CF9AE}" pid="9" name="MSIP_Label_dd181445-6ec4-4473-9810-00785f082df0_Enabled">
    <vt:lpwstr>true</vt:lpwstr>
  </property>
  <property fmtid="{D5CDD505-2E9C-101B-9397-08002B2CF9AE}" pid="10" name="MSIP_Label_dd181445-6ec4-4473-9810-00785f082df0_SetDate">
    <vt:lpwstr>2024-01-29T18:51:36Z</vt:lpwstr>
  </property>
  <property fmtid="{D5CDD505-2E9C-101B-9397-08002B2CF9AE}" pid="11" name="MSIP_Label_dd181445-6ec4-4473-9810-00785f082df0_Method">
    <vt:lpwstr>Privileged</vt:lpwstr>
  </property>
  <property fmtid="{D5CDD505-2E9C-101B-9397-08002B2CF9AE}" pid="12" name="MSIP_Label_dd181445-6ec4-4473-9810-00785f082df0_Name">
    <vt:lpwstr>Internal</vt:lpwstr>
  </property>
  <property fmtid="{D5CDD505-2E9C-101B-9397-08002B2CF9AE}" pid="13" name="MSIP_Label_dd181445-6ec4-4473-9810-00785f082df0_SiteId">
    <vt:lpwstr>1771ae17-e764-4e0f-a476-d4184d79a5d9</vt:lpwstr>
  </property>
  <property fmtid="{D5CDD505-2E9C-101B-9397-08002B2CF9AE}" pid="14" name="MSIP_Label_dd181445-6ec4-4473-9810-00785f082df0_ActionId">
    <vt:lpwstr>20c5fb95-5da3-454f-a86b-b14768595f3b</vt:lpwstr>
  </property>
  <property fmtid="{D5CDD505-2E9C-101B-9397-08002B2CF9AE}" pid="15" name="MSIP_Label_dd181445-6ec4-4473-9810-00785f082df0_ContentBits">
    <vt:lpwstr>0</vt:lpwstr>
  </property>
  <property fmtid="{D5CDD505-2E9C-101B-9397-08002B2CF9AE}" pid="16" name="SV_QUERY_LIST_4F35BF76-6C0D-4D9B-82B2-816C12CF3733">
    <vt:lpwstr>empty_477D106A-C0D6-4607-AEBD-E2C9D60EA279</vt:lpwstr>
  </property>
  <property fmtid="{D5CDD505-2E9C-101B-9397-08002B2CF9AE}" pid="17" name="SV_HIDDEN_GRID_QUERY_LIST_4F35BF76-6C0D-4D9B-82B2-816C12CF3733">
    <vt:lpwstr>empty_477D106A-C0D6-4607-AEBD-E2C9D60EA279</vt:lpwstr>
  </property>
</Properties>
</file>