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egal_Data\COMMON\REGULATORY\MPSC\EO-2023-0369 Metro MEEIA 4\Direct\MEEIA 4 Report\"/>
    </mc:Choice>
  </mc:AlternateContent>
  <xr:revisionPtr revIDLastSave="0" documentId="13_ncr:1_{0A9D1709-B9AA-43AD-BD90-26C0771A71F9}" xr6:coauthVersionLast="47" xr6:coauthVersionMax="47" xr10:uidLastSave="{00000000-0000-0000-0000-000000000000}"/>
  <bookViews>
    <workbookView xWindow="-120" yWindow="-120" windowWidth="29040" windowHeight="15840" xr2:uid="{E593B4B8-DC13-45AF-BAC8-9283D1057314}"/>
  </bookViews>
  <sheets>
    <sheet name="EO Table" sheetId="1" r:id="rId1"/>
  </sheets>
  <externalReferences>
    <externalReference r:id="rId2"/>
  </externalReferences>
  <definedNames>
    <definedName name="Juris">'[1]Main Inputs'!$C$5</definedName>
    <definedName name="Label_Range">OFFSET(#REF!,0,0,,#REF!)</definedName>
    <definedName name="LL" localSheetId="0">#REF!</definedName>
    <definedName name="LLF" localSheetId="0">#REF!</definedName>
    <definedName name="Non_Res_Pie_Labels">OFFSET(#REF!,0,0,#REF!)</definedName>
    <definedName name="Non_Res_Pie_Values">OFFSET(#REF!,0,0,#REF!)</definedName>
    <definedName name="Non_res_rec">OFFSET(#REF!,0,0,#REF!,#REF!)</definedName>
    <definedName name="Non_Res_rider">OFFSET(#REF!,0,0,#REF!,#REF!)</definedName>
    <definedName name="Res_Pie_Labels">OFFSET(#REF!,0,0,#REF!)</definedName>
    <definedName name="Res_Pie_Values">OFFSET(#REF!,0,0,#REF!)</definedName>
    <definedName name="Res_rider">OFFSET(#REF!,0,0,#REF!,#REF!)</definedName>
    <definedName name="StartDate">'[1]Main Inputs'!$C$7</definedName>
    <definedName name="StYr">'[1]Main Inputs'!$C$6</definedName>
    <definedName name="Total_Pie_Label">OFFSET(#REF!,0,0,#REF!)</definedName>
    <definedName name="Total_Pie_Value">OFFSET(#REF!,0,0,#REF!)</definedName>
    <definedName name="TRUEUP" localSheetId="0">'[1]Main Inputs'!$C$28</definedName>
    <definedName name="WACC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" i="1" l="1"/>
  <c r="AE8" i="1"/>
  <c r="AE10" i="1"/>
  <c r="AE12" i="1"/>
  <c r="M12" i="1"/>
  <c r="Z10" i="1"/>
  <c r="R10" i="1"/>
  <c r="J10" i="1"/>
  <c r="Z8" i="1"/>
  <c r="R8" i="1"/>
  <c r="J8" i="1"/>
  <c r="F8" i="1"/>
  <c r="M8" i="1"/>
  <c r="N8" i="1" l="1"/>
  <c r="U8" i="1"/>
  <c r="U12" i="1"/>
  <c r="N12" i="1"/>
  <c r="J6" i="1"/>
  <c r="R6" i="1"/>
  <c r="Z6" i="1"/>
  <c r="F12" i="1"/>
  <c r="F10" i="1"/>
  <c r="M10" i="1"/>
  <c r="M6" i="1"/>
  <c r="F6" i="1"/>
  <c r="J12" i="1"/>
  <c r="R12" i="1"/>
  <c r="Z12" i="1"/>
  <c r="AC8" i="1" l="1"/>
  <c r="V8" i="1"/>
  <c r="AF10" i="1"/>
  <c r="AE14" i="1"/>
  <c r="AF6" i="1"/>
  <c r="AF8" i="1"/>
  <c r="C12" i="1"/>
  <c r="AF12" i="1"/>
  <c r="AC12" i="1"/>
  <c r="V12" i="1"/>
  <c r="N6" i="1"/>
  <c r="U6" i="1"/>
  <c r="N10" i="1"/>
  <c r="U10" i="1"/>
  <c r="G12" i="1" l="1"/>
  <c r="K12" i="1"/>
  <c r="AA12" i="1"/>
  <c r="O12" i="1"/>
  <c r="S12" i="1"/>
  <c r="AD8" i="1"/>
  <c r="W12" i="1"/>
  <c r="AD12" i="1"/>
  <c r="AF14" i="1"/>
  <c r="V6" i="1"/>
  <c r="AC6" i="1"/>
  <c r="C8" i="1"/>
  <c r="V10" i="1"/>
  <c r="AC10" i="1"/>
  <c r="AB12" i="1" l="1"/>
  <c r="G8" i="1"/>
  <c r="S8" i="1"/>
  <c r="AA8" i="1"/>
  <c r="K8" i="1"/>
  <c r="O8" i="1"/>
  <c r="W8" i="1"/>
  <c r="L12" i="1"/>
  <c r="P12" i="1"/>
  <c r="H12" i="1"/>
  <c r="AD6" i="1"/>
  <c r="C6" i="1"/>
  <c r="AD10" i="1"/>
  <c r="C10" i="1"/>
  <c r="X12" i="1"/>
  <c r="T12" i="1"/>
  <c r="AA6" i="1" l="1"/>
  <c r="S6" i="1"/>
  <c r="K6" i="1"/>
  <c r="G6" i="1"/>
  <c r="O6" i="1"/>
  <c r="W6" i="1"/>
  <c r="AB8" i="1"/>
  <c r="T8" i="1"/>
  <c r="G10" i="1"/>
  <c r="S10" i="1"/>
  <c r="K10" i="1"/>
  <c r="AA10" i="1"/>
  <c r="O10" i="1"/>
  <c r="W10" i="1"/>
  <c r="H8" i="1"/>
  <c r="X8" i="1"/>
  <c r="L8" i="1"/>
  <c r="P8" i="1"/>
  <c r="O14" i="1" l="1"/>
  <c r="P6" i="1"/>
  <c r="AB10" i="1"/>
  <c r="T6" i="1"/>
  <c r="S14" i="1"/>
  <c r="AB6" i="1"/>
  <c r="AA14" i="1"/>
  <c r="W14" i="1"/>
  <c r="X6" i="1"/>
  <c r="G14" i="1"/>
  <c r="H6" i="1"/>
  <c r="P10" i="1"/>
  <c r="L10" i="1"/>
  <c r="T10" i="1"/>
  <c r="X10" i="1"/>
  <c r="K14" i="1"/>
  <c r="L6" i="1"/>
  <c r="H10" i="1"/>
  <c r="AB14" i="1" l="1"/>
  <c r="H14" i="1"/>
  <c r="L14" i="1"/>
  <c r="P14" i="1"/>
  <c r="T14" i="1"/>
  <c r="X14" i="1"/>
</calcChain>
</file>

<file path=xl/sharedStrings.xml><?xml version="1.0" encoding="utf-8"?>
<sst xmlns="http://schemas.openxmlformats.org/spreadsheetml/2006/main" count="56" uniqueCount="29">
  <si>
    <t>Combined Companies EO Matrix</t>
  </si>
  <si>
    <t xml:space="preserve"> PY1 Cumulative Budget/MWh/MW Metrics</t>
  </si>
  <si>
    <t>PY1 Cumulative EO $</t>
  </si>
  <si>
    <t xml:space="preserve"> PY2 Annual Budget/MWh/MW Metrics</t>
  </si>
  <si>
    <t>PY2 Annual EO $</t>
  </si>
  <si>
    <t xml:space="preserve"> PY2 Cumulative Budget/MWh/MW Metrics</t>
  </si>
  <si>
    <t>PY2 Cumulative EO $</t>
  </si>
  <si>
    <t xml:space="preserve"> PY3 Annual Budget/MWh/MW Metrics</t>
  </si>
  <si>
    <t>PY3 Annual EO $</t>
  </si>
  <si>
    <t xml:space="preserve"> PY3 Cumulative Budget/MWh/MW Metrics</t>
  </si>
  <si>
    <t>PY3 Cumulative EO $</t>
  </si>
  <si>
    <t xml:space="preserve"> PY4 Annual Budget/MWh/MW Metrics</t>
  </si>
  <si>
    <t>PY4 Annual EO $</t>
  </si>
  <si>
    <t>Cycle 4 Cumulative Budget/MWh/MW Metrics</t>
  </si>
  <si>
    <t>Cycle 4 Cumulative EO $</t>
  </si>
  <si>
    <t>Proposed EO Metric</t>
  </si>
  <si>
    <t>Unit</t>
  </si>
  <si>
    <t>$/unit</t>
  </si>
  <si>
    <t>Cumulative Cap</t>
  </si>
  <si>
    <t>Target</t>
  </si>
  <si>
    <t>Cap</t>
  </si>
  <si>
    <t>$/HTRH/Ed/UHI Budget Spend</t>
  </si>
  <si>
    <r>
      <rPr>
        <b/>
        <sz val="11"/>
        <color rgb="FF000000"/>
        <rFont val="Calibri"/>
        <family val="2"/>
      </rPr>
      <t xml:space="preserve">EE MWh:
</t>
    </r>
    <r>
      <rPr>
        <sz val="11"/>
        <color rgb="FF000000"/>
        <rFont val="Calibri"/>
        <family val="2"/>
      </rPr>
      <t>criteria will be the evaluated 1st yr incremental MWh savings. Includes Residential and Business programs and excludes Income Eligible and Pilot programs.</t>
    </r>
  </si>
  <si>
    <t>$/MWh</t>
  </si>
  <si>
    <t>EE Coincident MW: 
criteria will be the evaluated  incremental MW reduction, coincident with system peak.  Includes Residential and Business programs and excludes Home and Business Demand Response, Income Eligible and Pilot programs.</t>
  </si>
  <si>
    <t>$/MW</t>
  </si>
  <si>
    <t>Demand Response:
criteria will be cumulative evaluated MW enrolled.  Includes Home and Business Demand Response programs.</t>
  </si>
  <si>
    <t>Appendix 8.5</t>
  </si>
  <si>
    <r>
      <rPr>
        <b/>
        <sz val="11"/>
        <color rgb="FF000000"/>
        <rFont val="Calibri"/>
        <family val="2"/>
      </rPr>
      <t>IE/UHI/Education/Pilots Budget Spend:</t>
    </r>
    <r>
      <rPr>
        <sz val="11"/>
        <color rgb="FF000000"/>
        <rFont val="Calibri"/>
        <family val="2"/>
      </rPr>
      <t xml:space="preserve">
Includes  Income Eligible,  Urban Heat Island, Home, Hard-to-Reach, Business and Demand Response Education and Pilot programs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</si>
</sst>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#,##0.000_);\(#,##0.000\)"/>
    <numFmt numFmtId="167" formatCode="&quot;$&quot;#,##0.00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9" fontId="5" fillId="0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164" fontId="6" fillId="2" borderId="0" xfId="1" applyNumberFormat="1" applyFont="1" applyFill="1" applyAlignment="1">
      <alignment vertical="center"/>
    </xf>
    <xf numFmtId="165" fontId="6" fillId="3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4" borderId="4" xfId="0" applyFont="1" applyFill="1" applyBorder="1" applyAlignment="1">
      <alignment wrapText="1"/>
    </xf>
    <xf numFmtId="164" fontId="5" fillId="2" borderId="3" xfId="1" quotePrefix="1" applyNumberFormat="1" applyFont="1" applyFill="1" applyBorder="1" applyAlignment="1">
      <alignment horizontal="center" vertical="center"/>
    </xf>
    <xf numFmtId="43" fontId="6" fillId="2" borderId="0" xfId="1" applyFont="1" applyFill="1" applyAlignment="1">
      <alignment vertical="center"/>
    </xf>
    <xf numFmtId="0" fontId="5" fillId="4" borderId="4" xfId="0" applyFont="1" applyFill="1" applyBorder="1" applyAlignment="1">
      <alignment horizontal="left" wrapText="1"/>
    </xf>
    <xf numFmtId="43" fontId="5" fillId="2" borderId="3" xfId="1" applyFont="1" applyFill="1" applyBorder="1" applyAlignment="1">
      <alignment horizontal="center" vertical="center"/>
    </xf>
    <xf numFmtId="43" fontId="5" fillId="2" borderId="3" xfId="1" quotePrefix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7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165" fontId="4" fillId="0" borderId="8" xfId="0" applyNumberFormat="1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MEEIA\Cycle%204\CONF_MEEIA%204%20Portfolio%20Analysis%2004162024.xlsx" TargetMode="External"/><Relationship Id="rId1" Type="http://schemas.openxmlformats.org/officeDocument/2006/relationships/externalLinkPath" Target="/MEEIA/Cycle%204/CONF_MEEIA%204%20Portfolio%20Analysis%200416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Requirements"/>
      <sheetName val="Version Tracking"/>
      <sheetName val="Overview"/>
      <sheetName val="Main Inputs"/>
      <sheetName val="Margin Rates Inputs TOU"/>
      <sheetName val="Monthly LoadShapes TOU"/>
      <sheetName val="Billed kWh Sales"/>
      <sheetName val="Program Descriptions"/>
      <sheetName val="NTG-RR"/>
      <sheetName val="DSMore Results-Metro"/>
      <sheetName val="DSMore Results-MO West"/>
      <sheetName val="Credit Metrics Inputs"/>
      <sheetName val="Summary Fin Tables for Report"/>
      <sheetName val="DSIM (Rider)"/>
      <sheetName val="Credit Metrics (Rider Scenario)"/>
      <sheetName val="Exec Summary"/>
      <sheetName val="Program Totals"/>
      <sheetName val="Program Tables"/>
      <sheetName val="Monthly kWh-kW"/>
      <sheetName val="Monthly Program Costs"/>
      <sheetName val="Monthly TD Calc TOU"/>
      <sheetName val="Net Benefits"/>
      <sheetName val="Impact on kWh Sales"/>
      <sheetName val="EO Table"/>
      <sheetName val="EO Matrix @Meter"/>
      <sheetName val="EO"/>
      <sheetName val="EO Cap"/>
      <sheetName val="Cycle 4 DSIM Rate - Proposed"/>
      <sheetName val="Max Cycle 4 Rate - by Class"/>
      <sheetName val="Customer Rate-Bill Impacts"/>
      <sheetName val="Dashboard Charts"/>
    </sheetNames>
    <sheetDataSet>
      <sheetData sheetId="0"/>
      <sheetData sheetId="1"/>
      <sheetData sheetId="2"/>
      <sheetData sheetId="3">
        <row r="5">
          <cell r="C5" t="str">
            <v>Metro</v>
          </cell>
        </row>
        <row r="6">
          <cell r="C6">
            <v>2025</v>
          </cell>
        </row>
        <row r="7">
          <cell r="C7">
            <v>45658</v>
          </cell>
        </row>
        <row r="28">
          <cell r="C28">
            <v>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AFEB-CF33-43C5-8B28-38A4542F778A}">
  <sheetPr>
    <tabColor rgb="FF92D050"/>
    <pageSetUpPr fitToPage="1"/>
  </sheetPr>
  <dimension ref="A1:AF14"/>
  <sheetViews>
    <sheetView tabSelected="1" zoomScale="148" zoomScaleNormal="148" workbookViewId="0">
      <pane xSplit="4" ySplit="4" topLeftCell="P12" activePane="bottomRight" state="frozen"/>
      <selection sqref="A1:XFD1048576"/>
      <selection pane="topRight" sqref="A1:XFD1048576"/>
      <selection pane="bottomLeft" sqref="A1:XFD1048576"/>
      <selection pane="bottomRight" activeCell="G1" sqref="G1"/>
    </sheetView>
  </sheetViews>
  <sheetFormatPr defaultColWidth="12.42578125" defaultRowHeight="12.75" outlineLevelCol="3" x14ac:dyDescent="0.2"/>
  <cols>
    <col min="1" max="1" width="29.85546875" customWidth="1"/>
    <col min="2" max="2" width="12.5703125" customWidth="1"/>
    <col min="3" max="3" width="12.85546875" customWidth="1"/>
    <col min="7" max="7" width="11.7109375" customWidth="1" outlineLevel="1"/>
    <col min="8" max="8" width="11.85546875" customWidth="1" outlineLevel="1"/>
    <col min="9" max="12" width="12.42578125" hidden="1" customWidth="1" outlineLevel="2"/>
    <col min="13" max="13" width="13.140625" customWidth="1" outlineLevel="1" collapsed="1"/>
    <col min="14" max="14" width="12.5703125" customWidth="1" outlineLevel="1"/>
    <col min="15" max="15" width="12.140625" customWidth="1" outlineLevel="1"/>
    <col min="16" max="16" width="12.42578125" customWidth="1" outlineLevel="1"/>
    <col min="17" max="20" width="12.42578125" hidden="1" customWidth="1" outlineLevel="2"/>
    <col min="21" max="21" width="12.140625" customWidth="1" outlineLevel="1" collapsed="1"/>
    <col min="22" max="22" width="12.28515625" customWidth="1" outlineLevel="1"/>
    <col min="23" max="23" width="12.140625" customWidth="1" outlineLevel="1"/>
    <col min="24" max="24" width="13.28515625" customWidth="1" outlineLevel="1"/>
    <col min="25" max="28" width="12.42578125" hidden="1" customWidth="1" outlineLevel="3"/>
    <col min="29" max="29" width="11.85546875" customWidth="1"/>
    <col min="30" max="30" width="12.28515625" customWidth="1"/>
    <col min="31" max="31" width="12.7109375" customWidth="1"/>
    <col min="32" max="32" width="12.42578125" customWidth="1"/>
    <col min="35" max="35" width="12.42578125" customWidth="1"/>
  </cols>
  <sheetData>
    <row r="1" spans="1:32" ht="18" x14ac:dyDescent="0.25">
      <c r="A1" s="1" t="s">
        <v>27</v>
      </c>
    </row>
    <row r="2" spans="1:32" ht="18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spans="1:32" ht="18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s="4" customFormat="1" ht="42" customHeight="1" thickBot="1" x14ac:dyDescent="0.25">
      <c r="A4" s="3" t="s">
        <v>0</v>
      </c>
      <c r="B4" s="3"/>
      <c r="C4" s="3"/>
      <c r="D4" s="3"/>
      <c r="E4" s="35" t="s">
        <v>1</v>
      </c>
      <c r="F4" s="36"/>
      <c r="G4" s="33" t="s">
        <v>2</v>
      </c>
      <c r="H4" s="34"/>
      <c r="I4" s="35" t="s">
        <v>3</v>
      </c>
      <c r="J4" s="36"/>
      <c r="K4" s="33" t="s">
        <v>4</v>
      </c>
      <c r="L4" s="34"/>
      <c r="M4" s="35" t="s">
        <v>5</v>
      </c>
      <c r="N4" s="36"/>
      <c r="O4" s="33" t="s">
        <v>6</v>
      </c>
      <c r="P4" s="34"/>
      <c r="Q4" s="35" t="s">
        <v>7</v>
      </c>
      <c r="R4" s="36"/>
      <c r="S4" s="33" t="s">
        <v>8</v>
      </c>
      <c r="T4" s="34"/>
      <c r="U4" s="35" t="s">
        <v>9</v>
      </c>
      <c r="V4" s="36"/>
      <c r="W4" s="33" t="s">
        <v>10</v>
      </c>
      <c r="X4" s="34"/>
      <c r="Y4" s="35" t="s">
        <v>11</v>
      </c>
      <c r="Z4" s="36"/>
      <c r="AA4" s="33" t="s">
        <v>12</v>
      </c>
      <c r="AB4" s="34"/>
      <c r="AC4" s="35" t="s">
        <v>13</v>
      </c>
      <c r="AD4" s="36"/>
      <c r="AE4" s="33" t="s">
        <v>14</v>
      </c>
      <c r="AF4" s="34"/>
    </row>
    <row r="5" spans="1:32" ht="30.75" thickBot="1" x14ac:dyDescent="0.25">
      <c r="A5" s="6" t="s">
        <v>15</v>
      </c>
      <c r="B5" s="5" t="s">
        <v>16</v>
      </c>
      <c r="C5" s="5" t="s">
        <v>17</v>
      </c>
      <c r="D5" s="5" t="s">
        <v>18</v>
      </c>
      <c r="E5" s="7" t="s">
        <v>19</v>
      </c>
      <c r="F5" s="7" t="s">
        <v>20</v>
      </c>
      <c r="G5" s="8" t="s">
        <v>19</v>
      </c>
      <c r="H5" s="8" t="s">
        <v>20</v>
      </c>
      <c r="I5" s="7" t="s">
        <v>19</v>
      </c>
      <c r="J5" s="7" t="s">
        <v>20</v>
      </c>
      <c r="K5" s="8" t="s">
        <v>19</v>
      </c>
      <c r="L5" s="8" t="s">
        <v>20</v>
      </c>
      <c r="M5" s="7" t="s">
        <v>19</v>
      </c>
      <c r="N5" s="7" t="s">
        <v>20</v>
      </c>
      <c r="O5" s="8" t="s">
        <v>19</v>
      </c>
      <c r="P5" s="8" t="s">
        <v>20</v>
      </c>
      <c r="Q5" s="7" t="s">
        <v>19</v>
      </c>
      <c r="R5" s="7" t="s">
        <v>20</v>
      </c>
      <c r="S5" s="8" t="s">
        <v>19</v>
      </c>
      <c r="T5" s="8" t="s">
        <v>20</v>
      </c>
      <c r="U5" s="7" t="s">
        <v>19</v>
      </c>
      <c r="V5" s="7" t="s">
        <v>20</v>
      </c>
      <c r="W5" s="8" t="s">
        <v>19</v>
      </c>
      <c r="X5" s="8" t="s">
        <v>20</v>
      </c>
      <c r="Y5" s="7" t="s">
        <v>19</v>
      </c>
      <c r="Z5" s="7" t="s">
        <v>20</v>
      </c>
      <c r="AA5" s="8" t="s">
        <v>19</v>
      </c>
      <c r="AB5" s="8" t="s">
        <v>20</v>
      </c>
      <c r="AC5" s="7" t="s">
        <v>19</v>
      </c>
      <c r="AD5" s="7" t="s">
        <v>20</v>
      </c>
      <c r="AE5" s="8" t="s">
        <v>19</v>
      </c>
      <c r="AF5" s="8" t="s">
        <v>20</v>
      </c>
    </row>
    <row r="6" spans="1:32" ht="105.75" thickBot="1" x14ac:dyDescent="0.25">
      <c r="A6" s="9" t="s">
        <v>28</v>
      </c>
      <c r="B6" s="10" t="s">
        <v>21</v>
      </c>
      <c r="C6" s="31">
        <f>ROUND(AE6/AC6,6)</f>
        <v>0.111066</v>
      </c>
      <c r="D6" s="11">
        <v>1.25</v>
      </c>
      <c r="E6" s="12">
        <v>9611149.138530463</v>
      </c>
      <c r="F6" s="12">
        <f>+E6*$D6</f>
        <v>12013936.423163079</v>
      </c>
      <c r="G6" s="13">
        <f>ROUND(E6*$C6,2)</f>
        <v>1067471.8899999999</v>
      </c>
      <c r="H6" s="13">
        <f>G6*$D6</f>
        <v>1334339.8624999998</v>
      </c>
      <c r="I6" s="12">
        <v>11095642.963677231</v>
      </c>
      <c r="J6" s="12">
        <f>+I6*$D6</f>
        <v>13869553.704596538</v>
      </c>
      <c r="K6" s="13">
        <f>ROUND(I6*$C6,2)</f>
        <v>1232348.68</v>
      </c>
      <c r="L6" s="13">
        <f>K6*$D6</f>
        <v>1540435.8499999999</v>
      </c>
      <c r="M6" s="12">
        <f>+E6+I6</f>
        <v>20706792.102207694</v>
      </c>
      <c r="N6" s="12">
        <f>+M6*$D6</f>
        <v>25883490.127759617</v>
      </c>
      <c r="O6" s="13">
        <f>ROUND(M6*$C6,2)</f>
        <v>2299820.5699999998</v>
      </c>
      <c r="P6" s="13">
        <f>O6*$D6</f>
        <v>2874775.7124999999</v>
      </c>
      <c r="Q6" s="12">
        <v>11199992.966694465</v>
      </c>
      <c r="R6" s="12">
        <f>+Q6*$D6</f>
        <v>13999991.208368082</v>
      </c>
      <c r="S6" s="13">
        <f>ROUND(Q6*$C6,2)</f>
        <v>1243938.42</v>
      </c>
      <c r="T6" s="13">
        <f>S6*$D6</f>
        <v>1554923.0249999999</v>
      </c>
      <c r="U6" s="12">
        <f>+M6+Q6</f>
        <v>31906785.068902157</v>
      </c>
      <c r="V6" s="12">
        <f>+U6*$D6</f>
        <v>39883481.336127698</v>
      </c>
      <c r="W6" s="13">
        <f>ROUND(U6*$C6,2)</f>
        <v>3543758.99</v>
      </c>
      <c r="X6" s="13">
        <f>W6*$D6</f>
        <v>4429698.7375000007</v>
      </c>
      <c r="Y6" s="12">
        <v>11292023.207971822</v>
      </c>
      <c r="Z6" s="12">
        <f>+Y6*$D6</f>
        <v>14115029.009964779</v>
      </c>
      <c r="AA6" s="13">
        <f>ROUND(Y6*$C6,2)</f>
        <v>1254159.8500000001</v>
      </c>
      <c r="AB6" s="13">
        <f>AA6*$D6</f>
        <v>1567699.8125</v>
      </c>
      <c r="AC6" s="12">
        <f>+U6+Y6</f>
        <v>43198808.276873976</v>
      </c>
      <c r="AD6" s="12">
        <f>+AC6*$D6</f>
        <v>53998510.34609247</v>
      </c>
      <c r="AE6" s="13">
        <f>ROUND(0.15*31986152,0)</f>
        <v>4797923</v>
      </c>
      <c r="AF6" s="13">
        <f>AE6*$D6</f>
        <v>5997403.75</v>
      </c>
    </row>
    <row r="7" spans="1:32" ht="13.5" thickBot="1" x14ac:dyDescent="0.25">
      <c r="A7" s="14"/>
      <c r="B7" s="15"/>
      <c r="C7" s="32"/>
      <c r="D7" s="15"/>
      <c r="E7" s="16"/>
      <c r="F7" s="16"/>
      <c r="G7" s="17"/>
      <c r="H7" s="17"/>
      <c r="I7" s="16"/>
      <c r="J7" s="16"/>
      <c r="K7" s="17"/>
      <c r="L7" s="17"/>
      <c r="M7" s="16"/>
      <c r="N7" s="16"/>
      <c r="O7" s="17"/>
      <c r="P7" s="17"/>
      <c r="Q7" s="16"/>
      <c r="R7" s="16"/>
      <c r="S7" s="17"/>
      <c r="T7" s="17"/>
      <c r="U7" s="16"/>
      <c r="V7" s="16"/>
      <c r="W7" s="17"/>
      <c r="X7" s="17"/>
      <c r="Y7" s="16"/>
      <c r="Z7" s="16"/>
      <c r="AA7" s="17"/>
      <c r="AB7" s="17"/>
      <c r="AC7" s="18"/>
      <c r="AD7" s="18"/>
      <c r="AE7" s="17"/>
      <c r="AF7" s="17"/>
    </row>
    <row r="8" spans="1:32" ht="105.75" thickBot="1" x14ac:dyDescent="0.3">
      <c r="A8" s="19" t="s">
        <v>22</v>
      </c>
      <c r="B8" s="10" t="s">
        <v>23</v>
      </c>
      <c r="C8" s="31">
        <f>ROUND(AE8/AC8,4)</f>
        <v>13.209300000000001</v>
      </c>
      <c r="D8" s="11">
        <v>1.25</v>
      </c>
      <c r="E8" s="20">
        <v>79041.147766485243</v>
      </c>
      <c r="F8" s="12">
        <f>+E8*$D8</f>
        <v>98801.43470810655</v>
      </c>
      <c r="G8" s="13">
        <f>ROUND(E8*$C8,2)</f>
        <v>1044078.23</v>
      </c>
      <c r="H8" s="13">
        <f>G8*$D8</f>
        <v>1305097.7875000001</v>
      </c>
      <c r="I8" s="20">
        <v>91162.419941875225</v>
      </c>
      <c r="J8" s="12">
        <f>+I8*$D8</f>
        <v>113953.02492734403</v>
      </c>
      <c r="K8" s="13">
        <f>ROUND(I8*$C8,2)</f>
        <v>1204191.75</v>
      </c>
      <c r="L8" s="13">
        <f>K8*$D8</f>
        <v>1505239.6875</v>
      </c>
      <c r="M8" s="20">
        <f>+E8+I8</f>
        <v>170203.56770836047</v>
      </c>
      <c r="N8" s="12">
        <f>+M8*$D8</f>
        <v>212754.45963545059</v>
      </c>
      <c r="O8" s="13">
        <f>ROUND(M8*$C8,2)</f>
        <v>2248269.9900000002</v>
      </c>
      <c r="P8" s="13">
        <f>O8*$D8</f>
        <v>2810337.4875000003</v>
      </c>
      <c r="Q8" s="20">
        <v>95528.409555908147</v>
      </c>
      <c r="R8" s="12">
        <f>+Q8*$D8</f>
        <v>119410.51194488519</v>
      </c>
      <c r="S8" s="13">
        <f>ROUND(Q8*$C8,2)</f>
        <v>1261863.42</v>
      </c>
      <c r="T8" s="13">
        <f>S8*$D8</f>
        <v>1577329.2749999999</v>
      </c>
      <c r="U8" s="20">
        <f>+M8+Q8</f>
        <v>265731.97726426861</v>
      </c>
      <c r="V8" s="12">
        <f>+U8*$D8</f>
        <v>332164.97158033575</v>
      </c>
      <c r="W8" s="13">
        <f>ROUND(U8*$C8,2)</f>
        <v>3510133.41</v>
      </c>
      <c r="X8" s="13">
        <f>W8*$D8</f>
        <v>4387666.7625000002</v>
      </c>
      <c r="Y8" s="20">
        <v>97490.755654038105</v>
      </c>
      <c r="Z8" s="12">
        <f>+Y8*$D8</f>
        <v>121863.44456754763</v>
      </c>
      <c r="AA8" s="13">
        <f>ROUND(Y8*$C8,2)</f>
        <v>1287784.6399999999</v>
      </c>
      <c r="AB8" s="13">
        <f>AA8*$D8</f>
        <v>1609730.7999999998</v>
      </c>
      <c r="AC8" s="20">
        <f>+U8+Y8</f>
        <v>363222.73291830672</v>
      </c>
      <c r="AD8" s="12">
        <f>+AC8*$D8</f>
        <v>454028.4161478834</v>
      </c>
      <c r="AE8" s="13">
        <f>ROUND(0.15*31986152,0)</f>
        <v>4797923</v>
      </c>
      <c r="AF8" s="13">
        <f>AE8*$D8</f>
        <v>5997403.75</v>
      </c>
    </row>
    <row r="9" spans="1:32" ht="13.5" thickBot="1" x14ac:dyDescent="0.25">
      <c r="A9" s="14"/>
      <c r="B9" s="15"/>
      <c r="C9" s="32"/>
      <c r="D9" s="15"/>
      <c r="E9" s="21"/>
      <c r="F9" s="21"/>
      <c r="G9" s="17"/>
      <c r="H9" s="17"/>
      <c r="I9" s="21"/>
      <c r="J9" s="21"/>
      <c r="K9" s="17"/>
      <c r="L9" s="17"/>
      <c r="M9" s="21"/>
      <c r="N9" s="21"/>
      <c r="O9" s="17"/>
      <c r="P9" s="17"/>
      <c r="Q9" s="21"/>
      <c r="R9" s="21"/>
      <c r="S9" s="17"/>
      <c r="T9" s="17"/>
      <c r="U9" s="21"/>
      <c r="V9" s="21"/>
      <c r="W9" s="17"/>
      <c r="X9" s="17"/>
      <c r="Y9" s="21"/>
      <c r="Z9" s="21"/>
      <c r="AA9" s="17"/>
      <c r="AB9" s="17"/>
      <c r="AC9" s="21"/>
      <c r="AD9" s="21"/>
      <c r="AE9" s="17"/>
      <c r="AF9" s="17"/>
    </row>
    <row r="10" spans="1:32" ht="135.75" thickBot="1" x14ac:dyDescent="0.3">
      <c r="A10" s="22" t="s">
        <v>24</v>
      </c>
      <c r="B10" s="10" t="s">
        <v>25</v>
      </c>
      <c r="C10" s="31">
        <f>ROUND(AE10/AC10,4)</f>
        <v>125854.28170000001</v>
      </c>
      <c r="D10" s="11">
        <v>1.25</v>
      </c>
      <c r="E10" s="20">
        <v>19.144480968217078</v>
      </c>
      <c r="F10" s="23">
        <f>+E10*$D10</f>
        <v>23.930601210271348</v>
      </c>
      <c r="G10" s="13">
        <f>ROUND(E10*$C10,2)</f>
        <v>2409414.9</v>
      </c>
      <c r="H10" s="13">
        <f>G10*$D10</f>
        <v>3011768.625</v>
      </c>
      <c r="I10" s="20">
        <v>22.341718632627806</v>
      </c>
      <c r="J10" s="23">
        <f>+I10*$D10</f>
        <v>27.927148290784757</v>
      </c>
      <c r="K10" s="13">
        <f>ROUND(I10*$C10,2)</f>
        <v>2811800.95</v>
      </c>
      <c r="L10" s="13">
        <f>K10*$D10</f>
        <v>3514751.1875</v>
      </c>
      <c r="M10" s="20">
        <f>+E10+I10</f>
        <v>41.486199600844884</v>
      </c>
      <c r="N10" s="23">
        <f>+M10*$D10</f>
        <v>51.857749501056105</v>
      </c>
      <c r="O10" s="13">
        <f>ROUND(M10*$C10,2)</f>
        <v>5221215.8499999996</v>
      </c>
      <c r="P10" s="13">
        <f>O10*$D10</f>
        <v>6526519.8125</v>
      </c>
      <c r="Q10" s="20">
        <v>23.295955997314234</v>
      </c>
      <c r="R10" s="23">
        <f>+Q10*$D10</f>
        <v>29.119944996642793</v>
      </c>
      <c r="S10" s="13">
        <f>ROUND(Q10*$C10,2)</f>
        <v>2931895.81</v>
      </c>
      <c r="T10" s="13">
        <f>S10*$D10</f>
        <v>3664869.7625000002</v>
      </c>
      <c r="U10" s="20">
        <f>+M10+Q10</f>
        <v>64.782155598159122</v>
      </c>
      <c r="V10" s="23">
        <f>+U10*$D10</f>
        <v>80.977694497698906</v>
      </c>
      <c r="W10" s="13">
        <f>ROUND(U10*$C10,2)</f>
        <v>8153111.6600000001</v>
      </c>
      <c r="X10" s="13">
        <f>W10*$D10</f>
        <v>10191389.574999999</v>
      </c>
      <c r="Y10" s="20">
        <v>24.17113902042302</v>
      </c>
      <c r="Z10" s="23">
        <f>+Y10*$D10</f>
        <v>30.213923775528777</v>
      </c>
      <c r="AA10" s="13">
        <f>ROUND(Y10*$C10,2)</f>
        <v>3042041.34</v>
      </c>
      <c r="AB10" s="13">
        <f>AA10*$D10</f>
        <v>3802551.6749999998</v>
      </c>
      <c r="AC10" s="24">
        <f>+U10+Y10</f>
        <v>88.953294618582134</v>
      </c>
      <c r="AD10" s="23">
        <f>+AC10*$D10</f>
        <v>111.19161827322768</v>
      </c>
      <c r="AE10" s="13">
        <f>ROUND(0.35*31986152,0)</f>
        <v>11195153</v>
      </c>
      <c r="AF10" s="13">
        <f>AE10*$D10</f>
        <v>13993941.25</v>
      </c>
    </row>
    <row r="11" spans="1:32" ht="13.5" thickBot="1" x14ac:dyDescent="0.25">
      <c r="A11" s="14"/>
      <c r="B11" s="15"/>
      <c r="C11" s="32"/>
      <c r="D11" s="15"/>
      <c r="E11" s="21"/>
      <c r="F11" s="21"/>
      <c r="G11" s="17"/>
      <c r="H11" s="17"/>
      <c r="I11" s="21"/>
      <c r="J11" s="21"/>
      <c r="K11" s="17"/>
      <c r="L11" s="17"/>
      <c r="M11" s="21"/>
      <c r="N11" s="21"/>
      <c r="O11" s="17"/>
      <c r="P11" s="17"/>
      <c r="Q11" s="21"/>
      <c r="R11" s="21"/>
      <c r="S11" s="17"/>
      <c r="T11" s="17"/>
      <c r="U11" s="21"/>
      <c r="V11" s="21"/>
      <c r="W11" s="17"/>
      <c r="X11" s="17"/>
      <c r="Y11" s="21"/>
      <c r="Z11" s="21"/>
      <c r="AA11" s="17"/>
      <c r="AB11" s="17"/>
      <c r="AC11" s="21"/>
      <c r="AD11" s="21"/>
      <c r="AE11" s="17"/>
      <c r="AF11" s="17"/>
    </row>
    <row r="12" spans="1:32" ht="75.75" thickBot="1" x14ac:dyDescent="0.3">
      <c r="A12" s="22" t="s">
        <v>26</v>
      </c>
      <c r="B12" s="10" t="s">
        <v>25</v>
      </c>
      <c r="C12" s="31">
        <f>ROUND(AE12/AC12,4)</f>
        <v>18041.695100000001</v>
      </c>
      <c r="D12" s="11">
        <v>1.25</v>
      </c>
      <c r="E12" s="20">
        <v>146.79377516459527</v>
      </c>
      <c r="F12" s="23">
        <f>+E12*$D12</f>
        <v>183.49221895574408</v>
      </c>
      <c r="G12" s="13">
        <f>ROUND(E12*$C12,2)</f>
        <v>2648408.5299999998</v>
      </c>
      <c r="H12" s="13">
        <f>G12*$D12</f>
        <v>3310510.6624999996</v>
      </c>
      <c r="I12" s="23">
        <v>163.59336019795572</v>
      </c>
      <c r="J12" s="23">
        <f>+I12*$D12</f>
        <v>204.49170024744464</v>
      </c>
      <c r="K12" s="13">
        <f>ROUND(I12*$C12,2)</f>
        <v>2951501.53</v>
      </c>
      <c r="L12" s="13">
        <f>K12*$D12</f>
        <v>3689376.9124999996</v>
      </c>
      <c r="M12" s="23">
        <f>+E12+I12</f>
        <v>310.38713536255102</v>
      </c>
      <c r="N12" s="23">
        <f>+M12*$D12</f>
        <v>387.98391920318875</v>
      </c>
      <c r="O12" s="13">
        <f>ROUND(M12*$C12,2)</f>
        <v>5599910.0599999996</v>
      </c>
      <c r="P12" s="13">
        <f>O12*$D12</f>
        <v>6999887.5749999993</v>
      </c>
      <c r="Q12" s="23">
        <v>168.79158484001499</v>
      </c>
      <c r="R12" s="23">
        <f>+Q12*$D12</f>
        <v>210.98948105001875</v>
      </c>
      <c r="S12" s="13">
        <f>ROUND(Q12*$C12,2)</f>
        <v>3045286.31</v>
      </c>
      <c r="T12" s="13">
        <f>S12*$D12</f>
        <v>3806607.8875000002</v>
      </c>
      <c r="U12" s="23">
        <f>+M12+Q12</f>
        <v>479.17872020256601</v>
      </c>
      <c r="V12" s="23">
        <f>+U12*$D12</f>
        <v>598.9734002532075</v>
      </c>
      <c r="W12" s="13">
        <f>ROUND(U12*$C12,2)</f>
        <v>8645196.3699999992</v>
      </c>
      <c r="X12" s="13">
        <f>W12*$D12</f>
        <v>10806495.462499999</v>
      </c>
      <c r="Y12" s="23">
        <v>141.33686664611079</v>
      </c>
      <c r="Z12" s="23">
        <f>+Y12*$D12</f>
        <v>176.6710833076385</v>
      </c>
      <c r="AA12" s="13">
        <f>ROUND(Y12*$C12,2)</f>
        <v>2549956.65</v>
      </c>
      <c r="AB12" s="13">
        <f>AA12*$D12</f>
        <v>3187445.8125</v>
      </c>
      <c r="AC12" s="23">
        <f>+U12+Y12</f>
        <v>620.51558684867678</v>
      </c>
      <c r="AD12" s="23">
        <f>+AC12*$D12</f>
        <v>775.64448356084597</v>
      </c>
      <c r="AE12" s="13">
        <f>ROUND(0.35*31986152,0)</f>
        <v>11195153</v>
      </c>
      <c r="AF12" s="13">
        <f>AE12*$D12</f>
        <v>13993941.25</v>
      </c>
    </row>
    <row r="13" spans="1:32" ht="13.5" thickBot="1" x14ac:dyDescent="0.25">
      <c r="A13" s="25"/>
      <c r="B13" s="25"/>
      <c r="C13" s="26"/>
      <c r="D13" s="26"/>
      <c r="E13" s="26"/>
      <c r="F13" s="26"/>
      <c r="G13" s="15"/>
      <c r="H13" s="15"/>
      <c r="I13" s="26"/>
      <c r="J13" s="26"/>
      <c r="K13" s="15"/>
      <c r="L13" s="15"/>
      <c r="M13" s="26"/>
      <c r="N13" s="26"/>
      <c r="O13" s="15"/>
      <c r="P13" s="15"/>
      <c r="Q13" s="26"/>
      <c r="R13" s="26"/>
      <c r="S13" s="15"/>
      <c r="T13" s="15"/>
      <c r="U13" s="26"/>
      <c r="V13" s="26"/>
      <c r="W13" s="15"/>
      <c r="X13" s="15"/>
      <c r="Y13" s="26"/>
      <c r="Z13" s="26"/>
      <c r="AA13" s="15"/>
      <c r="AB13" s="15"/>
      <c r="AD13" s="26"/>
      <c r="AE13" s="15"/>
      <c r="AF13" s="15"/>
    </row>
    <row r="14" spans="1:32" ht="15" x14ac:dyDescent="0.2">
      <c r="A14" s="25"/>
      <c r="B14" s="25"/>
      <c r="D14" s="27"/>
      <c r="E14" s="28"/>
      <c r="F14" s="29"/>
      <c r="G14" s="30">
        <f>SUM(G6:G12)</f>
        <v>7169373.5499999989</v>
      </c>
      <c r="H14" s="30">
        <f>SUM(H6:H12)</f>
        <v>8961716.9375</v>
      </c>
      <c r="I14" s="29"/>
      <c r="J14" s="29"/>
      <c r="K14" s="30">
        <f>SUM(K6:K12)</f>
        <v>8199842.9100000001</v>
      </c>
      <c r="L14" s="30">
        <f>SUM(L6:L12)</f>
        <v>10249803.637499999</v>
      </c>
      <c r="M14" s="29"/>
      <c r="N14" s="29"/>
      <c r="O14" s="30">
        <f>SUM(O6:O12)</f>
        <v>15369216.469999999</v>
      </c>
      <c r="P14" s="30">
        <f>SUM(P6:P12)</f>
        <v>19211520.587499999</v>
      </c>
      <c r="Q14" s="29"/>
      <c r="R14" s="29"/>
      <c r="S14" s="30">
        <f>SUM(S6:S12)</f>
        <v>8482983.9600000009</v>
      </c>
      <c r="T14" s="30">
        <f>SUM(T6:T12)</f>
        <v>10603729.949999999</v>
      </c>
      <c r="U14" s="29"/>
      <c r="V14" s="29"/>
      <c r="W14" s="30">
        <f>SUM(W6:W12)</f>
        <v>23852200.43</v>
      </c>
      <c r="X14" s="30">
        <f>SUM(X6:X12)</f>
        <v>29815250.537499998</v>
      </c>
      <c r="Y14" s="29"/>
      <c r="Z14" s="29"/>
      <c r="AA14" s="30">
        <f>SUM(AA6:AA12)</f>
        <v>8133942.4800000004</v>
      </c>
      <c r="AB14" s="30">
        <f>SUM(AB6:AB12)</f>
        <v>10167428.1</v>
      </c>
      <c r="AC14" s="26"/>
      <c r="AD14" s="29"/>
      <c r="AE14" s="30">
        <f>SUM(AE6:AE12)</f>
        <v>31986152</v>
      </c>
      <c r="AF14" s="30">
        <f>SUM(AF6:AF12)</f>
        <v>39982690</v>
      </c>
    </row>
  </sheetData>
  <mergeCells count="15">
    <mergeCell ref="A2:AF2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</mergeCells>
  <pageMargins left="0.25" right="0.25" top="0.75" bottom="0.75" header="0.3" footer="0.3"/>
  <pageSetup scale="54" orientation="landscape" r:id="rId1"/>
  <headerFooter>
    <oddFooter xml:space="preserve">&amp;R_x000D_&amp;1#&amp;"Calibri"&amp;10&amp;KA80000 Internal Use Only </oddFooter>
  </headerFooter>
</worksheet>
</file>

<file path=docMetadata/LabelInfo.xml><?xml version="1.0" encoding="utf-8"?>
<clbl:labelList xmlns:clbl="http://schemas.microsoft.com/office/2020/mipLabelMetadata">
  <clbl:label id="{d275ac46-98b9-4d64-949f-e82ee8dc823c}" enabled="1" method="Standard" siteId="{9ef58ab0-3510-4d99-8d3e-3c9e02ebab7f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EO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Foltz</dc:creator>
  <cp:lastModifiedBy>Anthony Westenkirchner</cp:lastModifiedBy>
  <cp:lastPrinted>2024-04-24T19:48:10Z</cp:lastPrinted>
  <dcterms:created xsi:type="dcterms:W3CDTF">2024-04-24T19:40:38Z</dcterms:created>
  <dcterms:modified xsi:type="dcterms:W3CDTF">2024-04-29T21:55:26Z</dcterms:modified>
</cp:coreProperties>
</file>